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fracla\Downloads\"/>
    </mc:Choice>
  </mc:AlternateContent>
  <xr:revisionPtr revIDLastSave="0" documentId="13_ncr:1_{E375AC6A-6F69-4157-A910-84B432A112BE}" xr6:coauthVersionLast="47" xr6:coauthVersionMax="47" xr10:uidLastSave="{00000000-0000-0000-0000-000000000000}"/>
  <bookViews>
    <workbookView xWindow="-120" yWindow="-120" windowWidth="20730" windowHeight="11160" xr2:uid="{A1DEE324-132E-44E9-95AA-4CFC500C2515}"/>
  </bookViews>
  <sheets>
    <sheet name="WBCIR20295" sheetId="115" r:id="rId1"/>
    <sheet name="Q5 + Q6" sheetId="114" r:id="rId2"/>
    <sheet name="DATA_23-24 NWPU YTD_MasterD (2)" sheetId="83" state="hidden" r:id="rId3"/>
    <sheet name="Sheet1" sheetId="88" state="hidden" r:id="rId4"/>
    <sheet name="NWPU_FCAST AUG Calc" sheetId="93" state="hidden" r:id="rId5"/>
    <sheet name="43013_23-24" sheetId="103" state="hidden" r:id="rId6"/>
    <sheet name="43016_23-24" sheetId="104" state="hidden" r:id="rId7"/>
    <sheet name="43019_23-24" sheetId="105" state="hidden" r:id="rId8"/>
    <sheet name="43009_23-24" sheetId="106" state="hidden" r:id="rId9"/>
    <sheet name="INMSS 43601 &amp; 43606" sheetId="107" state="hidden" r:id="rId10"/>
    <sheet name="EY 23-24YTD MasterDATA_JAN" sheetId="48" state="hidden" r:id="rId11"/>
  </sheets>
  <definedNames>
    <definedName name="________tab1" localSheetId="8">#REF!</definedName>
    <definedName name="________tab1" localSheetId="5">#REF!</definedName>
    <definedName name="________tab1" localSheetId="6">#REF!</definedName>
    <definedName name="________tab1" localSheetId="7">#REF!</definedName>
    <definedName name="________tab1" localSheetId="9">#REF!</definedName>
    <definedName name="________tab1">#REF!</definedName>
    <definedName name="_______Jan09">#REF!</definedName>
    <definedName name="_______KS1">#REF!</definedName>
    <definedName name="_______KS2">#REF!</definedName>
    <definedName name="_______KS3">#REF!</definedName>
    <definedName name="_______tab1" localSheetId="8">#REF!</definedName>
    <definedName name="_______tab1" localSheetId="5">#REF!</definedName>
    <definedName name="_______tab1" localSheetId="6">#REF!</definedName>
    <definedName name="_______tab1" localSheetId="7">#REF!</definedName>
    <definedName name="_______tab1" localSheetId="9">#REF!</definedName>
    <definedName name="_______tab1">#REF!</definedName>
    <definedName name="_______Tab2">#REF!</definedName>
    <definedName name="_______tab3">#REF!</definedName>
    <definedName name="_______Tab4">#REF!</definedName>
    <definedName name="_______tab5">#REF!</definedName>
    <definedName name="_______tab6">#REF!</definedName>
    <definedName name="_______tab7">#REF!</definedName>
    <definedName name="_______tab8">#REF!</definedName>
    <definedName name="______Jan09" localSheetId="8">#REF!</definedName>
    <definedName name="______Jan09" localSheetId="5">#REF!</definedName>
    <definedName name="______Jan09" localSheetId="6">#REF!</definedName>
    <definedName name="______Jan09" localSheetId="7">#REF!</definedName>
    <definedName name="______Jan09" localSheetId="9">#REF!</definedName>
    <definedName name="______Jan09">#REF!</definedName>
    <definedName name="______KS1">#REF!</definedName>
    <definedName name="______KS2">#REF!</definedName>
    <definedName name="______KS3">#REF!</definedName>
    <definedName name="______tab1">#REF!</definedName>
    <definedName name="______Tab2">#REF!</definedName>
    <definedName name="______tab3">#REF!</definedName>
    <definedName name="______Tab4">#REF!</definedName>
    <definedName name="______tab5">#REF!</definedName>
    <definedName name="______tab6">#REF!</definedName>
    <definedName name="______tab7">#REF!</definedName>
    <definedName name="______tab8">#REF!</definedName>
    <definedName name="_____Jan09">#REF!</definedName>
    <definedName name="_____KS1">#REF!</definedName>
    <definedName name="_____KS2">#REF!</definedName>
    <definedName name="_____KS3">#REF!</definedName>
    <definedName name="_____tab1">#REF!</definedName>
    <definedName name="_____Tab2">#REF!</definedName>
    <definedName name="_____tab3">#REF!</definedName>
    <definedName name="_____Tab4">#REF!</definedName>
    <definedName name="_____tab5">#REF!</definedName>
    <definedName name="_____tab6">#REF!</definedName>
    <definedName name="_____tab7">#REF!</definedName>
    <definedName name="_____tab8">#REF!</definedName>
    <definedName name="____Jan09">#REF!</definedName>
    <definedName name="____KS1">#REF!</definedName>
    <definedName name="____KS2">#REF!</definedName>
    <definedName name="____KS3">#REF!</definedName>
    <definedName name="____tab1" localSheetId="10">#REF!</definedName>
    <definedName name="____tab1">#REF!</definedName>
    <definedName name="____Tab2">#REF!</definedName>
    <definedName name="____tab3">#REF!</definedName>
    <definedName name="____Tab4">#REF!</definedName>
    <definedName name="____tab5">#REF!</definedName>
    <definedName name="____tab6">#REF!</definedName>
    <definedName name="____tab7">#REF!</definedName>
    <definedName name="____tab8">#REF!</definedName>
    <definedName name="___Jan09">#REF!</definedName>
    <definedName name="___KS1">#REF!</definedName>
    <definedName name="___KS2">#REF!</definedName>
    <definedName name="___KS3">#REF!</definedName>
    <definedName name="___tab1">#REF!</definedName>
    <definedName name="___Tab2">#REF!</definedName>
    <definedName name="___tab3">#REF!</definedName>
    <definedName name="___Tab4">#REF!</definedName>
    <definedName name="___tab5">#REF!</definedName>
    <definedName name="___tab6">#REF!</definedName>
    <definedName name="___tab7">#REF!</definedName>
    <definedName name="___tab8">#REF!</definedName>
    <definedName name="__Jan09" localSheetId="8">#REF!</definedName>
    <definedName name="__Jan09" localSheetId="5">#REF!</definedName>
    <definedName name="__Jan09" localSheetId="7">#REF!</definedName>
    <definedName name="__Jan09">#REF!</definedName>
    <definedName name="__KS1" localSheetId="8">#REF!</definedName>
    <definedName name="__KS1" localSheetId="5">#REF!</definedName>
    <definedName name="__KS1" localSheetId="7">#REF!</definedName>
    <definedName name="__KS1">#REF!</definedName>
    <definedName name="__KS2">#REF!</definedName>
    <definedName name="__KS3">#REF!</definedName>
    <definedName name="__tab1">#REF!</definedName>
    <definedName name="__Tab2">#REF!</definedName>
    <definedName name="__tab3">#REF!</definedName>
    <definedName name="__Tab4">#REF!</definedName>
    <definedName name="__tab5">#REF!</definedName>
    <definedName name="__tab6" localSheetId="8">#REF!</definedName>
    <definedName name="__tab6" localSheetId="5">#REF!</definedName>
    <definedName name="__tab6" localSheetId="6">#REF!</definedName>
    <definedName name="__tab6" localSheetId="7">#REF!</definedName>
    <definedName name="__tab6" localSheetId="9">#REF!</definedName>
    <definedName name="__tab6">#REF!</definedName>
    <definedName name="__tab7">#REF!</definedName>
    <definedName name="__tab8" localSheetId="8">#REF!</definedName>
    <definedName name="__tab8" localSheetId="5">#REF!</definedName>
    <definedName name="__tab8" localSheetId="6">#REF!</definedName>
    <definedName name="__tab8" localSheetId="7">#REF!</definedName>
    <definedName name="__tab8" localSheetId="9">#REF!</definedName>
    <definedName name="__tab8">#REF!</definedName>
    <definedName name="_CAO2">#REF!</definedName>
    <definedName name="_xlnm._FilterDatabase" localSheetId="8" hidden="1">'43009_23-24'!$A$1:$DI$157</definedName>
    <definedName name="_xlnm._FilterDatabase" localSheetId="5" hidden="1">'43013_23-24'!$A$3:$DR$92</definedName>
    <definedName name="_xlnm._FilterDatabase" localSheetId="6" hidden="1">'43016_23-24'!$A$3:$CS$22</definedName>
    <definedName name="_xlnm._FilterDatabase" localSheetId="7" hidden="1">'43019_23-24'!$A$3:$AU$3</definedName>
    <definedName name="_xlnm._FilterDatabase" localSheetId="2" hidden="1">'DATA_23-24 NWPU YTD_MasterD (2)'!$A$1:$BY$978</definedName>
    <definedName name="_xlnm._FilterDatabase" localSheetId="10" hidden="1">'EY 23-24YTD MasterDATA_JAN'!$A$1:$BQ$198</definedName>
    <definedName name="_xlnm._FilterDatabase" localSheetId="9" hidden="1">'INMSS 43601 &amp; 43606'!$A$5:$AF$273</definedName>
    <definedName name="_Jan09" localSheetId="8">#REF!</definedName>
    <definedName name="_Jan09" localSheetId="5">#REF!</definedName>
    <definedName name="_Jan09" localSheetId="6">#REF!</definedName>
    <definedName name="_Jan09" localSheetId="7">#REF!</definedName>
    <definedName name="_Jan09" localSheetId="9">#REF!</definedName>
    <definedName name="_Jan09">#REF!</definedName>
    <definedName name="_KS1">#REF!</definedName>
    <definedName name="_KS2">#REF!</definedName>
    <definedName name="_KS3">#REF!</definedName>
    <definedName name="_tab1">#REF!</definedName>
    <definedName name="_Tab2">#REF!</definedName>
    <definedName name="_tab3">#REF!</definedName>
    <definedName name="_Tab4">#REF!</definedName>
    <definedName name="_tab5">#REF!</definedName>
    <definedName name="_tab6" localSheetId="8">#REF!</definedName>
    <definedName name="_tab6" localSheetId="5">#REF!</definedName>
    <definedName name="_tab6" localSheetId="6">#REF!</definedName>
    <definedName name="_tab6" localSheetId="7">#REF!</definedName>
    <definedName name="_tab6" localSheetId="9">#REF!</definedName>
    <definedName name="_tab6">#REF!</definedName>
    <definedName name="_tab7">#REF!</definedName>
    <definedName name="_tab8" localSheetId="8">#REF!</definedName>
    <definedName name="_tab8" localSheetId="5">#REF!</definedName>
    <definedName name="_tab8" localSheetId="6">#REF!</definedName>
    <definedName name="_tab8" localSheetId="7">#REF!</definedName>
    <definedName name="_tab8" localSheetId="9">#REF!</definedName>
    <definedName name="_tab8">#REF!</definedName>
    <definedName name="a">#REF!</definedName>
    <definedName name="account">#REF!</definedName>
    <definedName name="Adjustments_To_PY_SBS">#REF!</definedName>
    <definedName name="ADRATE">#REF!</definedName>
    <definedName name="All_PupilNo_threshold">#REF!</definedName>
    <definedName name="All_Pupils_PT_Exc_N">#REF!</definedName>
    <definedName name="AllPTPupilsExcN">#REF!</definedName>
    <definedName name="alpha">#REF!</definedName>
    <definedName name="Anchor_Factors">#REF!</definedName>
    <definedName name="Anchor_Input">#REF!</definedName>
    <definedName name="Anchor_NewISB">#REF!</definedName>
    <definedName name="anchor_T1">#REF!</definedName>
    <definedName name="anchor_T4">#REF!</definedName>
    <definedName name="april01">#REF!</definedName>
    <definedName name="april02.03">#REF!</definedName>
    <definedName name="AWPU_KS3_Rate">#REF!</definedName>
    <definedName name="AWPU_KS4_Rate">#REF!</definedName>
    <definedName name="AWPU_Pri_Rate">#REF!</definedName>
    <definedName name="calc">#REF!</definedName>
    <definedName name="CAO">#REF!</definedName>
    <definedName name="Capping_Scaling_YesNo">#REF!</definedName>
    <definedName name="Ceiling">#REF!</definedName>
    <definedName name="Ceiling2">#REF!</definedName>
    <definedName name="Chart_Change">#REF!</definedName>
    <definedName name="Chart_Ind">#REF!</definedName>
    <definedName name="Col_Ref_Factors">#REF!</definedName>
    <definedName name="Col_Ref_Input">#REF!</definedName>
    <definedName name="Col_Ref_NewISB">#REF!</definedName>
    <definedName name="Col_Ref_T1">#REF!</definedName>
    <definedName name="Col_Ref_T4">#REF!</definedName>
    <definedName name="conflict">#REF!</definedName>
    <definedName name="conflict2">#REF!</definedName>
    <definedName name="Courses">#REF!</definedName>
    <definedName name="data">#REF!</definedName>
    <definedName name="Data_LANam">#REF!</definedName>
    <definedName name="data_list_1_ehcp">#REF!</definedName>
    <definedName name="data_list_2_destinations">#REF!</definedName>
    <definedName name="data_list_3_statements">#REF!</definedName>
    <definedName name="data_list_4_dctb">#REF!</definedName>
    <definedName name="data_list_5_sen_support">#REF!</definedName>
    <definedName name="data_list_6­_lac">#REF!</definedName>
    <definedName name="date" localSheetId="10">#REF!</definedName>
    <definedName name="date">#REF!</definedName>
    <definedName name="date2" localSheetId="10">#REF!</definedName>
    <definedName name="date2">#REF!</definedName>
    <definedName name="December" localSheetId="10">#REF!</definedName>
    <definedName name="December">#REF!</definedName>
    <definedName name="EAL_Pri">#REF!</definedName>
    <definedName name="EAL_Pri_Option">#REF!</definedName>
    <definedName name="EAL_Sec">#REF!</definedName>
    <definedName name="EAL_Sec_Option">#REF!</definedName>
    <definedName name="Ethnicity___Ages_5_">#REF!</definedName>
    <definedName name="Ethnicity___All_Ages">#REF!</definedName>
    <definedName name="Ever6_pri_rate">#REF!</definedName>
    <definedName name="Ever6_sec_rate">#REF!</definedName>
    <definedName name="Exc_Cir1_Total">#REF!</definedName>
    <definedName name="Exc_Cir2_Total">#REF!</definedName>
    <definedName name="Exc_Cir3_Total">#REF!</definedName>
    <definedName name="Exc_Cir4_Total">#REF!</definedName>
    <definedName name="Exc_Cir5_Total">#REF!</definedName>
    <definedName name="Exc_Cir6_Total">#REF!</definedName>
    <definedName name="Exclusions">#REF!</definedName>
    <definedName name="Floor">#REF!</definedName>
    <definedName name="Floor2">#REF!</definedName>
    <definedName name="Fringe_Total">#REF!</definedName>
    <definedName name="FSM_Above_Statutory_Eligible">#REF!</definedName>
    <definedName name="FSM_PartTime_Eligible">#REF!</definedName>
    <definedName name="FSM_Pri_Option">#REF!</definedName>
    <definedName name="FSM_Pri_Rate">#REF!</definedName>
    <definedName name="FSM_Sec_Option">#REF!</definedName>
    <definedName name="FSM_Sec_Rate">#REF!</definedName>
    <definedName name="FSM_Statutory_Eligible">#REF!</definedName>
    <definedName name="FSM_Taken">#REF!</definedName>
    <definedName name="fte" localSheetId="10">#REF!</definedName>
    <definedName name="fte">#REF!</definedName>
    <definedName name="GRAND_TOTAL">#REF!</definedName>
    <definedName name="IDACI_B1_Pri">#REF!</definedName>
    <definedName name="IDACI_B1_Sec">#REF!</definedName>
    <definedName name="IDACI_B2_Pri">#REF!</definedName>
    <definedName name="IDACI_B2_Sec">#REF!</definedName>
    <definedName name="IDACI_B3_Pri">#REF!</definedName>
    <definedName name="IDACI_B3_Sec">#REF!</definedName>
    <definedName name="IDACI_B4_Pri">#REF!</definedName>
    <definedName name="IDACI_B4_Sec">#REF!</definedName>
    <definedName name="IDACI_B5_Pri">#REF!</definedName>
    <definedName name="IDACI_B5_Sec">#REF!</definedName>
    <definedName name="IDACI_B6_Pri">#REF!</definedName>
    <definedName name="IDACI_B6_Sec">#REF!</definedName>
    <definedName name="increase" localSheetId="10">#REF!</definedName>
    <definedName name="increase">#REF!</definedName>
    <definedName name="Infant">#REF!</definedName>
    <definedName name="jan09j">#REF!</definedName>
    <definedName name="Junior">#REF!</definedName>
    <definedName name="KS3_finance">#REF!</definedName>
    <definedName name="la_name">#REF!</definedName>
    <definedName name="la_select">#REF!</definedName>
    <definedName name="LAC_Rate">#REF!</definedName>
    <definedName name="LCHI_Pri">#REF!</definedName>
    <definedName name="LCHI_Pri_Option">#REF!</definedName>
    <definedName name="LCHI_Sec">#REF!</definedName>
    <definedName name="lea">#REF!</definedName>
    <definedName name="LIst_EAL">#REF!</definedName>
    <definedName name="List_FSM_P">#REF!</definedName>
    <definedName name="List_FSM_S">#REF!</definedName>
    <definedName name="List_LAC">#REF!</definedName>
    <definedName name="Little">#REF!</definedName>
    <definedName name="Lump_Sum_total">#REF!</definedName>
    <definedName name="LumpSum">#REF!</definedName>
    <definedName name="MainSoleFTbyAge">#REF!</definedName>
    <definedName name="MainSolePTbyAge">#REF!</definedName>
    <definedName name="mfg">#REF!</definedName>
    <definedName name="MFG_Rate">#REF!</definedName>
    <definedName name="MFG_Total">#REF!</definedName>
    <definedName name="Mid_PupilNo_threshold">#REF!</definedName>
    <definedName name="min_pupil_rate_KS3">#REF!</definedName>
    <definedName name="min_pupil_rate_KS4">#REF!</definedName>
    <definedName name="min_pupil_rate_pri">#REF!</definedName>
    <definedName name="Mobility_Pri">#REF!</definedName>
    <definedName name="Mobility_Sec">#REF!</definedName>
    <definedName name="Notional_SEN_AWPU_KS3">#REF!</definedName>
    <definedName name="Notional_SEN_AWPU_KS4">#REF!</definedName>
    <definedName name="Notional_SEN_AWPU_Pri">#REF!</definedName>
    <definedName name="Notional_SEN_EAL_Pri">#REF!</definedName>
    <definedName name="Notional_SEN_EAL_Sec">#REF!</definedName>
    <definedName name="Notional_SEN_Ever6_Pri">#REF!</definedName>
    <definedName name="Notional_SEN_Ever6_Sec">#REF!</definedName>
    <definedName name="Notional_SEN_ExCir2">#REF!</definedName>
    <definedName name="Notional_SEN_ExCir3">#REF!</definedName>
    <definedName name="Notional_SEN_ExCir4">#REF!</definedName>
    <definedName name="Notional_SEN_ExCir5">#REF!</definedName>
    <definedName name="Notional_SEN_ExCir6">#REF!</definedName>
    <definedName name="Notional_SEN_ExCir7">#REF!</definedName>
    <definedName name="Notional_SEN_FSM_Pri">#REF!</definedName>
    <definedName name="Notional_SEN_FSM_Sec">#REF!</definedName>
    <definedName name="Notional_SEN_IDACI_B1_Pri">#REF!</definedName>
    <definedName name="Notional_SEN_IDACI_B1_Sec">#REF!</definedName>
    <definedName name="Notional_SEN_IDACI_B2_Pri">#REF!</definedName>
    <definedName name="Notional_SEN_IDACI_B2_Sec">#REF!</definedName>
    <definedName name="Notional_SEN_IDACI_B3_Pri">#REF!</definedName>
    <definedName name="Notional_SEN_IDACI_B3_Sec">#REF!</definedName>
    <definedName name="Notional_SEN_IDACI_B4_Pri">#REF!</definedName>
    <definedName name="Notional_SEN_IDACI_B4_Sec">#REF!</definedName>
    <definedName name="Notional_SEN_IDACI_B5_Pri">#REF!</definedName>
    <definedName name="Notional_SEN_IDACI_B5_Sec">#REF!</definedName>
    <definedName name="Notional_SEN_IDACI_B6_Pri">#REF!</definedName>
    <definedName name="Notional_SEN_IDACI_B6_Sec">#REF!</definedName>
    <definedName name="Notional_SEN_LAC">#REF!</definedName>
    <definedName name="Notional_SEN_LCHI_Pri">#REF!</definedName>
    <definedName name="Notional_SEN_LCHI_Sec">#REF!</definedName>
    <definedName name="Notional_SEN_Lump_sum_Pri">#REF!</definedName>
    <definedName name="Notional_SEN_Lump_sum_Sec">#REF!</definedName>
    <definedName name="Notional_SEN_Mobility_Pri">#REF!</definedName>
    <definedName name="Notional_SEN_Mobility_Sec">#REF!</definedName>
    <definedName name="Notional_SEN_PFI">#REF!</definedName>
    <definedName name="Notional_SEN_Rates">#REF!</definedName>
    <definedName name="Notional_SEN_Sparsity_Pri">#REF!</definedName>
    <definedName name="Notional_SEN_Sparsity_Sec">#REF!</definedName>
    <definedName name="Notional_SEN_Split_sites">#REF!</definedName>
    <definedName name="NWPU">#REF!</definedName>
    <definedName name="pay">#REF!</definedName>
    <definedName name="PFI_Total">#REF!</definedName>
    <definedName name="Pri_PupilNo_threshold">#REF!</definedName>
    <definedName name="Primary_Lump_sum">#REF!</definedName>
    <definedName name="Primary_new">#REF!</definedName>
    <definedName name="Pupil_Year_Groups">#REF!</definedName>
    <definedName name="PupilsOnRoll">#REF!</definedName>
    <definedName name="qPupilOnRoll">#REF!</definedName>
    <definedName name="Query1">#REF!</definedName>
    <definedName name="Rates_Total">#REF!</definedName>
    <definedName name="Rec_Up">#REF!</definedName>
    <definedName name="Scale_factor">#REF!</definedName>
    <definedName name="Scale_Factor2">#REF!</definedName>
    <definedName name="Scaling_Factor">#REF!</definedName>
    <definedName name="Sch_type">#REF!</definedName>
    <definedName name="School_URN_ChartData">#REF!</definedName>
    <definedName name="School_URN_Factors">#REF!</definedName>
    <definedName name="School_URN_Input">#REF!</definedName>
    <definedName name="School_URN_NewISB">#REF!</definedName>
    <definedName name="SchoolNames_export">#REF!</definedName>
    <definedName name="SchoolNames_Query">#REF!</definedName>
    <definedName name="Sec_PupilNo_threshold">#REF!</definedName>
    <definedName name="Secondary">#REF!</definedName>
    <definedName name="Secondary_Lump_Sum">#REF!</definedName>
    <definedName name="Secondary_new">#REF!</definedName>
    <definedName name="SORATE">#REF!</definedName>
    <definedName name="space">#REF!</definedName>
    <definedName name="Sparsity_All_lump_sum">#REF!</definedName>
    <definedName name="Sparsity_Mid_lump_sum">#REF!</definedName>
    <definedName name="Sparsity_Pri_lump_sum">#REF!</definedName>
    <definedName name="Sparsity_Sec_lump_sum">#REF!</definedName>
    <definedName name="Sparsity_Total">#REF!</definedName>
    <definedName name="spinal_point">#REF!</definedName>
    <definedName name="spinal_point1">#REF!</definedName>
    <definedName name="Split_Sites_Total">#REF!</definedName>
    <definedName name="T1_School">#REF!</definedName>
    <definedName name="T1_School_HN">#REF!,#REF!,#REF!</definedName>
    <definedName name="T4_School">#REF!</definedName>
    <definedName name="tab5mj">#REF!</definedName>
    <definedName name="tabcent">#REF!</definedName>
    <definedName name="TableName">"Dummy"</definedName>
    <definedName name="Tapered_all_lump_sum">#REF!</definedName>
    <definedName name="Tapered_mid_lump_sum">#REF!</definedName>
    <definedName name="Tapered_primary_lump_sum">#REF!</definedName>
    <definedName name="Tapered_secondary_lump_sum">#REF!</definedName>
    <definedName name="temp">#REF!</definedName>
    <definedName name="Template">#REF!</definedName>
    <definedName name="test">#REF!</definedName>
    <definedName name="test1">#REF!</definedName>
    <definedName name="threshold">#REF!</definedName>
    <definedName name="Threshold2">#REF!</definedName>
    <definedName name="Total_Notional_SEN">#REF!</definedName>
    <definedName name="Total_Primary_funding">#REF!</definedName>
    <definedName name="Total_Secondary_Funding">#REF!</definedName>
    <definedName name="Upper">#REF!</definedName>
    <definedName name="WBC_All_Pupils">#REF!</definedName>
    <definedName name="X_Label">#REF!</definedName>
    <definedName name="XAxis">#REF!</definedName>
    <definedName name="Y_Label">#REF!</definedName>
    <definedName name="YAxis">#REF!</definedName>
    <definedName name="Year_Group_data">#REF!</definedName>
    <definedName name="Year_groups">#REF!</definedName>
    <definedName name="YN">#REF!</definedName>
  </definedNames>
  <calcPr calcId="191029"/>
  <pivotCaches>
    <pivotCache cacheId="0" r:id="rId12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G99" i="107" l="1"/>
  <c r="AG273" i="107" s="1"/>
  <c r="DT89" i="103"/>
  <c r="DT90" i="103"/>
  <c r="DT83" i="103"/>
  <c r="DT87" i="103"/>
  <c r="K88" i="103"/>
  <c r="Y91" i="103"/>
  <c r="AA85" i="103"/>
  <c r="DS85" i="103" s="1"/>
  <c r="DT85" i="103" s="1"/>
  <c r="W6" i="103"/>
  <c r="X6" i="103" s="1"/>
  <c r="Z6" i="103" s="1"/>
  <c r="AA6" i="103" s="1"/>
  <c r="DS6" i="103" s="1"/>
  <c r="AB299" i="107"/>
  <c r="O299" i="107"/>
  <c r="AB298" i="107"/>
  <c r="O298" i="107"/>
  <c r="P293" i="107"/>
  <c r="AC288" i="107"/>
  <c r="P287" i="107"/>
  <c r="O287" i="107"/>
  <c r="AC285" i="107"/>
  <c r="AD279" i="107"/>
  <c r="AD286" i="107" s="1"/>
  <c r="AC277" i="107"/>
  <c r="AC276" i="107"/>
  <c r="AE273" i="107"/>
  <c r="AC273" i="107"/>
  <c r="AA273" i="107"/>
  <c r="W273" i="107"/>
  <c r="W3" i="107"/>
  <c r="V273" i="107"/>
  <c r="V3" i="107"/>
  <c r="U273" i="107"/>
  <c r="U3" i="107" s="1"/>
  <c r="T273" i="107"/>
  <c r="T3" i="107" s="1"/>
  <c r="S273" i="107"/>
  <c r="S3" i="107"/>
  <c r="R273" i="107"/>
  <c r="A273" i="107"/>
  <c r="AF267" i="107"/>
  <c r="AF266" i="107"/>
  <c r="AD265" i="107"/>
  <c r="AF265" i="107" s="1"/>
  <c r="AD264" i="107"/>
  <c r="AF264" i="107"/>
  <c r="AD263" i="107"/>
  <c r="AF263" i="107"/>
  <c r="AD262" i="107"/>
  <c r="AF262" i="107" s="1"/>
  <c r="AD261" i="107"/>
  <c r="AF261" i="107" s="1"/>
  <c r="AD260" i="107"/>
  <c r="AF260" i="107"/>
  <c r="AD259" i="107"/>
  <c r="AF259" i="107"/>
  <c r="AD258" i="107"/>
  <c r="AF258" i="107" s="1"/>
  <c r="AD257" i="107"/>
  <c r="AF257" i="107" s="1"/>
  <c r="AD256" i="107"/>
  <c r="AF256" i="107"/>
  <c r="AD255" i="107"/>
  <c r="AF255" i="107"/>
  <c r="AD254" i="107"/>
  <c r="AF254" i="107" s="1"/>
  <c r="AD253" i="107"/>
  <c r="AF253" i="107" s="1"/>
  <c r="AD252" i="107"/>
  <c r="AF252" i="107"/>
  <c r="AD251" i="107"/>
  <c r="AF251" i="107"/>
  <c r="AD250" i="107"/>
  <c r="AF250" i="107" s="1"/>
  <c r="AD249" i="107"/>
  <c r="AF249" i="107" s="1"/>
  <c r="AD248" i="107"/>
  <c r="AF248" i="107"/>
  <c r="AF247" i="107"/>
  <c r="AD246" i="107"/>
  <c r="AF246" i="107"/>
  <c r="AB245" i="107"/>
  <c r="AD245" i="107" s="1"/>
  <c r="AF245" i="107" s="1"/>
  <c r="Q245" i="107"/>
  <c r="Q273" i="107"/>
  <c r="AB244" i="107"/>
  <c r="AD244" i="107"/>
  <c r="AF244" i="107"/>
  <c r="Z244" i="107"/>
  <c r="X244" i="107"/>
  <c r="P244" i="107"/>
  <c r="O244" i="107"/>
  <c r="AB243" i="107"/>
  <c r="AD243" i="107" s="1"/>
  <c r="AF243" i="107" s="1"/>
  <c r="Z243" i="107"/>
  <c r="X243" i="107"/>
  <c r="P243" i="107"/>
  <c r="O243" i="107" s="1"/>
  <c r="AB242" i="107"/>
  <c r="AD242" i="107"/>
  <c r="AF242" i="107" s="1"/>
  <c r="Z242" i="107"/>
  <c r="X242" i="107"/>
  <c r="P242" i="107"/>
  <c r="O242" i="107" s="1"/>
  <c r="AB241" i="107"/>
  <c r="AD241" i="107"/>
  <c r="AF241" i="107"/>
  <c r="Z241" i="107"/>
  <c r="X241" i="107"/>
  <c r="P241" i="107"/>
  <c r="O241" i="107" s="1"/>
  <c r="AB240" i="107"/>
  <c r="AD240" i="107" s="1"/>
  <c r="AF240" i="107" s="1"/>
  <c r="Z240" i="107"/>
  <c r="X240" i="107"/>
  <c r="P240" i="107"/>
  <c r="O240" i="107"/>
  <c r="AB239" i="107"/>
  <c r="AD239" i="107" s="1"/>
  <c r="AF239" i="107" s="1"/>
  <c r="Z239" i="107"/>
  <c r="X239" i="107"/>
  <c r="P239" i="107"/>
  <c r="O239" i="107"/>
  <c r="AB238" i="107"/>
  <c r="AD238" i="107" s="1"/>
  <c r="AF238" i="107" s="1"/>
  <c r="Z238" i="107"/>
  <c r="X238" i="107"/>
  <c r="P238" i="107"/>
  <c r="O238" i="107" s="1"/>
  <c r="AB237" i="107"/>
  <c r="AD237" i="107"/>
  <c r="AF237" i="107" s="1"/>
  <c r="Z237" i="107"/>
  <c r="X237" i="107"/>
  <c r="P237" i="107"/>
  <c r="O237" i="107"/>
  <c r="AB236" i="107"/>
  <c r="AD236" i="107"/>
  <c r="AF236" i="107"/>
  <c r="Z236" i="107"/>
  <c r="X236" i="107"/>
  <c r="P236" i="107"/>
  <c r="O236" i="107"/>
  <c r="AB235" i="107"/>
  <c r="AD235" i="107" s="1"/>
  <c r="AF235" i="107" s="1"/>
  <c r="Z235" i="107"/>
  <c r="X235" i="107"/>
  <c r="P235" i="107"/>
  <c r="O235" i="107" s="1"/>
  <c r="AB234" i="107"/>
  <c r="AD234" i="107"/>
  <c r="AF234" i="107" s="1"/>
  <c r="Z234" i="107"/>
  <c r="X234" i="107"/>
  <c r="P234" i="107"/>
  <c r="O234" i="107" s="1"/>
  <c r="AB233" i="107"/>
  <c r="AD233" i="107"/>
  <c r="AF233" i="107"/>
  <c r="Z233" i="107"/>
  <c r="X233" i="107"/>
  <c r="P233" i="107"/>
  <c r="O233" i="107" s="1"/>
  <c r="AB232" i="107"/>
  <c r="AD232" i="107" s="1"/>
  <c r="AF232" i="107" s="1"/>
  <c r="Z232" i="107"/>
  <c r="X232" i="107"/>
  <c r="P232" i="107"/>
  <c r="O232" i="107"/>
  <c r="AB231" i="107"/>
  <c r="AD231" i="107" s="1"/>
  <c r="AF231" i="107" s="1"/>
  <c r="Z231" i="107"/>
  <c r="X231" i="107"/>
  <c r="P231" i="107"/>
  <c r="O231" i="107"/>
  <c r="AB230" i="107"/>
  <c r="AD230" i="107" s="1"/>
  <c r="AF230" i="107" s="1"/>
  <c r="Z230" i="107"/>
  <c r="X230" i="107"/>
  <c r="P230" i="107"/>
  <c r="O230" i="107" s="1"/>
  <c r="AB229" i="107"/>
  <c r="AD229" i="107"/>
  <c r="AF229" i="107" s="1"/>
  <c r="Z229" i="107"/>
  <c r="X229" i="107"/>
  <c r="P229" i="107"/>
  <c r="O229" i="107"/>
  <c r="AB228" i="107"/>
  <c r="AD228" i="107"/>
  <c r="AF228" i="107"/>
  <c r="Z228" i="107"/>
  <c r="X228" i="107"/>
  <c r="P228" i="107"/>
  <c r="O228" i="107"/>
  <c r="AB227" i="107"/>
  <c r="AD227" i="107" s="1"/>
  <c r="AF227" i="107" s="1"/>
  <c r="Z227" i="107"/>
  <c r="X227" i="107"/>
  <c r="P227" i="107"/>
  <c r="O227" i="107" s="1"/>
  <c r="AB226" i="107"/>
  <c r="AD226" i="107"/>
  <c r="AF226" i="107" s="1"/>
  <c r="Z226" i="107"/>
  <c r="X226" i="107"/>
  <c r="P226" i="107"/>
  <c r="O226" i="107" s="1"/>
  <c r="AB225" i="107"/>
  <c r="AD225" i="107"/>
  <c r="AF225" i="107"/>
  <c r="Z225" i="107"/>
  <c r="X225" i="107"/>
  <c r="P225" i="107"/>
  <c r="O225" i="107" s="1"/>
  <c r="AB224" i="107"/>
  <c r="AD224" i="107"/>
  <c r="AF224" i="107"/>
  <c r="Z224" i="107"/>
  <c r="X224" i="107"/>
  <c r="P224" i="107"/>
  <c r="O224" i="107"/>
  <c r="AB223" i="107"/>
  <c r="AD223" i="107" s="1"/>
  <c r="AF223" i="107" s="1"/>
  <c r="Z223" i="107"/>
  <c r="X223" i="107"/>
  <c r="P223" i="107"/>
  <c r="O223" i="107"/>
  <c r="AB222" i="107"/>
  <c r="AD222" i="107" s="1"/>
  <c r="AF222" i="107" s="1"/>
  <c r="Z222" i="107"/>
  <c r="X222" i="107"/>
  <c r="P222" i="107"/>
  <c r="O222" i="107" s="1"/>
  <c r="AB221" i="107"/>
  <c r="AD221" i="107"/>
  <c r="AF221" i="107" s="1"/>
  <c r="Z221" i="107"/>
  <c r="X221" i="107"/>
  <c r="P221" i="107"/>
  <c r="O221" i="107"/>
  <c r="AB220" i="107"/>
  <c r="AD220" i="107"/>
  <c r="AF220" i="107"/>
  <c r="Z220" i="107"/>
  <c r="X220" i="107"/>
  <c r="P220" i="107"/>
  <c r="O220" i="107"/>
  <c r="AB219" i="107"/>
  <c r="AD219" i="107" s="1"/>
  <c r="AF219" i="107" s="1"/>
  <c r="Z219" i="107"/>
  <c r="X219" i="107"/>
  <c r="P219" i="107"/>
  <c r="O219" i="107" s="1"/>
  <c r="AB218" i="107"/>
  <c r="AD218" i="107"/>
  <c r="AF218" i="107" s="1"/>
  <c r="Z218" i="107"/>
  <c r="X218" i="107"/>
  <c r="P218" i="107"/>
  <c r="O218" i="107" s="1"/>
  <c r="AB217" i="107"/>
  <c r="AD217" i="107"/>
  <c r="AF217" i="107"/>
  <c r="Z217" i="107"/>
  <c r="X217" i="107"/>
  <c r="P217" i="107"/>
  <c r="O217" i="107" s="1"/>
  <c r="AB216" i="107"/>
  <c r="AD216" i="107"/>
  <c r="AF216" i="107"/>
  <c r="Z216" i="107"/>
  <c r="X216" i="107"/>
  <c r="P216" i="107"/>
  <c r="O216" i="107"/>
  <c r="AB215" i="107"/>
  <c r="AD215" i="107" s="1"/>
  <c r="AF215" i="107" s="1"/>
  <c r="Z215" i="107"/>
  <c r="X215" i="107"/>
  <c r="P215" i="107"/>
  <c r="O215" i="107"/>
  <c r="AB214" i="107"/>
  <c r="AD214" i="107" s="1"/>
  <c r="AF214" i="107" s="1"/>
  <c r="Z214" i="107"/>
  <c r="X214" i="107"/>
  <c r="P214" i="107"/>
  <c r="O214" i="107" s="1"/>
  <c r="AB213" i="107"/>
  <c r="AD213" i="107"/>
  <c r="AF213" i="107" s="1"/>
  <c r="Z213" i="107"/>
  <c r="X213" i="107"/>
  <c r="P213" i="107"/>
  <c r="O213" i="107"/>
  <c r="AB212" i="107"/>
  <c r="AD212" i="107"/>
  <c r="AF212" i="107"/>
  <c r="Z212" i="107"/>
  <c r="X212" i="107"/>
  <c r="P212" i="107"/>
  <c r="O212" i="107"/>
  <c r="AB211" i="107"/>
  <c r="AD211" i="107" s="1"/>
  <c r="AF211" i="107" s="1"/>
  <c r="Z211" i="107"/>
  <c r="X211" i="107"/>
  <c r="P211" i="107"/>
  <c r="O211" i="107" s="1"/>
  <c r="AB210" i="107"/>
  <c r="AD210" i="107"/>
  <c r="AF210" i="107" s="1"/>
  <c r="Z210" i="107"/>
  <c r="X210" i="107"/>
  <c r="P210" i="107"/>
  <c r="O210" i="107" s="1"/>
  <c r="AB209" i="107"/>
  <c r="AD209" i="107"/>
  <c r="AF209" i="107"/>
  <c r="Z209" i="107"/>
  <c r="X209" i="107"/>
  <c r="P209" i="107"/>
  <c r="O209" i="107" s="1"/>
  <c r="AB208" i="107"/>
  <c r="AD208" i="107" s="1"/>
  <c r="AF208" i="107" s="1"/>
  <c r="Z208" i="107"/>
  <c r="X208" i="107"/>
  <c r="P208" i="107"/>
  <c r="O208" i="107"/>
  <c r="AB207" i="107"/>
  <c r="AD207" i="107" s="1"/>
  <c r="AF207" i="107" s="1"/>
  <c r="Z207" i="107"/>
  <c r="X207" i="107"/>
  <c r="P207" i="107"/>
  <c r="O207" i="107"/>
  <c r="AB206" i="107"/>
  <c r="AD206" i="107" s="1"/>
  <c r="AF206" i="107" s="1"/>
  <c r="Z206" i="107"/>
  <c r="X206" i="107"/>
  <c r="P206" i="107"/>
  <c r="O206" i="107" s="1"/>
  <c r="AB205" i="107"/>
  <c r="AD205" i="107"/>
  <c r="AF205" i="107" s="1"/>
  <c r="Z205" i="107"/>
  <c r="X205" i="107"/>
  <c r="P205" i="107"/>
  <c r="O205" i="107"/>
  <c r="AB204" i="107"/>
  <c r="AD204" i="107"/>
  <c r="AF204" i="107"/>
  <c r="Z204" i="107"/>
  <c r="X204" i="107"/>
  <c r="P204" i="107"/>
  <c r="O204" i="107"/>
  <c r="AB203" i="107"/>
  <c r="AD203" i="107" s="1"/>
  <c r="AF203" i="107" s="1"/>
  <c r="Z203" i="107"/>
  <c r="X203" i="107"/>
  <c r="P203" i="107"/>
  <c r="O203" i="107"/>
  <c r="AB202" i="107"/>
  <c r="AD202" i="107"/>
  <c r="AF202" i="107" s="1"/>
  <c r="Z202" i="107"/>
  <c r="X202" i="107"/>
  <c r="P202" i="107"/>
  <c r="O202" i="107" s="1"/>
  <c r="AB201" i="107"/>
  <c r="AD201" i="107"/>
  <c r="AF201" i="107"/>
  <c r="Z201" i="107"/>
  <c r="X201" i="107"/>
  <c r="P201" i="107"/>
  <c r="O201" i="107" s="1"/>
  <c r="AB200" i="107"/>
  <c r="AD200" i="107"/>
  <c r="AF200" i="107"/>
  <c r="Z200" i="107"/>
  <c r="X200" i="107"/>
  <c r="P200" i="107"/>
  <c r="O200" i="107"/>
  <c r="AB199" i="107"/>
  <c r="AD199" i="107" s="1"/>
  <c r="AF199" i="107" s="1"/>
  <c r="Z199" i="107"/>
  <c r="X199" i="107"/>
  <c r="P199" i="107"/>
  <c r="O199" i="107"/>
  <c r="AB198" i="107"/>
  <c r="AD198" i="107" s="1"/>
  <c r="AF198" i="107" s="1"/>
  <c r="Z198" i="107"/>
  <c r="X198" i="107"/>
  <c r="P198" i="107"/>
  <c r="O198" i="107" s="1"/>
  <c r="AB197" i="107"/>
  <c r="AD197" i="107"/>
  <c r="AF197" i="107" s="1"/>
  <c r="Z197" i="107"/>
  <c r="X197" i="107"/>
  <c r="P197" i="107"/>
  <c r="O197" i="107"/>
  <c r="AB196" i="107"/>
  <c r="AD196" i="107"/>
  <c r="AF196" i="107"/>
  <c r="Z196" i="107"/>
  <c r="X196" i="107"/>
  <c r="P196" i="107"/>
  <c r="O196" i="107"/>
  <c r="AB195" i="107"/>
  <c r="AD195" i="107" s="1"/>
  <c r="AF195" i="107" s="1"/>
  <c r="Z195" i="107"/>
  <c r="X195" i="107"/>
  <c r="P195" i="107"/>
  <c r="O195" i="107"/>
  <c r="AB194" i="107"/>
  <c r="AD194" i="107"/>
  <c r="AF194" i="107" s="1"/>
  <c r="Z194" i="107"/>
  <c r="X194" i="107"/>
  <c r="P194" i="107"/>
  <c r="O194" i="107" s="1"/>
  <c r="AB193" i="107"/>
  <c r="AD193" i="107"/>
  <c r="AF193" i="107"/>
  <c r="Z193" i="107"/>
  <c r="X193" i="107"/>
  <c r="P193" i="107"/>
  <c r="O193" i="107" s="1"/>
  <c r="AB192" i="107"/>
  <c r="AD192" i="107"/>
  <c r="AF192" i="107"/>
  <c r="Z192" i="107"/>
  <c r="X192" i="107"/>
  <c r="P192" i="107"/>
  <c r="O192" i="107"/>
  <c r="AB191" i="107"/>
  <c r="AD191" i="107" s="1"/>
  <c r="AF191" i="107" s="1"/>
  <c r="Z191" i="107"/>
  <c r="X191" i="107"/>
  <c r="P191" i="107"/>
  <c r="O191" i="107"/>
  <c r="AB190" i="107"/>
  <c r="AD190" i="107" s="1"/>
  <c r="AF190" i="107" s="1"/>
  <c r="Z190" i="107"/>
  <c r="X190" i="107"/>
  <c r="P190" i="107"/>
  <c r="O190" i="107" s="1"/>
  <c r="AB189" i="107"/>
  <c r="AD189" i="107"/>
  <c r="AF189" i="107" s="1"/>
  <c r="Z189" i="107"/>
  <c r="X189" i="107"/>
  <c r="P189" i="107"/>
  <c r="O189" i="107"/>
  <c r="AB188" i="107"/>
  <c r="AD188" i="107"/>
  <c r="AF188" i="107"/>
  <c r="Z188" i="107"/>
  <c r="X188" i="107"/>
  <c r="P188" i="107"/>
  <c r="O188" i="107"/>
  <c r="AB187" i="107"/>
  <c r="AD187" i="107" s="1"/>
  <c r="AF187" i="107" s="1"/>
  <c r="Z187" i="107"/>
  <c r="X187" i="107"/>
  <c r="P187" i="107"/>
  <c r="O187" i="107"/>
  <c r="AB186" i="107"/>
  <c r="AD186" i="107"/>
  <c r="AF186" i="107" s="1"/>
  <c r="Z186" i="107"/>
  <c r="X186" i="107"/>
  <c r="P186" i="107"/>
  <c r="O186" i="107" s="1"/>
  <c r="AB185" i="107"/>
  <c r="AD185" i="107"/>
  <c r="AF185" i="107"/>
  <c r="Z185" i="107"/>
  <c r="X185" i="107"/>
  <c r="P185" i="107"/>
  <c r="O185" i="107" s="1"/>
  <c r="AB184" i="107"/>
  <c r="AD184" i="107" s="1"/>
  <c r="AF184" i="107" s="1"/>
  <c r="Z184" i="107"/>
  <c r="X184" i="107"/>
  <c r="P184" i="107"/>
  <c r="O184" i="107"/>
  <c r="AB183" i="107"/>
  <c r="AD183" i="107" s="1"/>
  <c r="AF183" i="107" s="1"/>
  <c r="Z183" i="107"/>
  <c r="X183" i="107"/>
  <c r="P183" i="107"/>
  <c r="O183" i="107"/>
  <c r="AB182" i="107"/>
  <c r="AD182" i="107" s="1"/>
  <c r="AF182" i="107" s="1"/>
  <c r="Z182" i="107"/>
  <c r="X182" i="107"/>
  <c r="P182" i="107"/>
  <c r="O182" i="107" s="1"/>
  <c r="AB181" i="107"/>
  <c r="AD181" i="107"/>
  <c r="AF181" i="107" s="1"/>
  <c r="Z181" i="107"/>
  <c r="X181" i="107"/>
  <c r="P181" i="107"/>
  <c r="O181" i="107"/>
  <c r="AB180" i="107"/>
  <c r="AD180" i="107"/>
  <c r="AF180" i="107"/>
  <c r="Z180" i="107"/>
  <c r="X180" i="107"/>
  <c r="P180" i="107"/>
  <c r="O180" i="107"/>
  <c r="AB179" i="107"/>
  <c r="AD179" i="107" s="1"/>
  <c r="AF179" i="107" s="1"/>
  <c r="Z179" i="107"/>
  <c r="X179" i="107"/>
  <c r="P179" i="107"/>
  <c r="O179" i="107"/>
  <c r="AB178" i="107"/>
  <c r="AD178" i="107"/>
  <c r="AF178" i="107" s="1"/>
  <c r="Z178" i="107"/>
  <c r="X178" i="107"/>
  <c r="P178" i="107"/>
  <c r="O178" i="107" s="1"/>
  <c r="AB177" i="107"/>
  <c r="AD177" i="107"/>
  <c r="AF177" i="107"/>
  <c r="Z177" i="107"/>
  <c r="X177" i="107"/>
  <c r="P177" i="107"/>
  <c r="O177" i="107" s="1"/>
  <c r="AB176" i="107"/>
  <c r="AD176" i="107"/>
  <c r="AF176" i="107"/>
  <c r="Z176" i="107"/>
  <c r="X176" i="107"/>
  <c r="P176" i="107"/>
  <c r="O176" i="107"/>
  <c r="AB175" i="107"/>
  <c r="AD175" i="107" s="1"/>
  <c r="AF175" i="107" s="1"/>
  <c r="Z175" i="107"/>
  <c r="X175" i="107"/>
  <c r="P175" i="107"/>
  <c r="O175" i="107"/>
  <c r="AB174" i="107"/>
  <c r="AD174" i="107" s="1"/>
  <c r="AF174" i="107" s="1"/>
  <c r="Z174" i="107"/>
  <c r="X174" i="107"/>
  <c r="P174" i="107"/>
  <c r="O174" i="107" s="1"/>
  <c r="AB173" i="107"/>
  <c r="AD173" i="107"/>
  <c r="AF173" i="107" s="1"/>
  <c r="Z173" i="107"/>
  <c r="X173" i="107"/>
  <c r="P173" i="107"/>
  <c r="O173" i="107"/>
  <c r="AB172" i="107"/>
  <c r="AD172" i="107"/>
  <c r="AF172" i="107"/>
  <c r="Z172" i="107"/>
  <c r="X172" i="107"/>
  <c r="P172" i="107"/>
  <c r="O172" i="107"/>
  <c r="AB171" i="107"/>
  <c r="AD171" i="107" s="1"/>
  <c r="AF171" i="107" s="1"/>
  <c r="Z171" i="107"/>
  <c r="X171" i="107"/>
  <c r="P171" i="107"/>
  <c r="O171" i="107" s="1"/>
  <c r="AB170" i="107"/>
  <c r="AD170" i="107"/>
  <c r="AF170" i="107" s="1"/>
  <c r="Z170" i="107"/>
  <c r="X170" i="107"/>
  <c r="P170" i="107"/>
  <c r="O170" i="107" s="1"/>
  <c r="AB169" i="107"/>
  <c r="AD169" i="107"/>
  <c r="AF169" i="107"/>
  <c r="Z169" i="107"/>
  <c r="X169" i="107"/>
  <c r="P169" i="107"/>
  <c r="O169" i="107" s="1"/>
  <c r="AB168" i="107"/>
  <c r="AD168" i="107"/>
  <c r="AF168" i="107"/>
  <c r="Z168" i="107"/>
  <c r="X168" i="107"/>
  <c r="P168" i="107"/>
  <c r="O168" i="107"/>
  <c r="AB167" i="107"/>
  <c r="AD167" i="107" s="1"/>
  <c r="AF167" i="107" s="1"/>
  <c r="Z167" i="107"/>
  <c r="X167" i="107"/>
  <c r="P167" i="107"/>
  <c r="O167" i="107"/>
  <c r="AB166" i="107"/>
  <c r="AD166" i="107" s="1"/>
  <c r="AF166" i="107" s="1"/>
  <c r="Z166" i="107"/>
  <c r="X166" i="107"/>
  <c r="P166" i="107"/>
  <c r="O166" i="107" s="1"/>
  <c r="AB165" i="107"/>
  <c r="AD165" i="107" s="1"/>
  <c r="AF165" i="107" s="1"/>
  <c r="Z165" i="107"/>
  <c r="X165" i="107"/>
  <c r="P165" i="107"/>
  <c r="O165" i="107"/>
  <c r="AB164" i="107"/>
  <c r="AD164" i="107"/>
  <c r="AF164" i="107"/>
  <c r="Z164" i="107"/>
  <c r="X164" i="107"/>
  <c r="P164" i="107"/>
  <c r="O164" i="107"/>
  <c r="AB163" i="107"/>
  <c r="AD163" i="107" s="1"/>
  <c r="AF163" i="107"/>
  <c r="Z163" i="107"/>
  <c r="X163" i="107"/>
  <c r="P163" i="107"/>
  <c r="O163" i="107"/>
  <c r="AB162" i="107"/>
  <c r="AD162" i="107"/>
  <c r="AF162" i="107" s="1"/>
  <c r="Z162" i="107"/>
  <c r="X162" i="107"/>
  <c r="P162" i="107"/>
  <c r="O162" i="107" s="1"/>
  <c r="AB161" i="107"/>
  <c r="AD161" i="107"/>
  <c r="AF161" i="107"/>
  <c r="Z161" i="107"/>
  <c r="X161" i="107"/>
  <c r="P161" i="107"/>
  <c r="O161" i="107" s="1"/>
  <c r="AB160" i="107"/>
  <c r="AD160" i="107"/>
  <c r="AF160" i="107"/>
  <c r="Z160" i="107"/>
  <c r="X160" i="107"/>
  <c r="P160" i="107"/>
  <c r="O160" i="107" s="1"/>
  <c r="AB159" i="107"/>
  <c r="AD159" i="107" s="1"/>
  <c r="AF159" i="107" s="1"/>
  <c r="Z159" i="107"/>
  <c r="X159" i="107"/>
  <c r="P159" i="107"/>
  <c r="O159" i="107"/>
  <c r="AB158" i="107"/>
  <c r="AD158" i="107" s="1"/>
  <c r="AF158" i="107" s="1"/>
  <c r="Z158" i="107"/>
  <c r="X158" i="107"/>
  <c r="P158" i="107"/>
  <c r="O158" i="107" s="1"/>
  <c r="AB157" i="107"/>
  <c r="AD157" i="107"/>
  <c r="AF157" i="107" s="1"/>
  <c r="Z157" i="107"/>
  <c r="X157" i="107"/>
  <c r="P157" i="107"/>
  <c r="O157" i="107"/>
  <c r="AB156" i="107"/>
  <c r="AD156" i="107"/>
  <c r="AF156" i="107"/>
  <c r="Z156" i="107"/>
  <c r="X156" i="107"/>
  <c r="P156" i="107"/>
  <c r="O156" i="107"/>
  <c r="AB155" i="107"/>
  <c r="AD155" i="107" s="1"/>
  <c r="AF155" i="107" s="1"/>
  <c r="Z155" i="107"/>
  <c r="X155" i="107"/>
  <c r="P155" i="107"/>
  <c r="O155" i="107"/>
  <c r="AB154" i="107"/>
  <c r="AD154" i="107"/>
  <c r="AF154" i="107" s="1"/>
  <c r="Z154" i="107"/>
  <c r="X154" i="107"/>
  <c r="P154" i="107"/>
  <c r="O154" i="107" s="1"/>
  <c r="AB153" i="107"/>
  <c r="AD153" i="107"/>
  <c r="AF153" i="107"/>
  <c r="Z153" i="107"/>
  <c r="X153" i="107"/>
  <c r="P153" i="107"/>
  <c r="O153" i="107" s="1"/>
  <c r="AB152" i="107"/>
  <c r="AD152" i="107"/>
  <c r="AF152" i="107"/>
  <c r="Z152" i="107"/>
  <c r="X152" i="107"/>
  <c r="P152" i="107"/>
  <c r="O152" i="107" s="1"/>
  <c r="AB151" i="107"/>
  <c r="AD151" i="107" s="1"/>
  <c r="AF151" i="107" s="1"/>
  <c r="Z151" i="107"/>
  <c r="X151" i="107"/>
  <c r="P151" i="107"/>
  <c r="O151" i="107"/>
  <c r="AB150" i="107"/>
  <c r="AD150" i="107" s="1"/>
  <c r="AF150" i="107" s="1"/>
  <c r="Z150" i="107"/>
  <c r="X150" i="107"/>
  <c r="P150" i="107"/>
  <c r="O150" i="107" s="1"/>
  <c r="AB149" i="107"/>
  <c r="AD149" i="107" s="1"/>
  <c r="AF149" i="107" s="1"/>
  <c r="Z149" i="107"/>
  <c r="X149" i="107"/>
  <c r="P149" i="107"/>
  <c r="O149" i="107"/>
  <c r="AB148" i="107"/>
  <c r="AD148" i="107"/>
  <c r="AF148" i="107" s="1"/>
  <c r="Z148" i="107"/>
  <c r="X148" i="107"/>
  <c r="P148" i="107"/>
  <c r="O148" i="107"/>
  <c r="AB147" i="107"/>
  <c r="AD147" i="107" s="1"/>
  <c r="AF147" i="107" s="1"/>
  <c r="Z147" i="107"/>
  <c r="X147" i="107"/>
  <c r="P147" i="107"/>
  <c r="O147" i="107"/>
  <c r="AB146" i="107"/>
  <c r="AD146" i="107"/>
  <c r="AF146" i="107" s="1"/>
  <c r="Z146" i="107"/>
  <c r="X146" i="107"/>
  <c r="P146" i="107"/>
  <c r="O146" i="107" s="1"/>
  <c r="AB145" i="107"/>
  <c r="AD145" i="107"/>
  <c r="AF145" i="107"/>
  <c r="Z145" i="107"/>
  <c r="X145" i="107"/>
  <c r="P145" i="107"/>
  <c r="O145" i="107" s="1"/>
  <c r="AB144" i="107"/>
  <c r="AD144" i="107"/>
  <c r="AF144" i="107"/>
  <c r="Z144" i="107"/>
  <c r="X144" i="107"/>
  <c r="P144" i="107"/>
  <c r="O144" i="107"/>
  <c r="AB143" i="107"/>
  <c r="AD143" i="107" s="1"/>
  <c r="AF143" i="107" s="1"/>
  <c r="Z143" i="107"/>
  <c r="X143" i="107"/>
  <c r="P143" i="107"/>
  <c r="O143" i="107"/>
  <c r="AB142" i="107"/>
  <c r="AD142" i="107" s="1"/>
  <c r="AF142" i="107" s="1"/>
  <c r="Z142" i="107"/>
  <c r="X142" i="107"/>
  <c r="P142" i="107"/>
  <c r="O142" i="107" s="1"/>
  <c r="AB141" i="107"/>
  <c r="AD141" i="107"/>
  <c r="AF141" i="107" s="1"/>
  <c r="Z141" i="107"/>
  <c r="X141" i="107"/>
  <c r="P141" i="107"/>
  <c r="O141" i="107"/>
  <c r="AB140" i="107"/>
  <c r="AD140" i="107"/>
  <c r="AF140" i="107" s="1"/>
  <c r="Z140" i="107"/>
  <c r="X140" i="107"/>
  <c r="P140" i="107"/>
  <c r="O140" i="107"/>
  <c r="AD139" i="107"/>
  <c r="AF139" i="107" s="1"/>
  <c r="AB138" i="107"/>
  <c r="AD138" i="107" s="1"/>
  <c r="AF138" i="107" s="1"/>
  <c r="Z138" i="107"/>
  <c r="X138" i="107"/>
  <c r="P138" i="107"/>
  <c r="O138" i="107" s="1"/>
  <c r="AB137" i="107"/>
  <c r="AD137" i="107"/>
  <c r="AF137" i="107"/>
  <c r="Z137" i="107"/>
  <c r="X137" i="107"/>
  <c r="P137" i="107"/>
  <c r="O137" i="107"/>
  <c r="AB136" i="107"/>
  <c r="AD136" i="107" s="1"/>
  <c r="AF136" i="107"/>
  <c r="Z136" i="107"/>
  <c r="X136" i="107"/>
  <c r="P136" i="107"/>
  <c r="O136" i="107"/>
  <c r="AB135" i="107"/>
  <c r="AD135" i="107" s="1"/>
  <c r="AF135" i="107" s="1"/>
  <c r="Z135" i="107"/>
  <c r="X135" i="107"/>
  <c r="P135" i="107"/>
  <c r="O135" i="107" s="1"/>
  <c r="AB132" i="107"/>
  <c r="AD132" i="107"/>
  <c r="AF132" i="107" s="1"/>
  <c r="Z132" i="107"/>
  <c r="X132" i="107"/>
  <c r="P132" i="107"/>
  <c r="O132" i="107" s="1"/>
  <c r="AB131" i="107"/>
  <c r="AD131" i="107"/>
  <c r="AF131" i="107"/>
  <c r="Z131" i="107"/>
  <c r="X131" i="107"/>
  <c r="P131" i="107"/>
  <c r="O131" i="107" s="1"/>
  <c r="AB130" i="107"/>
  <c r="AD130" i="107" s="1"/>
  <c r="AF130" i="107" s="1"/>
  <c r="Z130" i="107"/>
  <c r="X130" i="107"/>
  <c r="P130" i="107"/>
  <c r="O130" i="107"/>
  <c r="AB129" i="107"/>
  <c r="AD129" i="107" s="1"/>
  <c r="AF129" i="107" s="1"/>
  <c r="Z129" i="107"/>
  <c r="X129" i="107"/>
  <c r="P129" i="107"/>
  <c r="O129" i="107" s="1"/>
  <c r="AB128" i="107"/>
  <c r="AD128" i="107"/>
  <c r="AF128" i="107" s="1"/>
  <c r="Z128" i="107"/>
  <c r="X128" i="107"/>
  <c r="P128" i="107"/>
  <c r="O128" i="107"/>
  <c r="AB127" i="107"/>
  <c r="AD127" i="107"/>
  <c r="AF127" i="107"/>
  <c r="Z127" i="107"/>
  <c r="X127" i="107"/>
  <c r="P127" i="107"/>
  <c r="O127" i="107"/>
  <c r="AB126" i="107"/>
  <c r="AD126" i="107" s="1"/>
  <c r="AF126" i="107" s="1"/>
  <c r="Z126" i="107"/>
  <c r="X126" i="107"/>
  <c r="P126" i="107"/>
  <c r="O126" i="107"/>
  <c r="AB125" i="107"/>
  <c r="AD125" i="107" s="1"/>
  <c r="AF125" i="107" s="1"/>
  <c r="Z125" i="107"/>
  <c r="X125" i="107"/>
  <c r="P125" i="107"/>
  <c r="O125" i="107" s="1"/>
  <c r="AB124" i="107"/>
  <c r="AD124" i="107"/>
  <c r="AF124" i="107"/>
  <c r="Z124" i="107"/>
  <c r="X124" i="107"/>
  <c r="P124" i="107"/>
  <c r="O124" i="107" s="1"/>
  <c r="AB123" i="107"/>
  <c r="AD123" i="107" s="1"/>
  <c r="AF123" i="107" s="1"/>
  <c r="Z123" i="107"/>
  <c r="X123" i="107"/>
  <c r="P123" i="107"/>
  <c r="O123" i="107" s="1"/>
  <c r="AB122" i="107"/>
  <c r="AD122" i="107" s="1"/>
  <c r="AF122" i="107" s="1"/>
  <c r="Z122" i="107"/>
  <c r="X122" i="107"/>
  <c r="P122" i="107"/>
  <c r="O122" i="107"/>
  <c r="AB121" i="107"/>
  <c r="AD121" i="107" s="1"/>
  <c r="AF121" i="107" s="1"/>
  <c r="Z121" i="107"/>
  <c r="X121" i="107"/>
  <c r="P121" i="107"/>
  <c r="O121" i="107" s="1"/>
  <c r="AB120" i="107"/>
  <c r="AD120" i="107" s="1"/>
  <c r="AF120" i="107" s="1"/>
  <c r="Z120" i="107"/>
  <c r="X120" i="107"/>
  <c r="P120" i="107"/>
  <c r="O120" i="107"/>
  <c r="AB119" i="107"/>
  <c r="AD119" i="107"/>
  <c r="AF119" i="107"/>
  <c r="Z119" i="107"/>
  <c r="X119" i="107"/>
  <c r="P119" i="107"/>
  <c r="O119" i="107"/>
  <c r="AB118" i="107"/>
  <c r="AD118" i="107" s="1"/>
  <c r="AF118" i="107" s="1"/>
  <c r="Z118" i="107"/>
  <c r="X118" i="107"/>
  <c r="AB117" i="107"/>
  <c r="AD117" i="107"/>
  <c r="AF117" i="107"/>
  <c r="Z117" i="107"/>
  <c r="X117" i="107"/>
  <c r="P117" i="107"/>
  <c r="O117" i="107" s="1"/>
  <c r="AB116" i="107"/>
  <c r="AD116" i="107" s="1"/>
  <c r="AF116" i="107" s="1"/>
  <c r="Z116" i="107"/>
  <c r="X116" i="107"/>
  <c r="P116" i="107"/>
  <c r="O116" i="107"/>
  <c r="AB115" i="107"/>
  <c r="AD115" i="107" s="1"/>
  <c r="AF115" i="107" s="1"/>
  <c r="Z115" i="107"/>
  <c r="X115" i="107"/>
  <c r="P115" i="107"/>
  <c r="O115" i="107" s="1"/>
  <c r="AB114" i="107"/>
  <c r="AD114" i="107" s="1"/>
  <c r="AF114" i="107" s="1"/>
  <c r="Z114" i="107"/>
  <c r="X114" i="107"/>
  <c r="P114" i="107"/>
  <c r="O114" i="107" s="1"/>
  <c r="AB113" i="107"/>
  <c r="AD113" i="107"/>
  <c r="AF113" i="107" s="1"/>
  <c r="Z113" i="107"/>
  <c r="X113" i="107"/>
  <c r="P113" i="107"/>
  <c r="O113" i="107"/>
  <c r="AB112" i="107"/>
  <c r="AD112" i="107" s="1"/>
  <c r="AF112" i="107" s="1"/>
  <c r="Z112" i="107"/>
  <c r="X112" i="107"/>
  <c r="P112" i="107"/>
  <c r="O112" i="107"/>
  <c r="AB111" i="107"/>
  <c r="AD111" i="107"/>
  <c r="AF111" i="107" s="1"/>
  <c r="Z111" i="107"/>
  <c r="X111" i="107"/>
  <c r="P111" i="107"/>
  <c r="O111" i="107" s="1"/>
  <c r="AB110" i="107"/>
  <c r="AD110" i="107"/>
  <c r="AF110" i="107"/>
  <c r="Z110" i="107"/>
  <c r="X110" i="107"/>
  <c r="P110" i="107"/>
  <c r="O110" i="107" s="1"/>
  <c r="AB109" i="107"/>
  <c r="AD109" i="107"/>
  <c r="AF109" i="107"/>
  <c r="Z109" i="107"/>
  <c r="X109" i="107"/>
  <c r="P109" i="107"/>
  <c r="O109" i="107"/>
  <c r="AB108" i="107"/>
  <c r="AD108" i="107" s="1"/>
  <c r="AF108" i="107" s="1"/>
  <c r="Z108" i="107"/>
  <c r="X108" i="107"/>
  <c r="P108" i="107"/>
  <c r="O108" i="107"/>
  <c r="AB107" i="107"/>
  <c r="AD107" i="107" s="1"/>
  <c r="AF107" i="107" s="1"/>
  <c r="Z107" i="107"/>
  <c r="X107" i="107"/>
  <c r="P107" i="107"/>
  <c r="O107" i="107" s="1"/>
  <c r="AB106" i="107"/>
  <c r="AD106" i="107"/>
  <c r="AF106" i="107" s="1"/>
  <c r="Z106" i="107"/>
  <c r="X106" i="107"/>
  <c r="P106" i="107"/>
  <c r="O106" i="107"/>
  <c r="AB105" i="107"/>
  <c r="AD105" i="107"/>
  <c r="AF105" i="107" s="1"/>
  <c r="Z105" i="107"/>
  <c r="X105" i="107"/>
  <c r="P105" i="107"/>
  <c r="O105" i="107"/>
  <c r="AB104" i="107"/>
  <c r="AD104" i="107" s="1"/>
  <c r="AF104" i="107"/>
  <c r="Z104" i="107"/>
  <c r="X104" i="107"/>
  <c r="P104" i="107"/>
  <c r="O104" i="107"/>
  <c r="AB103" i="107"/>
  <c r="AD103" i="107"/>
  <c r="AF103" i="107" s="1"/>
  <c r="Z103" i="107"/>
  <c r="X103" i="107"/>
  <c r="P103" i="107"/>
  <c r="O103" i="107" s="1"/>
  <c r="AB102" i="107"/>
  <c r="AD102" i="107"/>
  <c r="AF102" i="107" s="1"/>
  <c r="Z102" i="107"/>
  <c r="X102" i="107"/>
  <c r="P102" i="107"/>
  <c r="O102" i="107" s="1"/>
  <c r="AB101" i="107"/>
  <c r="AD101" i="107" s="1"/>
  <c r="AF101" i="107" s="1"/>
  <c r="Z101" i="107"/>
  <c r="X101" i="107"/>
  <c r="P101" i="107"/>
  <c r="O101" i="107" s="1"/>
  <c r="AB100" i="107"/>
  <c r="AD100" i="107" s="1"/>
  <c r="AF100" i="107" s="1"/>
  <c r="Z100" i="107"/>
  <c r="X100" i="107"/>
  <c r="P100" i="107"/>
  <c r="O100" i="107"/>
  <c r="AB99" i="107"/>
  <c r="AD99" i="107" s="1"/>
  <c r="AF99" i="107" s="1"/>
  <c r="Z99" i="107"/>
  <c r="X99" i="107"/>
  <c r="P99" i="107"/>
  <c r="O99" i="107" s="1"/>
  <c r="AB98" i="107"/>
  <c r="AD98" i="107"/>
  <c r="AF98" i="107" s="1"/>
  <c r="Z98" i="107"/>
  <c r="X98" i="107"/>
  <c r="P98" i="107"/>
  <c r="O98" i="107" s="1"/>
  <c r="AB97" i="107"/>
  <c r="AD97" i="107"/>
  <c r="AF97" i="107"/>
  <c r="Z97" i="107"/>
  <c r="X97" i="107"/>
  <c r="P97" i="107"/>
  <c r="O97" i="107"/>
  <c r="AB96" i="107"/>
  <c r="AD96" i="107" s="1"/>
  <c r="AF96" i="107" s="1"/>
  <c r="Z96" i="107"/>
  <c r="X96" i="107"/>
  <c r="P96" i="107"/>
  <c r="O96" i="107" s="1"/>
  <c r="AB95" i="107"/>
  <c r="AD95" i="107"/>
  <c r="AF95" i="107" s="1"/>
  <c r="Z95" i="107"/>
  <c r="X95" i="107"/>
  <c r="P95" i="107"/>
  <c r="O95" i="107" s="1"/>
  <c r="AB94" i="107"/>
  <c r="AD94" i="107"/>
  <c r="AF94" i="107" s="1"/>
  <c r="Z94" i="107"/>
  <c r="X94" i="107"/>
  <c r="P94" i="107"/>
  <c r="O94" i="107"/>
  <c r="AB93" i="107"/>
  <c r="AD93" i="107" s="1"/>
  <c r="AF93" i="107"/>
  <c r="Z93" i="107"/>
  <c r="X93" i="107"/>
  <c r="P93" i="107"/>
  <c r="O93" i="107" s="1"/>
  <c r="AB92" i="107"/>
  <c r="AD92" i="107" s="1"/>
  <c r="AF92" i="107" s="1"/>
  <c r="Z92" i="107"/>
  <c r="X92" i="107"/>
  <c r="P92" i="107"/>
  <c r="O92" i="107" s="1"/>
  <c r="AB91" i="107"/>
  <c r="AD91" i="107"/>
  <c r="AF91" i="107" s="1"/>
  <c r="Z91" i="107"/>
  <c r="X91" i="107"/>
  <c r="P91" i="107"/>
  <c r="O91" i="107"/>
  <c r="AB90" i="107"/>
  <c r="AD90" i="107" s="1"/>
  <c r="AF90" i="107" s="1"/>
  <c r="Z90" i="107"/>
  <c r="X90" i="107"/>
  <c r="P90" i="107"/>
  <c r="O90" i="107"/>
  <c r="AB89" i="107"/>
  <c r="AD89" i="107"/>
  <c r="AF89" i="107" s="1"/>
  <c r="Z89" i="107"/>
  <c r="X89" i="107"/>
  <c r="P89" i="107"/>
  <c r="O89" i="107"/>
  <c r="AB88" i="107"/>
  <c r="AD88" i="107"/>
  <c r="AF88" i="107"/>
  <c r="Z88" i="107"/>
  <c r="X88" i="107"/>
  <c r="P88" i="107"/>
  <c r="O88" i="107" s="1"/>
  <c r="AB87" i="107"/>
  <c r="AD87" i="107" s="1"/>
  <c r="AF87" i="107" s="1"/>
  <c r="Z87" i="107"/>
  <c r="X87" i="107"/>
  <c r="P87" i="107"/>
  <c r="O87" i="107" s="1"/>
  <c r="AB86" i="107"/>
  <c r="AD86" i="107"/>
  <c r="AF86" i="107" s="1"/>
  <c r="Z86" i="107"/>
  <c r="X86" i="107"/>
  <c r="P86" i="107"/>
  <c r="O86" i="107"/>
  <c r="AB85" i="107"/>
  <c r="AD85" i="107" s="1"/>
  <c r="AF85" i="107" s="1"/>
  <c r="Z85" i="107"/>
  <c r="X85" i="107"/>
  <c r="P85" i="107"/>
  <c r="O85" i="107"/>
  <c r="AB84" i="107"/>
  <c r="AD84" i="107" s="1"/>
  <c r="AF84" i="107" s="1"/>
  <c r="Z84" i="107"/>
  <c r="X84" i="107"/>
  <c r="P84" i="107"/>
  <c r="O84" i="107"/>
  <c r="AB83" i="107"/>
  <c r="AD83" i="107" s="1"/>
  <c r="AF83" i="107" s="1"/>
  <c r="Z83" i="107"/>
  <c r="X83" i="107"/>
  <c r="P83" i="107"/>
  <c r="O83" i="107" s="1"/>
  <c r="AB82" i="107"/>
  <c r="AD82" i="107"/>
  <c r="AF82" i="107" s="1"/>
  <c r="Z82" i="107"/>
  <c r="X82" i="107"/>
  <c r="P82" i="107"/>
  <c r="O82" i="107"/>
  <c r="AB81" i="107"/>
  <c r="AD81" i="107" s="1"/>
  <c r="AF81" i="107" s="1"/>
  <c r="Z81" i="107"/>
  <c r="X81" i="107"/>
  <c r="P81" i="107"/>
  <c r="O81" i="107"/>
  <c r="AB80" i="107"/>
  <c r="AD80" i="107" s="1"/>
  <c r="AF80" i="107" s="1"/>
  <c r="Z80" i="107"/>
  <c r="X80" i="107"/>
  <c r="P80" i="107"/>
  <c r="O80" i="107" s="1"/>
  <c r="AB79" i="107"/>
  <c r="AD79" i="107"/>
  <c r="AF79" i="107"/>
  <c r="Z79" i="107"/>
  <c r="X79" i="107"/>
  <c r="P79" i="107"/>
  <c r="O79" i="107" s="1"/>
  <c r="AB78" i="107"/>
  <c r="AD78" i="107"/>
  <c r="AF78" i="107"/>
  <c r="Z78" i="107"/>
  <c r="X78" i="107"/>
  <c r="P78" i="107"/>
  <c r="O78" i="107" s="1"/>
  <c r="AB77" i="107"/>
  <c r="AD77" i="107" s="1"/>
  <c r="AF77" i="107" s="1"/>
  <c r="Z77" i="107"/>
  <c r="X77" i="107"/>
  <c r="P77" i="107"/>
  <c r="O77" i="107"/>
  <c r="AB76" i="107"/>
  <c r="AD76" i="107" s="1"/>
  <c r="AF76" i="107" s="1"/>
  <c r="Z76" i="107"/>
  <c r="X76" i="107"/>
  <c r="P76" i="107"/>
  <c r="O76" i="107" s="1"/>
  <c r="AB75" i="107"/>
  <c r="AD75" i="107"/>
  <c r="AF75" i="107" s="1"/>
  <c r="Z75" i="107"/>
  <c r="X75" i="107"/>
  <c r="P75" i="107"/>
  <c r="O75" i="107"/>
  <c r="AF74" i="107"/>
  <c r="X74" i="107"/>
  <c r="AB73" i="107"/>
  <c r="AD73" i="107" s="1"/>
  <c r="AF73" i="107" s="1"/>
  <c r="Z73" i="107"/>
  <c r="X73" i="107"/>
  <c r="P73" i="107"/>
  <c r="O73" i="107" s="1"/>
  <c r="AB72" i="107"/>
  <c r="AD72" i="107" s="1"/>
  <c r="AF72" i="107" s="1"/>
  <c r="Z72" i="107"/>
  <c r="X72" i="107"/>
  <c r="P72" i="107"/>
  <c r="O72" i="107"/>
  <c r="AB71" i="107"/>
  <c r="AD71" i="107" s="1"/>
  <c r="AF71" i="107" s="1"/>
  <c r="Z71" i="107"/>
  <c r="X71" i="107"/>
  <c r="P71" i="107"/>
  <c r="O71" i="107"/>
  <c r="AB70" i="107"/>
  <c r="AD70" i="107" s="1"/>
  <c r="AF70" i="107" s="1"/>
  <c r="Z70" i="107"/>
  <c r="X70" i="107"/>
  <c r="P70" i="107"/>
  <c r="O70" i="107"/>
  <c r="AB69" i="107"/>
  <c r="AD69" i="107"/>
  <c r="AF69" i="107" s="1"/>
  <c r="Z69" i="107"/>
  <c r="X69" i="107"/>
  <c r="P69" i="107"/>
  <c r="O69" i="107" s="1"/>
  <c r="AB68" i="107"/>
  <c r="AD68" i="107"/>
  <c r="AF68" i="107"/>
  <c r="Z68" i="107"/>
  <c r="X68" i="107"/>
  <c r="P68" i="107"/>
  <c r="O68" i="107" s="1"/>
  <c r="AB67" i="107"/>
  <c r="AD67" i="107"/>
  <c r="AF67" i="107" s="1"/>
  <c r="Z67" i="107"/>
  <c r="X67" i="107"/>
  <c r="P67" i="107"/>
  <c r="O67" i="107" s="1"/>
  <c r="AB66" i="107"/>
  <c r="AD66" i="107" s="1"/>
  <c r="AF66" i="107"/>
  <c r="Z66" i="107"/>
  <c r="X66" i="107"/>
  <c r="P66" i="107"/>
  <c r="O66" i="107"/>
  <c r="AB65" i="107"/>
  <c r="AD65" i="107" s="1"/>
  <c r="AF65" i="107" s="1"/>
  <c r="Z65" i="107"/>
  <c r="X65" i="107"/>
  <c r="P65" i="107"/>
  <c r="O65" i="107" s="1"/>
  <c r="AB64" i="107"/>
  <c r="AD64" i="107"/>
  <c r="AF64" i="107" s="1"/>
  <c r="Z64" i="107"/>
  <c r="X64" i="107"/>
  <c r="P64" i="107"/>
  <c r="O64" i="107" s="1"/>
  <c r="AB63" i="107"/>
  <c r="AD63" i="107" s="1"/>
  <c r="AF63" i="107" s="1"/>
  <c r="Z63" i="107"/>
  <c r="X63" i="107"/>
  <c r="P63" i="107"/>
  <c r="O63" i="107" s="1"/>
  <c r="AB62" i="107"/>
  <c r="AD62" i="107"/>
  <c r="AF62" i="107" s="1"/>
  <c r="Z62" i="107"/>
  <c r="X62" i="107"/>
  <c r="P62" i="107"/>
  <c r="O62" i="107"/>
  <c r="AB61" i="107"/>
  <c r="AD61" i="107" s="1"/>
  <c r="AF61" i="107" s="1"/>
  <c r="Z61" i="107"/>
  <c r="X61" i="107"/>
  <c r="P61" i="107"/>
  <c r="O61" i="107"/>
  <c r="AB60" i="107"/>
  <c r="AD60" i="107" s="1"/>
  <c r="AF60" i="107" s="1"/>
  <c r="Z60" i="107"/>
  <c r="X60" i="107"/>
  <c r="P60" i="107"/>
  <c r="O60" i="107" s="1"/>
  <c r="AB59" i="107"/>
  <c r="AD59" i="107"/>
  <c r="AF59" i="107"/>
  <c r="Z59" i="107"/>
  <c r="X59" i="107"/>
  <c r="P59" i="107"/>
  <c r="O59" i="107" s="1"/>
  <c r="AB58" i="107"/>
  <c r="AD58" i="107"/>
  <c r="AF58" i="107"/>
  <c r="Z58" i="107"/>
  <c r="X58" i="107"/>
  <c r="P58" i="107"/>
  <c r="O58" i="107"/>
  <c r="AB57" i="107"/>
  <c r="AD57" i="107" s="1"/>
  <c r="AF57" i="107" s="1"/>
  <c r="Z57" i="107"/>
  <c r="X57" i="107"/>
  <c r="P57" i="107"/>
  <c r="O57" i="107"/>
  <c r="AB56" i="107"/>
  <c r="AD56" i="107" s="1"/>
  <c r="AF56" i="107" s="1"/>
  <c r="Z56" i="107"/>
  <c r="X56" i="107"/>
  <c r="P56" i="107"/>
  <c r="O56" i="107"/>
  <c r="AB55" i="107"/>
  <c r="AD55" i="107"/>
  <c r="AF55" i="107" s="1"/>
  <c r="Z55" i="107"/>
  <c r="X55" i="107"/>
  <c r="P55" i="107"/>
  <c r="O55" i="107" s="1"/>
  <c r="AB54" i="107"/>
  <c r="AD54" i="107"/>
  <c r="AF54" i="107"/>
  <c r="Z54" i="107"/>
  <c r="X54" i="107"/>
  <c r="P54" i="107"/>
  <c r="O54" i="107"/>
  <c r="AB53" i="107"/>
  <c r="AD53" i="107"/>
  <c r="AF53" i="107"/>
  <c r="Z53" i="107"/>
  <c r="X53" i="107"/>
  <c r="P53" i="107"/>
  <c r="O53" i="107" s="1"/>
  <c r="AF52" i="107"/>
  <c r="AB51" i="107"/>
  <c r="AD51" i="107" s="1"/>
  <c r="AF51" i="107" s="1"/>
  <c r="Z51" i="107"/>
  <c r="X51" i="107"/>
  <c r="P51" i="107"/>
  <c r="O51" i="107" s="1"/>
  <c r="AB50" i="107"/>
  <c r="AD50" i="107"/>
  <c r="AF50" i="107" s="1"/>
  <c r="Z50" i="107"/>
  <c r="X50" i="107"/>
  <c r="P50" i="107"/>
  <c r="O50" i="107" s="1"/>
  <c r="AB49" i="107"/>
  <c r="AD49" i="107"/>
  <c r="AF49" i="107" s="1"/>
  <c r="Z49" i="107"/>
  <c r="X49" i="107"/>
  <c r="AB48" i="107"/>
  <c r="AD48" i="107"/>
  <c r="AF48" i="107" s="1"/>
  <c r="Z48" i="107"/>
  <c r="X48" i="107"/>
  <c r="P48" i="107"/>
  <c r="O48" i="107" s="1"/>
  <c r="AB47" i="107"/>
  <c r="AD47" i="107" s="1"/>
  <c r="AF47" i="107" s="1"/>
  <c r="Z47" i="107"/>
  <c r="X47" i="107"/>
  <c r="P47" i="107"/>
  <c r="O47" i="107" s="1"/>
  <c r="AB46" i="107"/>
  <c r="AD46" i="107"/>
  <c r="AF46" i="107" s="1"/>
  <c r="Z46" i="107"/>
  <c r="X46" i="107"/>
  <c r="P46" i="107"/>
  <c r="O46" i="107"/>
  <c r="AB45" i="107"/>
  <c r="AD45" i="107" s="1"/>
  <c r="AF45" i="107" s="1"/>
  <c r="Z45" i="107"/>
  <c r="X45" i="107"/>
  <c r="P45" i="107"/>
  <c r="O45" i="107" s="1"/>
  <c r="AB44" i="107"/>
  <c r="AD44" i="107"/>
  <c r="AF44" i="107" s="1"/>
  <c r="Z44" i="107"/>
  <c r="X44" i="107"/>
  <c r="P44" i="107"/>
  <c r="O44" i="107" s="1"/>
  <c r="AB43" i="107"/>
  <c r="AD43" i="107"/>
  <c r="AF43" i="107"/>
  <c r="Z43" i="107"/>
  <c r="X43" i="107"/>
  <c r="P43" i="107"/>
  <c r="O43" i="107"/>
  <c r="AB42" i="107"/>
  <c r="AD42" i="107" s="1"/>
  <c r="AF42" i="107" s="1"/>
  <c r="Z42" i="107"/>
  <c r="X42" i="107"/>
  <c r="P42" i="107"/>
  <c r="O42" i="107" s="1"/>
  <c r="AB41" i="107"/>
  <c r="AD41" i="107" s="1"/>
  <c r="AF41" i="107" s="1"/>
  <c r="Z41" i="107"/>
  <c r="X41" i="107"/>
  <c r="P41" i="107"/>
  <c r="O41" i="107"/>
  <c r="AB40" i="107"/>
  <c r="AD40" i="107"/>
  <c r="AF40" i="107" s="1"/>
  <c r="Z40" i="107"/>
  <c r="X40" i="107"/>
  <c r="P40" i="107"/>
  <c r="O40" i="107" s="1"/>
  <c r="AB39" i="107"/>
  <c r="AD39" i="107"/>
  <c r="AF39" i="107"/>
  <c r="Z39" i="107"/>
  <c r="X39" i="107"/>
  <c r="P39" i="107"/>
  <c r="O39" i="107"/>
  <c r="AB38" i="107"/>
  <c r="AD38" i="107" s="1"/>
  <c r="AF38" i="107" s="1"/>
  <c r="Z38" i="107"/>
  <c r="X38" i="107"/>
  <c r="P38" i="107"/>
  <c r="O38" i="107"/>
  <c r="AB37" i="107"/>
  <c r="AD37" i="107" s="1"/>
  <c r="AF37" i="107" s="1"/>
  <c r="Z37" i="107"/>
  <c r="X37" i="107"/>
  <c r="P37" i="107"/>
  <c r="O37" i="107" s="1"/>
  <c r="AB36" i="107"/>
  <c r="AD36" i="107" s="1"/>
  <c r="AF36" i="107" s="1"/>
  <c r="Z36" i="107"/>
  <c r="X36" i="107"/>
  <c r="P36" i="107"/>
  <c r="O36" i="107" s="1"/>
  <c r="AB35" i="107"/>
  <c r="AD35" i="107"/>
  <c r="AF35" i="107" s="1"/>
  <c r="Z35" i="107"/>
  <c r="X35" i="107"/>
  <c r="P35" i="107"/>
  <c r="O35" i="107" s="1"/>
  <c r="AB34" i="107"/>
  <c r="AD34" i="107" s="1"/>
  <c r="AF34" i="107"/>
  <c r="Z34" i="107"/>
  <c r="X34" i="107"/>
  <c r="P34" i="107"/>
  <c r="O34" i="107"/>
  <c r="AB33" i="107"/>
  <c r="AD33" i="107" s="1"/>
  <c r="AF33" i="107" s="1"/>
  <c r="Z33" i="107"/>
  <c r="X33" i="107"/>
  <c r="P33" i="107"/>
  <c r="O33" i="107"/>
  <c r="AB32" i="107"/>
  <c r="AD32" i="107" s="1"/>
  <c r="AF32" i="107" s="1"/>
  <c r="Z32" i="107"/>
  <c r="X32" i="107"/>
  <c r="P32" i="107"/>
  <c r="O32" i="107"/>
  <c r="AB31" i="107"/>
  <c r="AD31" i="107"/>
  <c r="AF31" i="107" s="1"/>
  <c r="Z31" i="107"/>
  <c r="X31" i="107"/>
  <c r="P31" i="107"/>
  <c r="O31" i="107" s="1"/>
  <c r="AB30" i="107"/>
  <c r="AD30" i="107"/>
  <c r="AF30" i="107"/>
  <c r="Z30" i="107"/>
  <c r="X30" i="107"/>
  <c r="P30" i="107"/>
  <c r="O30" i="107"/>
  <c r="AB29" i="107"/>
  <c r="AD29" i="107"/>
  <c r="AF29" i="107"/>
  <c r="Z29" i="107"/>
  <c r="X29" i="107"/>
  <c r="P29" i="107"/>
  <c r="O29" i="107" s="1"/>
  <c r="AB28" i="107"/>
  <c r="AD28" i="107" s="1"/>
  <c r="AF28" i="107" s="1"/>
  <c r="Z28" i="107"/>
  <c r="X28" i="107"/>
  <c r="P28" i="107"/>
  <c r="O28" i="107" s="1"/>
  <c r="AD27" i="107"/>
  <c r="AF27" i="107"/>
  <c r="AB26" i="107"/>
  <c r="AD26" i="107" s="1"/>
  <c r="AF26" i="107" s="1"/>
  <c r="Z26" i="107"/>
  <c r="X26" i="107"/>
  <c r="P26" i="107"/>
  <c r="O26" i="107"/>
  <c r="AB25" i="107"/>
  <c r="AD25" i="107"/>
  <c r="AF25" i="107" s="1"/>
  <c r="Z25" i="107"/>
  <c r="X25" i="107"/>
  <c r="P25" i="107"/>
  <c r="O25" i="107" s="1"/>
  <c r="AB24" i="107"/>
  <c r="AD24" i="107"/>
  <c r="AF24" i="107" s="1"/>
  <c r="Z24" i="107"/>
  <c r="X24" i="107"/>
  <c r="P24" i="107"/>
  <c r="O24" i="107"/>
  <c r="AB23" i="107"/>
  <c r="AD23" i="107"/>
  <c r="AF23" i="107"/>
  <c r="Z23" i="107"/>
  <c r="X23" i="107"/>
  <c r="P23" i="107"/>
  <c r="O23" i="107" s="1"/>
  <c r="AB22" i="107"/>
  <c r="AD22" i="107" s="1"/>
  <c r="AF22" i="107" s="1"/>
  <c r="Z22" i="107"/>
  <c r="X22" i="107"/>
  <c r="P22" i="107"/>
  <c r="O22" i="107" s="1"/>
  <c r="AB21" i="107"/>
  <c r="AD21" i="107" s="1"/>
  <c r="AF21" i="107" s="1"/>
  <c r="Z21" i="107"/>
  <c r="X21" i="107"/>
  <c r="P21" i="107"/>
  <c r="O21" i="107"/>
  <c r="AB20" i="107"/>
  <c r="AD20" i="107" s="1"/>
  <c r="AF20" i="107" s="1"/>
  <c r="Z20" i="107"/>
  <c r="X20" i="107"/>
  <c r="P20" i="107"/>
  <c r="O20" i="107"/>
  <c r="AB19" i="107"/>
  <c r="AD19" i="107" s="1"/>
  <c r="AF19" i="107" s="1"/>
  <c r="Z19" i="107"/>
  <c r="X19" i="107"/>
  <c r="P19" i="107"/>
  <c r="O19" i="107"/>
  <c r="AB18" i="107"/>
  <c r="AD18" i="107"/>
  <c r="AF18" i="107" s="1"/>
  <c r="Z18" i="107"/>
  <c r="X18" i="107"/>
  <c r="P18" i="107"/>
  <c r="O18" i="107" s="1"/>
  <c r="AB17" i="107"/>
  <c r="AD17" i="107"/>
  <c r="AF17" i="107"/>
  <c r="Z17" i="107"/>
  <c r="X17" i="107"/>
  <c r="P17" i="107"/>
  <c r="O17" i="107" s="1"/>
  <c r="AB16" i="107"/>
  <c r="AD16" i="107"/>
  <c r="AF16" i="107" s="1"/>
  <c r="P16" i="107"/>
  <c r="O16" i="107"/>
  <c r="AB15" i="107"/>
  <c r="AD15" i="107" s="1"/>
  <c r="AF15" i="107" s="1"/>
  <c r="Z15" i="107"/>
  <c r="X15" i="107"/>
  <c r="P15" i="107"/>
  <c r="O15" i="107"/>
  <c r="AB14" i="107"/>
  <c r="AD14" i="107"/>
  <c r="AF14" i="107" s="1"/>
  <c r="Z14" i="107"/>
  <c r="X14" i="107"/>
  <c r="P14" i="107"/>
  <c r="O14" i="107" s="1"/>
  <c r="AB13" i="107"/>
  <c r="AD13" i="107"/>
  <c r="AF13" i="107"/>
  <c r="Z13" i="107"/>
  <c r="X13" i="107"/>
  <c r="P13" i="107"/>
  <c r="O13" i="107" s="1"/>
  <c r="AB12" i="107"/>
  <c r="AD12" i="107"/>
  <c r="AF12" i="107"/>
  <c r="Z12" i="107"/>
  <c r="X12" i="107"/>
  <c r="P12" i="107"/>
  <c r="O12" i="107"/>
  <c r="AB11" i="107"/>
  <c r="AD11" i="107" s="1"/>
  <c r="AF11" i="107" s="1"/>
  <c r="Z11" i="107"/>
  <c r="X11" i="107"/>
  <c r="P11" i="107"/>
  <c r="O11" i="107" s="1"/>
  <c r="AB10" i="107"/>
  <c r="AD10" i="107" s="1"/>
  <c r="AF10" i="107" s="1"/>
  <c r="Z10" i="107"/>
  <c r="X10" i="107"/>
  <c r="P10" i="107"/>
  <c r="O10" i="107" s="1"/>
  <c r="AB9" i="107"/>
  <c r="AD9" i="107"/>
  <c r="AF9" i="107" s="1"/>
  <c r="P9" i="107"/>
  <c r="O9" i="107"/>
  <c r="AB8" i="107"/>
  <c r="AD8" i="107"/>
  <c r="AF8" i="107" s="1"/>
  <c r="Z8" i="107"/>
  <c r="X8" i="107"/>
  <c r="P8" i="107"/>
  <c r="O8" i="107" s="1"/>
  <c r="AB7" i="107"/>
  <c r="AD7" i="107"/>
  <c r="AF7" i="107"/>
  <c r="Z7" i="107"/>
  <c r="X7" i="107"/>
  <c r="P7" i="107"/>
  <c r="O7" i="107" s="1"/>
  <c r="AB6" i="107"/>
  <c r="AD6" i="107"/>
  <c r="Z6" i="107"/>
  <c r="X6" i="107"/>
  <c r="P6" i="107"/>
  <c r="R3" i="107"/>
  <c r="CY157" i="106"/>
  <c r="DD155" i="106"/>
  <c r="DI151" i="106"/>
  <c r="DE150" i="106"/>
  <c r="CZ150" i="106"/>
  <c r="CV150" i="106"/>
  <c r="DI144" i="106"/>
  <c r="A139" i="106"/>
  <c r="CU138" i="106"/>
  <c r="CJ138" i="106"/>
  <c r="CI138" i="106"/>
  <c r="CE138" i="106"/>
  <c r="CB138" i="106"/>
  <c r="CA138" i="106"/>
  <c r="BR138" i="106"/>
  <c r="BP138" i="106"/>
  <c r="BN138" i="106"/>
  <c r="BL138" i="106"/>
  <c r="BK138" i="106"/>
  <c r="BE138" i="106"/>
  <c r="BA138" i="106"/>
  <c r="AZ138" i="106"/>
  <c r="AW138" i="106"/>
  <c r="AS138" i="106"/>
  <c r="AO138" i="106"/>
  <c r="AH138" i="106"/>
  <c r="A138" i="106"/>
  <c r="W136" i="106"/>
  <c r="X136" i="106" s="1"/>
  <c r="Z136" i="106" s="1"/>
  <c r="Q136" i="106"/>
  <c r="CX136" i="106" s="1"/>
  <c r="CY136" i="106" s="1"/>
  <c r="CR135" i="106"/>
  <c r="CV135" i="106" s="1"/>
  <c r="K135" i="106"/>
  <c r="CR134" i="106"/>
  <c r="CS134" i="106"/>
  <c r="K134" i="106"/>
  <c r="CR133" i="106"/>
  <c r="CV133" i="106" s="1"/>
  <c r="K133" i="106"/>
  <c r="CR132" i="106"/>
  <c r="CV132" i="106"/>
  <c r="CY132" i="106" s="1"/>
  <c r="K132" i="106"/>
  <c r="BQ131" i="106"/>
  <c r="CF131" i="106" s="1"/>
  <c r="CG131" i="106" s="1"/>
  <c r="BO131" i="106"/>
  <c r="BI131" i="106"/>
  <c r="BH131" i="106"/>
  <c r="AM131" i="106"/>
  <c r="AL131" i="106"/>
  <c r="AK131" i="106"/>
  <c r="W131" i="106"/>
  <c r="K131" i="106"/>
  <c r="CF130" i="106"/>
  <c r="CG130" i="106" s="1"/>
  <c r="AM130" i="106"/>
  <c r="AL130" i="106"/>
  <c r="AK130" i="106"/>
  <c r="AG130" i="106"/>
  <c r="K130" i="106"/>
  <c r="BQ129" i="106"/>
  <c r="CF129" i="106" s="1"/>
  <c r="CG129" i="106" s="1"/>
  <c r="BO129" i="106"/>
  <c r="BI129" i="106"/>
  <c r="BH129" i="106"/>
  <c r="AM129" i="106"/>
  <c r="AL129" i="106"/>
  <c r="AK129" i="106"/>
  <c r="K129" i="106"/>
  <c r="CF128" i="106"/>
  <c r="CG128" i="106"/>
  <c r="CN128" i="106"/>
  <c r="AM128" i="106"/>
  <c r="AL128" i="106"/>
  <c r="AK128" i="106"/>
  <c r="AG128" i="106"/>
  <c r="W128" i="106"/>
  <c r="X128" i="106" s="1"/>
  <c r="Z128" i="106" s="1"/>
  <c r="K128" i="106"/>
  <c r="CP127" i="106"/>
  <c r="CR127" i="106" s="1"/>
  <c r="AM127" i="106"/>
  <c r="AL127" i="106"/>
  <c r="AK127" i="106"/>
  <c r="W127" i="106"/>
  <c r="X127" i="106" s="1"/>
  <c r="Z127" i="106" s="1"/>
  <c r="AA127" i="106" s="1"/>
  <c r="BQ126" i="106"/>
  <c r="CF126" i="106"/>
  <c r="CG126" i="106"/>
  <c r="BO126" i="106"/>
  <c r="BI126" i="106"/>
  <c r="BH126" i="106"/>
  <c r="AM126" i="106"/>
  <c r="AL126" i="106"/>
  <c r="AK126" i="106"/>
  <c r="O126" i="106"/>
  <c r="K126" i="106"/>
  <c r="BQ125" i="106"/>
  <c r="CF125" i="106" s="1"/>
  <c r="CG125" i="106" s="1"/>
  <c r="BO125" i="106"/>
  <c r="BI125" i="106"/>
  <c r="BH125" i="106"/>
  <c r="AM125" i="106"/>
  <c r="AL125" i="106"/>
  <c r="AK125" i="106"/>
  <c r="W125" i="106"/>
  <c r="X125" i="106" s="1"/>
  <c r="Z125" i="106" s="1"/>
  <c r="K125" i="106"/>
  <c r="BQ124" i="106"/>
  <c r="CF124" i="106" s="1"/>
  <c r="CG124" i="106" s="1"/>
  <c r="BO124" i="106"/>
  <c r="BI124" i="106"/>
  <c r="BH124" i="106"/>
  <c r="AM124" i="106"/>
  <c r="AL124" i="106"/>
  <c r="AK124" i="106"/>
  <c r="O124" i="106"/>
  <c r="K124" i="106"/>
  <c r="BZ123" i="106"/>
  <c r="BO123" i="106"/>
  <c r="BQ123" i="106"/>
  <c r="CF123" i="106" s="1"/>
  <c r="CG123" i="106" s="1"/>
  <c r="BI123" i="106"/>
  <c r="BH123" i="106"/>
  <c r="AM123" i="106"/>
  <c r="AL123" i="106"/>
  <c r="AK123" i="106"/>
  <c r="K123" i="106"/>
  <c r="BQ122" i="106"/>
  <c r="CF122" i="106"/>
  <c r="CG122" i="106" s="1"/>
  <c r="BO122" i="106"/>
  <c r="BI122" i="106"/>
  <c r="BH122" i="106"/>
  <c r="AM122" i="106"/>
  <c r="AL122" i="106"/>
  <c r="AK122" i="106"/>
  <c r="K122" i="106"/>
  <c r="CY121" i="106"/>
  <c r="DC121" i="106" s="1"/>
  <c r="BQ121" i="106"/>
  <c r="CF121" i="106" s="1"/>
  <c r="CG121" i="106" s="1"/>
  <c r="BO121" i="106"/>
  <c r="BI121" i="106"/>
  <c r="BH121" i="106"/>
  <c r="AM121" i="106"/>
  <c r="AL121" i="106"/>
  <c r="AK121" i="106"/>
  <c r="K121" i="106"/>
  <c r="BQ120" i="106"/>
  <c r="CF120" i="106" s="1"/>
  <c r="CG120" i="106" s="1"/>
  <c r="BO120" i="106"/>
  <c r="BI120" i="106"/>
  <c r="BH120" i="106"/>
  <c r="AM120" i="106"/>
  <c r="AL120" i="106"/>
  <c r="AK120" i="106"/>
  <c r="W120" i="106"/>
  <c r="X120" i="106" s="1"/>
  <c r="Z120" i="106" s="1"/>
  <c r="AA120" i="106" s="1"/>
  <c r="O120" i="106"/>
  <c r="K120" i="106"/>
  <c r="BQ119" i="106"/>
  <c r="CF119" i="106" s="1"/>
  <c r="CG119" i="106" s="1"/>
  <c r="BO119" i="106"/>
  <c r="BI119" i="106"/>
  <c r="BH119" i="106"/>
  <c r="AM119" i="106"/>
  <c r="AL119" i="106"/>
  <c r="AK119" i="106"/>
  <c r="O119" i="106"/>
  <c r="K119" i="106"/>
  <c r="BQ118" i="106"/>
  <c r="CF118" i="106"/>
  <c r="CG118" i="106"/>
  <c r="CH118" i="106" s="1"/>
  <c r="BO118" i="106"/>
  <c r="BI118" i="106"/>
  <c r="BH118" i="106"/>
  <c r="AM118" i="106"/>
  <c r="AL118" i="106"/>
  <c r="AK118" i="106"/>
  <c r="W118" i="106"/>
  <c r="X118" i="106" s="1"/>
  <c r="Z118" i="106" s="1"/>
  <c r="AA118" i="106" s="1"/>
  <c r="O118" i="106"/>
  <c r="K118" i="106"/>
  <c r="DC117" i="106"/>
  <c r="DF117" i="106" s="1"/>
  <c r="DI117" i="106" s="1"/>
  <c r="CZ117" i="106"/>
  <c r="BQ117" i="106"/>
  <c r="CF117" i="106"/>
  <c r="CG117" i="106" s="1"/>
  <c r="BO117" i="106"/>
  <c r="BI117" i="106"/>
  <c r="BH117" i="106"/>
  <c r="AM117" i="106"/>
  <c r="AL117" i="106"/>
  <c r="AK117" i="106"/>
  <c r="K117" i="106"/>
  <c r="BZ116" i="106"/>
  <c r="BO116" i="106"/>
  <c r="BQ116" i="106"/>
  <c r="CF116" i="106" s="1"/>
  <c r="CG116" i="106" s="1"/>
  <c r="BI116" i="106"/>
  <c r="BH116" i="106"/>
  <c r="AM116" i="106"/>
  <c r="AL116" i="106"/>
  <c r="AK116" i="106"/>
  <c r="AG116" i="106"/>
  <c r="K116" i="106"/>
  <c r="BQ115" i="106"/>
  <c r="CF115" i="106" s="1"/>
  <c r="CG115" i="106" s="1"/>
  <c r="BO115" i="106"/>
  <c r="AM115" i="106"/>
  <c r="AL115" i="106"/>
  <c r="AK115" i="106"/>
  <c r="AG115" i="106"/>
  <c r="W115" i="106"/>
  <c r="X115" i="106" s="1"/>
  <c r="K115" i="106"/>
  <c r="CG114" i="106"/>
  <c r="CN114" i="106"/>
  <c r="CF114" i="106"/>
  <c r="BO114" i="106"/>
  <c r="BH114" i="106"/>
  <c r="BC114" i="106"/>
  <c r="BI114" i="106"/>
  <c r="AM114" i="106"/>
  <c r="AL114" i="106"/>
  <c r="AK114" i="106"/>
  <c r="K114" i="106"/>
  <c r="BQ113" i="106"/>
  <c r="CF113" i="106" s="1"/>
  <c r="CG113" i="106" s="1"/>
  <c r="BO113" i="106"/>
  <c r="BI113" i="106"/>
  <c r="BH113" i="106"/>
  <c r="AM113" i="106"/>
  <c r="AL113" i="106"/>
  <c r="AK113" i="106"/>
  <c r="W113" i="106"/>
  <c r="X113" i="106" s="1"/>
  <c r="Z113" i="106" s="1"/>
  <c r="AA113" i="106" s="1"/>
  <c r="K113" i="106"/>
  <c r="BQ112" i="106"/>
  <c r="CF112" i="106" s="1"/>
  <c r="CG112" i="106" s="1"/>
  <c r="BO112" i="106"/>
  <c r="BH112" i="106"/>
  <c r="BC112" i="106"/>
  <c r="BI112" i="106" s="1"/>
  <c r="AM112" i="106"/>
  <c r="AL112" i="106"/>
  <c r="AK112" i="106"/>
  <c r="K112" i="106"/>
  <c r="CT111" i="106"/>
  <c r="CV111" i="106" s="1"/>
  <c r="W111" i="106"/>
  <c r="X111" i="106" s="1"/>
  <c r="K111" i="106"/>
  <c r="BQ110" i="106"/>
  <c r="CF110" i="106"/>
  <c r="CG110" i="106" s="1"/>
  <c r="BO110" i="106"/>
  <c r="BI110" i="106"/>
  <c r="BH110" i="106"/>
  <c r="BC110" i="106"/>
  <c r="AM110" i="106"/>
  <c r="AL110" i="106"/>
  <c r="AK110" i="106"/>
  <c r="W110" i="106"/>
  <c r="X110" i="106" s="1"/>
  <c r="K110" i="106"/>
  <c r="BQ109" i="106"/>
  <c r="CF109" i="106" s="1"/>
  <c r="CG109" i="106" s="1"/>
  <c r="BO109" i="106"/>
  <c r="BH109" i="106"/>
  <c r="BC109" i="106"/>
  <c r="BI109" i="106" s="1"/>
  <c r="AM109" i="106"/>
  <c r="AL109" i="106"/>
  <c r="AK109" i="106"/>
  <c r="K109" i="106"/>
  <c r="BQ108" i="106"/>
  <c r="CF108" i="106"/>
  <c r="CG108" i="106" s="1"/>
  <c r="BO108" i="106"/>
  <c r="BH108" i="106"/>
  <c r="BC108" i="106"/>
  <c r="BI108" i="106" s="1"/>
  <c r="AM108" i="106"/>
  <c r="AL108" i="106"/>
  <c r="AK108" i="106"/>
  <c r="W108" i="106"/>
  <c r="X108" i="106" s="1"/>
  <c r="Z108" i="106" s="1"/>
  <c r="AA108" i="106" s="1"/>
  <c r="K108" i="106"/>
  <c r="BQ107" i="106"/>
  <c r="CF107" i="106" s="1"/>
  <c r="CG107" i="106" s="1"/>
  <c r="BO107" i="106"/>
  <c r="BI107" i="106"/>
  <c r="BH107" i="106"/>
  <c r="AM107" i="106"/>
  <c r="AL107" i="106"/>
  <c r="AK107" i="106"/>
  <c r="W107" i="106"/>
  <c r="X107" i="106" s="1"/>
  <c r="Z107" i="106" s="1"/>
  <c r="AA107" i="106" s="1"/>
  <c r="K107" i="106"/>
  <c r="BQ106" i="106"/>
  <c r="CF106" i="106" s="1"/>
  <c r="CG106" i="106" s="1"/>
  <c r="BO106" i="106"/>
  <c r="BI106" i="106"/>
  <c r="BH106" i="106"/>
  <c r="AM106" i="106"/>
  <c r="AL106" i="106"/>
  <c r="AK106" i="106"/>
  <c r="K106" i="106"/>
  <c r="BQ105" i="106"/>
  <c r="CF105" i="106"/>
  <c r="CG105" i="106" s="1"/>
  <c r="BO105" i="106"/>
  <c r="BI105" i="106"/>
  <c r="BH105" i="106"/>
  <c r="AM105" i="106"/>
  <c r="AL105" i="106"/>
  <c r="AK105" i="106"/>
  <c r="W105" i="106"/>
  <c r="X105" i="106" s="1"/>
  <c r="Z105" i="106" s="1"/>
  <c r="K105" i="106"/>
  <c r="BQ104" i="106"/>
  <c r="CF104" i="106" s="1"/>
  <c r="CG104" i="106" s="1"/>
  <c r="BO104" i="106"/>
  <c r="BI104" i="106"/>
  <c r="BH104" i="106"/>
  <c r="AM104" i="106"/>
  <c r="AL104" i="106"/>
  <c r="AK104" i="106"/>
  <c r="K104" i="106"/>
  <c r="BQ103" i="106"/>
  <c r="CF103" i="106"/>
  <c r="CG103" i="106" s="1"/>
  <c r="BO103" i="106"/>
  <c r="BI103" i="106"/>
  <c r="BH103" i="106"/>
  <c r="AM103" i="106"/>
  <c r="AL103" i="106"/>
  <c r="AK103" i="106"/>
  <c r="K103" i="106"/>
  <c r="BQ102" i="106"/>
  <c r="CF102" i="106"/>
  <c r="CG102" i="106"/>
  <c r="BO102" i="106"/>
  <c r="BI102" i="106"/>
  <c r="BH102" i="106"/>
  <c r="AM102" i="106"/>
  <c r="AL102" i="106"/>
  <c r="AK102" i="106"/>
  <c r="W102" i="106"/>
  <c r="X102" i="106" s="1"/>
  <c r="Z102" i="106" s="1"/>
  <c r="AA102" i="106" s="1"/>
  <c r="K102" i="106"/>
  <c r="BZ101" i="106"/>
  <c r="BO101" i="106"/>
  <c r="BQ101" i="106"/>
  <c r="CF101" i="106" s="1"/>
  <c r="CG101" i="106" s="1"/>
  <c r="CN101" i="106" s="1"/>
  <c r="BI101" i="106"/>
  <c r="BH101" i="106"/>
  <c r="AM101" i="106"/>
  <c r="AL101" i="106"/>
  <c r="AK101" i="106"/>
  <c r="W101" i="106"/>
  <c r="X101" i="106" s="1"/>
  <c r="Z101" i="106" s="1"/>
  <c r="AA101" i="106" s="1"/>
  <c r="K101" i="106"/>
  <c r="DC100" i="106"/>
  <c r="DD100" i="106"/>
  <c r="CZ100" i="106"/>
  <c r="BQ100" i="106"/>
  <c r="CF100" i="106"/>
  <c r="CG100" i="106" s="1"/>
  <c r="BO100" i="106"/>
  <c r="AM100" i="106"/>
  <c r="AL100" i="106"/>
  <c r="AK100" i="106"/>
  <c r="K100" i="106"/>
  <c r="BQ99" i="106"/>
  <c r="CF99" i="106" s="1"/>
  <c r="CG99" i="106" s="1"/>
  <c r="BO99" i="106"/>
  <c r="BI99" i="106"/>
  <c r="BH99" i="106"/>
  <c r="AM99" i="106"/>
  <c r="AL99" i="106"/>
  <c r="AK99" i="106"/>
  <c r="W99" i="106"/>
  <c r="X99" i="106" s="1"/>
  <c r="Z99" i="106" s="1"/>
  <c r="AA99" i="106" s="1"/>
  <c r="K99" i="106"/>
  <c r="BQ98" i="106"/>
  <c r="CF98" i="106"/>
  <c r="CG98" i="106" s="1"/>
  <c r="BO98" i="106"/>
  <c r="BI98" i="106"/>
  <c r="BH98" i="106"/>
  <c r="AM98" i="106"/>
  <c r="AL98" i="106"/>
  <c r="AK98" i="106"/>
  <c r="K98" i="106"/>
  <c r="BQ97" i="106"/>
  <c r="CF97" i="106"/>
  <c r="CG97" i="106"/>
  <c r="BO97" i="106"/>
  <c r="BI97" i="106"/>
  <c r="BH97" i="106"/>
  <c r="AM97" i="106"/>
  <c r="AL97" i="106"/>
  <c r="AK97" i="106"/>
  <c r="W97" i="106"/>
  <c r="X97" i="106" s="1"/>
  <c r="Z97" i="106" s="1"/>
  <c r="AA97" i="106" s="1"/>
  <c r="K97" i="106"/>
  <c r="CT96" i="106"/>
  <c r="CV96" i="106" s="1"/>
  <c r="CW96" i="106" s="1"/>
  <c r="K96" i="106"/>
  <c r="BQ95" i="106"/>
  <c r="CF95" i="106" s="1"/>
  <c r="CG95" i="106" s="1"/>
  <c r="CN95" i="106" s="1"/>
  <c r="BO95" i="106"/>
  <c r="BI95" i="106"/>
  <c r="AM95" i="106"/>
  <c r="AL95" i="106"/>
  <c r="AK95" i="106"/>
  <c r="W95" i="106"/>
  <c r="X95" i="106" s="1"/>
  <c r="Z95" i="106" s="1"/>
  <c r="AA95" i="106" s="1"/>
  <c r="K95" i="106"/>
  <c r="BQ94" i="106"/>
  <c r="CF94" i="106" s="1"/>
  <c r="CG94" i="106" s="1"/>
  <c r="BO94" i="106"/>
  <c r="BI94" i="106"/>
  <c r="BH94" i="106"/>
  <c r="AM94" i="106"/>
  <c r="AL94" i="106"/>
  <c r="AK94" i="106"/>
  <c r="K94" i="106"/>
  <c r="BQ93" i="106"/>
  <c r="CF93" i="106" s="1"/>
  <c r="CG93" i="106" s="1"/>
  <c r="BO93" i="106"/>
  <c r="BI93" i="106"/>
  <c r="BH93" i="106"/>
  <c r="AM93" i="106"/>
  <c r="AL93" i="106"/>
  <c r="AK93" i="106"/>
  <c r="W93" i="106"/>
  <c r="X93" i="106" s="1"/>
  <c r="Z93" i="106" s="1"/>
  <c r="AA93" i="106" s="1"/>
  <c r="K93" i="106"/>
  <c r="BQ92" i="106"/>
  <c r="CF92" i="106"/>
  <c r="CG92" i="106"/>
  <c r="CH92" i="106" s="1"/>
  <c r="BO92" i="106"/>
  <c r="BI92" i="106"/>
  <c r="BH92" i="106"/>
  <c r="AM92" i="106"/>
  <c r="AL92" i="106"/>
  <c r="AK92" i="106"/>
  <c r="W92" i="106"/>
  <c r="X92" i="106" s="1"/>
  <c r="Z92" i="106" s="1"/>
  <c r="AA92" i="106" s="1"/>
  <c r="K92" i="106"/>
  <c r="CT91" i="106"/>
  <c r="CV91" i="106" s="1"/>
  <c r="K91" i="106"/>
  <c r="BQ90" i="106"/>
  <c r="CF90" i="106"/>
  <c r="CG90" i="106" s="1"/>
  <c r="BO90" i="106"/>
  <c r="BI90" i="106"/>
  <c r="BH90" i="106"/>
  <c r="AM90" i="106"/>
  <c r="AL90" i="106"/>
  <c r="AK90" i="106"/>
  <c r="W90" i="106"/>
  <c r="X90" i="106" s="1"/>
  <c r="Z90" i="106" s="1"/>
  <c r="AA90" i="106" s="1"/>
  <c r="K90" i="106"/>
  <c r="BQ89" i="106"/>
  <c r="CF89" i="106" s="1"/>
  <c r="CG89" i="106" s="1"/>
  <c r="BO89" i="106"/>
  <c r="BI89" i="106"/>
  <c r="BH89" i="106"/>
  <c r="AM89" i="106"/>
  <c r="AL89" i="106"/>
  <c r="AK89" i="106"/>
  <c r="W89" i="106"/>
  <c r="X89" i="106" s="1"/>
  <c r="K89" i="106"/>
  <c r="BQ88" i="106"/>
  <c r="CF88" i="106"/>
  <c r="CG88" i="106" s="1"/>
  <c r="BO88" i="106"/>
  <c r="BI88" i="106"/>
  <c r="BH88" i="106"/>
  <c r="AM88" i="106"/>
  <c r="AL88" i="106"/>
  <c r="AK88" i="106"/>
  <c r="W88" i="106"/>
  <c r="X88" i="106" s="1"/>
  <c r="Z88" i="106" s="1"/>
  <c r="AA88" i="106" s="1"/>
  <c r="K88" i="106"/>
  <c r="BQ87" i="106"/>
  <c r="CF87" i="106" s="1"/>
  <c r="CG87" i="106" s="1"/>
  <c r="BO87" i="106"/>
  <c r="BI87" i="106"/>
  <c r="BH87" i="106"/>
  <c r="AM87" i="106"/>
  <c r="AL87" i="106"/>
  <c r="AK87" i="106"/>
  <c r="W87" i="106"/>
  <c r="X87" i="106" s="1"/>
  <c r="Z87" i="106" s="1"/>
  <c r="AA87" i="106" s="1"/>
  <c r="K87" i="106"/>
  <c r="CF86" i="106"/>
  <c r="CG86" i="106" s="1"/>
  <c r="BQ86" i="106"/>
  <c r="BO86" i="106"/>
  <c r="BI86" i="106"/>
  <c r="BH86" i="106"/>
  <c r="AM86" i="106"/>
  <c r="AL86" i="106"/>
  <c r="AK86" i="106"/>
  <c r="K86" i="106"/>
  <c r="BQ85" i="106"/>
  <c r="CF85" i="106" s="1"/>
  <c r="CG85" i="106" s="1"/>
  <c r="BO85" i="106"/>
  <c r="BI85" i="106"/>
  <c r="BH85" i="106"/>
  <c r="AM85" i="106"/>
  <c r="AL85" i="106"/>
  <c r="AK85" i="106"/>
  <c r="W85" i="106"/>
  <c r="X85" i="106" s="1"/>
  <c r="Z85" i="106" s="1"/>
  <c r="AA85" i="106" s="1"/>
  <c r="K85" i="106"/>
  <c r="BQ84" i="106"/>
  <c r="CF84" i="106" s="1"/>
  <c r="CG84" i="106" s="1"/>
  <c r="BO84" i="106"/>
  <c r="BI84" i="106"/>
  <c r="BH84" i="106"/>
  <c r="AM84" i="106"/>
  <c r="AL84" i="106"/>
  <c r="AK84" i="106"/>
  <c r="K84" i="106"/>
  <c r="BZ83" i="106"/>
  <c r="BO83" i="106"/>
  <c r="BQ83" i="106"/>
  <c r="CF83" i="106"/>
  <c r="CG83" i="106"/>
  <c r="BI83" i="106"/>
  <c r="BH83" i="106"/>
  <c r="AM83" i="106"/>
  <c r="AL83" i="106"/>
  <c r="AK83" i="106"/>
  <c r="W83" i="106"/>
  <c r="X83" i="106" s="1"/>
  <c r="Z83" i="106" s="1"/>
  <c r="AA83" i="106" s="1"/>
  <c r="K83" i="106"/>
  <c r="BQ82" i="106"/>
  <c r="CF82" i="106"/>
  <c r="CG82" i="106" s="1"/>
  <c r="BO82" i="106"/>
  <c r="BI82" i="106"/>
  <c r="BH82" i="106"/>
  <c r="AM82" i="106"/>
  <c r="AL82" i="106"/>
  <c r="AK82" i="106"/>
  <c r="K82" i="106"/>
  <c r="CX81" i="106"/>
  <c r="CR81" i="106"/>
  <c r="CV81" i="106"/>
  <c r="CG81" i="106"/>
  <c r="CH81" i="106"/>
  <c r="CD81" i="106"/>
  <c r="K81" i="106"/>
  <c r="BQ80" i="106"/>
  <c r="CF80" i="106" s="1"/>
  <c r="CG80" i="106" s="1"/>
  <c r="CN80" i="106" s="1"/>
  <c r="BO80" i="106"/>
  <c r="BI80" i="106"/>
  <c r="BH80" i="106"/>
  <c r="AM80" i="106"/>
  <c r="AL80" i="106"/>
  <c r="AK80" i="106"/>
  <c r="K80" i="106"/>
  <c r="BQ79" i="106"/>
  <c r="CF79" i="106" s="1"/>
  <c r="CG79" i="106" s="1"/>
  <c r="BO79" i="106"/>
  <c r="BI79" i="106"/>
  <c r="BH79" i="106"/>
  <c r="AM79" i="106"/>
  <c r="AL79" i="106"/>
  <c r="AK79" i="106"/>
  <c r="W79" i="106"/>
  <c r="X79" i="106" s="1"/>
  <c r="Z79" i="106" s="1"/>
  <c r="AA79" i="106" s="1"/>
  <c r="K79" i="106"/>
  <c r="BZ78" i="106"/>
  <c r="BO78" i="106"/>
  <c r="BQ78" i="106"/>
  <c r="CF78" i="106" s="1"/>
  <c r="CG78" i="106" s="1"/>
  <c r="BI78" i="106"/>
  <c r="BH78" i="106"/>
  <c r="AM78" i="106"/>
  <c r="AL78" i="106"/>
  <c r="AK78" i="106"/>
  <c r="K78" i="106"/>
  <c r="DB77" i="106"/>
  <c r="DC77" i="106" s="1"/>
  <c r="DF77" i="106" s="1"/>
  <c r="DI77" i="106" s="1"/>
  <c r="BQ76" i="106"/>
  <c r="CF76" i="106" s="1"/>
  <c r="CG76" i="106" s="1"/>
  <c r="BO76" i="106"/>
  <c r="BI76" i="106"/>
  <c r="BH76" i="106"/>
  <c r="AM76" i="106"/>
  <c r="AL76" i="106"/>
  <c r="AK76" i="106"/>
  <c r="K76" i="106"/>
  <c r="DF75" i="106"/>
  <c r="DI75" i="106" s="1"/>
  <c r="DF74" i="106"/>
  <c r="DI74" i="106" s="1"/>
  <c r="W74" i="106"/>
  <c r="X74" i="106" s="1"/>
  <c r="Z74" i="106" s="1"/>
  <c r="AA74" i="106" s="1"/>
  <c r="DB73" i="106"/>
  <c r="DD154" i="106"/>
  <c r="CM73" i="106"/>
  <c r="BQ73" i="106"/>
  <c r="CF73" i="106" s="1"/>
  <c r="CG73" i="106" s="1"/>
  <c r="BO73" i="106"/>
  <c r="BI73" i="106"/>
  <c r="BH73" i="106"/>
  <c r="AM73" i="106"/>
  <c r="AL73" i="106"/>
  <c r="AK73" i="106"/>
  <c r="K73" i="106"/>
  <c r="BQ72" i="106"/>
  <c r="CF72" i="106" s="1"/>
  <c r="CG72" i="106" s="1"/>
  <c r="BO72" i="106"/>
  <c r="BI72" i="106"/>
  <c r="BH72" i="106"/>
  <c r="AM72" i="106"/>
  <c r="AL72" i="106"/>
  <c r="AK72" i="106"/>
  <c r="K72" i="106"/>
  <c r="BQ71" i="106"/>
  <c r="CF71" i="106" s="1"/>
  <c r="CG71" i="106" s="1"/>
  <c r="CH71" i="106" s="1"/>
  <c r="BO71" i="106"/>
  <c r="BI71" i="106"/>
  <c r="BH71" i="106"/>
  <c r="AM71" i="106"/>
  <c r="AL71" i="106"/>
  <c r="AK71" i="106"/>
  <c r="K71" i="106"/>
  <c r="BQ70" i="106"/>
  <c r="CF70" i="106"/>
  <c r="CG70" i="106" s="1"/>
  <c r="BO70" i="106"/>
  <c r="BI70" i="106"/>
  <c r="BH70" i="106"/>
  <c r="AM70" i="106"/>
  <c r="AL70" i="106"/>
  <c r="AK70" i="106"/>
  <c r="W70" i="106"/>
  <c r="X70" i="106" s="1"/>
  <c r="Z70" i="106" s="1"/>
  <c r="AA70" i="106" s="1"/>
  <c r="K70" i="106"/>
  <c r="BQ69" i="106"/>
  <c r="CF69" i="106" s="1"/>
  <c r="CG69" i="106" s="1"/>
  <c r="BO69" i="106"/>
  <c r="BI69" i="106"/>
  <c r="BH69" i="106"/>
  <c r="AM69" i="106"/>
  <c r="AL69" i="106"/>
  <c r="AK69" i="106"/>
  <c r="K69" i="106"/>
  <c r="BQ68" i="106"/>
  <c r="CF68" i="106" s="1"/>
  <c r="CG68" i="106" s="1"/>
  <c r="BO68" i="106"/>
  <c r="BI68" i="106"/>
  <c r="BH68" i="106"/>
  <c r="AM68" i="106"/>
  <c r="AL68" i="106"/>
  <c r="AK68" i="106"/>
  <c r="AG68" i="106"/>
  <c r="R68" i="106"/>
  <c r="Q68" i="106"/>
  <c r="K68" i="106"/>
  <c r="CY67" i="106"/>
  <c r="CZ67" i="106" s="1"/>
  <c r="W67" i="106"/>
  <c r="X67" i="106" s="1"/>
  <c r="Z67" i="106" s="1"/>
  <c r="AA67" i="106" s="1"/>
  <c r="K67" i="106"/>
  <c r="CR66" i="106"/>
  <c r="CV66" i="106"/>
  <c r="CY66" i="106" s="1"/>
  <c r="AM66" i="106"/>
  <c r="AL66" i="106"/>
  <c r="AK66" i="106"/>
  <c r="K66" i="106"/>
  <c r="BQ65" i="106"/>
  <c r="BO65" i="106"/>
  <c r="AM65" i="106"/>
  <c r="AL65" i="106"/>
  <c r="AK65" i="106"/>
  <c r="AG65" i="106"/>
  <c r="CD65" i="106" s="1"/>
  <c r="K65" i="106"/>
  <c r="BQ64" i="106"/>
  <c r="CF64" i="106" s="1"/>
  <c r="CG64" i="106" s="1"/>
  <c r="BO64" i="106"/>
  <c r="BI64" i="106"/>
  <c r="BH64" i="106"/>
  <c r="AM64" i="106"/>
  <c r="AL64" i="106"/>
  <c r="AK64" i="106"/>
  <c r="K64" i="106"/>
  <c r="BQ63" i="106"/>
  <c r="CF63" i="106" s="1"/>
  <c r="CG63" i="106" s="1"/>
  <c r="BO63" i="106"/>
  <c r="BI63" i="106"/>
  <c r="BH63" i="106"/>
  <c r="AM63" i="106"/>
  <c r="AL63" i="106"/>
  <c r="AK63" i="106"/>
  <c r="W63" i="106"/>
  <c r="X63" i="106" s="1"/>
  <c r="Z63" i="106" s="1"/>
  <c r="AA63" i="106" s="1"/>
  <c r="K63" i="106"/>
  <c r="BQ62" i="106"/>
  <c r="CF62" i="106" s="1"/>
  <c r="CG62" i="106" s="1"/>
  <c r="BO62" i="106"/>
  <c r="BI62" i="106"/>
  <c r="BH62" i="106"/>
  <c r="AM62" i="106"/>
  <c r="AL62" i="106"/>
  <c r="AK62" i="106"/>
  <c r="K62" i="106"/>
  <c r="BQ61" i="106"/>
  <c r="CF61" i="106" s="1"/>
  <c r="CG61" i="106" s="1"/>
  <c r="BO61" i="106"/>
  <c r="BI61" i="106"/>
  <c r="BH61" i="106"/>
  <c r="AM61" i="106"/>
  <c r="AL61" i="106"/>
  <c r="AK61" i="106"/>
  <c r="K61" i="106"/>
  <c r="BQ60" i="106"/>
  <c r="CF60" i="106"/>
  <c r="CG60" i="106" s="1"/>
  <c r="BO60" i="106"/>
  <c r="BI60" i="106"/>
  <c r="BH60" i="106"/>
  <c r="AM60" i="106"/>
  <c r="AL60" i="106"/>
  <c r="AK60" i="106"/>
  <c r="O60" i="106"/>
  <c r="K60" i="106"/>
  <c r="BQ59" i="106"/>
  <c r="CF59" i="106" s="1"/>
  <c r="CG59" i="106" s="1"/>
  <c r="CN59" i="106" s="1"/>
  <c r="BO59" i="106"/>
  <c r="BI59" i="106"/>
  <c r="BH59" i="106"/>
  <c r="AM59" i="106"/>
  <c r="AL59" i="106"/>
  <c r="AK59" i="106"/>
  <c r="W59" i="106"/>
  <c r="X59" i="106" s="1"/>
  <c r="Z59" i="106" s="1"/>
  <c r="AA59" i="106" s="1"/>
  <c r="K59" i="106"/>
  <c r="BQ58" i="106"/>
  <c r="CF58" i="106" s="1"/>
  <c r="CG58" i="106" s="1"/>
  <c r="CN58" i="106" s="1"/>
  <c r="BO58" i="106"/>
  <c r="BI58" i="106"/>
  <c r="BH58" i="106"/>
  <c r="AM58" i="106"/>
  <c r="AL58" i="106"/>
  <c r="AK58" i="106"/>
  <c r="W58" i="106"/>
  <c r="X58" i="106" s="1"/>
  <c r="Z58" i="106" s="1"/>
  <c r="AA58" i="106" s="1"/>
  <c r="K58" i="106"/>
  <c r="DB57" i="106"/>
  <c r="DD153" i="106" s="1"/>
  <c r="K57" i="106"/>
  <c r="CM56" i="106"/>
  <c r="CG56" i="106"/>
  <c r="CN56" i="106" s="1"/>
  <c r="AM56" i="106"/>
  <c r="AL56" i="106"/>
  <c r="AK56" i="106"/>
  <c r="W56" i="106"/>
  <c r="X56" i="106" s="1"/>
  <c r="Z56" i="106" s="1"/>
  <c r="AA56" i="106" s="1"/>
  <c r="K56" i="106"/>
  <c r="Q55" i="106"/>
  <c r="DE55" i="106" s="1"/>
  <c r="DE138" i="106" s="1"/>
  <c r="K55" i="106"/>
  <c r="BQ54" i="106"/>
  <c r="CF54" i="106"/>
  <c r="CG54" i="106" s="1"/>
  <c r="BO54" i="106"/>
  <c r="BI54" i="106"/>
  <c r="BH54" i="106"/>
  <c r="AM54" i="106"/>
  <c r="AL54" i="106"/>
  <c r="AK54" i="106"/>
  <c r="K54" i="106"/>
  <c r="BQ53" i="106"/>
  <c r="CF53" i="106" s="1"/>
  <c r="CG53" i="106" s="1"/>
  <c r="BO53" i="106"/>
  <c r="BI53" i="106"/>
  <c r="BH53" i="106"/>
  <c r="AM53" i="106"/>
  <c r="AL53" i="106"/>
  <c r="AK53" i="106"/>
  <c r="W53" i="106"/>
  <c r="X53" i="106" s="1"/>
  <c r="Z53" i="106" s="1"/>
  <c r="AA53" i="106" s="1"/>
  <c r="K53" i="106"/>
  <c r="BQ52" i="106"/>
  <c r="CF52" i="106" s="1"/>
  <c r="CG52" i="106" s="1"/>
  <c r="BO52" i="106"/>
  <c r="BI52" i="106"/>
  <c r="BH52" i="106"/>
  <c r="AM52" i="106"/>
  <c r="AL52" i="106"/>
  <c r="AK52" i="106"/>
  <c r="K52" i="106"/>
  <c r="BQ51" i="106"/>
  <c r="CF51" i="106" s="1"/>
  <c r="CG51" i="106" s="1"/>
  <c r="BO51" i="106"/>
  <c r="BI51" i="106"/>
  <c r="AM51" i="106"/>
  <c r="AL51" i="106"/>
  <c r="AK51" i="106"/>
  <c r="W51" i="106"/>
  <c r="X51" i="106" s="1"/>
  <c r="Z51" i="106" s="1"/>
  <c r="AA51" i="106" s="1"/>
  <c r="K51" i="106"/>
  <c r="CF50" i="106"/>
  <c r="CG50" i="106" s="1"/>
  <c r="BQ50" i="106"/>
  <c r="BO50" i="106"/>
  <c r="BI50" i="106"/>
  <c r="AM50" i="106"/>
  <c r="AL50" i="106"/>
  <c r="AK50" i="106"/>
  <c r="W50" i="106"/>
  <c r="X50" i="106" s="1"/>
  <c r="Z50" i="106" s="1"/>
  <c r="AA50" i="106" s="1"/>
  <c r="K50" i="106"/>
  <c r="BQ49" i="106"/>
  <c r="CF49" i="106"/>
  <c r="CG49" i="106" s="1"/>
  <c r="BO49" i="106"/>
  <c r="BI49" i="106"/>
  <c r="AM49" i="106"/>
  <c r="AL49" i="106"/>
  <c r="AK49" i="106"/>
  <c r="K49" i="106"/>
  <c r="BQ48" i="106"/>
  <c r="CF48" i="106" s="1"/>
  <c r="CG48" i="106" s="1"/>
  <c r="BO48" i="106"/>
  <c r="BI48" i="106"/>
  <c r="AM48" i="106"/>
  <c r="AL48" i="106"/>
  <c r="AK48" i="106"/>
  <c r="W48" i="106"/>
  <c r="X48" i="106" s="1"/>
  <c r="Z48" i="106" s="1"/>
  <c r="AA48" i="106" s="1"/>
  <c r="K48" i="106"/>
  <c r="BQ47" i="106"/>
  <c r="CF47" i="106"/>
  <c r="CG47" i="106" s="1"/>
  <c r="CH47" i="106" s="1"/>
  <c r="BO47" i="106"/>
  <c r="BI47" i="106"/>
  <c r="AM47" i="106"/>
  <c r="AL47" i="106"/>
  <c r="AK47" i="106"/>
  <c r="W47" i="106"/>
  <c r="X47" i="106" s="1"/>
  <c r="Z47" i="106" s="1"/>
  <c r="AA47" i="106" s="1"/>
  <c r="K47" i="106"/>
  <c r="CM46" i="106"/>
  <c r="CN46" i="106" s="1"/>
  <c r="AM46" i="106"/>
  <c r="AL46" i="106"/>
  <c r="AK46" i="106"/>
  <c r="W46" i="106"/>
  <c r="K46" i="106"/>
  <c r="BQ45" i="106"/>
  <c r="CF45" i="106"/>
  <c r="CG45" i="106" s="1"/>
  <c r="BO45" i="106"/>
  <c r="BI45" i="106"/>
  <c r="AM45" i="106"/>
  <c r="AL45" i="106"/>
  <c r="AK45" i="106"/>
  <c r="W45" i="106"/>
  <c r="X45" i="106" s="1"/>
  <c r="Z45" i="106" s="1"/>
  <c r="AA45" i="106" s="1"/>
  <c r="K45" i="106"/>
  <c r="BQ44" i="106"/>
  <c r="CF44" i="106" s="1"/>
  <c r="CG44" i="106" s="1"/>
  <c r="BO44" i="106"/>
  <c r="BI44" i="106"/>
  <c r="AM44" i="106"/>
  <c r="AL44" i="106"/>
  <c r="AK44" i="106"/>
  <c r="W44" i="106"/>
  <c r="X44" i="106" s="1"/>
  <c r="Z44" i="106" s="1"/>
  <c r="AA44" i="106" s="1"/>
  <c r="K44" i="106"/>
  <c r="DB43" i="106"/>
  <c r="K43" i="106"/>
  <c r="BZ42" i="106"/>
  <c r="BO42" i="106"/>
  <c r="BQ42" i="106"/>
  <c r="CF42" i="106"/>
  <c r="CG42" i="106" s="1"/>
  <c r="BI42" i="106"/>
  <c r="BH42" i="106"/>
  <c r="AM42" i="106"/>
  <c r="AL42" i="106"/>
  <c r="AK42" i="106"/>
  <c r="AG42" i="106"/>
  <c r="Q42" i="106"/>
  <c r="Q138" i="106" s="1"/>
  <c r="K42" i="106"/>
  <c r="BQ41" i="106"/>
  <c r="CF41" i="106"/>
  <c r="CG41" i="106" s="1"/>
  <c r="BO41" i="106"/>
  <c r="BI41" i="106"/>
  <c r="BH41" i="106"/>
  <c r="AM41" i="106"/>
  <c r="AL41" i="106"/>
  <c r="AK41" i="106"/>
  <c r="AG41" i="106"/>
  <c r="W41" i="106"/>
  <c r="X41" i="106" s="1"/>
  <c r="Z41" i="106" s="1"/>
  <c r="AA41" i="106" s="1"/>
  <c r="Q41" i="106"/>
  <c r="K41" i="106"/>
  <c r="BQ40" i="106"/>
  <c r="CF40" i="106"/>
  <c r="CG40" i="106"/>
  <c r="BO40" i="106"/>
  <c r="BI40" i="106"/>
  <c r="BH40" i="106"/>
  <c r="AM40" i="106"/>
  <c r="AL40" i="106"/>
  <c r="AK40" i="106"/>
  <c r="AG40" i="106"/>
  <c r="W40" i="106"/>
  <c r="X40" i="106" s="1"/>
  <c r="Z40" i="106" s="1"/>
  <c r="AA40" i="106" s="1"/>
  <c r="K40" i="106"/>
  <c r="BQ39" i="106"/>
  <c r="CF39" i="106" s="1"/>
  <c r="CG39" i="106" s="1"/>
  <c r="BO39" i="106"/>
  <c r="BI39" i="106"/>
  <c r="BH39" i="106"/>
  <c r="AM39" i="106"/>
  <c r="AL39" i="106"/>
  <c r="AK39" i="106"/>
  <c r="AG39" i="106"/>
  <c r="R39" i="106"/>
  <c r="K39" i="106"/>
  <c r="CF38" i="106"/>
  <c r="CG38" i="106"/>
  <c r="CH38" i="106"/>
  <c r="BQ38" i="106"/>
  <c r="BO38" i="106"/>
  <c r="BI38" i="106"/>
  <c r="BH38" i="106"/>
  <c r="AM38" i="106"/>
  <c r="AL38" i="106"/>
  <c r="AK38" i="106"/>
  <c r="AG38" i="106"/>
  <c r="R38" i="106"/>
  <c r="K38" i="106"/>
  <c r="BQ37" i="106"/>
  <c r="CF37" i="106" s="1"/>
  <c r="CG37" i="106" s="1"/>
  <c r="BO37" i="106"/>
  <c r="BI37" i="106"/>
  <c r="BH37" i="106"/>
  <c r="AM37" i="106"/>
  <c r="AL37" i="106"/>
  <c r="AK37" i="106"/>
  <c r="K37" i="106"/>
  <c r="BQ36" i="106"/>
  <c r="CF36" i="106" s="1"/>
  <c r="CG36" i="106" s="1"/>
  <c r="BO36" i="106"/>
  <c r="BI36" i="106"/>
  <c r="BH36" i="106"/>
  <c r="AM36" i="106"/>
  <c r="AL36" i="106"/>
  <c r="AK36" i="106"/>
  <c r="W36" i="106"/>
  <c r="X36" i="106" s="1"/>
  <c r="Z36" i="106" s="1"/>
  <c r="AA36" i="106" s="1"/>
  <c r="K36" i="106"/>
  <c r="BQ35" i="106"/>
  <c r="CF35" i="106" s="1"/>
  <c r="CG35" i="106" s="1"/>
  <c r="BO35" i="106"/>
  <c r="BI35" i="106"/>
  <c r="BH35" i="106"/>
  <c r="AM35" i="106"/>
  <c r="AL35" i="106"/>
  <c r="AK35" i="106"/>
  <c r="K35" i="106"/>
  <c r="BQ34" i="106"/>
  <c r="CF34" i="106" s="1"/>
  <c r="CG34" i="106" s="1"/>
  <c r="CH34" i="106" s="1"/>
  <c r="BO34" i="106"/>
  <c r="BI34" i="106"/>
  <c r="BH34" i="106"/>
  <c r="AM34" i="106"/>
  <c r="AL34" i="106"/>
  <c r="AK34" i="106"/>
  <c r="K34" i="106"/>
  <c r="BQ33" i="106"/>
  <c r="CF33" i="106"/>
  <c r="CG33" i="106"/>
  <c r="BO33" i="106"/>
  <c r="BI33" i="106"/>
  <c r="BH33" i="106"/>
  <c r="AM33" i="106"/>
  <c r="AL33" i="106"/>
  <c r="AK33" i="106"/>
  <c r="W33" i="106"/>
  <c r="X33" i="106" s="1"/>
  <c r="Z33" i="106" s="1"/>
  <c r="AA33" i="106" s="1"/>
  <c r="K33" i="106"/>
  <c r="BQ32" i="106"/>
  <c r="CF32" i="106" s="1"/>
  <c r="CG32" i="106" s="1"/>
  <c r="BO32" i="106"/>
  <c r="BI32" i="106"/>
  <c r="BH32" i="106"/>
  <c r="AM32" i="106"/>
  <c r="AL32" i="106"/>
  <c r="AK32" i="106"/>
  <c r="K32" i="106"/>
  <c r="BQ31" i="106"/>
  <c r="CF31" i="106" s="1"/>
  <c r="CG31" i="106" s="1"/>
  <c r="BO31" i="106"/>
  <c r="BI31" i="106"/>
  <c r="BH31" i="106"/>
  <c r="AM31" i="106"/>
  <c r="AL31" i="106"/>
  <c r="AK31" i="106"/>
  <c r="AG31" i="106"/>
  <c r="K31" i="106"/>
  <c r="BQ30" i="106"/>
  <c r="CF30" i="106"/>
  <c r="CG30" i="106"/>
  <c r="CH30" i="106" s="1"/>
  <c r="BO30" i="106"/>
  <c r="BI30" i="106"/>
  <c r="BH30" i="106"/>
  <c r="AM30" i="106"/>
  <c r="AL30" i="106"/>
  <c r="AK30" i="106"/>
  <c r="W30" i="106"/>
  <c r="X30" i="106" s="1"/>
  <c r="Z30" i="106" s="1"/>
  <c r="AA30" i="106" s="1"/>
  <c r="K30" i="106"/>
  <c r="BZ29" i="106"/>
  <c r="BQ29" i="106"/>
  <c r="CF29" i="106" s="1"/>
  <c r="CG29" i="106" s="1"/>
  <c r="BI29" i="106"/>
  <c r="BH29" i="106"/>
  <c r="AM29" i="106"/>
  <c r="AL29" i="106"/>
  <c r="AK29" i="106"/>
  <c r="AG29" i="106"/>
  <c r="W29" i="106"/>
  <c r="X29" i="106" s="1"/>
  <c r="Z29" i="106" s="1"/>
  <c r="AA29" i="106" s="1"/>
  <c r="K29" i="106"/>
  <c r="BQ28" i="106"/>
  <c r="CF28" i="106"/>
  <c r="CG28" i="106"/>
  <c r="CN28" i="106" s="1"/>
  <c r="CO28" i="106" s="1"/>
  <c r="BO28" i="106"/>
  <c r="BI28" i="106"/>
  <c r="BH28" i="106"/>
  <c r="AM28" i="106"/>
  <c r="AL28" i="106"/>
  <c r="AK28" i="106"/>
  <c r="AG28" i="106"/>
  <c r="W28" i="106"/>
  <c r="Q28" i="106"/>
  <c r="K28" i="106"/>
  <c r="BQ27" i="106"/>
  <c r="CF27" i="106"/>
  <c r="CG27" i="106"/>
  <c r="BO27" i="106"/>
  <c r="BI27" i="106"/>
  <c r="BH27" i="106"/>
  <c r="AM27" i="106"/>
  <c r="AL27" i="106"/>
  <c r="AK27" i="106"/>
  <c r="W27" i="106"/>
  <c r="X27" i="106" s="1"/>
  <c r="Z27" i="106" s="1"/>
  <c r="AA27" i="106" s="1"/>
  <c r="K27" i="106"/>
  <c r="CR26" i="106"/>
  <c r="CV26" i="106" s="1"/>
  <c r="CY26" i="106" s="1"/>
  <c r="AM26" i="106"/>
  <c r="AL26" i="106"/>
  <c r="AK26" i="106"/>
  <c r="BQ25" i="106"/>
  <c r="CF25" i="106"/>
  <c r="CG25" i="106" s="1"/>
  <c r="CN25" i="106" s="1"/>
  <c r="BO25" i="106"/>
  <c r="BI25" i="106"/>
  <c r="BH25" i="106"/>
  <c r="AM25" i="106"/>
  <c r="AL25" i="106"/>
  <c r="AK25" i="106"/>
  <c r="W25" i="106"/>
  <c r="X25" i="106" s="1"/>
  <c r="Z25" i="106" s="1"/>
  <c r="AA25" i="106" s="1"/>
  <c r="K25" i="106"/>
  <c r="BQ24" i="106"/>
  <c r="CF24" i="106"/>
  <c r="CG24" i="106" s="1"/>
  <c r="BO24" i="106"/>
  <c r="BI24" i="106"/>
  <c r="BH24" i="106"/>
  <c r="AM24" i="106"/>
  <c r="AL24" i="106"/>
  <c r="AK24" i="106"/>
  <c r="K24" i="106"/>
  <c r="CP23" i="106"/>
  <c r="CR23" i="106" s="1"/>
  <c r="AM23" i="106"/>
  <c r="AL23" i="106"/>
  <c r="AK23" i="106"/>
  <c r="CP22" i="106"/>
  <c r="CR22" i="106" s="1"/>
  <c r="AM22" i="106"/>
  <c r="AL22" i="106"/>
  <c r="AK22" i="106"/>
  <c r="CP21" i="106"/>
  <c r="BQ21" i="106"/>
  <c r="AM21" i="106"/>
  <c r="AL21" i="106"/>
  <c r="AK21" i="106"/>
  <c r="BQ20" i="106"/>
  <c r="CF20" i="106" s="1"/>
  <c r="CG20" i="106" s="1"/>
  <c r="CH20" i="106" s="1"/>
  <c r="BO20" i="106"/>
  <c r="BI20" i="106"/>
  <c r="BH20" i="106"/>
  <c r="AM20" i="106"/>
  <c r="AL20" i="106"/>
  <c r="AK20" i="106"/>
  <c r="W20" i="106"/>
  <c r="X20" i="106" s="1"/>
  <c r="Z20" i="106" s="1"/>
  <c r="AA20" i="106" s="1"/>
  <c r="K20" i="106"/>
  <c r="CF19" i="106"/>
  <c r="CG19" i="106" s="1"/>
  <c r="BQ19" i="106"/>
  <c r="BO19" i="106"/>
  <c r="BI19" i="106"/>
  <c r="BH19" i="106"/>
  <c r="AM19" i="106"/>
  <c r="AL19" i="106"/>
  <c r="AK19" i="106"/>
  <c r="K19" i="106"/>
  <c r="BQ18" i="106"/>
  <c r="CF18" i="106" s="1"/>
  <c r="CG18" i="106" s="1"/>
  <c r="BO18" i="106"/>
  <c r="BI18" i="106"/>
  <c r="BH18" i="106"/>
  <c r="AM18" i="106"/>
  <c r="AL18" i="106"/>
  <c r="AK18" i="106"/>
  <c r="W18" i="106"/>
  <c r="X18" i="106" s="1"/>
  <c r="Z18" i="106" s="1"/>
  <c r="AA18" i="106" s="1"/>
  <c r="K18" i="106"/>
  <c r="BQ17" i="106"/>
  <c r="CF17" i="106" s="1"/>
  <c r="CG17" i="106" s="1"/>
  <c r="CN17" i="106" s="1"/>
  <c r="BO17" i="106"/>
  <c r="BH17" i="106"/>
  <c r="AM17" i="106"/>
  <c r="AL17" i="106"/>
  <c r="AK17" i="106"/>
  <c r="K17" i="106"/>
  <c r="BQ16" i="106"/>
  <c r="CF16" i="106"/>
  <c r="CG16" i="106" s="1"/>
  <c r="CN16" i="106" s="1"/>
  <c r="BO16" i="106"/>
  <c r="BH16" i="106"/>
  <c r="AM16" i="106"/>
  <c r="AL16" i="106"/>
  <c r="AK16" i="106"/>
  <c r="K16" i="106"/>
  <c r="CT15" i="106"/>
  <c r="CT138" i="106" s="1"/>
  <c r="W15" i="106"/>
  <c r="X15" i="106" s="1"/>
  <c r="Z15" i="106" s="1"/>
  <c r="AA15" i="106" s="1"/>
  <c r="K15" i="106"/>
  <c r="CR14" i="106"/>
  <c r="CV14" i="106" s="1"/>
  <c r="W14" i="106"/>
  <c r="X14" i="106" s="1"/>
  <c r="Z14" i="106" s="1"/>
  <c r="AA14" i="106" s="1"/>
  <c r="K14" i="106"/>
  <c r="CF13" i="106"/>
  <c r="CG13" i="106" s="1"/>
  <c r="CN13" i="106" s="1"/>
  <c r="BQ13" i="106"/>
  <c r="BO13" i="106"/>
  <c r="BH13" i="106"/>
  <c r="AM13" i="106"/>
  <c r="AL13" i="106"/>
  <c r="AK13" i="106"/>
  <c r="K13" i="106"/>
  <c r="BQ12" i="106"/>
  <c r="CF12" i="106"/>
  <c r="CG12" i="106" s="1"/>
  <c r="BO12" i="106"/>
  <c r="BH12" i="106"/>
  <c r="AM12" i="106"/>
  <c r="AL12" i="106"/>
  <c r="AK12" i="106"/>
  <c r="K12" i="106"/>
  <c r="BQ11" i="106"/>
  <c r="CF11" i="106" s="1"/>
  <c r="CG11" i="106" s="1"/>
  <c r="CN11" i="106" s="1"/>
  <c r="BO11" i="106"/>
  <c r="BH11" i="106"/>
  <c r="AM11" i="106"/>
  <c r="AL11" i="106"/>
  <c r="AK11" i="106"/>
  <c r="W11" i="106"/>
  <c r="X11" i="106" s="1"/>
  <c r="Z11" i="106" s="1"/>
  <c r="AA11" i="106" s="1"/>
  <c r="BQ10" i="106"/>
  <c r="CF10" i="106"/>
  <c r="CG10" i="106"/>
  <c r="CH10" i="106" s="1"/>
  <c r="BO10" i="106"/>
  <c r="BH10" i="106"/>
  <c r="AM10" i="106"/>
  <c r="AL10" i="106"/>
  <c r="AK10" i="106"/>
  <c r="W10" i="106"/>
  <c r="X10" i="106" s="1"/>
  <c r="Z10" i="106" s="1"/>
  <c r="AA10" i="106" s="1"/>
  <c r="K10" i="106"/>
  <c r="BQ9" i="106"/>
  <c r="CF9" i="106" s="1"/>
  <c r="CG9" i="106" s="1"/>
  <c r="BO9" i="106"/>
  <c r="BH9" i="106"/>
  <c r="AM9" i="106"/>
  <c r="AL9" i="106"/>
  <c r="AK9" i="106"/>
  <c r="W9" i="106"/>
  <c r="X9" i="106" s="1"/>
  <c r="Z9" i="106" s="1"/>
  <c r="AA9" i="106" s="1"/>
  <c r="K9" i="106"/>
  <c r="BQ8" i="106"/>
  <c r="CF8" i="106"/>
  <c r="CG8" i="106" s="1"/>
  <c r="BO8" i="106"/>
  <c r="BH8" i="106"/>
  <c r="AM8" i="106"/>
  <c r="AL8" i="106"/>
  <c r="AK8" i="106"/>
  <c r="K8" i="106"/>
  <c r="BQ7" i="106"/>
  <c r="CF7" i="106" s="1"/>
  <c r="CG7" i="106" s="1"/>
  <c r="CH7" i="106" s="1"/>
  <c r="BO7" i="106"/>
  <c r="BH7" i="106"/>
  <c r="AM7" i="106"/>
  <c r="AL7" i="106"/>
  <c r="AK7" i="106"/>
  <c r="W7" i="106"/>
  <c r="X7" i="106" s="1"/>
  <c r="Z7" i="106" s="1"/>
  <c r="AA7" i="106" s="1"/>
  <c r="K7" i="106"/>
  <c r="BQ6" i="106"/>
  <c r="CF6" i="106"/>
  <c r="CG6" i="106"/>
  <c r="BO6" i="106"/>
  <c r="BH6" i="106"/>
  <c r="AM6" i="106"/>
  <c r="AL6" i="106"/>
  <c r="AK6" i="106"/>
  <c r="AJ6" i="106"/>
  <c r="AG6" i="106"/>
  <c r="R6" i="106"/>
  <c r="K6" i="106"/>
  <c r="BQ5" i="106"/>
  <c r="CF5" i="106"/>
  <c r="CG5" i="106"/>
  <c r="BO5" i="106"/>
  <c r="BH5" i="106"/>
  <c r="AM5" i="106"/>
  <c r="AL5" i="106"/>
  <c r="AK5" i="106"/>
  <c r="AG5" i="106"/>
  <c r="K5" i="106"/>
  <c r="BQ4" i="106"/>
  <c r="BO4" i="106"/>
  <c r="BH4" i="106"/>
  <c r="AM4" i="106"/>
  <c r="AL4" i="106"/>
  <c r="AK4" i="106"/>
  <c r="AG4" i="106"/>
  <c r="K4" i="106"/>
  <c r="BW3" i="106"/>
  <c r="BQ3" i="106"/>
  <c r="CF3" i="106"/>
  <c r="CG3" i="106"/>
  <c r="CH3" i="106"/>
  <c r="BO3" i="106"/>
  <c r="BM3" i="106"/>
  <c r="AM3" i="106"/>
  <c r="AL3" i="106"/>
  <c r="AK3" i="106"/>
  <c r="AG3" i="106"/>
  <c r="K3" i="106"/>
  <c r="BQ2" i="106"/>
  <c r="BO2" i="106"/>
  <c r="AI2" i="106"/>
  <c r="AK2" i="106"/>
  <c r="R2" i="106"/>
  <c r="AG2" i="106" s="1"/>
  <c r="BJ2" i="106" s="1"/>
  <c r="CD2" i="106" s="1"/>
  <c r="K2" i="106"/>
  <c r="C49" i="105"/>
  <c r="C51" i="105" s="1"/>
  <c r="C52" i="105" s="1"/>
  <c r="C25" i="105"/>
  <c r="C26" i="105" s="1"/>
  <c r="C27" i="105" s="1"/>
  <c r="AB13" i="105"/>
  <c r="BR7" i="105"/>
  <c r="BN7" i="105"/>
  <c r="BM7" i="105"/>
  <c r="BI7" i="105"/>
  <c r="BF7" i="105"/>
  <c r="BE7" i="105"/>
  <c r="BD7" i="105"/>
  <c r="BC7" i="105"/>
  <c r="BB7" i="105"/>
  <c r="BA7" i="105"/>
  <c r="AZ7" i="105"/>
  <c r="AY7" i="105"/>
  <c r="AX7" i="105"/>
  <c r="AW7" i="105"/>
  <c r="AV7" i="105"/>
  <c r="AQ7" i="105"/>
  <c r="AP7" i="105"/>
  <c r="AO7" i="105"/>
  <c r="AM7" i="105"/>
  <c r="AM85" i="105"/>
  <c r="AL7" i="105"/>
  <c r="AL85" i="105" s="1"/>
  <c r="AK7" i="105"/>
  <c r="AJ7" i="105"/>
  <c r="AI7" i="105"/>
  <c r="AH7" i="105"/>
  <c r="AG7" i="105"/>
  <c r="AF7" i="105"/>
  <c r="AE7" i="105"/>
  <c r="AD7" i="105"/>
  <c r="AC7" i="105"/>
  <c r="AB7" i="105"/>
  <c r="AA7" i="105"/>
  <c r="Z7" i="105"/>
  <c r="Y7" i="105"/>
  <c r="R7" i="105"/>
  <c r="Q7" i="105"/>
  <c r="R8" i="105" s="1"/>
  <c r="AS4" i="105"/>
  <c r="AS7" i="105"/>
  <c r="AR4" i="105"/>
  <c r="AR7" i="105" s="1"/>
  <c r="K4" i="105"/>
  <c r="CR34" i="104"/>
  <c r="CS29" i="104"/>
  <c r="CO29" i="104"/>
  <c r="CW27" i="104"/>
  <c r="CW29" i="104" s="1"/>
  <c r="CT21" i="104"/>
  <c r="CG21" i="104"/>
  <c r="CC21" i="104"/>
  <c r="CB21" i="104"/>
  <c r="CA21" i="104"/>
  <c r="BL21" i="104"/>
  <c r="BI21" i="104"/>
  <c r="BG21" i="104"/>
  <c r="BD21" i="104"/>
  <c r="BB21" i="104"/>
  <c r="BB101" i="104"/>
  <c r="BA21" i="104"/>
  <c r="BA101" i="104" s="1"/>
  <c r="AX21" i="104"/>
  <c r="AT21" i="104"/>
  <c r="AP21" i="104"/>
  <c r="AJ21" i="104"/>
  <c r="AI21" i="104"/>
  <c r="Y21" i="104"/>
  <c r="R21" i="104"/>
  <c r="O21" i="104"/>
  <c r="A21" i="104"/>
  <c r="BN20" i="104"/>
  <c r="BK20" i="104"/>
  <c r="BM20" i="104" s="1"/>
  <c r="BO20" i="104" s="1"/>
  <c r="CD20" i="104" s="1"/>
  <c r="BH20" i="104"/>
  <c r="W20" i="104"/>
  <c r="X20" i="104" s="1"/>
  <c r="Z20" i="104" s="1"/>
  <c r="AF20" i="104" s="1"/>
  <c r="K20" i="104"/>
  <c r="BN19" i="104"/>
  <c r="BK19" i="104"/>
  <c r="BM19" i="104" s="1"/>
  <c r="BO19" i="104" s="1"/>
  <c r="CD19" i="104" s="1"/>
  <c r="BH19" i="104"/>
  <c r="AH19" i="104"/>
  <c r="W19" i="104"/>
  <c r="X19" i="104"/>
  <c r="Z19" i="104"/>
  <c r="AF19" i="104" s="1"/>
  <c r="Q19" i="104"/>
  <c r="K19" i="104"/>
  <c r="BZ18" i="104"/>
  <c r="BX18" i="104"/>
  <c r="BH18" i="104"/>
  <c r="AH18" i="104"/>
  <c r="BK18" i="104" s="1"/>
  <c r="BM18" i="104" s="1"/>
  <c r="W18" i="104"/>
  <c r="X18" i="104" s="1"/>
  <c r="Z18" i="104" s="1"/>
  <c r="Q18" i="104"/>
  <c r="O18" i="104"/>
  <c r="K18" i="104"/>
  <c r="BN17" i="104"/>
  <c r="BH17" i="104"/>
  <c r="AH17" i="104"/>
  <c r="W17" i="104"/>
  <c r="X17" i="104" s="1"/>
  <c r="Z17" i="104" s="1"/>
  <c r="Q17" i="104"/>
  <c r="Q21" i="104"/>
  <c r="K17" i="104"/>
  <c r="CM16" i="104"/>
  <c r="CI16" i="104"/>
  <c r="CE16" i="104"/>
  <c r="BN16" i="104"/>
  <c r="BH16" i="104"/>
  <c r="X16" i="104"/>
  <c r="Z16" i="104" s="1"/>
  <c r="AF16" i="104" s="1"/>
  <c r="CN16" i="104" s="1"/>
  <c r="W16" i="104"/>
  <c r="K16" i="104"/>
  <c r="BN15" i="104"/>
  <c r="BK15" i="104"/>
  <c r="BM15" i="104" s="1"/>
  <c r="BO15" i="104" s="1"/>
  <c r="CD15" i="104" s="1"/>
  <c r="BH15" i="104"/>
  <c r="W15" i="104"/>
  <c r="X15" i="104" s="1"/>
  <c r="Z15" i="104" s="1"/>
  <c r="AF15" i="104" s="1"/>
  <c r="K15" i="104"/>
  <c r="BZ14" i="104"/>
  <c r="BZ21" i="104" s="1"/>
  <c r="BZ22" i="104" s="1"/>
  <c r="BX14" i="104"/>
  <c r="BN14" i="104" s="1"/>
  <c r="BK14" i="104"/>
  <c r="BM14" i="104" s="1"/>
  <c r="BH14" i="104"/>
  <c r="W14" i="104"/>
  <c r="X14" i="104" s="1"/>
  <c r="Z14" i="104" s="1"/>
  <c r="AF14" i="104" s="1"/>
  <c r="K14" i="104"/>
  <c r="CD13" i="104"/>
  <c r="CH13" i="104" s="1"/>
  <c r="BK13" i="104"/>
  <c r="W13" i="104"/>
  <c r="X13" i="104" s="1"/>
  <c r="Z13" i="104" s="1"/>
  <c r="AF13" i="104" s="1"/>
  <c r="K13" i="104"/>
  <c r="BN12" i="104"/>
  <c r="BH12" i="104"/>
  <c r="AH12" i="104"/>
  <c r="W12" i="104"/>
  <c r="X12" i="104" s="1"/>
  <c r="Z12" i="104" s="1"/>
  <c r="K12" i="104"/>
  <c r="CQ11" i="104"/>
  <c r="CR11" i="104" s="1"/>
  <c r="CU11" i="104" s="1"/>
  <c r="CX11" i="104" s="1"/>
  <c r="CZ11" i="104" s="1"/>
  <c r="W11" i="104"/>
  <c r="X11" i="104" s="1"/>
  <c r="Z11" i="104" s="1"/>
  <c r="K11" i="104"/>
  <c r="BN10" i="104"/>
  <c r="BM10" i="104"/>
  <c r="BO10" i="104" s="1"/>
  <c r="CD10" i="104" s="1"/>
  <c r="BK10" i="104"/>
  <c r="BH10" i="104"/>
  <c r="W10" i="104"/>
  <c r="X10" i="104" s="1"/>
  <c r="Z10" i="104" s="1"/>
  <c r="AF10" i="104" s="1"/>
  <c r="K10" i="104"/>
  <c r="W9" i="104"/>
  <c r="X9" i="104" s="1"/>
  <c r="Z9" i="104" s="1"/>
  <c r="K9" i="104"/>
  <c r="BX8" i="104"/>
  <c r="BX21" i="104" s="1"/>
  <c r="BN8" i="104"/>
  <c r="BH8" i="104"/>
  <c r="AH8" i="104"/>
  <c r="AF8" i="104" s="1"/>
  <c r="W8" i="104"/>
  <c r="X8" i="104" s="1"/>
  <c r="Z8" i="104" s="1"/>
  <c r="K8" i="104"/>
  <c r="CQ7" i="104"/>
  <c r="CQ21" i="104"/>
  <c r="CO7" i="104"/>
  <c r="CR7" i="104" s="1"/>
  <c r="CL7" i="104"/>
  <c r="CM7" i="104"/>
  <c r="BK7" i="104"/>
  <c r="W7" i="104"/>
  <c r="X7" i="104"/>
  <c r="Z7" i="104"/>
  <c r="BN6" i="104"/>
  <c r="BM6" i="104"/>
  <c r="BO6" i="104" s="1"/>
  <c r="CD6" i="104" s="1"/>
  <c r="BK6" i="104"/>
  <c r="BH6" i="104"/>
  <c r="W6" i="104"/>
  <c r="X6" i="104" s="1"/>
  <c r="Z6" i="104" s="1"/>
  <c r="AF6" i="104" s="1"/>
  <c r="K6" i="104"/>
  <c r="BN5" i="104"/>
  <c r="BH5" i="104"/>
  <c r="AH5" i="104"/>
  <c r="AH21" i="104" s="1"/>
  <c r="X5" i="104"/>
  <c r="Z5" i="104" s="1"/>
  <c r="W5" i="104"/>
  <c r="K5" i="104"/>
  <c r="BN4" i="104"/>
  <c r="BK4" i="104"/>
  <c r="BM4" i="104" s="1"/>
  <c r="BH4" i="104"/>
  <c r="BH21" i="104" s="1"/>
  <c r="W4" i="104"/>
  <c r="X4" i="104" s="1"/>
  <c r="Z4" i="104" s="1"/>
  <c r="K4" i="104"/>
  <c r="DM106" i="103"/>
  <c r="DI105" i="103"/>
  <c r="CL105" i="103"/>
  <c r="DS101" i="103"/>
  <c r="DN101" i="103"/>
  <c r="DJ101" i="103"/>
  <c r="DF101" i="103"/>
  <c r="DA92" i="103"/>
  <c r="A92" i="103"/>
  <c r="DQ91" i="103"/>
  <c r="CQ91" i="103"/>
  <c r="CO91" i="103"/>
  <c r="CO96" i="103" s="1"/>
  <c r="CL91" i="103"/>
  <c r="CG91" i="103"/>
  <c r="CF91" i="103"/>
  <c r="CE91" i="103"/>
  <c r="CD91" i="103"/>
  <c r="BQ91" i="103"/>
  <c r="BQ100" i="103" s="1"/>
  <c r="BQ102" i="103" s="1"/>
  <c r="BO91" i="103"/>
  <c r="BD91" i="103"/>
  <c r="BB91" i="103"/>
  <c r="BA91" i="103"/>
  <c r="AI91" i="103"/>
  <c r="AF91" i="103"/>
  <c r="AD91" i="103"/>
  <c r="AC91" i="103"/>
  <c r="AB91" i="103"/>
  <c r="A91" i="103"/>
  <c r="DA82" i="103"/>
  <c r="DF82" i="103"/>
  <c r="DI82" i="103" s="1"/>
  <c r="AM82" i="103"/>
  <c r="AL82" i="103"/>
  <c r="AK82" i="103"/>
  <c r="W82" i="103"/>
  <c r="X82" i="103" s="1"/>
  <c r="Z82" i="103" s="1"/>
  <c r="AA82" i="103" s="1"/>
  <c r="CU81" i="103"/>
  <c r="CV81" i="103"/>
  <c r="CP81" i="103"/>
  <c r="BM81" i="103"/>
  <c r="CM81" i="103" s="1"/>
  <c r="CN81" i="103" s="1"/>
  <c r="CJ81" i="103" s="1"/>
  <c r="BL81" i="103"/>
  <c r="BH81" i="103"/>
  <c r="AG81" i="103"/>
  <c r="AK81" i="103"/>
  <c r="W81" i="103"/>
  <c r="X81" i="103" s="1"/>
  <c r="Z81" i="103" s="1"/>
  <c r="AA81" i="103" s="1"/>
  <c r="K81" i="103"/>
  <c r="CU80" i="103"/>
  <c r="CV80" i="103" s="1"/>
  <c r="CP80" i="103"/>
  <c r="BM80" i="103"/>
  <c r="CM80" i="103"/>
  <c r="CN80" i="103"/>
  <c r="CJ80" i="103" s="1"/>
  <c r="BL80" i="103"/>
  <c r="BH80" i="103"/>
  <c r="AM80" i="103"/>
  <c r="AL80" i="103"/>
  <c r="AK80" i="103"/>
  <c r="AE80" i="103"/>
  <c r="W80" i="103"/>
  <c r="X80" i="103" s="1"/>
  <c r="Z80" i="103" s="1"/>
  <c r="AA80" i="103" s="1"/>
  <c r="K80" i="103"/>
  <c r="DM79" i="103"/>
  <c r="DP79" i="103" s="1"/>
  <c r="DR79" i="103" s="1"/>
  <c r="DT79" i="103" s="1"/>
  <c r="CU79" i="103"/>
  <c r="DA79" i="103"/>
  <c r="DB79" i="103"/>
  <c r="CP79" i="103"/>
  <c r="BM79" i="103"/>
  <c r="CM79" i="103" s="1"/>
  <c r="CN79" i="103" s="1"/>
  <c r="CJ79" i="103" s="1"/>
  <c r="BL79" i="103"/>
  <c r="BH79" i="103"/>
  <c r="AM79" i="103"/>
  <c r="AL79" i="103"/>
  <c r="AK79" i="103"/>
  <c r="AE79" i="103"/>
  <c r="X79" i="103"/>
  <c r="Z79" i="103"/>
  <c r="AA79" i="103"/>
  <c r="K79" i="103"/>
  <c r="DH78" i="103"/>
  <c r="DI78" i="103"/>
  <c r="CU77" i="103"/>
  <c r="DA77" i="103" s="1"/>
  <c r="DB77" i="103" s="1"/>
  <c r="CP77" i="103"/>
  <c r="CM77" i="103"/>
  <c r="CN77" i="103"/>
  <c r="CJ77" i="103"/>
  <c r="AM77" i="103"/>
  <c r="AL77" i="103"/>
  <c r="AK77" i="103"/>
  <c r="W77" i="103"/>
  <c r="X77" i="103" s="1"/>
  <c r="Z77" i="103" s="1"/>
  <c r="AA77" i="103" s="1"/>
  <c r="K77" i="103"/>
  <c r="CU76" i="103"/>
  <c r="DA76" i="103"/>
  <c r="CP76" i="103"/>
  <c r="CM76" i="103"/>
  <c r="CN76" i="103" s="1"/>
  <c r="CJ76" i="103" s="1"/>
  <c r="AM76" i="103"/>
  <c r="AL76" i="103"/>
  <c r="AK76" i="103"/>
  <c r="W76" i="103"/>
  <c r="X76" i="103" s="1"/>
  <c r="Z76" i="103" s="1"/>
  <c r="AA76" i="103" s="1"/>
  <c r="K76" i="103"/>
  <c r="CU75" i="103"/>
  <c r="DA75" i="103" s="1"/>
  <c r="CP75" i="103"/>
  <c r="BM75" i="103"/>
  <c r="CM75" i="103"/>
  <c r="CN75" i="103"/>
  <c r="CJ75" i="103"/>
  <c r="BL75" i="103"/>
  <c r="AM75" i="103"/>
  <c r="AL75" i="103"/>
  <c r="AK75" i="103"/>
  <c r="W75" i="103"/>
  <c r="X75" i="103" s="1"/>
  <c r="Z75" i="103" s="1"/>
  <c r="AA75" i="103" s="1"/>
  <c r="K75" i="103"/>
  <c r="CU74" i="103"/>
  <c r="DA74" i="103"/>
  <c r="CP74" i="103"/>
  <c r="BM74" i="103"/>
  <c r="CM74" i="103" s="1"/>
  <c r="CN74" i="103"/>
  <c r="CJ74" i="103" s="1"/>
  <c r="BL74" i="103"/>
  <c r="BH74" i="103"/>
  <c r="AM74" i="103"/>
  <c r="AL74" i="103"/>
  <c r="AK74" i="103"/>
  <c r="AE74" i="103"/>
  <c r="W74" i="103"/>
  <c r="X74" i="103" s="1"/>
  <c r="Z74" i="103" s="1"/>
  <c r="AA74" i="103" s="1"/>
  <c r="K74" i="103"/>
  <c r="DH73" i="103"/>
  <c r="DI73" i="103"/>
  <c r="DM73" i="103"/>
  <c r="DP73" i="103"/>
  <c r="DR73" i="103" s="1"/>
  <c r="DT73" i="103" s="1"/>
  <c r="K73" i="103"/>
  <c r="CU72" i="103"/>
  <c r="CV72" i="103" s="1"/>
  <c r="CP72" i="103"/>
  <c r="CI72" i="103"/>
  <c r="BM72" i="103"/>
  <c r="CM72" i="103"/>
  <c r="CN72" i="103" s="1"/>
  <c r="BL72" i="103"/>
  <c r="BH72" i="103"/>
  <c r="AG72" i="103"/>
  <c r="AL72" i="103"/>
  <c r="AA72" i="103"/>
  <c r="W72" i="103"/>
  <c r="X72" i="103" s="1"/>
  <c r="R72" i="103"/>
  <c r="K72" i="103"/>
  <c r="CU71" i="103"/>
  <c r="CV71" i="103" s="1"/>
  <c r="CP71" i="103"/>
  <c r="BM71" i="103"/>
  <c r="CM71" i="103"/>
  <c r="CN71" i="103"/>
  <c r="CJ71" i="103" s="1"/>
  <c r="BL71" i="103"/>
  <c r="BH71" i="103"/>
  <c r="AM71" i="103"/>
  <c r="W71" i="103"/>
  <c r="K71" i="103"/>
  <c r="CU70" i="103"/>
  <c r="DA70" i="103"/>
  <c r="CP70" i="103"/>
  <c r="BM70" i="103"/>
  <c r="CM70" i="103"/>
  <c r="CN70" i="103"/>
  <c r="CJ70" i="103" s="1"/>
  <c r="BL70" i="103"/>
  <c r="BH70" i="103"/>
  <c r="AM70" i="103"/>
  <c r="AL70" i="103"/>
  <c r="AK70" i="103"/>
  <c r="AE70" i="103"/>
  <c r="K70" i="103"/>
  <c r="CU69" i="103"/>
  <c r="CP69" i="103"/>
  <c r="BM69" i="103"/>
  <c r="CM69" i="103"/>
  <c r="CN69" i="103"/>
  <c r="CJ69" i="103" s="1"/>
  <c r="BL69" i="103"/>
  <c r="BH69" i="103"/>
  <c r="AM69" i="103"/>
  <c r="AL69" i="103"/>
  <c r="AK69" i="103"/>
  <c r="AE69" i="103"/>
  <c r="W69" i="103"/>
  <c r="X69" i="103" s="1"/>
  <c r="Z69" i="103" s="1"/>
  <c r="AA69" i="103" s="1"/>
  <c r="K69" i="103"/>
  <c r="Q68" i="103"/>
  <c r="DH68" i="103"/>
  <c r="DI68" i="103"/>
  <c r="DM68" i="103" s="1"/>
  <c r="DP68" i="103" s="1"/>
  <c r="DR68" i="103" s="1"/>
  <c r="DT68" i="103" s="1"/>
  <c r="K68" i="103"/>
  <c r="CU67" i="103"/>
  <c r="DA67" i="103"/>
  <c r="DF67" i="103"/>
  <c r="CP67" i="103"/>
  <c r="BM67" i="103"/>
  <c r="CM67" i="103"/>
  <c r="CN67" i="103"/>
  <c r="CJ67" i="103" s="1"/>
  <c r="BL67" i="103"/>
  <c r="BH67" i="103"/>
  <c r="AG67" i="103"/>
  <c r="AM67" i="103" s="1"/>
  <c r="W67" i="103"/>
  <c r="X67" i="103" s="1"/>
  <c r="Z67" i="103" s="1"/>
  <c r="AA67" i="103" s="1"/>
  <c r="Q67" i="103"/>
  <c r="K67" i="103"/>
  <c r="DM66" i="103"/>
  <c r="DP66" i="103" s="1"/>
  <c r="DR66" i="103" s="1"/>
  <c r="DT66" i="103" s="1"/>
  <c r="W66" i="103"/>
  <c r="X66" i="103" s="1"/>
  <c r="Z66" i="103" s="1"/>
  <c r="AA66" i="103" s="1"/>
  <c r="K66" i="103"/>
  <c r="CT65" i="103"/>
  <c r="CU65" i="103"/>
  <c r="CP65" i="103"/>
  <c r="BM65" i="103"/>
  <c r="CM65" i="103"/>
  <c r="CN65" i="103"/>
  <c r="CJ65" i="103" s="1"/>
  <c r="BL65" i="103"/>
  <c r="BH65" i="103"/>
  <c r="AM65" i="103"/>
  <c r="AL65" i="103"/>
  <c r="AK65" i="103"/>
  <c r="K65" i="103"/>
  <c r="CU64" i="103"/>
  <c r="DA64" i="103" s="1"/>
  <c r="CP64" i="103"/>
  <c r="BM64" i="103"/>
  <c r="CM64" i="103"/>
  <c r="CN64" i="103" s="1"/>
  <c r="CJ64" i="103" s="1"/>
  <c r="BL64" i="103"/>
  <c r="BH64" i="103"/>
  <c r="AM64" i="103"/>
  <c r="AL64" i="103"/>
  <c r="AK64" i="103"/>
  <c r="AE64" i="103"/>
  <c r="W64" i="103"/>
  <c r="X64" i="103" s="1"/>
  <c r="Z64" i="103" s="1"/>
  <c r="AA64" i="103" s="1"/>
  <c r="K64" i="103"/>
  <c r="DA63" i="103"/>
  <c r="DF63" i="103"/>
  <c r="DI63" i="103" s="1"/>
  <c r="CV63" i="103"/>
  <c r="AG63" i="103"/>
  <c r="AM63" i="103"/>
  <c r="K63" i="103"/>
  <c r="CU62" i="103"/>
  <c r="DA62" i="103"/>
  <c r="DB62" i="103"/>
  <c r="CP62" i="103"/>
  <c r="BM62" i="103"/>
  <c r="CM62" i="103"/>
  <c r="CN62" i="103"/>
  <c r="CJ62" i="103" s="1"/>
  <c r="BL62" i="103"/>
  <c r="BH62" i="103"/>
  <c r="AG62" i="103"/>
  <c r="AL62" i="103" s="1"/>
  <c r="K62" i="103"/>
  <c r="CU61" i="103"/>
  <c r="DA61" i="103"/>
  <c r="DB61" i="103" s="1"/>
  <c r="CP61" i="103"/>
  <c r="BM61" i="103"/>
  <c r="CM61" i="103"/>
  <c r="CN61" i="103" s="1"/>
  <c r="CJ61" i="103" s="1"/>
  <c r="BL61" i="103"/>
  <c r="BH61" i="103"/>
  <c r="AG61" i="103"/>
  <c r="AL61" i="103" s="1"/>
  <c r="W61" i="103"/>
  <c r="K61" i="103"/>
  <c r="CU60" i="103"/>
  <c r="DA60" i="103" s="1"/>
  <c r="CP60" i="103"/>
  <c r="BM60" i="103"/>
  <c r="CM60" i="103" s="1"/>
  <c r="CN60" i="103" s="1"/>
  <c r="CJ60" i="103" s="1"/>
  <c r="BL60" i="103"/>
  <c r="BH60" i="103"/>
  <c r="AM60" i="103"/>
  <c r="AL60" i="103"/>
  <c r="AK60" i="103"/>
  <c r="AE60" i="103"/>
  <c r="AA60" i="103"/>
  <c r="W60" i="103"/>
  <c r="X60" i="103" s="1"/>
  <c r="K60" i="103"/>
  <c r="CU59" i="103"/>
  <c r="CV59" i="103"/>
  <c r="CP59" i="103"/>
  <c r="BM59" i="103"/>
  <c r="CM59" i="103" s="1"/>
  <c r="CN59" i="103" s="1"/>
  <c r="CJ59" i="103" s="1"/>
  <c r="BL59" i="103"/>
  <c r="BH59" i="103"/>
  <c r="AM59" i="103"/>
  <c r="AL59" i="103"/>
  <c r="AK59" i="103"/>
  <c r="AE59" i="103"/>
  <c r="W59" i="103"/>
  <c r="R59" i="103"/>
  <c r="K59" i="103"/>
  <c r="CU58" i="103"/>
  <c r="CP58" i="103"/>
  <c r="BM58" i="103"/>
  <c r="CM58" i="103" s="1"/>
  <c r="CN58" i="103" s="1"/>
  <c r="CJ58" i="103" s="1"/>
  <c r="BL58" i="103"/>
  <c r="BH58" i="103"/>
  <c r="AG58" i="103"/>
  <c r="AK58" i="103"/>
  <c r="W58" i="103"/>
  <c r="X58" i="103" s="1"/>
  <c r="Z58" i="103" s="1"/>
  <c r="AA58" i="103" s="1"/>
  <c r="K58" i="103"/>
  <c r="CU57" i="103"/>
  <c r="CV57" i="103"/>
  <c r="CP57" i="103"/>
  <c r="BM57" i="103"/>
  <c r="CM57" i="103" s="1"/>
  <c r="CN57" i="103" s="1"/>
  <c r="CJ57" i="103" s="1"/>
  <c r="BL57" i="103"/>
  <c r="BH57" i="103"/>
  <c r="AM57" i="103"/>
  <c r="AL57" i="103"/>
  <c r="AK57" i="103"/>
  <c r="AE57" i="103"/>
  <c r="W57" i="103"/>
  <c r="X57" i="103" s="1"/>
  <c r="Z57" i="103" s="1"/>
  <c r="AA57" i="103" s="1"/>
  <c r="K57" i="103"/>
  <c r="CU56" i="103"/>
  <c r="DA56" i="103" s="1"/>
  <c r="CP56" i="103"/>
  <c r="AM56" i="103"/>
  <c r="AL56" i="103"/>
  <c r="AK56" i="103"/>
  <c r="AE56" i="103"/>
  <c r="K56" i="103"/>
  <c r="CU55" i="103"/>
  <c r="DA55" i="103" s="1"/>
  <c r="CP55" i="103"/>
  <c r="BM55" i="103"/>
  <c r="CM55" i="103" s="1"/>
  <c r="CN55" i="103" s="1"/>
  <c r="CJ55" i="103" s="1"/>
  <c r="BL55" i="103"/>
  <c r="BH55" i="103"/>
  <c r="AG55" i="103"/>
  <c r="Q55" i="103"/>
  <c r="K55" i="103"/>
  <c r="CU54" i="103"/>
  <c r="CP54" i="103"/>
  <c r="BM54" i="103"/>
  <c r="CM54" i="103"/>
  <c r="CN54" i="103" s="1"/>
  <c r="CJ54" i="103" s="1"/>
  <c r="BL54" i="103"/>
  <c r="BH54" i="103"/>
  <c r="AM54" i="103"/>
  <c r="AL54" i="103"/>
  <c r="AK54" i="103"/>
  <c r="AE54" i="103"/>
  <c r="K54" i="103"/>
  <c r="DA53" i="103"/>
  <c r="CV53" i="103"/>
  <c r="K53" i="103"/>
  <c r="CS52" i="103"/>
  <c r="CS91" i="103" s="1"/>
  <c r="AM52" i="103"/>
  <c r="AL52" i="103"/>
  <c r="AK52" i="103"/>
  <c r="Q52" i="103"/>
  <c r="K52" i="103"/>
  <c r="CU51" i="103"/>
  <c r="CV51" i="103" s="1"/>
  <c r="CP51" i="103"/>
  <c r="CM51" i="103"/>
  <c r="CN51" i="103"/>
  <c r="CJ51" i="103" s="1"/>
  <c r="AM51" i="103"/>
  <c r="AL51" i="103"/>
  <c r="AK51" i="103"/>
  <c r="W51" i="103"/>
  <c r="X51" i="103" s="1"/>
  <c r="Z51" i="103" s="1"/>
  <c r="AA51" i="103" s="1"/>
  <c r="K51" i="103"/>
  <c r="CU50" i="103"/>
  <c r="AM50" i="103"/>
  <c r="AL50" i="103"/>
  <c r="AK50" i="103"/>
  <c r="W50" i="103"/>
  <c r="X50" i="103" s="1"/>
  <c r="Z50" i="103" s="1"/>
  <c r="AA50" i="103" s="1"/>
  <c r="K50" i="103"/>
  <c r="CU49" i="103"/>
  <c r="AM49" i="103"/>
  <c r="AL49" i="103"/>
  <c r="AK49" i="103"/>
  <c r="W49" i="103"/>
  <c r="X49" i="103" s="1"/>
  <c r="Z49" i="103" s="1"/>
  <c r="AA49" i="103" s="1"/>
  <c r="K49" i="103"/>
  <c r="DH48" i="103"/>
  <c r="CU48" i="103"/>
  <c r="CP48" i="103"/>
  <c r="BM48" i="103"/>
  <c r="CM48" i="103"/>
  <c r="CN48" i="103"/>
  <c r="CJ48" i="103" s="1"/>
  <c r="BL48" i="103"/>
  <c r="BH48" i="103"/>
  <c r="AM48" i="103"/>
  <c r="AL48" i="103"/>
  <c r="AK48" i="103"/>
  <c r="AE48" i="103"/>
  <c r="K48" i="103"/>
  <c r="CU47" i="103"/>
  <c r="DA47" i="103" s="1"/>
  <c r="DB47" i="103" s="1"/>
  <c r="CP47" i="103"/>
  <c r="BM47" i="103"/>
  <c r="CM47" i="103" s="1"/>
  <c r="CN47" i="103" s="1"/>
  <c r="CJ47" i="103" s="1"/>
  <c r="BL47" i="103"/>
  <c r="BH47" i="103"/>
  <c r="AM47" i="103"/>
  <c r="AL47" i="103"/>
  <c r="AK47" i="103"/>
  <c r="AE47" i="103"/>
  <c r="K47" i="103"/>
  <c r="CZ46" i="103"/>
  <c r="CU46" i="103"/>
  <c r="CP46" i="103"/>
  <c r="CM46" i="103"/>
  <c r="CN46" i="103"/>
  <c r="AM46" i="103"/>
  <c r="AL46" i="103"/>
  <c r="AK46" i="103"/>
  <c r="W46" i="103"/>
  <c r="X46" i="103" s="1"/>
  <c r="Z46" i="103" s="1"/>
  <c r="AA46" i="103" s="1"/>
  <c r="K46" i="103"/>
  <c r="CU45" i="103"/>
  <c r="CV45" i="103" s="1"/>
  <c r="CP45" i="103"/>
  <c r="CM45" i="103"/>
  <c r="CN45" i="103" s="1"/>
  <c r="CJ45" i="103" s="1"/>
  <c r="AM45" i="103"/>
  <c r="AL45" i="103"/>
  <c r="AK45" i="103"/>
  <c r="R45" i="103"/>
  <c r="AE45" i="103"/>
  <c r="K45" i="103"/>
  <c r="DE44" i="103"/>
  <c r="CU44" i="103"/>
  <c r="DA44" i="103"/>
  <c r="CP44" i="103"/>
  <c r="BM44" i="103"/>
  <c r="CM44" i="103" s="1"/>
  <c r="CN44" i="103" s="1"/>
  <c r="CJ44" i="103" s="1"/>
  <c r="BL44" i="103"/>
  <c r="BH44" i="103"/>
  <c r="AM44" i="103"/>
  <c r="AL44" i="103"/>
  <c r="AK44" i="103"/>
  <c r="AE44" i="103"/>
  <c r="W44" i="103"/>
  <c r="X44" i="103" s="1"/>
  <c r="Z44" i="103" s="1"/>
  <c r="AA44" i="103" s="1"/>
  <c r="K44" i="103"/>
  <c r="DL43" i="103"/>
  <c r="DM43" i="103" s="1"/>
  <c r="DP43" i="103" s="1"/>
  <c r="DR43" i="103" s="1"/>
  <c r="DT43" i="103" s="1"/>
  <c r="W43" i="103"/>
  <c r="X43" i="103" s="1"/>
  <c r="Z43" i="103" s="1"/>
  <c r="AA43" i="103" s="1"/>
  <c r="CU42" i="103"/>
  <c r="DA42" i="103"/>
  <c r="CP42" i="103"/>
  <c r="BM42" i="103"/>
  <c r="CM42" i="103"/>
  <c r="CN42" i="103"/>
  <c r="CJ42" i="103" s="1"/>
  <c r="BL42" i="103"/>
  <c r="BH42" i="103"/>
  <c r="AG42" i="103"/>
  <c r="AE42" i="103" s="1"/>
  <c r="W42" i="103"/>
  <c r="X42" i="103" s="1"/>
  <c r="Z42" i="103" s="1"/>
  <c r="AA42" i="103" s="1"/>
  <c r="Q42" i="103"/>
  <c r="K42" i="103"/>
  <c r="CU41" i="103"/>
  <c r="DA41" i="103" s="1"/>
  <c r="CP41" i="103"/>
  <c r="AM41" i="103"/>
  <c r="AL41" i="103"/>
  <c r="AK41" i="103"/>
  <c r="W41" i="103"/>
  <c r="X41" i="103" s="1"/>
  <c r="Z41" i="103" s="1"/>
  <c r="AA41" i="103" s="1"/>
  <c r="K41" i="103"/>
  <c r="W40" i="103"/>
  <c r="X40" i="103" s="1"/>
  <c r="Z40" i="103" s="1"/>
  <c r="AA40" i="103" s="1"/>
  <c r="Q40" i="103"/>
  <c r="DE40" i="103"/>
  <c r="DF40" i="103"/>
  <c r="DG40" i="103" s="1"/>
  <c r="K40" i="103"/>
  <c r="CU39" i="103"/>
  <c r="CV39" i="103"/>
  <c r="CP39" i="103"/>
  <c r="BM39" i="103"/>
  <c r="CM39" i="103"/>
  <c r="CN39" i="103"/>
  <c r="CJ39" i="103" s="1"/>
  <c r="BL39" i="103"/>
  <c r="AM39" i="103"/>
  <c r="AL39" i="103"/>
  <c r="AK39" i="103"/>
  <c r="AE39" i="103"/>
  <c r="W39" i="103"/>
  <c r="X39" i="103" s="1"/>
  <c r="Z39" i="103" s="1"/>
  <c r="AA39" i="103" s="1"/>
  <c r="K39" i="103"/>
  <c r="CU38" i="103"/>
  <c r="DA38" i="103"/>
  <c r="DF38" i="103" s="1"/>
  <c r="CP38" i="103"/>
  <c r="BM38" i="103"/>
  <c r="CM38" i="103" s="1"/>
  <c r="CN38" i="103" s="1"/>
  <c r="CJ38" i="103" s="1"/>
  <c r="BL38" i="103"/>
  <c r="AP38" i="103"/>
  <c r="AP91" i="103" s="1"/>
  <c r="AG38" i="103"/>
  <c r="Q38" i="103"/>
  <c r="K38" i="103"/>
  <c r="CU37" i="103"/>
  <c r="CP37" i="103"/>
  <c r="BM37" i="103"/>
  <c r="CM37" i="103"/>
  <c r="CN37" i="103" s="1"/>
  <c r="CJ37" i="103" s="1"/>
  <c r="BL37" i="103"/>
  <c r="BH37" i="103"/>
  <c r="AM37" i="103"/>
  <c r="AL37" i="103"/>
  <c r="AK37" i="103"/>
  <c r="AE37" i="103"/>
  <c r="W37" i="103"/>
  <c r="X37" i="103" s="1"/>
  <c r="Z37" i="103" s="1"/>
  <c r="AA37" i="103" s="1"/>
  <c r="K37" i="103"/>
  <c r="W36" i="103"/>
  <c r="X36" i="103" s="1"/>
  <c r="Z36" i="103" s="1"/>
  <c r="AA36" i="103" s="1"/>
  <c r="Q36" i="103"/>
  <c r="DH36" i="103"/>
  <c r="DI36" i="103"/>
  <c r="K36" i="103"/>
  <c r="CU35" i="103"/>
  <c r="CV35" i="103" s="1"/>
  <c r="CP35" i="103"/>
  <c r="BM35" i="103"/>
  <c r="CM35" i="103" s="1"/>
  <c r="CN35" i="103" s="1"/>
  <c r="CJ35" i="103" s="1"/>
  <c r="BL35" i="103"/>
  <c r="BH35" i="103"/>
  <c r="AM35" i="103"/>
  <c r="AL35" i="103"/>
  <c r="AK35" i="103"/>
  <c r="AE35" i="103"/>
  <c r="W35" i="103"/>
  <c r="X35" i="103" s="1"/>
  <c r="Z35" i="103" s="1"/>
  <c r="AA35" i="103" s="1"/>
  <c r="K35" i="103"/>
  <c r="CU34" i="103"/>
  <c r="CV34" i="103"/>
  <c r="CP34" i="103"/>
  <c r="BM34" i="103"/>
  <c r="CM34" i="103" s="1"/>
  <c r="CN34" i="103" s="1"/>
  <c r="CJ34" i="103" s="1"/>
  <c r="BL34" i="103"/>
  <c r="BH34" i="103"/>
  <c r="AM34" i="103"/>
  <c r="AL34" i="103"/>
  <c r="AK34" i="103"/>
  <c r="AE34" i="103"/>
  <c r="W34" i="103"/>
  <c r="X34" i="103" s="1"/>
  <c r="Z34" i="103" s="1"/>
  <c r="AA34" i="103" s="1"/>
  <c r="K34" i="103"/>
  <c r="CU33" i="103"/>
  <c r="DA33" i="103" s="1"/>
  <c r="DF33" i="103" s="1"/>
  <c r="DI33" i="103" s="1"/>
  <c r="CP33" i="103"/>
  <c r="BM33" i="103"/>
  <c r="CM33" i="103" s="1"/>
  <c r="CN33" i="103" s="1"/>
  <c r="CJ33" i="103" s="1"/>
  <c r="BL33" i="103"/>
  <c r="BH33" i="103"/>
  <c r="AM33" i="103"/>
  <c r="AL33" i="103"/>
  <c r="AK33" i="103"/>
  <c r="AE33" i="103"/>
  <c r="K33" i="103"/>
  <c r="CU32" i="103"/>
  <c r="CP32" i="103"/>
  <c r="BM32" i="103"/>
  <c r="CM32" i="103" s="1"/>
  <c r="CN32" i="103" s="1"/>
  <c r="CJ32" i="103" s="1"/>
  <c r="BL32" i="103"/>
  <c r="BH32" i="103"/>
  <c r="AM32" i="103"/>
  <c r="AL32" i="103"/>
  <c r="AK32" i="103"/>
  <c r="AE32" i="103"/>
  <c r="K32" i="103"/>
  <c r="CU31" i="103"/>
  <c r="DA31" i="103" s="1"/>
  <c r="CP31" i="103"/>
  <c r="BM31" i="103"/>
  <c r="CM31" i="103"/>
  <c r="CN31" i="103" s="1"/>
  <c r="CJ31" i="103" s="1"/>
  <c r="BL31" i="103"/>
  <c r="BH31" i="103"/>
  <c r="AM31" i="103"/>
  <c r="AL31" i="103"/>
  <c r="AK31" i="103"/>
  <c r="AE31" i="103"/>
  <c r="K31" i="103"/>
  <c r="CU30" i="103"/>
  <c r="DA30" i="103" s="1"/>
  <c r="CP30" i="103"/>
  <c r="BM30" i="103"/>
  <c r="CM30" i="103" s="1"/>
  <c r="CN30" i="103" s="1"/>
  <c r="CJ30" i="103" s="1"/>
  <c r="BL30" i="103"/>
  <c r="BH30" i="103"/>
  <c r="AM30" i="103"/>
  <c r="AL30" i="103"/>
  <c r="AK30" i="103"/>
  <c r="AE30" i="103"/>
  <c r="K30" i="103"/>
  <c r="CU29" i="103"/>
  <c r="CP29" i="103"/>
  <c r="BM29" i="103"/>
  <c r="CM29" i="103" s="1"/>
  <c r="CN29" i="103" s="1"/>
  <c r="CJ29" i="103" s="1"/>
  <c r="BL29" i="103"/>
  <c r="BH29" i="103"/>
  <c r="AM29" i="103"/>
  <c r="AL29" i="103"/>
  <c r="AK29" i="103"/>
  <c r="AE29" i="103"/>
  <c r="W29" i="103"/>
  <c r="X29" i="103" s="1"/>
  <c r="Z29" i="103" s="1"/>
  <c r="AA29" i="103" s="1"/>
  <c r="K29" i="103"/>
  <c r="CU28" i="103"/>
  <c r="CV28" i="103"/>
  <c r="CP28" i="103"/>
  <c r="CM28" i="103"/>
  <c r="CN28" i="103"/>
  <c r="CJ28" i="103" s="1"/>
  <c r="AM28" i="103"/>
  <c r="AL28" i="103"/>
  <c r="AK28" i="103"/>
  <c r="AH28" i="103"/>
  <c r="K28" i="103"/>
  <c r="DH27" i="103"/>
  <c r="CU27" i="103"/>
  <c r="DA27" i="103" s="1"/>
  <c r="DB27" i="103" s="1"/>
  <c r="CP27" i="103"/>
  <c r="BM27" i="103"/>
  <c r="CM27" i="103" s="1"/>
  <c r="CN27" i="103" s="1"/>
  <c r="CJ27" i="103" s="1"/>
  <c r="BL27" i="103"/>
  <c r="BH27" i="103"/>
  <c r="AM27" i="103"/>
  <c r="AL27" i="103"/>
  <c r="AK27" i="103"/>
  <c r="AE27" i="103"/>
  <c r="K27" i="103"/>
  <c r="CU26" i="103"/>
  <c r="CV26" i="103" s="1"/>
  <c r="CP26" i="103"/>
  <c r="BM26" i="103"/>
  <c r="CM26" i="103"/>
  <c r="CN26" i="103" s="1"/>
  <c r="CJ26" i="103" s="1"/>
  <c r="BL26" i="103"/>
  <c r="BH26" i="103"/>
  <c r="AM26" i="103"/>
  <c r="AL26" i="103"/>
  <c r="AK26" i="103"/>
  <c r="AE26" i="103"/>
  <c r="K26" i="103"/>
  <c r="CU25" i="103"/>
  <c r="DA25" i="103"/>
  <c r="CP25" i="103"/>
  <c r="BM25" i="103"/>
  <c r="CM25" i="103"/>
  <c r="CN25" i="103" s="1"/>
  <c r="CJ25" i="103" s="1"/>
  <c r="BL25" i="103"/>
  <c r="BH25" i="103"/>
  <c r="AM25" i="103"/>
  <c r="AL25" i="103"/>
  <c r="AK25" i="103"/>
  <c r="AE25" i="103"/>
  <c r="K25" i="103"/>
  <c r="CU24" i="103"/>
  <c r="DA24" i="103" s="1"/>
  <c r="CP24" i="103"/>
  <c r="BM24" i="103"/>
  <c r="CM24" i="103" s="1"/>
  <c r="CN24" i="103" s="1"/>
  <c r="CJ24" i="103" s="1"/>
  <c r="BL24" i="103"/>
  <c r="BH24" i="103"/>
  <c r="AM24" i="103"/>
  <c r="AL24" i="103"/>
  <c r="AK24" i="103"/>
  <c r="AE24" i="103"/>
  <c r="W24" i="103"/>
  <c r="X24" i="103" s="1"/>
  <c r="Z24" i="103" s="1"/>
  <c r="AA24" i="103" s="1"/>
  <c r="K24" i="103"/>
  <c r="CU23" i="103"/>
  <c r="CP23" i="103"/>
  <c r="BM23" i="103"/>
  <c r="CM23" i="103"/>
  <c r="CN23" i="103"/>
  <c r="CJ23" i="103" s="1"/>
  <c r="BL23" i="103"/>
  <c r="BH23" i="103"/>
  <c r="AM23" i="103"/>
  <c r="AL23" i="103"/>
  <c r="AK23" i="103"/>
  <c r="AE23" i="103"/>
  <c r="W23" i="103"/>
  <c r="X23" i="103" s="1"/>
  <c r="Z23" i="103" s="1"/>
  <c r="AA23" i="103" s="1"/>
  <c r="K23" i="103"/>
  <c r="CU22" i="103"/>
  <c r="DA22" i="103" s="1"/>
  <c r="DF22" i="103" s="1"/>
  <c r="CP22" i="103"/>
  <c r="BM22" i="103"/>
  <c r="CM22" i="103" s="1"/>
  <c r="CN22" i="103" s="1"/>
  <c r="CJ22" i="103" s="1"/>
  <c r="BL22" i="103"/>
  <c r="BH22" i="103"/>
  <c r="AM22" i="103"/>
  <c r="AL22" i="103"/>
  <c r="AK22" i="103"/>
  <c r="AE22" i="103"/>
  <c r="W22" i="103"/>
  <c r="X22" i="103" s="1"/>
  <c r="Z22" i="103" s="1"/>
  <c r="AA22" i="103" s="1"/>
  <c r="K22" i="103"/>
  <c r="CP21" i="103"/>
  <c r="AM21" i="103"/>
  <c r="AL21" i="103"/>
  <c r="AK21" i="103"/>
  <c r="AH21" i="103"/>
  <c r="CU21" i="103" s="1"/>
  <c r="W21" i="103"/>
  <c r="X21" i="103" s="1"/>
  <c r="Z21" i="103" s="1"/>
  <c r="AA21" i="103" s="1"/>
  <c r="K21" i="103"/>
  <c r="CU20" i="103"/>
  <c r="DA20" i="103" s="1"/>
  <c r="CP20" i="103"/>
  <c r="BM20" i="103"/>
  <c r="CM20" i="103" s="1"/>
  <c r="CN20" i="103" s="1"/>
  <c r="CJ20" i="103" s="1"/>
  <c r="BL20" i="103"/>
  <c r="BH20" i="103"/>
  <c r="AM20" i="103"/>
  <c r="AL20" i="103"/>
  <c r="AK20" i="103"/>
  <c r="AE20" i="103"/>
  <c r="K20" i="103"/>
  <c r="DA19" i="103"/>
  <c r="DB19" i="103" s="1"/>
  <c r="CV19" i="103"/>
  <c r="CP19" i="103"/>
  <c r="AM19" i="103"/>
  <c r="AL19" i="103"/>
  <c r="AK19" i="103"/>
  <c r="AE19" i="103"/>
  <c r="W19" i="103"/>
  <c r="X19" i="103" s="1"/>
  <c r="Z19" i="103" s="1"/>
  <c r="AA19" i="103" s="1"/>
  <c r="K19" i="103"/>
  <c r="DE18" i="103"/>
  <c r="DF18" i="103" s="1"/>
  <c r="DI18" i="103" s="1"/>
  <c r="W18" i="103"/>
  <c r="X18" i="103" s="1"/>
  <c r="Z18" i="103" s="1"/>
  <c r="AA18" i="103" s="1"/>
  <c r="K18" i="103"/>
  <c r="CU17" i="103"/>
  <c r="CV17" i="103"/>
  <c r="CP17" i="103"/>
  <c r="BM17" i="103"/>
  <c r="CM17" i="103"/>
  <c r="CN17" i="103" s="1"/>
  <c r="CJ17" i="103" s="1"/>
  <c r="BL17" i="103"/>
  <c r="BH17" i="103"/>
  <c r="AM17" i="103"/>
  <c r="AL17" i="103"/>
  <c r="AK17" i="103"/>
  <c r="AE17" i="103"/>
  <c r="K17" i="103"/>
  <c r="Q16" i="103"/>
  <c r="K16" i="103"/>
  <c r="DM15" i="103"/>
  <c r="DP15" i="103"/>
  <c r="DR15" i="103"/>
  <c r="DT15" i="103" s="1"/>
  <c r="CU15" i="103"/>
  <c r="CP15" i="103"/>
  <c r="BM15" i="103"/>
  <c r="CM15" i="103" s="1"/>
  <c r="CN15" i="103" s="1"/>
  <c r="CJ15" i="103" s="1"/>
  <c r="BL15" i="103"/>
  <c r="BH15" i="103"/>
  <c r="AM15" i="103"/>
  <c r="AL15" i="103"/>
  <c r="AK15" i="103"/>
  <c r="AE15" i="103"/>
  <c r="K15" i="103"/>
  <c r="DH14" i="103"/>
  <c r="DI14" i="103"/>
  <c r="K14" i="103"/>
  <c r="CU13" i="103"/>
  <c r="DA13" i="103" s="1"/>
  <c r="CP13" i="103"/>
  <c r="BM13" i="103"/>
  <c r="CM13" i="103"/>
  <c r="CN13" i="103" s="1"/>
  <c r="CJ13" i="103" s="1"/>
  <c r="BL13" i="103"/>
  <c r="BH13" i="103"/>
  <c r="AM13" i="103"/>
  <c r="AL13" i="103"/>
  <c r="AK13" i="103"/>
  <c r="AE13" i="103"/>
  <c r="K13" i="103"/>
  <c r="CU12" i="103"/>
  <c r="CV12" i="103" s="1"/>
  <c r="CP12" i="103"/>
  <c r="BM12" i="103"/>
  <c r="CM12" i="103" s="1"/>
  <c r="CN12" i="103" s="1"/>
  <c r="CJ12" i="103" s="1"/>
  <c r="BL12" i="103"/>
  <c r="AM12" i="103"/>
  <c r="AL12" i="103"/>
  <c r="AK12" i="103"/>
  <c r="AE12" i="103"/>
  <c r="K12" i="103"/>
  <c r="DR11" i="103"/>
  <c r="DT11" i="103"/>
  <c r="DJ11" i="103"/>
  <c r="DG11" i="103"/>
  <c r="CU11" i="103"/>
  <c r="CV11" i="103"/>
  <c r="CP11" i="103"/>
  <c r="BM11" i="103"/>
  <c r="CM11" i="103"/>
  <c r="CN11" i="103"/>
  <c r="CJ11" i="103" s="1"/>
  <c r="BL11" i="103"/>
  <c r="BH11" i="103"/>
  <c r="AG11" i="103"/>
  <c r="AE11" i="103" s="1"/>
  <c r="K11" i="103"/>
  <c r="CU10" i="103"/>
  <c r="CV10" i="103"/>
  <c r="CP10" i="103"/>
  <c r="CC10" i="103"/>
  <c r="CC91" i="103" s="1"/>
  <c r="BM10" i="103"/>
  <c r="CM10" i="103" s="1"/>
  <c r="CN10" i="103" s="1"/>
  <c r="BL10" i="103"/>
  <c r="BH10" i="103"/>
  <c r="AG10" i="103"/>
  <c r="AM10" i="103"/>
  <c r="W10" i="103"/>
  <c r="X10" i="103" s="1"/>
  <c r="Z10" i="103" s="1"/>
  <c r="AA10" i="103" s="1"/>
  <c r="R10" i="103"/>
  <c r="R91" i="103" s="1"/>
  <c r="R95" i="103" s="1"/>
  <c r="K10" i="103"/>
  <c r="CU9" i="103"/>
  <c r="DA9" i="103"/>
  <c r="CP9" i="103"/>
  <c r="BM9" i="103"/>
  <c r="CM9" i="103"/>
  <c r="CN9" i="103" s="1"/>
  <c r="CJ9" i="103" s="1"/>
  <c r="BL9" i="103"/>
  <c r="BH9" i="103"/>
  <c r="AG9" i="103"/>
  <c r="K9" i="103"/>
  <c r="CU8" i="103"/>
  <c r="DA8" i="103"/>
  <c r="DB8" i="103" s="1"/>
  <c r="CP8" i="103"/>
  <c r="BM8" i="103"/>
  <c r="CM8" i="103" s="1"/>
  <c r="CN8" i="103" s="1"/>
  <c r="CJ8" i="103" s="1"/>
  <c r="BL8" i="103"/>
  <c r="BH8" i="103"/>
  <c r="AG8" i="103"/>
  <c r="K8" i="103"/>
  <c r="DF7" i="103"/>
  <c r="K7" i="103"/>
  <c r="DR6" i="103"/>
  <c r="CU5" i="103"/>
  <c r="DA5" i="103" s="1"/>
  <c r="CP5" i="103"/>
  <c r="BM5" i="103"/>
  <c r="BL5" i="103"/>
  <c r="BI5" i="103" a="1"/>
  <c r="BI5" i="103" s="1"/>
  <c r="BI91" i="103" s="1"/>
  <c r="BH5" i="103"/>
  <c r="AG5" i="103"/>
  <c r="AE5" i="103"/>
  <c r="W5" i="103"/>
  <c r="X5" i="103" s="1"/>
  <c r="Z5" i="103" s="1"/>
  <c r="AA5" i="103" s="1"/>
  <c r="K5" i="103"/>
  <c r="DL4" i="103"/>
  <c r="DL91" i="103" s="1"/>
  <c r="W4" i="103"/>
  <c r="X4" i="103" s="1"/>
  <c r="Z4" i="103" s="1"/>
  <c r="AA4" i="103"/>
  <c r="K4" i="103"/>
  <c r="AF88" i="48"/>
  <c r="BM88" i="48"/>
  <c r="BN88" i="48"/>
  <c r="AF87" i="48"/>
  <c r="BM87" i="48" s="1"/>
  <c r="BN87" i="48" s="1"/>
  <c r="AF86" i="48"/>
  <c r="BM86" i="48"/>
  <c r="BN86" i="48" s="1"/>
  <c r="BN5" i="48"/>
  <c r="BN6" i="48"/>
  <c r="BN7" i="48"/>
  <c r="BN10" i="48"/>
  <c r="BN25" i="48"/>
  <c r="BN26" i="48"/>
  <c r="BN27" i="48"/>
  <c r="BN28" i="48"/>
  <c r="BN38" i="48"/>
  <c r="BN83" i="48"/>
  <c r="W84" i="48"/>
  <c r="X84" i="48" s="1"/>
  <c r="AE84" i="48" s="1"/>
  <c r="AF84" i="48" s="1"/>
  <c r="BN84" i="48"/>
  <c r="W85" i="48"/>
  <c r="X85" i="48" s="1"/>
  <c r="AE85" i="48" s="1"/>
  <c r="AF85" i="48" s="1"/>
  <c r="BM85" i="48" s="1"/>
  <c r="BN85" i="48" s="1"/>
  <c r="CH131" i="106"/>
  <c r="CN131" i="106"/>
  <c r="CW91" i="106"/>
  <c r="CY91" i="106"/>
  <c r="CH114" i="106"/>
  <c r="BJ4" i="106" a="1"/>
  <c r="BM128" i="106" s="1"/>
  <c r="CH56" i="106"/>
  <c r="CS135" i="106"/>
  <c r="CH128" i="106"/>
  <c r="CN38" i="106"/>
  <c r="CR38" i="106" s="1"/>
  <c r="CV38" i="106" s="1"/>
  <c r="CF65" i="106"/>
  <c r="CG65" i="106" s="1"/>
  <c r="CH65" i="106" s="1"/>
  <c r="CH16" i="106"/>
  <c r="CP138" i="106"/>
  <c r="CY81" i="106"/>
  <c r="CN118" i="106"/>
  <c r="W132" i="106"/>
  <c r="X132" i="106" s="1"/>
  <c r="Z132" i="106" s="1"/>
  <c r="AA132" i="106" s="1"/>
  <c r="W75" i="106"/>
  <c r="X75" i="106" s="1"/>
  <c r="Z75" i="106" s="1"/>
  <c r="AA75" i="106" s="1"/>
  <c r="DT6" i="103"/>
  <c r="CN33" i="106"/>
  <c r="CH33" i="106"/>
  <c r="CN9" i="106"/>
  <c r="CO9" i="106"/>
  <c r="CH9" i="106"/>
  <c r="CW14" i="106"/>
  <c r="CY14" i="106"/>
  <c r="CZ14" i="106"/>
  <c r="CH85" i="106"/>
  <c r="CN85" i="106"/>
  <c r="CO85" i="106"/>
  <c r="CN129" i="106"/>
  <c r="CH129" i="106"/>
  <c r="CH36" i="106"/>
  <c r="CN36" i="106"/>
  <c r="CO25" i="106"/>
  <c r="CR25" i="106"/>
  <c r="CV25" i="106" s="1"/>
  <c r="CY25" i="106" s="1"/>
  <c r="CZ25" i="106" s="1"/>
  <c r="CN64" i="106"/>
  <c r="CO64" i="106" s="1"/>
  <c r="CH64" i="106"/>
  <c r="CN82" i="106"/>
  <c r="CR82" i="106"/>
  <c r="CS82" i="106" s="1"/>
  <c r="CH82" i="106"/>
  <c r="DC132" i="106"/>
  <c r="CZ132" i="106"/>
  <c r="CR59" i="106"/>
  <c r="CV59" i="106"/>
  <c r="CY59" i="106" s="1"/>
  <c r="CO59" i="106"/>
  <c r="CH17" i="106"/>
  <c r="CN20" i="106"/>
  <c r="CR20" i="106"/>
  <c r="AM2" i="106"/>
  <c r="CN3" i="106"/>
  <c r="CR3" i="106"/>
  <c r="CS3" i="106" s="1"/>
  <c r="CH28" i="106"/>
  <c r="DD77" i="106"/>
  <c r="BM2" i="106"/>
  <c r="CS14" i="106"/>
  <c r="CV15" i="106"/>
  <c r="CR28" i="106"/>
  <c r="CV28" i="106"/>
  <c r="CY28" i="106" s="1"/>
  <c r="DF100" i="106"/>
  <c r="DI100" i="106" s="1"/>
  <c r="CW132" i="106"/>
  <c r="CV134" i="106"/>
  <c r="DF55" i="106"/>
  <c r="DI55" i="106" s="1"/>
  <c r="W84" i="106"/>
  <c r="X84" i="106" s="1"/>
  <c r="Z84" i="106" s="1"/>
  <c r="AA84" i="106" s="1"/>
  <c r="CY96" i="106"/>
  <c r="W137" i="106"/>
  <c r="X137" i="106" s="1"/>
  <c r="Z137" i="106" s="1"/>
  <c r="AA137" i="106" s="1"/>
  <c r="DH137" i="106" s="1"/>
  <c r="DI137" i="106" s="1"/>
  <c r="DD117" i="106"/>
  <c r="DC67" i="106"/>
  <c r="CS132" i="106"/>
  <c r="AC278" i="107"/>
  <c r="AF286" i="107"/>
  <c r="W134" i="106"/>
  <c r="X134" i="106" s="1"/>
  <c r="Z134" i="106" s="1"/>
  <c r="AA134" i="106" s="1"/>
  <c r="W124" i="106"/>
  <c r="X124" i="106" s="1"/>
  <c r="Z124" i="106" s="1"/>
  <c r="AA124" i="106" s="1"/>
  <c r="X131" i="106"/>
  <c r="Z131" i="106" s="1"/>
  <c r="AA131" i="106" s="1"/>
  <c r="W78" i="106"/>
  <c r="X78" i="106" s="1"/>
  <c r="Z78" i="106" s="1"/>
  <c r="AA78" i="106" s="1"/>
  <c r="Z115" i="106"/>
  <c r="AA115" i="106" s="1"/>
  <c r="W126" i="106"/>
  <c r="X126" i="106" s="1"/>
  <c r="Z126" i="106" s="1"/>
  <c r="AA126" i="106" s="1"/>
  <c r="W66" i="106"/>
  <c r="X66" i="106" s="1"/>
  <c r="Z66" i="106" s="1"/>
  <c r="AA66" i="106" s="1"/>
  <c r="W119" i="106"/>
  <c r="X119" i="106" s="1"/>
  <c r="Z119" i="106" s="1"/>
  <c r="AA119" i="106" s="1"/>
  <c r="AA128" i="106"/>
  <c r="W82" i="106"/>
  <c r="X82" i="106" s="1"/>
  <c r="Z82" i="106" s="1"/>
  <c r="AA82" i="106" s="1"/>
  <c r="W77" i="106"/>
  <c r="X77" i="106" s="1"/>
  <c r="Z77" i="106" s="1"/>
  <c r="AA77" i="106" s="1"/>
  <c r="W38" i="106"/>
  <c r="X38" i="106" s="1"/>
  <c r="Z38" i="106" s="1"/>
  <c r="AA38" i="106" s="1"/>
  <c r="Z110" i="106"/>
  <c r="AA110" i="106" s="1"/>
  <c r="W88" i="103"/>
  <c r="X88" i="103" s="1"/>
  <c r="Z88" i="103" s="1"/>
  <c r="AA88" i="103" s="1"/>
  <c r="DS88" i="103" s="1"/>
  <c r="DT88" i="103" s="1"/>
  <c r="W85" i="103"/>
  <c r="X85" i="103" s="1"/>
  <c r="W86" i="103"/>
  <c r="X86" i="103" s="1"/>
  <c r="Z86" i="103" s="1"/>
  <c r="AA86" i="103" s="1"/>
  <c r="DS86" i="103" s="1"/>
  <c r="DT86" i="103" s="1"/>
  <c r="W84" i="103"/>
  <c r="X84" i="103" s="1"/>
  <c r="Z84" i="103" s="1"/>
  <c r="AA84" i="103" s="1"/>
  <c r="DS84" i="103" s="1"/>
  <c r="DA71" i="103"/>
  <c r="DF71" i="103"/>
  <c r="DI71" i="103"/>
  <c r="AL5" i="103"/>
  <c r="W83" i="103"/>
  <c r="X83" i="103" s="1"/>
  <c r="Z83" i="103" s="1"/>
  <c r="AA83" i="103" s="1"/>
  <c r="AE62" i="103"/>
  <c r="W63" i="103"/>
  <c r="X63" i="103" s="1"/>
  <c r="Z63" i="103" s="1"/>
  <c r="AA63" i="103" s="1"/>
  <c r="AL58" i="103"/>
  <c r="DA72" i="103"/>
  <c r="DB72" i="103"/>
  <c r="AM5" i="103"/>
  <c r="AM61" i="103"/>
  <c r="AE67" i="103"/>
  <c r="CJ72" i="103"/>
  <c r="X71" i="103"/>
  <c r="Z71" i="103" s="1"/>
  <c r="AA71" i="103" s="1"/>
  <c r="AL81" i="103"/>
  <c r="DA12" i="103"/>
  <c r="DF12" i="103"/>
  <c r="DI12" i="103" s="1"/>
  <c r="DA39" i="103"/>
  <c r="DB39" i="103"/>
  <c r="AK63" i="103"/>
  <c r="CV56" i="103"/>
  <c r="AL63" i="103"/>
  <c r="AE81" i="103"/>
  <c r="AM72" i="103"/>
  <c r="CV60" i="103"/>
  <c r="DA59" i="103"/>
  <c r="DB59" i="103"/>
  <c r="DB82" i="103"/>
  <c r="DB11" i="103"/>
  <c r="CV42" i="103"/>
  <c r="DB38" i="103"/>
  <c r="W62" i="103"/>
  <c r="X62" i="103"/>
  <c r="Z62" i="103" s="1"/>
  <c r="AA62" i="103" s="1"/>
  <c r="DA28" i="103"/>
  <c r="DF28" i="103"/>
  <c r="DI28" i="103"/>
  <c r="DJ28" i="103" s="1"/>
  <c r="DA51" i="103"/>
  <c r="DF51" i="103" s="1"/>
  <c r="Q91" i="103"/>
  <c r="AK42" i="103"/>
  <c r="CV62" i="103"/>
  <c r="CV67" i="103"/>
  <c r="CL106" i="103"/>
  <c r="DB63" i="103"/>
  <c r="AK67" i="103"/>
  <c r="BH38" i="103"/>
  <c r="AM62" i="103"/>
  <c r="AL67" i="103"/>
  <c r="AE10" i="103"/>
  <c r="DE16" i="103"/>
  <c r="DF16" i="103" s="1"/>
  <c r="AH91" i="103"/>
  <c r="DA34" i="103"/>
  <c r="DF34" i="103" s="1"/>
  <c r="DI34" i="103" s="1"/>
  <c r="DA57" i="103"/>
  <c r="X61" i="103"/>
  <c r="Z61" i="103" s="1"/>
  <c r="AA61" i="103" s="1"/>
  <c r="AE61" i="103"/>
  <c r="DA80" i="103"/>
  <c r="DB80" i="103"/>
  <c r="DM14" i="103"/>
  <c r="DP14" i="103" s="1"/>
  <c r="DR14" i="103" s="1"/>
  <c r="DT14" i="103" s="1"/>
  <c r="DJ14" i="103"/>
  <c r="DF76" i="103"/>
  <c r="DI76" i="103"/>
  <c r="DM76" i="103" s="1"/>
  <c r="DP76" i="103" s="1"/>
  <c r="DR76" i="103" s="1"/>
  <c r="DT76" i="103" s="1"/>
  <c r="DA10" i="103"/>
  <c r="DB10" i="103"/>
  <c r="CV33" i="103"/>
  <c r="CV44" i="103"/>
  <c r="DA45" i="103"/>
  <c r="DB45" i="103"/>
  <c r="CV61" i="103"/>
  <c r="DG63" i="103"/>
  <c r="DJ68" i="103"/>
  <c r="CV30" i="103"/>
  <c r="CV38" i="103"/>
  <c r="CV64" i="103"/>
  <c r="DA17" i="103"/>
  <c r="DB17" i="103" s="1"/>
  <c r="CU52" i="103"/>
  <c r="DA52" i="103"/>
  <c r="CV55" i="103"/>
  <c r="CV70" i="103"/>
  <c r="CV76" i="103"/>
  <c r="DA81" i="103"/>
  <c r="CV41" i="103"/>
  <c r="CV47" i="103"/>
  <c r="AC289" i="107"/>
  <c r="W73" i="103"/>
  <c r="X73" i="103" s="1"/>
  <c r="Z73" i="103" s="1"/>
  <c r="AA73" i="103" s="1"/>
  <c r="W13" i="106"/>
  <c r="X13" i="106" s="1"/>
  <c r="Z13" i="106" s="1"/>
  <c r="AA13" i="106" s="1"/>
  <c r="W91" i="106"/>
  <c r="X91" i="106" s="1"/>
  <c r="Z91" i="106" s="1"/>
  <c r="AA91" i="106" s="1"/>
  <c r="W98" i="106"/>
  <c r="X98" i="106" s="1"/>
  <c r="Z98" i="106" s="1"/>
  <c r="AA98" i="106" s="1"/>
  <c r="W121" i="106"/>
  <c r="X121" i="106" s="1"/>
  <c r="Z121" i="106" s="1"/>
  <c r="AA121" i="106" s="1"/>
  <c r="W26" i="103"/>
  <c r="X26" i="103" s="1"/>
  <c r="Z26" i="103" s="1"/>
  <c r="AA26" i="103" s="1"/>
  <c r="W6" i="106"/>
  <c r="X6" i="106" s="1"/>
  <c r="Z6" i="106" s="1"/>
  <c r="AA6" i="106" s="1"/>
  <c r="W42" i="106"/>
  <c r="X42" i="106" s="1"/>
  <c r="Z42" i="106" s="1"/>
  <c r="AA42" i="106" s="1"/>
  <c r="W68" i="106"/>
  <c r="X68" i="106"/>
  <c r="Z68" i="106" s="1"/>
  <c r="AA68" i="106" s="1"/>
  <c r="W117" i="106"/>
  <c r="X117" i="106" s="1"/>
  <c r="Z117" i="106" s="1"/>
  <c r="AA117" i="106" s="1"/>
  <c r="AA125" i="106"/>
  <c r="W68" i="103"/>
  <c r="X68" i="103" s="1"/>
  <c r="Z68" i="103" s="1"/>
  <c r="AA68" i="103" s="1"/>
  <c r="W4" i="106"/>
  <c r="X4" i="106" s="1"/>
  <c r="Z4" i="106" s="1"/>
  <c r="AA4" i="106" s="1"/>
  <c r="X46" i="106"/>
  <c r="W47" i="103"/>
  <c r="X47" i="103" s="1"/>
  <c r="Z47" i="103" s="1"/>
  <c r="AA47" i="103" s="1"/>
  <c r="W26" i="106"/>
  <c r="X26" i="106" s="1"/>
  <c r="Z26" i="106" s="1"/>
  <c r="AA26" i="106" s="1"/>
  <c r="X59" i="103"/>
  <c r="Z59" i="103" s="1"/>
  <c r="AA59" i="103" s="1"/>
  <c r="W24" i="106"/>
  <c r="X24" i="106" s="1"/>
  <c r="Z24" i="106" s="1"/>
  <c r="AA24" i="106" s="1"/>
  <c r="W31" i="106"/>
  <c r="X31" i="106" s="1"/>
  <c r="Z31" i="106" s="1"/>
  <c r="AA31" i="106" s="1"/>
  <c r="W56" i="103"/>
  <c r="X56" i="103" s="1"/>
  <c r="Z56" i="103" s="1"/>
  <c r="AA56" i="103" s="1"/>
  <c r="W70" i="103"/>
  <c r="X70" i="103" s="1"/>
  <c r="Z70" i="103" s="1"/>
  <c r="AA70" i="103" s="1"/>
  <c r="AA105" i="106"/>
  <c r="W135" i="106"/>
  <c r="X135" i="106" s="1"/>
  <c r="Z135" i="106" s="1"/>
  <c r="AA135" i="106" s="1"/>
  <c r="AD285" i="107"/>
  <c r="AD287" i="107" s="1"/>
  <c r="AD289" i="107" s="1"/>
  <c r="AD291" i="107" s="1"/>
  <c r="AD273" i="107"/>
  <c r="AD280" i="107"/>
  <c r="AF6" i="107"/>
  <c r="P299" i="107"/>
  <c r="Q299" i="107" s="1"/>
  <c r="AB273" i="107"/>
  <c r="AD288" i="107"/>
  <c r="AF288" i="107"/>
  <c r="O6" i="107"/>
  <c r="P245" i="107"/>
  <c r="O245" i="107" s="1"/>
  <c r="X273" i="107"/>
  <c r="X3" i="107" s="1"/>
  <c r="Z273" i="107"/>
  <c r="Z3" i="107" s="1"/>
  <c r="BM123" i="106"/>
  <c r="BM125" i="106"/>
  <c r="BM126" i="106"/>
  <c r="BM121" i="106"/>
  <c r="BM106" i="106"/>
  <c r="BM114" i="106"/>
  <c r="BM129" i="106"/>
  <c r="BM94" i="106"/>
  <c r="BM89" i="106"/>
  <c r="BM112" i="106"/>
  <c r="BM101" i="106"/>
  <c r="BM102" i="106"/>
  <c r="BM95" i="106"/>
  <c r="BM92" i="106"/>
  <c r="BM119" i="106"/>
  <c r="BM100" i="106"/>
  <c r="BM79" i="106"/>
  <c r="BM76" i="106"/>
  <c r="BM53" i="106"/>
  <c r="BM73" i="106"/>
  <c r="BM69" i="106"/>
  <c r="BM120" i="106"/>
  <c r="BM90" i="106"/>
  <c r="BM62" i="106"/>
  <c r="BM82" i="106"/>
  <c r="BM61" i="106"/>
  <c r="BM51" i="106"/>
  <c r="BM45" i="106"/>
  <c r="BM87" i="106"/>
  <c r="BM86" i="106"/>
  <c r="BM52" i="106"/>
  <c r="BM49" i="106"/>
  <c r="BM71" i="106"/>
  <c r="BM59" i="106"/>
  <c r="BM36" i="106"/>
  <c r="BM32" i="106"/>
  <c r="BM109" i="106"/>
  <c r="BM47" i="106"/>
  <c r="BM72" i="106"/>
  <c r="BM65" i="106"/>
  <c r="BM64" i="106"/>
  <c r="BM58" i="106"/>
  <c r="BM50" i="106"/>
  <c r="BM44" i="106"/>
  <c r="BM88" i="106"/>
  <c r="BM68" i="106"/>
  <c r="BM63" i="106"/>
  <c r="BM54" i="106"/>
  <c r="BM48" i="106"/>
  <c r="BM39" i="106"/>
  <c r="BM38" i="106"/>
  <c r="BM33" i="106"/>
  <c r="BM37" i="106"/>
  <c r="BM24" i="106"/>
  <c r="BM18" i="106"/>
  <c r="BM31" i="106"/>
  <c r="BM16" i="106"/>
  <c r="BM11" i="106"/>
  <c r="BM6" i="106"/>
  <c r="BM29" i="106"/>
  <c r="BM8" i="106"/>
  <c r="BM35" i="106"/>
  <c r="BM27" i="106"/>
  <c r="BM25" i="106"/>
  <c r="BM20" i="106"/>
  <c r="BM10" i="106"/>
  <c r="BM7" i="106"/>
  <c r="BM28" i="106"/>
  <c r="BM21" i="106"/>
  <c r="BM19" i="106"/>
  <c r="BM17" i="106"/>
  <c r="BM40" i="106"/>
  <c r="BM34" i="106"/>
  <c r="BM42" i="106"/>
  <c r="BM30" i="106"/>
  <c r="BM41" i="106"/>
  <c r="BM5" i="106"/>
  <c r="BM12" i="106"/>
  <c r="BM9" i="106"/>
  <c r="BM13" i="106"/>
  <c r="CH18" i="106"/>
  <c r="CN18" i="106"/>
  <c r="CR9" i="106"/>
  <c r="CH11" i="106"/>
  <c r="CR36" i="106"/>
  <c r="CO36" i="106"/>
  <c r="AL2" i="106"/>
  <c r="CR16" i="106"/>
  <c r="CO16" i="106"/>
  <c r="CH19" i="106"/>
  <c r="CN19" i="106"/>
  <c r="CH24" i="106"/>
  <c r="CN24" i="106"/>
  <c r="DC26" i="106"/>
  <c r="CZ26" i="106"/>
  <c r="CN29" i="106"/>
  <c r="CH29" i="106"/>
  <c r="CN32" i="106"/>
  <c r="CH32" i="106"/>
  <c r="CV23" i="106"/>
  <c r="CY23" i="106" s="1"/>
  <c r="CN31" i="106"/>
  <c r="CH31" i="106"/>
  <c r="CV3" i="106"/>
  <c r="CY3" i="106"/>
  <c r="CZ3" i="106" s="1"/>
  <c r="CO3" i="106"/>
  <c r="CN7" i="106"/>
  <c r="CN10" i="106"/>
  <c r="CO13" i="106"/>
  <c r="CR13" i="106"/>
  <c r="CV22" i="106"/>
  <c r="CY22" i="106" s="1"/>
  <c r="CS22" i="106"/>
  <c r="CS23" i="106"/>
  <c r="CH13" i="106"/>
  <c r="CR17" i="106"/>
  <c r="CO17" i="106"/>
  <c r="CD138" i="106"/>
  <c r="CF2" i="106"/>
  <c r="AG138" i="106"/>
  <c r="CN6" i="106"/>
  <c r="CH6" i="106"/>
  <c r="CN12" i="106"/>
  <c r="CH12" i="106"/>
  <c r="CN27" i="106"/>
  <c r="CH27" i="106"/>
  <c r="CN5" i="106"/>
  <c r="CH5" i="106"/>
  <c r="CR11" i="106"/>
  <c r="CO11" i="106"/>
  <c r="CO20" i="106"/>
  <c r="CN8" i="106"/>
  <c r="CH8" i="106"/>
  <c r="R138" i="106"/>
  <c r="BZ138" i="106"/>
  <c r="BO29" i="106"/>
  <c r="BO138" i="106" s="1"/>
  <c r="CH25" i="106"/>
  <c r="CH37" i="106"/>
  <c r="CN37" i="106"/>
  <c r="CN54" i="106"/>
  <c r="CH54" i="106"/>
  <c r="CO58" i="106"/>
  <c r="CR58" i="106"/>
  <c r="CV58" i="106" s="1"/>
  <c r="CY58" i="106" s="1"/>
  <c r="CZ58" i="106" s="1"/>
  <c r="CN62" i="106"/>
  <c r="CH62" i="106"/>
  <c r="BQ138" i="106"/>
  <c r="BQ144" i="106" s="1"/>
  <c r="X28" i="106"/>
  <c r="Z28" i="106" s="1"/>
  <c r="AA28" i="106" s="1"/>
  <c r="CN48" i="106"/>
  <c r="CO48" i="106" s="1"/>
  <c r="CH48" i="106"/>
  <c r="DF67" i="106"/>
  <c r="DI67" i="106" s="1"/>
  <c r="DD67" i="106"/>
  <c r="CH86" i="106"/>
  <c r="CN86" i="106"/>
  <c r="BI138" i="106"/>
  <c r="CF4" i="106"/>
  <c r="CG4" i="106" s="1"/>
  <c r="CN30" i="106"/>
  <c r="CN69" i="106"/>
  <c r="CH69" i="106"/>
  <c r="CN79" i="106"/>
  <c r="CH79" i="106"/>
  <c r="CH42" i="106"/>
  <c r="CN42" i="106"/>
  <c r="CH53" i="106"/>
  <c r="CN53" i="106"/>
  <c r="BH138" i="106"/>
  <c r="CR21" i="106"/>
  <c r="CS26" i="106"/>
  <c r="CW26" i="106"/>
  <c r="CN34" i="106"/>
  <c r="CO38" i="106"/>
  <c r="CN70" i="106"/>
  <c r="CH70" i="106"/>
  <c r="CN89" i="106"/>
  <c r="CH89" i="106"/>
  <c r="CN49" i="106"/>
  <c r="CH49" i="106"/>
  <c r="CR80" i="106"/>
  <c r="CO80" i="106"/>
  <c r="CN35" i="106"/>
  <c r="CH35" i="106"/>
  <c r="CN47" i="106"/>
  <c r="CN61" i="106"/>
  <c r="CH61" i="106"/>
  <c r="CN76" i="106"/>
  <c r="CH76" i="106"/>
  <c r="CN83" i="106"/>
  <c r="CH83" i="106"/>
  <c r="CN45" i="106"/>
  <c r="CH45" i="106"/>
  <c r="CR46" i="106"/>
  <c r="CO46" i="106"/>
  <c r="CH50" i="106"/>
  <c r="CN50" i="106"/>
  <c r="CR56" i="106"/>
  <c r="CO56" i="106"/>
  <c r="CN68" i="106"/>
  <c r="CH68" i="106"/>
  <c r="CH39" i="106"/>
  <c r="CN39" i="106"/>
  <c r="CN40" i="106"/>
  <c r="CH40" i="106"/>
  <c r="CN41" i="106"/>
  <c r="CH41" i="106"/>
  <c r="CN52" i="106"/>
  <c r="CH52" i="106"/>
  <c r="CH44" i="106"/>
  <c r="CN44" i="106"/>
  <c r="CN51" i="106"/>
  <c r="CH51" i="106"/>
  <c r="CH63" i="106"/>
  <c r="CN63" i="106"/>
  <c r="CZ66" i="106"/>
  <c r="DC66" i="106"/>
  <c r="CN60" i="106"/>
  <c r="CH60" i="106"/>
  <c r="CL73" i="106"/>
  <c r="CN73" i="106" s="1"/>
  <c r="CO73" i="106" s="1"/>
  <c r="CH73" i="106"/>
  <c r="DC81" i="106"/>
  <c r="CZ81" i="106"/>
  <c r="CH59" i="106"/>
  <c r="CR64" i="106"/>
  <c r="CV64" i="106" s="1"/>
  <c r="CY64" i="106" s="1"/>
  <c r="CZ64" i="106" s="1"/>
  <c r="CN71" i="106"/>
  <c r="CN78" i="106"/>
  <c r="CH78" i="106"/>
  <c r="W86" i="106"/>
  <c r="X86" i="106" s="1"/>
  <c r="Z86" i="106" s="1"/>
  <c r="AA86" i="106" s="1"/>
  <c r="CN106" i="106"/>
  <c r="CH106" i="106"/>
  <c r="CN112" i="106"/>
  <c r="CH112" i="106"/>
  <c r="CN115" i="106"/>
  <c r="CH115" i="106"/>
  <c r="CN92" i="106"/>
  <c r="DB138" i="106"/>
  <c r="DD152" i="106"/>
  <c r="DD156" i="106" s="1"/>
  <c r="CS66" i="106"/>
  <c r="W80" i="106"/>
  <c r="X80" i="106" s="1"/>
  <c r="Z80" i="106" s="1"/>
  <c r="AA80" i="106" s="1"/>
  <c r="CN84" i="106"/>
  <c r="CH84" i="106"/>
  <c r="CR85" i="106"/>
  <c r="CN94" i="106"/>
  <c r="CH94" i="106"/>
  <c r="CN126" i="106"/>
  <c r="CH126" i="106"/>
  <c r="DC43" i="106"/>
  <c r="DF43" i="106" s="1"/>
  <c r="DI43" i="106" s="1"/>
  <c r="DC57" i="106"/>
  <c r="CW66" i="106"/>
  <c r="CN72" i="106"/>
  <c r="CH72" i="106"/>
  <c r="CH80" i="106"/>
  <c r="CN90" i="106"/>
  <c r="CH90" i="106"/>
  <c r="CN98" i="106"/>
  <c r="CR98" i="106" s="1"/>
  <c r="CV98" i="106" s="1"/>
  <c r="CH98" i="106"/>
  <c r="CH109" i="106"/>
  <c r="CN109" i="106"/>
  <c r="CH58" i="106"/>
  <c r="CN117" i="106"/>
  <c r="CH117" i="106"/>
  <c r="W100" i="106"/>
  <c r="X100" i="106" s="1"/>
  <c r="Z100" i="106" s="1"/>
  <c r="AA100" i="106" s="1"/>
  <c r="CR114" i="106"/>
  <c r="CO114" i="106"/>
  <c r="CN93" i="106"/>
  <c r="CH93" i="106"/>
  <c r="CN97" i="106"/>
  <c r="CH97" i="106"/>
  <c r="CN113" i="106"/>
  <c r="CO113" i="106" s="1"/>
  <c r="CH113" i="106"/>
  <c r="CN121" i="106"/>
  <c r="CH121" i="106"/>
  <c r="CR95" i="106"/>
  <c r="CO95" i="106"/>
  <c r="CN102" i="106"/>
  <c r="CH102" i="106"/>
  <c r="CH104" i="106"/>
  <c r="CN104" i="106"/>
  <c r="CY111" i="106"/>
  <c r="CW111" i="106"/>
  <c r="CN88" i="106"/>
  <c r="CH88" i="106"/>
  <c r="DC91" i="106"/>
  <c r="CZ91" i="106"/>
  <c r="CH95" i="106"/>
  <c r="CN99" i="106"/>
  <c r="CH99" i="106"/>
  <c r="CN107" i="106"/>
  <c r="CH107" i="106"/>
  <c r="CN116" i="106"/>
  <c r="CH116" i="106"/>
  <c r="DC136" i="106"/>
  <c r="CZ136" i="106"/>
  <c r="CN100" i="106"/>
  <c r="CO100" i="106" s="1"/>
  <c r="CH100" i="106"/>
  <c r="Z89" i="106"/>
  <c r="AA89" i="106" s="1"/>
  <c r="CR101" i="106"/>
  <c r="CO101" i="106"/>
  <c r="CN103" i="106"/>
  <c r="CH103" i="106"/>
  <c r="CN105" i="106"/>
  <c r="CH105" i="106"/>
  <c r="CN110" i="106"/>
  <c r="CH110" i="106"/>
  <c r="CN122" i="106"/>
  <c r="CR122" i="106" s="1"/>
  <c r="CH122" i="106"/>
  <c r="Z111" i="106"/>
  <c r="AA111" i="106" s="1"/>
  <c r="CN120" i="106"/>
  <c r="CH120" i="106"/>
  <c r="CV127" i="106"/>
  <c r="CY127" i="106"/>
  <c r="CS127" i="106"/>
  <c r="CR131" i="106"/>
  <c r="CO131" i="106"/>
  <c r="CH101" i="106"/>
  <c r="W116" i="106"/>
  <c r="X116" i="106" s="1"/>
  <c r="Z116" i="106" s="1"/>
  <c r="AA116" i="106" s="1"/>
  <c r="CY135" i="106"/>
  <c r="CW135" i="106"/>
  <c r="BC138" i="106"/>
  <c r="CN119" i="106"/>
  <c r="CR119" i="106" s="1"/>
  <c r="CH119" i="106"/>
  <c r="CN125" i="106"/>
  <c r="CH125" i="106"/>
  <c r="CN130" i="106"/>
  <c r="CH130" i="106"/>
  <c r="DF132" i="106"/>
  <c r="DI132" i="106"/>
  <c r="DD132" i="106"/>
  <c r="W112" i="106"/>
  <c r="X112" i="106" s="1"/>
  <c r="Z112" i="106" s="1"/>
  <c r="AA112" i="106" s="1"/>
  <c r="DF121" i="106"/>
  <c r="DI121" i="106"/>
  <c r="DD121" i="106"/>
  <c r="CZ121" i="106"/>
  <c r="CR128" i="106"/>
  <c r="CO128" i="106"/>
  <c r="CN123" i="106"/>
  <c r="CH123" i="106"/>
  <c r="CN124" i="106"/>
  <c r="CR124" i="106" s="1"/>
  <c r="CH124" i="106"/>
  <c r="BO4" i="104"/>
  <c r="AF17" i="104"/>
  <c r="CS7" i="104"/>
  <c r="CU7" i="104"/>
  <c r="CX7" i="104" s="1"/>
  <c r="CZ7" i="104" s="1"/>
  <c r="CH15" i="104"/>
  <c r="CE15" i="104"/>
  <c r="CE10" i="104"/>
  <c r="CH10" i="104"/>
  <c r="AA9" i="104"/>
  <c r="AF9" i="104"/>
  <c r="CY9" i="104" s="1"/>
  <c r="CH20" i="104"/>
  <c r="CE20" i="104"/>
  <c r="Z21" i="104"/>
  <c r="AF4" i="104"/>
  <c r="CH6" i="104"/>
  <c r="CE6" i="104"/>
  <c r="R22" i="104"/>
  <c r="CH19" i="104"/>
  <c r="CE19" i="104"/>
  <c r="CN21" i="104"/>
  <c r="CO16" i="104"/>
  <c r="CS11" i="104"/>
  <c r="AF5" i="104"/>
  <c r="BK8" i="104"/>
  <c r="BM8" i="104" s="1"/>
  <c r="BO8" i="104" s="1"/>
  <c r="CD8" i="104" s="1"/>
  <c r="CH8" i="104" s="1"/>
  <c r="BK17" i="104"/>
  <c r="BM17" i="104"/>
  <c r="BO17" i="104"/>
  <c r="CD17" i="104" s="1"/>
  <c r="CP7" i="104"/>
  <c r="BN18" i="104"/>
  <c r="BO18" i="104" s="1"/>
  <c r="CD18" i="104" s="1"/>
  <c r="CE18" i="104" s="1"/>
  <c r="DB9" i="103"/>
  <c r="BK5" i="103" a="1"/>
  <c r="AM8" i="103"/>
  <c r="AL8" i="103"/>
  <c r="AK8" i="103"/>
  <c r="DA54" i="103"/>
  <c r="CV54" i="103"/>
  <c r="DG18" i="103"/>
  <c r="DI22" i="103"/>
  <c r="DB22" i="103"/>
  <c r="CV23" i="103"/>
  <c r="DA23" i="103"/>
  <c r="DA32" i="103"/>
  <c r="CV32" i="103"/>
  <c r="CV37" i="103"/>
  <c r="DA37" i="103"/>
  <c r="CV46" i="103"/>
  <c r="DA46" i="103"/>
  <c r="AE38" i="103"/>
  <c r="AM38" i="103"/>
  <c r="AL38" i="103"/>
  <c r="AK38" i="103"/>
  <c r="DF8" i="103"/>
  <c r="DI8" i="103" s="1"/>
  <c r="DF9" i="103"/>
  <c r="DI9" i="103" s="1"/>
  <c r="DM9" i="103" s="1"/>
  <c r="DM36" i="103"/>
  <c r="DP36" i="103" s="1"/>
  <c r="DR36" i="103" s="1"/>
  <c r="DT36" i="103" s="1"/>
  <c r="DJ36" i="103"/>
  <c r="DG7" i="103"/>
  <c r="DI7" i="103"/>
  <c r="DF27" i="103"/>
  <c r="DI27" i="103" s="1"/>
  <c r="DM33" i="103"/>
  <c r="DP33" i="103"/>
  <c r="DR33" i="103" s="1"/>
  <c r="DT33" i="103" s="1"/>
  <c r="DJ33" i="103"/>
  <c r="CV25" i="103"/>
  <c r="DF42" i="103"/>
  <c r="DI42" i="103" s="1"/>
  <c r="DB42" i="103"/>
  <c r="DA49" i="103"/>
  <c r="CV49" i="103"/>
  <c r="AL9" i="103"/>
  <c r="AM9" i="103"/>
  <c r="AK9" i="103"/>
  <c r="DB25" i="103"/>
  <c r="DF25" i="103"/>
  <c r="DI25" i="103"/>
  <c r="BM91" i="103"/>
  <c r="CM5" i="103"/>
  <c r="DA15" i="103"/>
  <c r="CV15" i="103"/>
  <c r="AE8" i="103"/>
  <c r="AE9" i="103"/>
  <c r="DB20" i="103"/>
  <c r="CV29" i="103"/>
  <c r="DA29" i="103"/>
  <c r="DI38" i="103"/>
  <c r="DG38" i="103"/>
  <c r="DF41" i="103"/>
  <c r="DI41" i="103" s="1"/>
  <c r="DB41" i="103"/>
  <c r="BH91" i="103"/>
  <c r="DA65" i="103"/>
  <c r="DB65" i="103" s="1"/>
  <c r="CV65" i="103"/>
  <c r="DM78" i="103"/>
  <c r="DP78" i="103" s="1"/>
  <c r="DR78" i="103" s="1"/>
  <c r="DT78" i="103" s="1"/>
  <c r="DJ78" i="103"/>
  <c r="AK10" i="103"/>
  <c r="CV22" i="103"/>
  <c r="DF47" i="103"/>
  <c r="DG47" i="103" s="1"/>
  <c r="DA50" i="103"/>
  <c r="CV50" i="103"/>
  <c r="DM4" i="103"/>
  <c r="AK11" i="103"/>
  <c r="AL10" i="103"/>
  <c r="AL11" i="103"/>
  <c r="CV20" i="103"/>
  <c r="CV21" i="103"/>
  <c r="CV27" i="103"/>
  <c r="DA35" i="103"/>
  <c r="DI40" i="103"/>
  <c r="DI67" i="103"/>
  <c r="DG67" i="103"/>
  <c r="CP91" i="103"/>
  <c r="DB44" i="103"/>
  <c r="DF44" i="103"/>
  <c r="DI44" i="103" s="1"/>
  <c r="DJ44" i="103" s="1"/>
  <c r="DA48" i="103"/>
  <c r="CV48" i="103"/>
  <c r="DF74" i="103"/>
  <c r="DI74" i="103" s="1"/>
  <c r="DB74" i="103"/>
  <c r="CV13" i="103"/>
  <c r="CV24" i="103"/>
  <c r="CV31" i="103"/>
  <c r="DG33" i="103"/>
  <c r="CJ10" i="103"/>
  <c r="AG91" i="103"/>
  <c r="CV8" i="103"/>
  <c r="CV9" i="103"/>
  <c r="AK5" i="103"/>
  <c r="BL91" i="103"/>
  <c r="CV5" i="103"/>
  <c r="DH91" i="103"/>
  <c r="DB33" i="103"/>
  <c r="AL42" i="103"/>
  <c r="DF53" i="103"/>
  <c r="DI53" i="103"/>
  <c r="DM53" i="103" s="1"/>
  <c r="DP53" i="103" s="1"/>
  <c r="DB53" i="103"/>
  <c r="AM42" i="103"/>
  <c r="AM58" i="103"/>
  <c r="AE58" i="103"/>
  <c r="DF60" i="103"/>
  <c r="DI60" i="103" s="1"/>
  <c r="DF62" i="103"/>
  <c r="DI62" i="103" s="1"/>
  <c r="AE55" i="103"/>
  <c r="AM55" i="103"/>
  <c r="AL55" i="103"/>
  <c r="AK55" i="103"/>
  <c r="DB55" i="103"/>
  <c r="DA69" i="103"/>
  <c r="DF69" i="103" s="1"/>
  <c r="CV69" i="103"/>
  <c r="DF55" i="103"/>
  <c r="DI55" i="103" s="1"/>
  <c r="DA58" i="103"/>
  <c r="CV58" i="103"/>
  <c r="DF70" i="103"/>
  <c r="DI70" i="103" s="1"/>
  <c r="DB70" i="103"/>
  <c r="DF75" i="103"/>
  <c r="DI75" i="103"/>
  <c r="DM75" i="103" s="1"/>
  <c r="DP75" i="103" s="1"/>
  <c r="DB75" i="103"/>
  <c r="DF77" i="103"/>
  <c r="DG77" i="103" s="1"/>
  <c r="DM82" i="103"/>
  <c r="DP82" i="103" s="1"/>
  <c r="DR82" i="103"/>
  <c r="DT82" i="103" s="1"/>
  <c r="DJ82" i="103"/>
  <c r="DF61" i="103"/>
  <c r="DI61" i="103" s="1"/>
  <c r="DG82" i="103"/>
  <c r="DM71" i="103"/>
  <c r="DP71" i="103"/>
  <c r="DR71" i="103"/>
  <c r="DT71" i="103" s="1"/>
  <c r="DJ71" i="103"/>
  <c r="DF79" i="103"/>
  <c r="DG79" i="103" s="1"/>
  <c r="AM81" i="103"/>
  <c r="AK61" i="103"/>
  <c r="AK62" i="103"/>
  <c r="CV75" i="103"/>
  <c r="AE72" i="103"/>
  <c r="DB67" i="103"/>
  <c r="AK72" i="103"/>
  <c r="DJ73" i="103"/>
  <c r="CV74" i="103"/>
  <c r="DB76" i="103"/>
  <c r="CV77" i="103"/>
  <c r="CV79" i="103"/>
  <c r="W83" i="48"/>
  <c r="X83" i="48" s="1"/>
  <c r="AE83" i="48" s="1"/>
  <c r="N83" i="48"/>
  <c r="CS59" i="106"/>
  <c r="BM105" i="106"/>
  <c r="BM118" i="106"/>
  <c r="BM104" i="106"/>
  <c r="BM117" i="106"/>
  <c r="BM124" i="106"/>
  <c r="BJ4" i="106"/>
  <c r="BM60" i="106"/>
  <c r="BM84" i="106"/>
  <c r="BM83" i="106"/>
  <c r="BM107" i="106"/>
  <c r="BM99" i="106"/>
  <c r="BM98" i="106"/>
  <c r="BM116" i="106"/>
  <c r="CO118" i="106"/>
  <c r="CR118" i="106"/>
  <c r="CO82" i="106"/>
  <c r="BM80" i="106"/>
  <c r="BM93" i="106"/>
  <c r="BM110" i="106"/>
  <c r="BM85" i="106"/>
  <c r="BM131" i="106"/>
  <c r="CV82" i="106"/>
  <c r="CY82" i="106" s="1"/>
  <c r="DH138" i="106"/>
  <c r="CW15" i="106"/>
  <c r="CY15" i="106"/>
  <c r="CZ15" i="106" s="1"/>
  <c r="CW127" i="106"/>
  <c r="CS28" i="106"/>
  <c r="CW59" i="106"/>
  <c r="CS25" i="106"/>
  <c r="CY134" i="106"/>
  <c r="CW134" i="106"/>
  <c r="DC14" i="106"/>
  <c r="DF14" i="106" s="1"/>
  <c r="DI14" i="106" s="1"/>
  <c r="CW25" i="106"/>
  <c r="CZ96" i="106"/>
  <c r="DC96" i="106"/>
  <c r="CR129" i="106"/>
  <c r="CO129" i="106"/>
  <c r="CR33" i="106"/>
  <c r="CO33" i="106"/>
  <c r="DB12" i="103"/>
  <c r="DB51" i="103"/>
  <c r="DF10" i="103"/>
  <c r="DG10" i="103" s="1"/>
  <c r="DI10" i="103"/>
  <c r="DB34" i="103"/>
  <c r="DB71" i="103"/>
  <c r="DF72" i="103"/>
  <c r="DI72" i="103"/>
  <c r="DM72" i="103" s="1"/>
  <c r="DP72" i="103"/>
  <c r="DR72" i="103" s="1"/>
  <c r="DT72" i="103" s="1"/>
  <c r="DG71" i="103"/>
  <c r="DF45" i="103"/>
  <c r="DI45" i="103" s="1"/>
  <c r="DM45" i="103" s="1"/>
  <c r="DP45" i="103" s="1"/>
  <c r="DR45" i="103" s="1"/>
  <c r="DT45" i="103" s="1"/>
  <c r="DM28" i="103"/>
  <c r="DP28" i="103" s="1"/>
  <c r="DR28" i="103" s="1"/>
  <c r="DT28" i="103" s="1"/>
  <c r="CV52" i="103"/>
  <c r="DF39" i="103"/>
  <c r="DI39" i="103"/>
  <c r="DJ39" i="103" s="1"/>
  <c r="DE91" i="103"/>
  <c r="DF80" i="103"/>
  <c r="DI80" i="103"/>
  <c r="DM80" i="103" s="1"/>
  <c r="DP80" i="103" s="1"/>
  <c r="DR80" i="103" s="1"/>
  <c r="DT80" i="103" s="1"/>
  <c r="DG28" i="103"/>
  <c r="DB28" i="103"/>
  <c r="DF17" i="103"/>
  <c r="DI17" i="103"/>
  <c r="DM17" i="103"/>
  <c r="DP17" i="103"/>
  <c r="DR17" i="103" s="1"/>
  <c r="DT17" i="103" s="1"/>
  <c r="DG62" i="103"/>
  <c r="DF59" i="103"/>
  <c r="DI59" i="103" s="1"/>
  <c r="DF57" i="103"/>
  <c r="DB57" i="103"/>
  <c r="AE91" i="103"/>
  <c r="DG61" i="103"/>
  <c r="DB81" i="103"/>
  <c r="DF81" i="103"/>
  <c r="DI81" i="103"/>
  <c r="DG76" i="103"/>
  <c r="DJ76" i="103"/>
  <c r="DG55" i="103"/>
  <c r="DG25" i="103"/>
  <c r="DG42" i="103"/>
  <c r="DG72" i="103"/>
  <c r="DF52" i="103"/>
  <c r="DB52" i="103"/>
  <c r="O273" i="107"/>
  <c r="P298" i="107"/>
  <c r="Q298" i="107" s="1"/>
  <c r="P273" i="107"/>
  <c r="AF273" i="107"/>
  <c r="AF285" i="107"/>
  <c r="AF287" i="107" s="1"/>
  <c r="AF289" i="107" s="1"/>
  <c r="CR73" i="106"/>
  <c r="CO120" i="106"/>
  <c r="CR120" i="106"/>
  <c r="CV95" i="106"/>
  <c r="CS95" i="106"/>
  <c r="DC111" i="106"/>
  <c r="CZ111" i="106"/>
  <c r="CR121" i="106"/>
  <c r="CO121" i="106"/>
  <c r="DD57" i="106"/>
  <c r="DF57" i="106"/>
  <c r="DI57" i="106"/>
  <c r="CR44" i="106"/>
  <c r="CO44" i="106"/>
  <c r="CO39" i="106"/>
  <c r="CR39" i="106"/>
  <c r="CV80" i="106"/>
  <c r="CS80" i="106"/>
  <c r="CR34" i="106"/>
  <c r="CO34" i="106"/>
  <c r="CR69" i="106"/>
  <c r="CO69" i="106"/>
  <c r="CR62" i="106"/>
  <c r="CV62" i="106" s="1"/>
  <c r="CY62" i="106" s="1"/>
  <c r="CO62" i="106"/>
  <c r="CR5" i="106"/>
  <c r="CO5" i="106"/>
  <c r="CR6" i="106"/>
  <c r="CO6" i="106"/>
  <c r="CR7" i="106"/>
  <c r="CO7" i="106"/>
  <c r="CO19" i="106"/>
  <c r="CR19" i="106"/>
  <c r="CV19" i="106" s="1"/>
  <c r="CO119" i="106"/>
  <c r="CV131" i="106"/>
  <c r="CY131" i="106" s="1"/>
  <c r="CS131" i="106"/>
  <c r="CO105" i="106"/>
  <c r="CR105" i="106"/>
  <c r="CR100" i="106"/>
  <c r="CR99" i="106"/>
  <c r="CO99" i="106"/>
  <c r="CR104" i="106"/>
  <c r="CO104" i="106"/>
  <c r="CR90" i="106"/>
  <c r="CS90" i="106" s="1"/>
  <c r="CO90" i="106"/>
  <c r="CR84" i="106"/>
  <c r="CO84" i="106"/>
  <c r="CR78" i="106"/>
  <c r="CV78" i="106" s="1"/>
  <c r="CY78" i="106" s="1"/>
  <c r="CO78" i="106"/>
  <c r="CR63" i="106"/>
  <c r="CO63" i="106"/>
  <c r="CS46" i="106"/>
  <c r="CV46" i="106"/>
  <c r="CY46" i="106" s="1"/>
  <c r="CR42" i="106"/>
  <c r="CS42" i="106" s="1"/>
  <c r="CO42" i="106"/>
  <c r="CR30" i="106"/>
  <c r="CO30" i="106"/>
  <c r="CS58" i="106"/>
  <c r="CR32" i="106"/>
  <c r="CO32" i="106"/>
  <c r="DC25" i="106"/>
  <c r="DF25" i="106" s="1"/>
  <c r="DI25" i="106" s="1"/>
  <c r="BJ138" i="106"/>
  <c r="BM4" i="106"/>
  <c r="CO122" i="106"/>
  <c r="CW114" i="106"/>
  <c r="CV114" i="106"/>
  <c r="CY114" i="106"/>
  <c r="CS114" i="106"/>
  <c r="CR71" i="106"/>
  <c r="CO71" i="106"/>
  <c r="CR49" i="106"/>
  <c r="CO49" i="106"/>
  <c r="CO8" i="106"/>
  <c r="CR8" i="106"/>
  <c r="CR27" i="106"/>
  <c r="CO27" i="106"/>
  <c r="CF138" i="106"/>
  <c r="CG2" i="106"/>
  <c r="DC3" i="106"/>
  <c r="DF3" i="106" s="1"/>
  <c r="CV128" i="106"/>
  <c r="CY128" i="106" s="1"/>
  <c r="CZ128" i="106" s="1"/>
  <c r="CS128" i="106"/>
  <c r="DC127" i="106"/>
  <c r="CZ127" i="106"/>
  <c r="CR103" i="106"/>
  <c r="CO103" i="106"/>
  <c r="DF136" i="106"/>
  <c r="DI136" i="106"/>
  <c r="DD136" i="106"/>
  <c r="CR109" i="106"/>
  <c r="CO109" i="106"/>
  <c r="CR126" i="106"/>
  <c r="CV126" i="106" s="1"/>
  <c r="CO126" i="106"/>
  <c r="CS64" i="106"/>
  <c r="CO60" i="106"/>
  <c r="CR60" i="106"/>
  <c r="CR52" i="106"/>
  <c r="CO52" i="106"/>
  <c r="CO68" i="106"/>
  <c r="CR68" i="106"/>
  <c r="CR45" i="106"/>
  <c r="CO45" i="106"/>
  <c r="CR61" i="106"/>
  <c r="CO61" i="106"/>
  <c r="DD14" i="106"/>
  <c r="CR48" i="106"/>
  <c r="CW3" i="106"/>
  <c r="CR29" i="106"/>
  <c r="CO29" i="106"/>
  <c r="CV16" i="106"/>
  <c r="CS16" i="106"/>
  <c r="CS9" i="106"/>
  <c r="CV9" i="106"/>
  <c r="CY9" i="106"/>
  <c r="CO123" i="106"/>
  <c r="CR123" i="106"/>
  <c r="CS123" i="106" s="1"/>
  <c r="CR113" i="106"/>
  <c r="CO115" i="106"/>
  <c r="CR115" i="106"/>
  <c r="CO124" i="106"/>
  <c r="DD91" i="106"/>
  <c r="DF91" i="106"/>
  <c r="DI91" i="106"/>
  <c r="CR102" i="106"/>
  <c r="CS102" i="106" s="1"/>
  <c r="CO102" i="106"/>
  <c r="CO72" i="106"/>
  <c r="CR72" i="106"/>
  <c r="CO112" i="106"/>
  <c r="CR112" i="106"/>
  <c r="CR51" i="106"/>
  <c r="CO51" i="106"/>
  <c r="CR47" i="106"/>
  <c r="CO47" i="106"/>
  <c r="CR89" i="106"/>
  <c r="CO89" i="106"/>
  <c r="CV21" i="106"/>
  <c r="CY21" i="106" s="1"/>
  <c r="CS21" i="106"/>
  <c r="CY38" i="106"/>
  <c r="CW38" i="106"/>
  <c r="CH4" i="106"/>
  <c r="CN4" i="106"/>
  <c r="CO54" i="106"/>
  <c r="CR54" i="106"/>
  <c r="CV54" i="106" s="1"/>
  <c r="CY54" i="106" s="1"/>
  <c r="CS20" i="106"/>
  <c r="CV20" i="106"/>
  <c r="CY20" i="106"/>
  <c r="CZ20" i="106" s="1"/>
  <c r="DC22" i="106"/>
  <c r="DF22" i="106" s="1"/>
  <c r="DI22" i="106" s="1"/>
  <c r="CZ22" i="106"/>
  <c r="CR18" i="106"/>
  <c r="CO18" i="106"/>
  <c r="CR130" i="106"/>
  <c r="CS130" i="106" s="1"/>
  <c r="CO130" i="106"/>
  <c r="DC135" i="106"/>
  <c r="CZ135" i="106"/>
  <c r="CS101" i="106"/>
  <c r="CV101" i="106"/>
  <c r="CY101" i="106" s="1"/>
  <c r="DC101" i="106" s="1"/>
  <c r="CR116" i="106"/>
  <c r="CO116" i="106"/>
  <c r="CR97" i="106"/>
  <c r="CO97" i="106"/>
  <c r="CR117" i="106"/>
  <c r="CW117" i="106" s="1"/>
  <c r="CO117" i="106"/>
  <c r="CR94" i="106"/>
  <c r="CO94" i="106"/>
  <c r="CW82" i="106"/>
  <c r="CO41" i="106"/>
  <c r="CR41" i="106"/>
  <c r="CV56" i="106"/>
  <c r="CY56" i="106"/>
  <c r="DC56" i="106" s="1"/>
  <c r="CS56" i="106"/>
  <c r="CR83" i="106"/>
  <c r="CO83" i="106"/>
  <c r="BI139" i="106"/>
  <c r="CR37" i="106"/>
  <c r="CS37" i="106" s="1"/>
  <c r="CO37" i="106"/>
  <c r="CV17" i="106"/>
  <c r="CY17" i="106"/>
  <c r="CZ17" i="106" s="1"/>
  <c r="CS17" i="106"/>
  <c r="CV13" i="106"/>
  <c r="CY13" i="106" s="1"/>
  <c r="CZ13" i="106" s="1"/>
  <c r="CS13" i="106"/>
  <c r="CR31" i="106"/>
  <c r="CO31" i="106"/>
  <c r="DD26" i="106"/>
  <c r="DF26" i="106"/>
  <c r="DI26" i="106"/>
  <c r="CR70" i="106"/>
  <c r="CO70" i="106"/>
  <c r="CR88" i="106"/>
  <c r="CO88" i="106"/>
  <c r="CR106" i="106"/>
  <c r="CS106" i="106" s="1"/>
  <c r="CO106" i="106"/>
  <c r="DF81" i="106"/>
  <c r="DI81" i="106" s="1"/>
  <c r="DD81" i="106"/>
  <c r="DC82" i="106"/>
  <c r="DD82" i="106" s="1"/>
  <c r="CZ82" i="106"/>
  <c r="CR50" i="106"/>
  <c r="CO50" i="106"/>
  <c r="CO35" i="106"/>
  <c r="CR35" i="106"/>
  <c r="CR79" i="106"/>
  <c r="CO79" i="106"/>
  <c r="CR86" i="106"/>
  <c r="CO86" i="106"/>
  <c r="CZ28" i="106"/>
  <c r="DC28" i="106"/>
  <c r="CV11" i="106"/>
  <c r="CY11" i="106" s="1"/>
  <c r="CS11" i="106"/>
  <c r="CR12" i="106"/>
  <c r="CO12" i="106"/>
  <c r="DC23" i="106"/>
  <c r="CZ23" i="106"/>
  <c r="CR24" i="106"/>
  <c r="CV24" i="106" s="1"/>
  <c r="CO24" i="106"/>
  <c r="CV36" i="106"/>
  <c r="CY36" i="106" s="1"/>
  <c r="CS36" i="106"/>
  <c r="CR125" i="106"/>
  <c r="CS125" i="106" s="1"/>
  <c r="CO125" i="106"/>
  <c r="CO110" i="106"/>
  <c r="CR110" i="106"/>
  <c r="CO107" i="106"/>
  <c r="CR107" i="106"/>
  <c r="CS107" i="106" s="1"/>
  <c r="CO93" i="106"/>
  <c r="CR93" i="106"/>
  <c r="DC59" i="106"/>
  <c r="DF59" i="106" s="1"/>
  <c r="DI59" i="106" s="1"/>
  <c r="CZ59" i="106"/>
  <c r="CV85" i="106"/>
  <c r="CY85" i="106" s="1"/>
  <c r="CZ85" i="106" s="1"/>
  <c r="CS85" i="106"/>
  <c r="CR92" i="106"/>
  <c r="CO92" i="106"/>
  <c r="DD66" i="106"/>
  <c r="DF66" i="106"/>
  <c r="DI66" i="106"/>
  <c r="CO40" i="106"/>
  <c r="CR40" i="106"/>
  <c r="CR76" i="106"/>
  <c r="CO76" i="106"/>
  <c r="CR53" i="106"/>
  <c r="CO53" i="106"/>
  <c r="CW28" i="106"/>
  <c r="CR10" i="106"/>
  <c r="CV10" i="106" s="1"/>
  <c r="CY10" i="106" s="1"/>
  <c r="CO10" i="106"/>
  <c r="CW23" i="106"/>
  <c r="CL15" i="104"/>
  <c r="CM15" i="104" s="1"/>
  <c r="CI15" i="104"/>
  <c r="CH18" i="104"/>
  <c r="CI18" i="104" s="1"/>
  <c r="CR16" i="104"/>
  <c r="CP16" i="104"/>
  <c r="CL6" i="104"/>
  <c r="CO6" i="104" s="1"/>
  <c r="CR6" i="104" s="1"/>
  <c r="CI6" i="104"/>
  <c r="CD4" i="104"/>
  <c r="CE17" i="104"/>
  <c r="CH17" i="104"/>
  <c r="CI17" i="104" s="1"/>
  <c r="CE8" i="104"/>
  <c r="CL19" i="104"/>
  <c r="CM19" i="104" s="1"/>
  <c r="CI19" i="104"/>
  <c r="CL10" i="104"/>
  <c r="CI10" i="104"/>
  <c r="CY21" i="104"/>
  <c r="CZ9" i="104"/>
  <c r="CM20" i="104"/>
  <c r="CL20" i="104"/>
  <c r="CI20" i="104"/>
  <c r="BN21" i="104"/>
  <c r="DR53" i="103"/>
  <c r="DT53" i="103" s="1"/>
  <c r="DB50" i="103"/>
  <c r="DF50" i="103"/>
  <c r="DI50" i="103"/>
  <c r="DM50" i="103" s="1"/>
  <c r="DP50" i="103" s="1"/>
  <c r="DR50" i="103" s="1"/>
  <c r="DT50" i="103" s="1"/>
  <c r="DR75" i="103"/>
  <c r="DT75" i="103" s="1"/>
  <c r="DI16" i="103"/>
  <c r="DM16" i="103" s="1"/>
  <c r="DG16" i="103"/>
  <c r="DJ42" i="103"/>
  <c r="DM42" i="103"/>
  <c r="DP42" i="103"/>
  <c r="DR42" i="103"/>
  <c r="DT42" i="103" s="1"/>
  <c r="DG75" i="103"/>
  <c r="DJ55" i="103"/>
  <c r="DM55" i="103"/>
  <c r="DP55" i="103" s="1"/>
  <c r="DR55" i="103" s="1"/>
  <c r="DT55" i="103" s="1"/>
  <c r="DJ60" i="103"/>
  <c r="DM60" i="103"/>
  <c r="DP60" i="103"/>
  <c r="DR60" i="103"/>
  <c r="DT60" i="103" s="1"/>
  <c r="DF48" i="103"/>
  <c r="DI48" i="103" s="1"/>
  <c r="DB48" i="103"/>
  <c r="DM67" i="103"/>
  <c r="DP67" i="103" s="1"/>
  <c r="DR67" i="103" s="1"/>
  <c r="DT67" i="103" s="1"/>
  <c r="DJ67" i="103"/>
  <c r="DG41" i="103"/>
  <c r="DG27" i="103"/>
  <c r="DP9" i="103"/>
  <c r="DR9" i="103" s="1"/>
  <c r="DT9" i="103" s="1"/>
  <c r="DJ9" i="103"/>
  <c r="DF32" i="103"/>
  <c r="DI32" i="103"/>
  <c r="DB32" i="103"/>
  <c r="DM7" i="103"/>
  <c r="DP7" i="103"/>
  <c r="DR7" i="103" s="1"/>
  <c r="DT7" i="103" s="1"/>
  <c r="DJ7" i="103"/>
  <c r="DG8" i="103"/>
  <c r="DF23" i="103"/>
  <c r="DI23" i="103"/>
  <c r="DB23" i="103"/>
  <c r="DM18" i="103"/>
  <c r="DP18" i="103" s="1"/>
  <c r="DR18" i="103" s="1"/>
  <c r="DT18" i="103" s="1"/>
  <c r="DJ18" i="103"/>
  <c r="DB54" i="103"/>
  <c r="DF54" i="103"/>
  <c r="DI54" i="103"/>
  <c r="DJ54" i="103" s="1"/>
  <c r="DG70" i="103"/>
  <c r="DM74" i="103"/>
  <c r="DP74" i="103" s="1"/>
  <c r="DR74" i="103" s="1"/>
  <c r="DT74" i="103" s="1"/>
  <c r="DJ74" i="103"/>
  <c r="DM44" i="103"/>
  <c r="DP44" i="103" s="1"/>
  <c r="DR44" i="103" s="1"/>
  <c r="DT44" i="103"/>
  <c r="DM40" i="103"/>
  <c r="DP40" i="103"/>
  <c r="DR40" i="103"/>
  <c r="DT40" i="103" s="1"/>
  <c r="DJ40" i="103"/>
  <c r="DM12" i="103"/>
  <c r="DP12" i="103"/>
  <c r="DR12" i="103" s="1"/>
  <c r="DT12" i="103" s="1"/>
  <c r="DJ12" i="103"/>
  <c r="DF46" i="103"/>
  <c r="DI46" i="103" s="1"/>
  <c r="DB46" i="103"/>
  <c r="BN55" i="103"/>
  <c r="BN54" i="103"/>
  <c r="BN47" i="103"/>
  <c r="BN76" i="103"/>
  <c r="BN67" i="103"/>
  <c r="BN81" i="103"/>
  <c r="BN80" i="103"/>
  <c r="BN71" i="103"/>
  <c r="BN75" i="103"/>
  <c r="BN72" i="103"/>
  <c r="BN64" i="103"/>
  <c r="CA64" i="103" s="1"/>
  <c r="BN69" i="103"/>
  <c r="BN65" i="103"/>
  <c r="BN58" i="103"/>
  <c r="BN70" i="103"/>
  <c r="BN59" i="103"/>
  <c r="BN44" i="103"/>
  <c r="BN74" i="103"/>
  <c r="BN42" i="103"/>
  <c r="BN31" i="103"/>
  <c r="BN25" i="103"/>
  <c r="BN61" i="103"/>
  <c r="BN57" i="103"/>
  <c r="BN48" i="103"/>
  <c r="BN77" i="103"/>
  <c r="BN35" i="103"/>
  <c r="BN30" i="103"/>
  <c r="BN27" i="103"/>
  <c r="BK5" i="103"/>
  <c r="BN79" i="103"/>
  <c r="BN20" i="103"/>
  <c r="BN37" i="103"/>
  <c r="BN32" i="103"/>
  <c r="BN29" i="103"/>
  <c r="BN22" i="103"/>
  <c r="BN62" i="103"/>
  <c r="BN23" i="103"/>
  <c r="BN15" i="103"/>
  <c r="BN60" i="103"/>
  <c r="BN34" i="103"/>
  <c r="CA34" i="103"/>
  <c r="BN39" i="103"/>
  <c r="BN11" i="103"/>
  <c r="BN9" i="103"/>
  <c r="BN26" i="103"/>
  <c r="CA26" i="103"/>
  <c r="BN10" i="103"/>
  <c r="BN8" i="103"/>
  <c r="BN33" i="103"/>
  <c r="BN24" i="103"/>
  <c r="BN13" i="103"/>
  <c r="BN38" i="103"/>
  <c r="BN12" i="103"/>
  <c r="BN17" i="103"/>
  <c r="DM27" i="103"/>
  <c r="DP27" i="103" s="1"/>
  <c r="DR27" i="103" s="1"/>
  <c r="DT27" i="103" s="1"/>
  <c r="DJ27" i="103"/>
  <c r="DM70" i="103"/>
  <c r="DP70" i="103"/>
  <c r="DR70" i="103" s="1"/>
  <c r="DT70" i="103" s="1"/>
  <c r="DJ70" i="103"/>
  <c r="DG53" i="103"/>
  <c r="DJ41" i="103"/>
  <c r="DM41" i="103"/>
  <c r="DP41" i="103"/>
  <c r="DR41" i="103"/>
  <c r="DT41" i="103" s="1"/>
  <c r="CM91" i="103"/>
  <c r="CM92" i="103"/>
  <c r="CN5" i="103"/>
  <c r="CN91" i="103" s="1"/>
  <c r="DG74" i="103"/>
  <c r="DG44" i="103"/>
  <c r="DF35" i="103"/>
  <c r="DI35" i="103" s="1"/>
  <c r="DM35" i="103" s="1"/>
  <c r="DB35" i="103"/>
  <c r="DF65" i="103"/>
  <c r="DI65" i="103"/>
  <c r="DM65" i="103" s="1"/>
  <c r="DP65" i="103" s="1"/>
  <c r="DR65" i="103" s="1"/>
  <c r="DT65" i="103" s="1"/>
  <c r="DJ38" i="103"/>
  <c r="DM38" i="103"/>
  <c r="DP38" i="103"/>
  <c r="DR38" i="103" s="1"/>
  <c r="DT38" i="103" s="1"/>
  <c r="DM25" i="103"/>
  <c r="DP25" i="103"/>
  <c r="DR25" i="103" s="1"/>
  <c r="DT25" i="103" s="1"/>
  <c r="DJ25" i="103"/>
  <c r="DF49" i="103"/>
  <c r="DI49" i="103" s="1"/>
  <c r="DB49" i="103"/>
  <c r="DG12" i="103"/>
  <c r="DG17" i="103"/>
  <c r="DG9" i="103"/>
  <c r="DB58" i="103"/>
  <c r="DF58" i="103"/>
  <c r="DI58" i="103"/>
  <c r="DM34" i="103"/>
  <c r="DP34" i="103" s="1"/>
  <c r="DR34" i="103" s="1"/>
  <c r="DT34" i="103"/>
  <c r="DJ34" i="103"/>
  <c r="DF29" i="103"/>
  <c r="DI29" i="103"/>
  <c r="DB29" i="103"/>
  <c r="DM22" i="103"/>
  <c r="DP22" i="103" s="1"/>
  <c r="DR22" i="103" s="1"/>
  <c r="DT22" i="103"/>
  <c r="DJ22" i="103"/>
  <c r="DF15" i="103"/>
  <c r="DG15" i="103" s="1"/>
  <c r="DB15" i="103"/>
  <c r="DM8" i="103"/>
  <c r="DJ8" i="103"/>
  <c r="DP4" i="103"/>
  <c r="DG34" i="103"/>
  <c r="CV91" i="103"/>
  <c r="DF37" i="103"/>
  <c r="DB37" i="103"/>
  <c r="DG22" i="103"/>
  <c r="DM10" i="103"/>
  <c r="DP10" i="103" s="1"/>
  <c r="DR10" i="103" s="1"/>
  <c r="DT10" i="103"/>
  <c r="DJ10" i="103"/>
  <c r="CW85" i="106"/>
  <c r="CV118" i="106"/>
  <c r="CY118" i="106" s="1"/>
  <c r="CZ118" i="106" s="1"/>
  <c r="CS118" i="106"/>
  <c r="CW131" i="106"/>
  <c r="CW46" i="106"/>
  <c r="CV129" i="106"/>
  <c r="CW129" i="106" s="1"/>
  <c r="CY129" i="106"/>
  <c r="CS129" i="106"/>
  <c r="DD96" i="106"/>
  <c r="DF96" i="106"/>
  <c r="DI96" i="106" s="1"/>
  <c r="CW64" i="106"/>
  <c r="CS33" i="106"/>
  <c r="CV33" i="106"/>
  <c r="CY33" i="106"/>
  <c r="DC134" i="106"/>
  <c r="CZ134" i="106"/>
  <c r="DM39" i="103"/>
  <c r="DP39" i="103" s="1"/>
  <c r="DR39" i="103" s="1"/>
  <c r="DT39" i="103" s="1"/>
  <c r="DG39" i="103"/>
  <c r="DJ72" i="103"/>
  <c r="DG45" i="103"/>
  <c r="DJ45" i="103"/>
  <c r="DG80" i="103"/>
  <c r="DJ17" i="103"/>
  <c r="DG59" i="103"/>
  <c r="DG29" i="103"/>
  <c r="DG50" i="103"/>
  <c r="DG65" i="103"/>
  <c r="DI57" i="103"/>
  <c r="DG57" i="103"/>
  <c r="DG48" i="103"/>
  <c r="DM81" i="103"/>
  <c r="DP81" i="103"/>
  <c r="DR81" i="103" s="1"/>
  <c r="DT81" i="103" s="1"/>
  <c r="DJ81" i="103"/>
  <c r="DG81" i="103"/>
  <c r="DG32" i="103"/>
  <c r="DI52" i="103"/>
  <c r="DJ52" i="103" s="1"/>
  <c r="DG52" i="103"/>
  <c r="AG287" i="107"/>
  <c r="DC36" i="106"/>
  <c r="CZ36" i="106"/>
  <c r="CS35" i="106"/>
  <c r="CV35" i="106"/>
  <c r="CY35" i="106"/>
  <c r="DC17" i="106"/>
  <c r="DD17" i="106" s="1"/>
  <c r="CS117" i="106"/>
  <c r="CV48" i="106"/>
  <c r="CY48" i="106"/>
  <c r="CS48" i="106"/>
  <c r="CV68" i="106"/>
  <c r="CY68" i="106" s="1"/>
  <c r="CS68" i="106"/>
  <c r="CV90" i="106"/>
  <c r="CY90" i="106" s="1"/>
  <c r="DC90" i="106" s="1"/>
  <c r="CV7" i="106"/>
  <c r="CY7" i="106"/>
  <c r="CS7" i="106"/>
  <c r="CS62" i="106"/>
  <c r="CS10" i="106"/>
  <c r="CV106" i="106"/>
  <c r="CY106" i="106" s="1"/>
  <c r="DC106" i="106" s="1"/>
  <c r="CW17" i="106"/>
  <c r="CW56" i="106"/>
  <c r="CY16" i="106"/>
  <c r="CV71" i="106"/>
  <c r="CY71" i="106"/>
  <c r="CS71" i="106"/>
  <c r="CV30" i="106"/>
  <c r="CY30" i="106" s="1"/>
  <c r="CZ30" i="106" s="1"/>
  <c r="CS30" i="106"/>
  <c r="CW121" i="106"/>
  <c r="CS121" i="106"/>
  <c r="CV73" i="106"/>
  <c r="CY73" i="106"/>
  <c r="CS73" i="106"/>
  <c r="DD59" i="106"/>
  <c r="CY24" i="106"/>
  <c r="CZ24" i="106" s="1"/>
  <c r="CS24" i="106"/>
  <c r="CV41" i="106"/>
  <c r="CY41" i="106" s="1"/>
  <c r="CS41" i="106"/>
  <c r="CV97" i="106"/>
  <c r="CY97" i="106"/>
  <c r="CS97" i="106"/>
  <c r="DF135" i="106"/>
  <c r="DI135" i="106"/>
  <c r="DD135" i="106"/>
  <c r="CW20" i="106"/>
  <c r="CS51" i="106"/>
  <c r="CV51" i="106"/>
  <c r="CY51" i="106"/>
  <c r="CW16" i="106"/>
  <c r="CY126" i="106"/>
  <c r="CZ126" i="106" s="1"/>
  <c r="CS126" i="106"/>
  <c r="DD127" i="106"/>
  <c r="DF127" i="106"/>
  <c r="DI127" i="106"/>
  <c r="DD25" i="106"/>
  <c r="CV63" i="106"/>
  <c r="CY63" i="106"/>
  <c r="DC63" i="106" s="1"/>
  <c r="CS63" i="106"/>
  <c r="CV6" i="106"/>
  <c r="CY6" i="106"/>
  <c r="CS6" i="106"/>
  <c r="CS69" i="106"/>
  <c r="CV69" i="106"/>
  <c r="CY69" i="106"/>
  <c r="CV93" i="106"/>
  <c r="CY93" i="106" s="1"/>
  <c r="DC93" i="106" s="1"/>
  <c r="CS93" i="106"/>
  <c r="CV50" i="106"/>
  <c r="CY50" i="106"/>
  <c r="CS50" i="106"/>
  <c r="CY98" i="106"/>
  <c r="CS98" i="106"/>
  <c r="CV37" i="106"/>
  <c r="CY37" i="106" s="1"/>
  <c r="DC21" i="106"/>
  <c r="DF21" i="106" s="1"/>
  <c r="DI21" i="106" s="1"/>
  <c r="CZ21" i="106"/>
  <c r="CV112" i="106"/>
  <c r="CY112" i="106" s="1"/>
  <c r="CS112" i="106"/>
  <c r="CV123" i="106"/>
  <c r="CY123" i="106" s="1"/>
  <c r="CV52" i="106"/>
  <c r="CW52" i="106" s="1"/>
  <c r="CY52" i="106"/>
  <c r="CS52" i="106"/>
  <c r="CS27" i="106"/>
  <c r="CV27" i="106"/>
  <c r="CY27" i="106" s="1"/>
  <c r="CZ27" i="106" s="1"/>
  <c r="DC114" i="106"/>
  <c r="CZ114" i="106"/>
  <c r="CV42" i="106"/>
  <c r="CY42" i="106" s="1"/>
  <c r="CV104" i="106"/>
  <c r="CW104" i="106" s="1"/>
  <c r="CY104" i="106"/>
  <c r="CS104" i="106"/>
  <c r="CZ131" i="106"/>
  <c r="DC131" i="106"/>
  <c r="DD131" i="106" s="1"/>
  <c r="CV44" i="106"/>
  <c r="CY44" i="106" s="1"/>
  <c r="CS44" i="106"/>
  <c r="DF111" i="106"/>
  <c r="DI111" i="106" s="1"/>
  <c r="DD111" i="106"/>
  <c r="DF23" i="106"/>
  <c r="DI23" i="106"/>
  <c r="DD23" i="106"/>
  <c r="CS54" i="106"/>
  <c r="CV60" i="106"/>
  <c r="CW60" i="106" s="1"/>
  <c r="CY60" i="106"/>
  <c r="CS60" i="106"/>
  <c r="CV32" i="106"/>
  <c r="CY32" i="106" s="1"/>
  <c r="CS32" i="106"/>
  <c r="CV116" i="106"/>
  <c r="CY116" i="106" s="1"/>
  <c r="CS116" i="106"/>
  <c r="CV130" i="106"/>
  <c r="CW130" i="106" s="1"/>
  <c r="CS109" i="106"/>
  <c r="CV109" i="106"/>
  <c r="CY109" i="106"/>
  <c r="DC128" i="106"/>
  <c r="CV8" i="106"/>
  <c r="CY8" i="106"/>
  <c r="CS8" i="106"/>
  <c r="CS78" i="106"/>
  <c r="CV5" i="106"/>
  <c r="CY5" i="106" s="1"/>
  <c r="CS5" i="106"/>
  <c r="CV34" i="106"/>
  <c r="CY34" i="106"/>
  <c r="CS34" i="106"/>
  <c r="CS53" i="106"/>
  <c r="CV53" i="106"/>
  <c r="CY53" i="106"/>
  <c r="CV107" i="106"/>
  <c r="CY107" i="106" s="1"/>
  <c r="CV125" i="106"/>
  <c r="CY125" i="106"/>
  <c r="DF82" i="106"/>
  <c r="DI82" i="106"/>
  <c r="CS88" i="106"/>
  <c r="CV88" i="106"/>
  <c r="CY88" i="106"/>
  <c r="CZ101" i="106"/>
  <c r="CV72" i="106"/>
  <c r="CY72" i="106" s="1"/>
  <c r="CS72" i="106"/>
  <c r="CZ9" i="106"/>
  <c r="DC9" i="106"/>
  <c r="CW128" i="106"/>
  <c r="CV99" i="106"/>
  <c r="CY99" i="106"/>
  <c r="CZ99" i="106" s="1"/>
  <c r="CS99" i="106"/>
  <c r="CV12" i="106"/>
  <c r="CY12" i="106" s="1"/>
  <c r="CS12" i="106"/>
  <c r="CW13" i="106"/>
  <c r="CS83" i="106"/>
  <c r="CV83" i="106"/>
  <c r="CY83" i="106" s="1"/>
  <c r="DC83" i="106" s="1"/>
  <c r="CS94" i="106"/>
  <c r="CV94" i="106"/>
  <c r="CY94" i="106"/>
  <c r="CW101" i="106"/>
  <c r="CV18" i="106"/>
  <c r="CY18" i="106"/>
  <c r="CS18" i="106"/>
  <c r="CR4" i="106"/>
  <c r="CO4" i="106"/>
  <c r="CV89" i="106"/>
  <c r="CY89" i="106"/>
  <c r="CS89" i="106"/>
  <c r="CV124" i="106"/>
  <c r="CY124" i="106"/>
  <c r="CS124" i="106"/>
  <c r="CW9" i="106"/>
  <c r="DI3" i="106"/>
  <c r="DD3" i="106"/>
  <c r="CV122" i="106"/>
  <c r="CY122" i="106" s="1"/>
  <c r="CS122" i="106"/>
  <c r="CW58" i="106"/>
  <c r="CV84" i="106"/>
  <c r="CY84" i="106"/>
  <c r="CS84" i="106"/>
  <c r="CV119" i="106"/>
  <c r="CY119" i="106"/>
  <c r="CS119" i="106"/>
  <c r="CV76" i="106"/>
  <c r="CY76" i="106"/>
  <c r="CS76" i="106"/>
  <c r="DC85" i="106"/>
  <c r="DF85" i="106" s="1"/>
  <c r="DI85" i="106" s="1"/>
  <c r="CW36" i="106"/>
  <c r="CW11" i="106"/>
  <c r="CV79" i="106"/>
  <c r="CY79" i="106"/>
  <c r="CS79" i="106"/>
  <c r="CV70" i="106"/>
  <c r="CY70" i="106"/>
  <c r="DC70" i="106" s="1"/>
  <c r="CS70" i="106"/>
  <c r="CV115" i="106"/>
  <c r="CY115" i="106"/>
  <c r="CS115" i="106"/>
  <c r="CS45" i="106"/>
  <c r="CV45" i="106"/>
  <c r="CY45" i="106"/>
  <c r="DC64" i="106"/>
  <c r="DD64" i="106" s="1"/>
  <c r="CV49" i="106"/>
  <c r="CY49" i="106"/>
  <c r="CS49" i="106"/>
  <c r="DC46" i="106"/>
  <c r="CZ46" i="106"/>
  <c r="CW100" i="106"/>
  <c r="CS100" i="106"/>
  <c r="CV120" i="106"/>
  <c r="CY120" i="106"/>
  <c r="CS120" i="106"/>
  <c r="CV40" i="106"/>
  <c r="CY40" i="106" s="1"/>
  <c r="CS40" i="106"/>
  <c r="CZ56" i="106"/>
  <c r="CV102" i="106"/>
  <c r="CW102" i="106" s="1"/>
  <c r="CV103" i="106"/>
  <c r="CY103" i="106"/>
  <c r="CS103" i="106"/>
  <c r="CG138" i="106"/>
  <c r="CG142" i="106"/>
  <c r="CN2" i="106"/>
  <c r="CH2" i="106"/>
  <c r="CH138" i="106" s="1"/>
  <c r="CV105" i="106"/>
  <c r="CY105" i="106"/>
  <c r="CS105" i="106"/>
  <c r="CV39" i="106"/>
  <c r="CY39" i="106" s="1"/>
  <c r="CS39" i="106"/>
  <c r="CO20" i="104"/>
  <c r="CR20" i="104" s="1"/>
  <c r="CO10" i="104"/>
  <c r="CL17" i="104"/>
  <c r="CM10" i="104"/>
  <c r="CU16" i="104"/>
  <c r="CX16" i="104"/>
  <c r="CZ16" i="104" s="1"/>
  <c r="CS16" i="104"/>
  <c r="CL8" i="104"/>
  <c r="CI8" i="104"/>
  <c r="CH4" i="104"/>
  <c r="CE4" i="104"/>
  <c r="CM18" i="104"/>
  <c r="CL18" i="104"/>
  <c r="CO19" i="104"/>
  <c r="CR19" i="104" s="1"/>
  <c r="CO15" i="104"/>
  <c r="CR15" i="104"/>
  <c r="CU15" i="104" s="1"/>
  <c r="CX15" i="104" s="1"/>
  <c r="CZ15" i="104" s="1"/>
  <c r="DP8" i="103"/>
  <c r="DP16" i="103"/>
  <c r="DR16" i="103"/>
  <c r="DT16" i="103"/>
  <c r="DJ16" i="103"/>
  <c r="DG35" i="103"/>
  <c r="DM54" i="103"/>
  <c r="DP54" i="103" s="1"/>
  <c r="DR54" i="103" s="1"/>
  <c r="DT54" i="103" s="1"/>
  <c r="DG54" i="103"/>
  <c r="DJ49" i="103"/>
  <c r="DM49" i="103"/>
  <c r="DP49" i="103" s="1"/>
  <c r="DR49" i="103" s="1"/>
  <c r="DT49" i="103" s="1"/>
  <c r="CJ5" i="103"/>
  <c r="CJ91" i="103" s="1"/>
  <c r="DJ23" i="103"/>
  <c r="DM23" i="103"/>
  <c r="DP23" i="103" s="1"/>
  <c r="DR23" i="103"/>
  <c r="DT23" i="103" s="1"/>
  <c r="DM29" i="103"/>
  <c r="DP29" i="103"/>
  <c r="DR29" i="103"/>
  <c r="DT29" i="103" s="1"/>
  <c r="DJ29" i="103"/>
  <c r="DP35" i="103"/>
  <c r="DR35" i="103"/>
  <c r="DT35" i="103" s="1"/>
  <c r="DJ35" i="103"/>
  <c r="DG23" i="103"/>
  <c r="DJ32" i="103"/>
  <c r="DM32" i="103"/>
  <c r="DP32" i="103" s="1"/>
  <c r="DR32" i="103" s="1"/>
  <c r="DT32" i="103" s="1"/>
  <c r="DR4" i="103"/>
  <c r="DT4" i="103" s="1"/>
  <c r="DJ58" i="103"/>
  <c r="DM58" i="103"/>
  <c r="DP58" i="103"/>
  <c r="DR58" i="103" s="1"/>
  <c r="DT58" i="103" s="1"/>
  <c r="BK91" i="103"/>
  <c r="BN5" i="103"/>
  <c r="BN91" i="103" s="1"/>
  <c r="DG58" i="103"/>
  <c r="DJ65" i="103"/>
  <c r="CA91" i="103"/>
  <c r="DJ48" i="103"/>
  <c r="DM48" i="103"/>
  <c r="DP48" i="103"/>
  <c r="DR48" i="103"/>
  <c r="DT48" i="103" s="1"/>
  <c r="DG49" i="103"/>
  <c r="CW54" i="106"/>
  <c r="CW107" i="106"/>
  <c r="CW89" i="106"/>
  <c r="CW73" i="106"/>
  <c r="CW103" i="106"/>
  <c r="CW45" i="106"/>
  <c r="CW83" i="106"/>
  <c r="CW35" i="106"/>
  <c r="CW109" i="106"/>
  <c r="CW49" i="106"/>
  <c r="CW37" i="106"/>
  <c r="CW119" i="106"/>
  <c r="CW50" i="106"/>
  <c r="CW48" i="106"/>
  <c r="CW76" i="106"/>
  <c r="CW53" i="106"/>
  <c r="CW97" i="106"/>
  <c r="DF134" i="106"/>
  <c r="DI134" i="106"/>
  <c r="DD134" i="106"/>
  <c r="CW94" i="106"/>
  <c r="CW12" i="106"/>
  <c r="CW88" i="106"/>
  <c r="DC129" i="106"/>
  <c r="CZ129" i="106"/>
  <c r="CZ33" i="106"/>
  <c r="DC33" i="106"/>
  <c r="CW62" i="106"/>
  <c r="CW33" i="106"/>
  <c r="DM57" i="103"/>
  <c r="DP57" i="103" s="1"/>
  <c r="DR57" i="103" s="1"/>
  <c r="DT57" i="103" s="1"/>
  <c r="DJ57" i="103"/>
  <c r="DC120" i="106"/>
  <c r="CZ120" i="106"/>
  <c r="DC124" i="106"/>
  <c r="CZ124" i="106"/>
  <c r="CZ18" i="106"/>
  <c r="DC18" i="106"/>
  <c r="DF18" i="106" s="1"/>
  <c r="DC5" i="106"/>
  <c r="DF5" i="106" s="1"/>
  <c r="DI5" i="106" s="1"/>
  <c r="CZ5" i="106"/>
  <c r="DC8" i="106"/>
  <c r="CZ8" i="106"/>
  <c r="DF114" i="106"/>
  <c r="DI114" i="106" s="1"/>
  <c r="DD114" i="106"/>
  <c r="DC123" i="106"/>
  <c r="DD123" i="106" s="1"/>
  <c r="CZ123" i="106"/>
  <c r="DC98" i="106"/>
  <c r="CZ98" i="106"/>
  <c r="DC69" i="106"/>
  <c r="CZ69" i="106"/>
  <c r="CZ63" i="106"/>
  <c r="DC105" i="106"/>
  <c r="CZ105" i="106"/>
  <c r="DC40" i="106"/>
  <c r="DD40" i="106" s="1"/>
  <c r="CZ40" i="106"/>
  <c r="DD85" i="106"/>
  <c r="CW124" i="106"/>
  <c r="CW18" i="106"/>
  <c r="DC72" i="106"/>
  <c r="CZ72" i="106"/>
  <c r="DC125" i="106"/>
  <c r="CZ125" i="106"/>
  <c r="CZ53" i="106"/>
  <c r="DC53" i="106"/>
  <c r="DC32" i="106"/>
  <c r="CZ32" i="106"/>
  <c r="DC27" i="106"/>
  <c r="DF27" i="106" s="1"/>
  <c r="DI27" i="106" s="1"/>
  <c r="CW123" i="106"/>
  <c r="CW98" i="106"/>
  <c r="CW69" i="106"/>
  <c r="DC68" i="106"/>
  <c r="DD68" i="106" s="1"/>
  <c r="CZ68" i="106"/>
  <c r="CW105" i="106"/>
  <c r="CW40" i="106"/>
  <c r="DC45" i="106"/>
  <c r="CZ45" i="106"/>
  <c r="CW70" i="106"/>
  <c r="DC122" i="106"/>
  <c r="DF122" i="106" s="1"/>
  <c r="DI122" i="106" s="1"/>
  <c r="CZ122" i="106"/>
  <c r="CW99" i="106"/>
  <c r="CW72" i="106"/>
  <c r="DF128" i="106"/>
  <c r="DI128" i="106" s="1"/>
  <c r="DD128" i="106"/>
  <c r="CW24" i="106"/>
  <c r="CW71" i="106"/>
  <c r="DC7" i="106"/>
  <c r="DF7" i="106" s="1"/>
  <c r="DI7" i="106" s="1"/>
  <c r="CZ7" i="106"/>
  <c r="DF36" i="106"/>
  <c r="DI36" i="106"/>
  <c r="DD36" i="106"/>
  <c r="DC76" i="106"/>
  <c r="CZ76" i="106"/>
  <c r="DC119" i="106"/>
  <c r="DD119" i="106" s="1"/>
  <c r="CZ119" i="106"/>
  <c r="CW122" i="106"/>
  <c r="CZ89" i="106"/>
  <c r="DC89" i="106"/>
  <c r="DC94" i="106"/>
  <c r="CZ94" i="106"/>
  <c r="DC107" i="106"/>
  <c r="CZ107" i="106"/>
  <c r="CZ109" i="106"/>
  <c r="DC109" i="106"/>
  <c r="CZ60" i="106"/>
  <c r="DC60" i="106"/>
  <c r="DF60" i="106" s="1"/>
  <c r="DI60" i="106" s="1"/>
  <c r="CZ104" i="106"/>
  <c r="DC104" i="106"/>
  <c r="CZ37" i="106"/>
  <c r="DC37" i="106"/>
  <c r="CZ50" i="106"/>
  <c r="DC50" i="106"/>
  <c r="DF50" i="106" s="1"/>
  <c r="DI50" i="106" s="1"/>
  <c r="DC97" i="106"/>
  <c r="DF97" i="106" s="1"/>
  <c r="DI97" i="106" s="1"/>
  <c r="CZ97" i="106"/>
  <c r="DC73" i="106"/>
  <c r="CZ73" i="106"/>
  <c r="CW10" i="106"/>
  <c r="CW7" i="106"/>
  <c r="DC48" i="106"/>
  <c r="CZ48" i="106"/>
  <c r="DC79" i="106"/>
  <c r="DF79" i="106" s="1"/>
  <c r="DI79" i="106" s="1"/>
  <c r="CZ79" i="106"/>
  <c r="DC78" i="106"/>
  <c r="CZ78" i="106"/>
  <c r="DC6" i="106"/>
  <c r="CZ6" i="106"/>
  <c r="DC51" i="106"/>
  <c r="DD51" i="106" s="1"/>
  <c r="CZ51" i="106"/>
  <c r="CZ71" i="106"/>
  <c r="DC71" i="106"/>
  <c r="DC116" i="106"/>
  <c r="CZ116" i="106"/>
  <c r="DF101" i="106"/>
  <c r="DI101" i="106" s="1"/>
  <c r="DD101" i="106"/>
  <c r="DF46" i="106"/>
  <c r="DI46" i="106" s="1"/>
  <c r="DD46" i="106"/>
  <c r="CZ34" i="106"/>
  <c r="DC34" i="106"/>
  <c r="DD34" i="106" s="1"/>
  <c r="DF56" i="106"/>
  <c r="DI56" i="106" s="1"/>
  <c r="DD56" i="106"/>
  <c r="CW120" i="106"/>
  <c r="CW79" i="106"/>
  <c r="CW34" i="106"/>
  <c r="CW78" i="106"/>
  <c r="CZ44" i="106"/>
  <c r="DC44" i="106"/>
  <c r="CZ42" i="106"/>
  <c r="DC42" i="106"/>
  <c r="DC112" i="106"/>
  <c r="DF112" i="106" s="1"/>
  <c r="DI112" i="106" s="1"/>
  <c r="CZ112" i="106"/>
  <c r="CW6" i="106"/>
  <c r="DC16" i="106"/>
  <c r="CZ16" i="106"/>
  <c r="CZ106" i="106"/>
  <c r="DC10" i="106"/>
  <c r="DD10" i="106" s="1"/>
  <c r="CZ10" i="106"/>
  <c r="DF17" i="106"/>
  <c r="DI17" i="106" s="1"/>
  <c r="DC115" i="106"/>
  <c r="DD115" i="106" s="1"/>
  <c r="CZ115" i="106"/>
  <c r="DC84" i="106"/>
  <c r="CZ84" i="106"/>
  <c r="CV4" i="106"/>
  <c r="CY4" i="106" s="1"/>
  <c r="CS4" i="106"/>
  <c r="CZ83" i="106"/>
  <c r="DD9" i="106"/>
  <c r="DF9" i="106"/>
  <c r="DI9" i="106"/>
  <c r="CW8" i="106"/>
  <c r="CW116" i="106"/>
  <c r="CW44" i="106"/>
  <c r="CW42" i="106"/>
  <c r="DC52" i="106"/>
  <c r="CZ52" i="106"/>
  <c r="CW112" i="106"/>
  <c r="CW63" i="106"/>
  <c r="DC126" i="106"/>
  <c r="DD126" i="106" s="1"/>
  <c r="CW51" i="106"/>
  <c r="DC41" i="106"/>
  <c r="DD41" i="106" s="1"/>
  <c r="CZ41" i="106"/>
  <c r="CW106" i="106"/>
  <c r="DC35" i="106"/>
  <c r="CZ35" i="106"/>
  <c r="CW39" i="106"/>
  <c r="DC103" i="106"/>
  <c r="DD103" i="106" s="1"/>
  <c r="CZ103" i="106"/>
  <c r="DC49" i="106"/>
  <c r="CZ49" i="106"/>
  <c r="CW115" i="106"/>
  <c r="CW84" i="106"/>
  <c r="DC88" i="106"/>
  <c r="CZ88" i="106"/>
  <c r="CW125" i="106"/>
  <c r="CW5" i="106"/>
  <c r="CW32" i="106"/>
  <c r="DC54" i="106"/>
  <c r="DF54" i="106" s="1"/>
  <c r="DI54" i="106" s="1"/>
  <c r="CZ54" i="106"/>
  <c r="CW93" i="106"/>
  <c r="CW126" i="106"/>
  <c r="CW41" i="106"/>
  <c r="CW30" i="106"/>
  <c r="DC62" i="106"/>
  <c r="DD62" i="106" s="1"/>
  <c r="CZ62" i="106"/>
  <c r="CW68" i="106"/>
  <c r="CR2" i="106"/>
  <c r="CO2" i="106"/>
  <c r="DC99" i="106"/>
  <c r="DF99" i="106" s="1"/>
  <c r="DI99" i="106" s="1"/>
  <c r="CR10" i="104"/>
  <c r="CN27" i="104"/>
  <c r="CP19" i="104"/>
  <c r="CP10" i="104"/>
  <c r="CP20" i="104"/>
  <c r="CO18" i="104"/>
  <c r="CR18" i="104"/>
  <c r="CM4" i="104"/>
  <c r="CL4" i="104"/>
  <c r="CI4" i="104"/>
  <c r="CO8" i="104"/>
  <c r="CR8" i="104" s="1"/>
  <c r="CS15" i="104"/>
  <c r="CP15" i="104"/>
  <c r="CP6" i="104"/>
  <c r="DR8" i="103"/>
  <c r="DT8" i="103" s="1"/>
  <c r="DF129" i="106"/>
  <c r="DI129" i="106" s="1"/>
  <c r="DD129" i="106"/>
  <c r="DD33" i="106"/>
  <c r="DF33" i="106"/>
  <c r="DI33" i="106" s="1"/>
  <c r="DD54" i="106"/>
  <c r="DF16" i="106"/>
  <c r="DD16" i="106"/>
  <c r="DF49" i="106"/>
  <c r="DI49" i="106"/>
  <c r="DD49" i="106"/>
  <c r="DF84" i="106"/>
  <c r="DI84" i="106" s="1"/>
  <c r="DD84" i="106"/>
  <c r="DF71" i="106"/>
  <c r="DI71" i="106"/>
  <c r="DD71" i="106"/>
  <c r="DF37" i="106"/>
  <c r="DI37" i="106" s="1"/>
  <c r="DD37" i="106"/>
  <c r="DF109" i="106"/>
  <c r="DI109" i="106"/>
  <c r="DD109" i="106"/>
  <c r="DF94" i="106"/>
  <c r="DI94" i="106" s="1"/>
  <c r="DD94" i="106"/>
  <c r="DF125" i="106"/>
  <c r="DI125" i="106" s="1"/>
  <c r="DD125" i="106"/>
  <c r="DF40" i="106"/>
  <c r="DI40" i="106" s="1"/>
  <c r="DF69" i="106"/>
  <c r="DI69" i="106"/>
  <c r="DD69" i="106"/>
  <c r="DF124" i="106"/>
  <c r="DI124" i="106"/>
  <c r="DD124" i="106"/>
  <c r="DF62" i="106"/>
  <c r="DI62" i="106" s="1"/>
  <c r="DF41" i="106"/>
  <c r="DI41" i="106" s="1"/>
  <c r="DD112" i="106"/>
  <c r="DF89" i="106"/>
  <c r="DI89" i="106"/>
  <c r="DD89" i="106"/>
  <c r="DF88" i="106"/>
  <c r="DI88" i="106"/>
  <c r="DD88" i="106"/>
  <c r="DF52" i="106"/>
  <c r="DI52" i="106" s="1"/>
  <c r="DD52" i="106"/>
  <c r="DF42" i="106"/>
  <c r="DI42" i="106" s="1"/>
  <c r="DD42" i="106"/>
  <c r="DD72" i="106"/>
  <c r="DF72" i="106"/>
  <c r="DI72" i="106" s="1"/>
  <c r="DD105" i="106"/>
  <c r="DF105" i="106"/>
  <c r="DI105" i="106" s="1"/>
  <c r="DF98" i="106"/>
  <c r="DI98" i="106" s="1"/>
  <c r="DD98" i="106"/>
  <c r="DF8" i="106"/>
  <c r="DI8" i="106" s="1"/>
  <c r="DD8" i="106"/>
  <c r="DD120" i="106"/>
  <c r="DF120" i="106"/>
  <c r="DI120" i="106"/>
  <c r="DF78" i="106"/>
  <c r="DI78" i="106"/>
  <c r="DD78" i="106"/>
  <c r="DF73" i="106"/>
  <c r="DI73" i="106" s="1"/>
  <c r="DD73" i="106"/>
  <c r="DF104" i="106"/>
  <c r="DI104" i="106" s="1"/>
  <c r="DD104" i="106"/>
  <c r="DF107" i="106"/>
  <c r="DI107" i="106" s="1"/>
  <c r="DD107" i="106"/>
  <c r="DF68" i="106"/>
  <c r="DI68" i="106" s="1"/>
  <c r="DF44" i="106"/>
  <c r="DI44" i="106" s="1"/>
  <c r="DD44" i="106"/>
  <c r="DF32" i="106"/>
  <c r="DI32" i="106" s="1"/>
  <c r="DD32" i="106"/>
  <c r="DD5" i="106"/>
  <c r="CS2" i="106"/>
  <c r="CV2" i="106"/>
  <c r="CY2" i="106" s="1"/>
  <c r="DF103" i="106"/>
  <c r="DI103" i="106" s="1"/>
  <c r="DD79" i="106"/>
  <c r="DF119" i="106"/>
  <c r="DI119" i="106" s="1"/>
  <c r="DF45" i="106"/>
  <c r="DI45" i="106"/>
  <c r="DD45" i="106"/>
  <c r="DF53" i="106"/>
  <c r="DI53" i="106" s="1"/>
  <c r="DD53" i="106"/>
  <c r="DD18" i="106"/>
  <c r="CW4" i="106"/>
  <c r="DD50" i="106"/>
  <c r="DF35" i="106"/>
  <c r="DI35" i="106"/>
  <c r="DD35" i="106"/>
  <c r="DF116" i="106"/>
  <c r="DI116" i="106" s="1"/>
  <c r="DD116" i="106"/>
  <c r="DF6" i="106"/>
  <c r="DI6" i="106"/>
  <c r="DD6" i="106"/>
  <c r="DD48" i="106"/>
  <c r="DF48" i="106"/>
  <c r="DI48" i="106"/>
  <c r="DF76" i="106"/>
  <c r="DI76" i="106" s="1"/>
  <c r="DD76" i="106"/>
  <c r="CP18" i="104"/>
  <c r="CU18" i="104"/>
  <c r="CX18" i="104" s="1"/>
  <c r="CZ18" i="104" s="1"/>
  <c r="CS18" i="104"/>
  <c r="CS10" i="104"/>
  <c r="CR27" i="104"/>
  <c r="CU10" i="104"/>
  <c r="CO4" i="104"/>
  <c r="CP4" i="104" s="1"/>
  <c r="DI16" i="106"/>
  <c r="CW2" i="106"/>
  <c r="CV27" i="104"/>
  <c r="CX10" i="104"/>
  <c r="CZ10" i="104" s="1"/>
  <c r="CZ27" i="104" s="1"/>
  <c r="CX27" i="104"/>
  <c r="X33" i="48"/>
  <c r="AE33" i="48" s="1"/>
  <c r="AE38" i="48"/>
  <c r="AF38" i="48"/>
  <c r="BI38" i="48" s="1"/>
  <c r="BJ38" i="48" s="1"/>
  <c r="N38" i="48"/>
  <c r="AE8" i="48"/>
  <c r="AF8" i="48" s="1"/>
  <c r="BK8" i="48" s="1"/>
  <c r="BL8" i="48" s="1"/>
  <c r="BN8" i="48" s="1"/>
  <c r="N8" i="48"/>
  <c r="BL68" i="48"/>
  <c r="BN68" i="48" s="1"/>
  <c r="BL67" i="48"/>
  <c r="BN67" i="48" s="1"/>
  <c r="BL62" i="48"/>
  <c r="BN62" i="48" s="1"/>
  <c r="BL63" i="48"/>
  <c r="BN63" i="48"/>
  <c r="BL61" i="48"/>
  <c r="BN61" i="48" s="1"/>
  <c r="BJ55" i="48"/>
  <c r="BL55" i="48" s="1"/>
  <c r="BN55" i="48" s="1"/>
  <c r="BJ57" i="48"/>
  <c r="BL57" i="48" s="1"/>
  <c r="BN57" i="48" s="1"/>
  <c r="BJ58" i="48"/>
  <c r="BL58" i="48" s="1"/>
  <c r="BN58" i="48" s="1"/>
  <c r="BJ59" i="48"/>
  <c r="BL59" i="48"/>
  <c r="BN59" i="48" s="1"/>
  <c r="BJ36" i="48"/>
  <c r="BL36" i="48"/>
  <c r="BN36" i="48"/>
  <c r="BL69" i="48"/>
  <c r="BN69" i="48"/>
  <c r="BJ51" i="48"/>
  <c r="BL51" i="48"/>
  <c r="BN51" i="48" s="1"/>
  <c r="BJ50" i="48"/>
  <c r="BL50" i="48"/>
  <c r="BN50" i="48"/>
  <c r="BL72" i="48"/>
  <c r="BN72" i="48"/>
  <c r="BL73" i="48"/>
  <c r="BN73" i="48"/>
  <c r="AF79" i="48"/>
  <c r="BJ79" i="48" s="1"/>
  <c r="BL79" i="48" s="1"/>
  <c r="BN79" i="48" s="1"/>
  <c r="AE32" i="48"/>
  <c r="AB32" i="48"/>
  <c r="N32" i="48"/>
  <c r="BL78" i="48"/>
  <c r="BN78" i="48" s="1"/>
  <c r="BL31" i="48"/>
  <c r="BN31" i="48"/>
  <c r="BL21" i="48"/>
  <c r="BN21" i="48" s="1"/>
  <c r="AB81" i="48"/>
  <c r="AF81" i="48" s="1"/>
  <c r="AF32" i="48"/>
  <c r="BJ32" i="48" s="1"/>
  <c r="BL32" i="48" s="1"/>
  <c r="BN32" i="48" s="1"/>
  <c r="W82" i="48"/>
  <c r="X82" i="48" s="1"/>
  <c r="AE82" i="48" s="1"/>
  <c r="AF82" i="48" s="1"/>
  <c r="BK81" i="48" s="1"/>
  <c r="BL81" i="48" s="1"/>
  <c r="BN81" i="48" s="1"/>
  <c r="N82" i="48"/>
  <c r="AB33" i="48"/>
  <c r="AF33" i="48" s="1"/>
  <c r="BJ33" i="48" s="1"/>
  <c r="BL33" i="48" s="1"/>
  <c r="BN33" i="48" s="1"/>
  <c r="N33" i="48"/>
  <c r="BL43" i="48"/>
  <c r="BN43" i="48"/>
  <c r="AG109" i="48"/>
  <c r="AH111" i="48"/>
  <c r="AF109" i="48"/>
  <c r="AF110" i="48"/>
  <c r="AB12" i="48"/>
  <c r="W11" i="48"/>
  <c r="X11" i="48"/>
  <c r="AF11" i="48"/>
  <c r="BF11" i="48" s="1"/>
  <c r="BG11" i="48" s="1"/>
  <c r="BJ11" i="48" s="1"/>
  <c r="W12" i="48"/>
  <c r="X12" i="48"/>
  <c r="C11" i="48"/>
  <c r="C12" i="48"/>
  <c r="N12" i="48"/>
  <c r="N11" i="48"/>
  <c r="AF12" i="48"/>
  <c r="BF12" i="48" s="1"/>
  <c r="BG12" i="48" s="1"/>
  <c r="BH11" i="48"/>
  <c r="BL11" i="48" s="1"/>
  <c r="BN11" i="48" s="1"/>
  <c r="AB16" i="48"/>
  <c r="AF16" i="48" s="1"/>
  <c r="BD16" i="48" s="1"/>
  <c r="X16" i="48"/>
  <c r="AE16" i="48"/>
  <c r="N16" i="48"/>
  <c r="X10" i="48"/>
  <c r="AE10" i="48"/>
  <c r="AB10" i="48"/>
  <c r="AF10" i="48"/>
  <c r="BD10" i="48"/>
  <c r="N10" i="48"/>
  <c r="C10" i="48"/>
  <c r="BG16" i="48"/>
  <c r="BJ16" i="48" s="1"/>
  <c r="BL16" i="48" s="1"/>
  <c r="BN16" i="48" s="1"/>
  <c r="AR897" i="83"/>
  <c r="A893" i="83"/>
  <c r="BY892" i="83"/>
  <c r="BU892" i="83"/>
  <c r="BR892" i="83"/>
  <c r="BQ892" i="83"/>
  <c r="BN892" i="83"/>
  <c r="BM892" i="83"/>
  <c r="BL892" i="83"/>
  <c r="AZ892" i="83"/>
  <c r="AV892" i="83"/>
  <c r="AU892" i="83"/>
  <c r="AT892" i="83"/>
  <c r="AS892" i="83"/>
  <c r="AR892" i="83"/>
  <c r="A892" i="83"/>
  <c r="BD891" i="83"/>
  <c r="BC891" i="83"/>
  <c r="BB891" i="83" s="1"/>
  <c r="AY891" i="83"/>
  <c r="AX891" i="83"/>
  <c r="AW891" i="83"/>
  <c r="AM891" i="83"/>
  <c r="AK891" i="83"/>
  <c r="AJ891" i="83"/>
  <c r="AI891" i="83"/>
  <c r="AH891" i="83"/>
  <c r="AG891" i="83"/>
  <c r="AF891" i="83"/>
  <c r="AE891" i="83"/>
  <c r="Q891" i="83"/>
  <c r="C891" i="83"/>
  <c r="BD890" i="83"/>
  <c r="BC890" i="83"/>
  <c r="AY890" i="83"/>
  <c r="AX890" i="83"/>
  <c r="AW890" i="83"/>
  <c r="AM890" i="83"/>
  <c r="AK890" i="83"/>
  <c r="AJ890" i="83"/>
  <c r="AI890" i="83"/>
  <c r="AH890" i="83"/>
  <c r="AG890" i="83"/>
  <c r="AF890" i="83"/>
  <c r="AE890" i="83"/>
  <c r="Y890" i="83"/>
  <c r="Z890" i="83" s="1"/>
  <c r="AP890" i="83" s="1"/>
  <c r="AQ890" i="83" s="1"/>
  <c r="BX890" i="83" s="1"/>
  <c r="CA890" i="83" s="1"/>
  <c r="Q890" i="83"/>
  <c r="C890" i="83"/>
  <c r="BH889" i="83"/>
  <c r="BD889" i="83"/>
  <c r="BC889" i="83"/>
  <c r="AY889" i="83"/>
  <c r="AW889" i="83"/>
  <c r="AM889" i="83"/>
  <c r="AK889" i="83"/>
  <c r="AJ889" i="83"/>
  <c r="AI889" i="83"/>
  <c r="AH889" i="83"/>
  <c r="AG889" i="83"/>
  <c r="AF889" i="83"/>
  <c r="AE889" i="83"/>
  <c r="Q889" i="83"/>
  <c r="C889" i="83"/>
  <c r="BD888" i="83"/>
  <c r="BC888" i="83"/>
  <c r="BP888" i="83" s="1"/>
  <c r="BB888" i="83"/>
  <c r="AY888" i="83"/>
  <c r="AX888" i="83"/>
  <c r="AW888" i="83"/>
  <c r="AM888" i="83"/>
  <c r="AK888" i="83"/>
  <c r="AJ888" i="83"/>
  <c r="AI888" i="83"/>
  <c r="AH888" i="83"/>
  <c r="AG888" i="83"/>
  <c r="AF888" i="83"/>
  <c r="AE888" i="83"/>
  <c r="Q888" i="83"/>
  <c r="C888" i="83"/>
  <c r="BD887" i="83"/>
  <c r="BC887" i="83"/>
  <c r="BB887" i="83"/>
  <c r="AY887" i="83"/>
  <c r="AX887" i="83"/>
  <c r="AW887" i="83"/>
  <c r="AM887" i="83"/>
  <c r="AK887" i="83"/>
  <c r="AJ887" i="83"/>
  <c r="AI887" i="83"/>
  <c r="AH887" i="83"/>
  <c r="AG887" i="83"/>
  <c r="AF887" i="83"/>
  <c r="AE887" i="83"/>
  <c r="Q887" i="83"/>
  <c r="C887" i="83"/>
  <c r="BD886" i="83"/>
  <c r="BC886" i="83"/>
  <c r="AY886" i="83"/>
  <c r="AX886" i="83"/>
  <c r="AW886" i="83"/>
  <c r="AM886" i="83"/>
  <c r="AK886" i="83"/>
  <c r="AJ886" i="83"/>
  <c r="AI886" i="83"/>
  <c r="AH886" i="83"/>
  <c r="AG886" i="83"/>
  <c r="AF886" i="83"/>
  <c r="AE886" i="83"/>
  <c r="Q886" i="83"/>
  <c r="C886" i="83"/>
  <c r="BC885" i="83"/>
  <c r="AY885" i="83"/>
  <c r="AX885" i="83"/>
  <c r="AW885" i="83"/>
  <c r="AM885" i="83"/>
  <c r="AK885" i="83"/>
  <c r="AJ885" i="83"/>
  <c r="AI885" i="83"/>
  <c r="AH885" i="83"/>
  <c r="AG885" i="83"/>
  <c r="AF885" i="83"/>
  <c r="AE885" i="83"/>
  <c r="Q885" i="83"/>
  <c r="C885" i="83"/>
  <c r="BD884" i="83"/>
  <c r="BC884" i="83"/>
  <c r="BB884" i="83" s="1"/>
  <c r="AY884" i="83"/>
  <c r="AX884" i="83"/>
  <c r="AW884" i="83"/>
  <c r="AM884" i="83"/>
  <c r="AK884" i="83"/>
  <c r="AJ884" i="83"/>
  <c r="AI884" i="83"/>
  <c r="AH884" i="83"/>
  <c r="AG884" i="83"/>
  <c r="AF884" i="83"/>
  <c r="AE884" i="83"/>
  <c r="Q884" i="83"/>
  <c r="C884" i="83"/>
  <c r="BJ883" i="83"/>
  <c r="BH883" i="83"/>
  <c r="BD883" i="83" s="1"/>
  <c r="BC883" i="83"/>
  <c r="BB883" i="83"/>
  <c r="AY883" i="83"/>
  <c r="AW883" i="83"/>
  <c r="AM883" i="83"/>
  <c r="BK883" i="83"/>
  <c r="BO883" i="83" s="1"/>
  <c r="AK883" i="83"/>
  <c r="AJ883" i="83"/>
  <c r="AI883" i="83"/>
  <c r="AH883" i="83"/>
  <c r="AG883" i="83"/>
  <c r="AF883" i="83"/>
  <c r="AE883" i="83"/>
  <c r="Q883" i="83"/>
  <c r="C883" i="83"/>
  <c r="BD882" i="83"/>
  <c r="BC882" i="83"/>
  <c r="AY882" i="83"/>
  <c r="AX882" i="83"/>
  <c r="AW882" i="83"/>
  <c r="AM882" i="83"/>
  <c r="AK882" i="83"/>
  <c r="AJ882" i="83"/>
  <c r="AI882" i="83"/>
  <c r="AH882" i="83"/>
  <c r="AG882" i="83"/>
  <c r="AF882" i="83"/>
  <c r="AE882" i="83"/>
  <c r="Q882" i="83"/>
  <c r="C882" i="83"/>
  <c r="BJ881" i="83"/>
  <c r="BH881" i="83"/>
  <c r="BD881" i="83"/>
  <c r="BC881" i="83"/>
  <c r="AY881" i="83"/>
  <c r="AW881" i="83"/>
  <c r="AM881" i="83"/>
  <c r="BK881" i="83" s="1"/>
  <c r="BO881" i="83" s="1"/>
  <c r="AK881" i="83"/>
  <c r="AJ881" i="83"/>
  <c r="AI881" i="83"/>
  <c r="AH881" i="83"/>
  <c r="AG881" i="83"/>
  <c r="AF881" i="83"/>
  <c r="AE881" i="83"/>
  <c r="Q881" i="83"/>
  <c r="C881" i="83"/>
  <c r="BJ880" i="83"/>
  <c r="BH880" i="83"/>
  <c r="BC880" i="83"/>
  <c r="BB880" i="83" s="1"/>
  <c r="AY880" i="83"/>
  <c r="AW880" i="83"/>
  <c r="AM880" i="83"/>
  <c r="AK880" i="83"/>
  <c r="AJ880" i="83"/>
  <c r="AI880" i="83"/>
  <c r="AH880" i="83"/>
  <c r="AG880" i="83"/>
  <c r="AF880" i="83"/>
  <c r="AE880" i="83"/>
  <c r="Q880" i="83"/>
  <c r="C880" i="83"/>
  <c r="BC879" i="83"/>
  <c r="BP879" i="83"/>
  <c r="AM879" i="83"/>
  <c r="AK879" i="83"/>
  <c r="AJ879" i="83"/>
  <c r="AI879" i="83"/>
  <c r="AH879" i="83"/>
  <c r="AG879" i="83"/>
  <c r="AF879" i="83"/>
  <c r="AE879" i="83"/>
  <c r="Q879" i="83"/>
  <c r="C879" i="83"/>
  <c r="BJ878" i="83"/>
  <c r="BH878" i="83"/>
  <c r="BD878" i="83" s="1"/>
  <c r="BC878" i="83"/>
  <c r="AY878" i="83"/>
  <c r="AW878" i="83"/>
  <c r="AM878" i="83"/>
  <c r="BA878" i="83" s="1"/>
  <c r="AK878" i="83"/>
  <c r="AJ878" i="83"/>
  <c r="AI878" i="83"/>
  <c r="AH878" i="83"/>
  <c r="AG878" i="83"/>
  <c r="AF878" i="83"/>
  <c r="AE878" i="83"/>
  <c r="Q878" i="83"/>
  <c r="C878" i="83"/>
  <c r="BD877" i="83"/>
  <c r="BC877" i="83"/>
  <c r="BP877" i="83" s="1"/>
  <c r="AY877" i="83"/>
  <c r="AX877" i="83"/>
  <c r="AW877" i="83"/>
  <c r="AM877" i="83"/>
  <c r="AK877" i="83"/>
  <c r="AJ877" i="83"/>
  <c r="AI877" i="83"/>
  <c r="AH877" i="83"/>
  <c r="AG877" i="83"/>
  <c r="AF877" i="83"/>
  <c r="AE877" i="83"/>
  <c r="Q877" i="83"/>
  <c r="C877" i="83"/>
  <c r="BD876" i="83"/>
  <c r="BC876" i="83"/>
  <c r="BP876" i="83" s="1"/>
  <c r="AY876" i="83"/>
  <c r="AX876" i="83"/>
  <c r="AW876" i="83"/>
  <c r="AM876" i="83"/>
  <c r="AK876" i="83"/>
  <c r="AJ876" i="83"/>
  <c r="AI876" i="83"/>
  <c r="AH876" i="83"/>
  <c r="AG876" i="83"/>
  <c r="AF876" i="83"/>
  <c r="AE876" i="83"/>
  <c r="Q876" i="83"/>
  <c r="C876" i="83"/>
  <c r="BJ875" i="83"/>
  <c r="BH875" i="83"/>
  <c r="BD875" i="83" s="1"/>
  <c r="BC875" i="83"/>
  <c r="BB875" i="83" s="1"/>
  <c r="AY875" i="83"/>
  <c r="AW875" i="83"/>
  <c r="AM875" i="83"/>
  <c r="BA875" i="83" s="1"/>
  <c r="AK875" i="83"/>
  <c r="AJ875" i="83"/>
  <c r="AI875" i="83"/>
  <c r="AH875" i="83"/>
  <c r="AG875" i="83"/>
  <c r="AF875" i="83"/>
  <c r="AE875" i="83"/>
  <c r="Q875" i="83"/>
  <c r="C875" i="83"/>
  <c r="BD874" i="83"/>
  <c r="BC874" i="83"/>
  <c r="BP874" i="83" s="1"/>
  <c r="AY874" i="83"/>
  <c r="AX874" i="83"/>
  <c r="AW874" i="83"/>
  <c r="AM874" i="83"/>
  <c r="AK874" i="83"/>
  <c r="AJ874" i="83"/>
  <c r="AI874" i="83"/>
  <c r="AH874" i="83"/>
  <c r="AG874" i="83"/>
  <c r="AF874" i="83"/>
  <c r="AE874" i="83"/>
  <c r="Q874" i="83"/>
  <c r="C874" i="83"/>
  <c r="BD873" i="83"/>
  <c r="BC873" i="83"/>
  <c r="BP873" i="83" s="1"/>
  <c r="AY873" i="83"/>
  <c r="AX873" i="83"/>
  <c r="AW873" i="83"/>
  <c r="AM873" i="83"/>
  <c r="AK873" i="83"/>
  <c r="AJ873" i="83"/>
  <c r="AI873" i="83"/>
  <c r="AH873" i="83"/>
  <c r="AG873" i="83"/>
  <c r="AF873" i="83"/>
  <c r="AE873" i="83"/>
  <c r="Q873" i="83"/>
  <c r="O873" i="83"/>
  <c r="C873" i="83"/>
  <c r="BD872" i="83"/>
  <c r="BC872" i="83"/>
  <c r="BB872" i="83"/>
  <c r="AY872" i="83"/>
  <c r="AX872" i="83"/>
  <c r="AW872" i="83"/>
  <c r="AM872" i="83"/>
  <c r="AK872" i="83"/>
  <c r="AJ872" i="83"/>
  <c r="AI872" i="83"/>
  <c r="AH872" i="83"/>
  <c r="AG872" i="83"/>
  <c r="AF872" i="83"/>
  <c r="AE872" i="83"/>
  <c r="Q872" i="83"/>
  <c r="C872" i="83"/>
  <c r="BD871" i="83"/>
  <c r="BC871" i="83"/>
  <c r="BP871" i="83"/>
  <c r="AY871" i="83"/>
  <c r="AX871" i="83"/>
  <c r="AW871" i="83"/>
  <c r="AM871" i="83"/>
  <c r="AK871" i="83"/>
  <c r="AJ871" i="83"/>
  <c r="AI871" i="83"/>
  <c r="AH871" i="83"/>
  <c r="AG871" i="83"/>
  <c r="AF871" i="83"/>
  <c r="AE871" i="83"/>
  <c r="Q871" i="83"/>
  <c r="C871" i="83"/>
  <c r="BD870" i="83"/>
  <c r="BC870" i="83"/>
  <c r="BB870" i="83"/>
  <c r="AY870" i="83"/>
  <c r="AX870" i="83"/>
  <c r="AW870" i="83"/>
  <c r="AM870" i="83"/>
  <c r="AK870" i="83"/>
  <c r="AJ870" i="83"/>
  <c r="AI870" i="83"/>
  <c r="AH870" i="83"/>
  <c r="AG870" i="83"/>
  <c r="AF870" i="83"/>
  <c r="AE870" i="83"/>
  <c r="Y870" i="83"/>
  <c r="Z870" i="83" s="1"/>
  <c r="AP870" i="83" s="1"/>
  <c r="AQ870" i="83" s="1"/>
  <c r="BX870" i="83" s="1"/>
  <c r="CA870" i="83" s="1"/>
  <c r="Q870" i="83"/>
  <c r="O870" i="83"/>
  <c r="C870" i="83"/>
  <c r="BD869" i="83"/>
  <c r="BC869" i="83"/>
  <c r="AY869" i="83"/>
  <c r="AX869" i="83"/>
  <c r="AW869" i="83"/>
  <c r="AM869" i="83"/>
  <c r="AK869" i="83"/>
  <c r="AJ869" i="83"/>
  <c r="AI869" i="83"/>
  <c r="AH869" i="83"/>
  <c r="AG869" i="83"/>
  <c r="AF869" i="83"/>
  <c r="AE869" i="83"/>
  <c r="Q869" i="83"/>
  <c r="C869" i="83"/>
  <c r="BD868" i="83"/>
  <c r="BC868" i="83"/>
  <c r="BP868" i="83" s="1"/>
  <c r="AM868" i="83"/>
  <c r="AK868" i="83"/>
  <c r="AJ868" i="83"/>
  <c r="AI868" i="83"/>
  <c r="AH868" i="83"/>
  <c r="AG868" i="83"/>
  <c r="AF868" i="83"/>
  <c r="AE868" i="83"/>
  <c r="Q868" i="83"/>
  <c r="C868" i="83"/>
  <c r="BD867" i="83"/>
  <c r="BC867" i="83"/>
  <c r="BB867" i="83"/>
  <c r="AY867" i="83"/>
  <c r="AX867" i="83"/>
  <c r="AW867" i="83"/>
  <c r="AM867" i="83"/>
  <c r="AK867" i="83"/>
  <c r="AJ867" i="83"/>
  <c r="AI867" i="83"/>
  <c r="AH867" i="83"/>
  <c r="AG867" i="83"/>
  <c r="AF867" i="83"/>
  <c r="AE867" i="83"/>
  <c r="Q867" i="83"/>
  <c r="C867" i="83"/>
  <c r="BD866" i="83"/>
  <c r="BC866" i="83"/>
  <c r="BB866" i="83"/>
  <c r="AY866" i="83"/>
  <c r="AX866" i="83"/>
  <c r="AW866" i="83"/>
  <c r="AM866" i="83"/>
  <c r="AK866" i="83"/>
  <c r="AJ866" i="83"/>
  <c r="AI866" i="83"/>
  <c r="AH866" i="83"/>
  <c r="AG866" i="83"/>
  <c r="AF866" i="83"/>
  <c r="AE866" i="83"/>
  <c r="Q866" i="83"/>
  <c r="C866" i="83"/>
  <c r="BJ865" i="83"/>
  <c r="BH865" i="83"/>
  <c r="BD865" i="83"/>
  <c r="BC865" i="83"/>
  <c r="BB865" i="83"/>
  <c r="AY865" i="83"/>
  <c r="AW865" i="83"/>
  <c r="AM865" i="83"/>
  <c r="BK865" i="83"/>
  <c r="BO865" i="83" s="1"/>
  <c r="AK865" i="83"/>
  <c r="AJ865" i="83"/>
  <c r="AI865" i="83"/>
  <c r="AH865" i="83"/>
  <c r="AG865" i="83"/>
  <c r="AF865" i="83"/>
  <c r="AE865" i="83"/>
  <c r="Q865" i="83"/>
  <c r="C865" i="83"/>
  <c r="BD864" i="83"/>
  <c r="BC864" i="83"/>
  <c r="BB864" i="83"/>
  <c r="AY864" i="83"/>
  <c r="AX864" i="83"/>
  <c r="AW864" i="83"/>
  <c r="AM864" i="83"/>
  <c r="AK864" i="83"/>
  <c r="AJ864" i="83"/>
  <c r="AI864" i="83"/>
  <c r="AH864" i="83"/>
  <c r="AG864" i="83"/>
  <c r="AF864" i="83"/>
  <c r="AE864" i="83"/>
  <c r="Q864" i="83"/>
  <c r="O864" i="83"/>
  <c r="C864" i="83"/>
  <c r="BD863" i="83"/>
  <c r="BC863" i="83"/>
  <c r="BP863" i="83" s="1"/>
  <c r="BB863" i="83"/>
  <c r="AY863" i="83"/>
  <c r="AX863" i="83"/>
  <c r="AW863" i="83"/>
  <c r="AM863" i="83"/>
  <c r="AK863" i="83"/>
  <c r="AJ863" i="83"/>
  <c r="AI863" i="83"/>
  <c r="AH863" i="83"/>
  <c r="AG863" i="83"/>
  <c r="AF863" i="83"/>
  <c r="AE863" i="83"/>
  <c r="Q863" i="83"/>
  <c r="C863" i="83"/>
  <c r="BD862" i="83"/>
  <c r="BC862" i="83"/>
  <c r="BP862" i="83"/>
  <c r="AY862" i="83"/>
  <c r="AX862" i="83"/>
  <c r="AW862" i="83"/>
  <c r="AM862" i="83"/>
  <c r="AK862" i="83"/>
  <c r="AJ862" i="83"/>
  <c r="AI862" i="83"/>
  <c r="AH862" i="83"/>
  <c r="AG862" i="83"/>
  <c r="AF862" i="83"/>
  <c r="AE862" i="83"/>
  <c r="Q862" i="83"/>
  <c r="C862" i="83"/>
  <c r="BJ861" i="83"/>
  <c r="BH861" i="83"/>
  <c r="BD861" i="83"/>
  <c r="BC861" i="83"/>
  <c r="BB861" i="83" s="1"/>
  <c r="AY861" i="83"/>
  <c r="AW861" i="83"/>
  <c r="AM861" i="83"/>
  <c r="BK861" i="83" s="1"/>
  <c r="BO861" i="83" s="1"/>
  <c r="AK861" i="83"/>
  <c r="AJ861" i="83"/>
  <c r="AI861" i="83"/>
  <c r="AH861" i="83"/>
  <c r="AG861" i="83"/>
  <c r="AF861" i="83"/>
  <c r="AE861" i="83"/>
  <c r="Q861" i="83"/>
  <c r="C861" i="83"/>
  <c r="BJ860" i="83"/>
  <c r="BH860" i="83"/>
  <c r="BD860" i="83"/>
  <c r="BC860" i="83"/>
  <c r="BB860" i="83" s="1"/>
  <c r="AY860" i="83"/>
  <c r="AW860" i="83"/>
  <c r="AM860" i="83"/>
  <c r="BK860" i="83"/>
  <c r="BO860" i="83" s="1"/>
  <c r="AK860" i="83"/>
  <c r="AJ860" i="83"/>
  <c r="AI860" i="83"/>
  <c r="AH860" i="83"/>
  <c r="AG860" i="83"/>
  <c r="AF860" i="83"/>
  <c r="AE860" i="83"/>
  <c r="Q860" i="83"/>
  <c r="C860" i="83"/>
  <c r="BD859" i="83"/>
  <c r="BC859" i="83"/>
  <c r="BB859" i="83" s="1"/>
  <c r="AY859" i="83"/>
  <c r="AX859" i="83"/>
  <c r="AW859" i="83"/>
  <c r="AM859" i="83"/>
  <c r="AK859" i="83"/>
  <c r="AJ859" i="83"/>
  <c r="AI859" i="83"/>
  <c r="AH859" i="83"/>
  <c r="AG859" i="83"/>
  <c r="AF859" i="83"/>
  <c r="AE859" i="83"/>
  <c r="Q859" i="83"/>
  <c r="C859" i="83"/>
  <c r="BC858" i="83"/>
  <c r="AM858" i="83"/>
  <c r="AQ858" i="83" s="1"/>
  <c r="BX858" i="83" s="1"/>
  <c r="AK858" i="83"/>
  <c r="AJ858" i="83"/>
  <c r="AI858" i="83"/>
  <c r="AH858" i="83"/>
  <c r="AG858" i="83"/>
  <c r="AF858" i="83"/>
  <c r="AE858" i="83"/>
  <c r="Y858" i="83"/>
  <c r="Z858" i="83" s="1"/>
  <c r="Q858" i="83"/>
  <c r="O858" i="83"/>
  <c r="C858" i="83"/>
  <c r="BD857" i="83"/>
  <c r="BC857" i="83"/>
  <c r="AY857" i="83"/>
  <c r="AX857" i="83"/>
  <c r="AW857" i="83"/>
  <c r="AM857" i="83"/>
  <c r="AK857" i="83"/>
  <c r="AJ857" i="83"/>
  <c r="AI857" i="83"/>
  <c r="AH857" i="83"/>
  <c r="AG857" i="83"/>
  <c r="AF857" i="83"/>
  <c r="AE857" i="83"/>
  <c r="Q857" i="83"/>
  <c r="O857" i="83"/>
  <c r="C857" i="83"/>
  <c r="BJ856" i="83"/>
  <c r="BH856" i="83"/>
  <c r="BD856" i="83" s="1"/>
  <c r="BC856" i="83"/>
  <c r="BB856" i="83" s="1"/>
  <c r="AY856" i="83"/>
  <c r="AW856" i="83"/>
  <c r="AM856" i="83"/>
  <c r="AK856" i="83"/>
  <c r="AJ856" i="83"/>
  <c r="AI856" i="83"/>
  <c r="AH856" i="83"/>
  <c r="AG856" i="83"/>
  <c r="AF856" i="83"/>
  <c r="AE856" i="83"/>
  <c r="Y856" i="83"/>
  <c r="Z856" i="83" s="1"/>
  <c r="AP856" i="83" s="1"/>
  <c r="AQ856" i="83" s="1"/>
  <c r="Q856" i="83"/>
  <c r="C856" i="83"/>
  <c r="BD855" i="83"/>
  <c r="BC855" i="83"/>
  <c r="AY855" i="83"/>
  <c r="AX855" i="83"/>
  <c r="AW855" i="83"/>
  <c r="AM855" i="83"/>
  <c r="AK855" i="83"/>
  <c r="AJ855" i="83"/>
  <c r="AI855" i="83"/>
  <c r="AH855" i="83"/>
  <c r="AG855" i="83"/>
  <c r="AF855" i="83"/>
  <c r="AE855" i="83"/>
  <c r="Y855" i="83"/>
  <c r="Z855" i="83" s="1"/>
  <c r="AP855" i="83" s="1"/>
  <c r="AQ855" i="83" s="1"/>
  <c r="BX855" i="83" s="1"/>
  <c r="Q855" i="83"/>
  <c r="C855" i="83"/>
  <c r="BJ854" i="83"/>
  <c r="BC854" i="83"/>
  <c r="BB854" i="83" s="1"/>
  <c r="AY854" i="83"/>
  <c r="AX854" i="83"/>
  <c r="AW854" i="83"/>
  <c r="AM854" i="83"/>
  <c r="BK854" i="83"/>
  <c r="BO854" i="83" s="1"/>
  <c r="BP854" i="83" s="1"/>
  <c r="AK854" i="83"/>
  <c r="AJ854" i="83"/>
  <c r="AI854" i="83"/>
  <c r="AH854" i="83"/>
  <c r="AG854" i="83"/>
  <c r="AF854" i="83"/>
  <c r="AE854" i="83"/>
  <c r="Q854" i="83"/>
  <c r="C854" i="83"/>
  <c r="BD853" i="83"/>
  <c r="BC853" i="83"/>
  <c r="BB853" i="83"/>
  <c r="AY853" i="83"/>
  <c r="AX853" i="83"/>
  <c r="AW853" i="83"/>
  <c r="AM853" i="83"/>
  <c r="AK853" i="83"/>
  <c r="AJ853" i="83"/>
  <c r="AI853" i="83"/>
  <c r="AH853" i="83"/>
  <c r="AG853" i="83"/>
  <c r="AF853" i="83"/>
  <c r="AE853" i="83"/>
  <c r="Q853" i="83"/>
  <c r="C853" i="83"/>
  <c r="BD852" i="83"/>
  <c r="BC852" i="83"/>
  <c r="BP852" i="83"/>
  <c r="AY852" i="83"/>
  <c r="AX852" i="83"/>
  <c r="AW852" i="83"/>
  <c r="AM852" i="83"/>
  <c r="AK852" i="83"/>
  <c r="AJ852" i="83"/>
  <c r="AI852" i="83"/>
  <c r="AH852" i="83"/>
  <c r="AG852" i="83"/>
  <c r="AF852" i="83"/>
  <c r="AE852" i="83"/>
  <c r="Q852" i="83"/>
  <c r="C852" i="83"/>
  <c r="BD851" i="83"/>
  <c r="BC851" i="83"/>
  <c r="BB851" i="83"/>
  <c r="AY851" i="83"/>
  <c r="AX851" i="83"/>
  <c r="AW851" i="83"/>
  <c r="AM851" i="83"/>
  <c r="AK851" i="83"/>
  <c r="AJ851" i="83"/>
  <c r="AI851" i="83"/>
  <c r="AH851" i="83"/>
  <c r="AG851" i="83"/>
  <c r="AF851" i="83"/>
  <c r="AE851" i="83"/>
  <c r="Q851" i="83"/>
  <c r="C851" i="83"/>
  <c r="BC850" i="83"/>
  <c r="AY850" i="83"/>
  <c r="AX850" i="83"/>
  <c r="AW850" i="83"/>
  <c r="AM850" i="83"/>
  <c r="AK850" i="83"/>
  <c r="AJ850" i="83"/>
  <c r="AI850" i="83"/>
  <c r="AH850" i="83"/>
  <c r="AG850" i="83"/>
  <c r="AF850" i="83"/>
  <c r="AE850" i="83"/>
  <c r="Q850" i="83"/>
  <c r="C850" i="83"/>
  <c r="BD849" i="83"/>
  <c r="BC849" i="83"/>
  <c r="AY849" i="83"/>
  <c r="AX849" i="83"/>
  <c r="AW849" i="83"/>
  <c r="AM849" i="83"/>
  <c r="AK849" i="83"/>
  <c r="AJ849" i="83"/>
  <c r="AI849" i="83"/>
  <c r="AH849" i="83"/>
  <c r="AG849" i="83"/>
  <c r="AF849" i="83"/>
  <c r="AE849" i="83"/>
  <c r="Q849" i="83"/>
  <c r="O849" i="83"/>
  <c r="C849" i="83"/>
  <c r="BJ848" i="83"/>
  <c r="BG848" i="83"/>
  <c r="BD848" i="83" s="1"/>
  <c r="BC848" i="83"/>
  <c r="BB848" i="83"/>
  <c r="AY848" i="83"/>
  <c r="AX848" i="83"/>
  <c r="AM848" i="83"/>
  <c r="BK848" i="83" s="1"/>
  <c r="BO848" i="83" s="1"/>
  <c r="AK848" i="83"/>
  <c r="AJ848" i="83"/>
  <c r="AI848" i="83"/>
  <c r="AH848" i="83"/>
  <c r="AG848" i="83"/>
  <c r="AF848" i="83"/>
  <c r="AE848" i="83"/>
  <c r="Q848" i="83"/>
  <c r="C848" i="83"/>
  <c r="BD847" i="83"/>
  <c r="BC847" i="83"/>
  <c r="AY847" i="83"/>
  <c r="AX847" i="83"/>
  <c r="AW847" i="83"/>
  <c r="AM847" i="83"/>
  <c r="AK847" i="83"/>
  <c r="AJ847" i="83"/>
  <c r="AI847" i="83"/>
  <c r="AH847" i="83"/>
  <c r="AG847" i="83"/>
  <c r="AF847" i="83"/>
  <c r="AE847" i="83"/>
  <c r="Q847" i="83"/>
  <c r="C847" i="83"/>
  <c r="BO846" i="83"/>
  <c r="BG846" i="83"/>
  <c r="BD846" i="83" s="1"/>
  <c r="BC846" i="83"/>
  <c r="BB846" i="83" s="1"/>
  <c r="AM846" i="83"/>
  <c r="AK846" i="83"/>
  <c r="AJ846" i="83"/>
  <c r="AI846" i="83"/>
  <c r="AH846" i="83"/>
  <c r="AG846" i="83"/>
  <c r="AF846" i="83"/>
  <c r="AE846" i="83"/>
  <c r="Q846" i="83"/>
  <c r="C846" i="83"/>
  <c r="BG845" i="83"/>
  <c r="BD845" i="83" s="1"/>
  <c r="BC845" i="83"/>
  <c r="BB845" i="83" s="1"/>
  <c r="AY845" i="83"/>
  <c r="AX845" i="83"/>
  <c r="AK845" i="83"/>
  <c r="AJ845" i="83"/>
  <c r="AI845" i="83"/>
  <c r="AH845" i="83"/>
  <c r="AG845" i="83"/>
  <c r="AF845" i="83"/>
  <c r="AE845" i="83"/>
  <c r="Q845" i="83"/>
  <c r="C845" i="83"/>
  <c r="BJ844" i="83"/>
  <c r="BG844" i="83"/>
  <c r="BD844" i="83" s="1"/>
  <c r="BC844" i="83"/>
  <c r="AY844" i="83"/>
  <c r="AX844" i="83"/>
  <c r="AM844" i="83"/>
  <c r="BK844" i="83"/>
  <c r="BO844" i="83" s="1"/>
  <c r="AK844" i="83"/>
  <c r="AJ844" i="83"/>
  <c r="AI844" i="83"/>
  <c r="AH844" i="83"/>
  <c r="AG844" i="83"/>
  <c r="AF844" i="83"/>
  <c r="AE844" i="83"/>
  <c r="Y844" i="83"/>
  <c r="Z844" i="83" s="1"/>
  <c r="AP844" i="83" s="1"/>
  <c r="AQ844" i="83" s="1"/>
  <c r="Q844" i="83"/>
  <c r="C844" i="83"/>
  <c r="BJ843" i="83"/>
  <c r="BG843" i="83"/>
  <c r="BD843" i="83"/>
  <c r="BC843" i="83"/>
  <c r="BB843" i="83"/>
  <c r="AY843" i="83"/>
  <c r="AX843" i="83"/>
  <c r="AM843" i="83"/>
  <c r="BK843" i="83"/>
  <c r="BO843" i="83"/>
  <c r="AK843" i="83"/>
  <c r="AJ843" i="83"/>
  <c r="AI843" i="83"/>
  <c r="AH843" i="83"/>
  <c r="AG843" i="83"/>
  <c r="AF843" i="83"/>
  <c r="AE843" i="83"/>
  <c r="Q843" i="83"/>
  <c r="C843" i="83"/>
  <c r="BJ842" i="83"/>
  <c r="BG842" i="83"/>
  <c r="BC842" i="83"/>
  <c r="BB842" i="83" s="1"/>
  <c r="AY842" i="83"/>
  <c r="AX842" i="83"/>
  <c r="AM842" i="83"/>
  <c r="BK842" i="83"/>
  <c r="BO842" i="83" s="1"/>
  <c r="AK842" i="83"/>
  <c r="AJ842" i="83"/>
  <c r="AI842" i="83"/>
  <c r="AH842" i="83"/>
  <c r="AG842" i="83"/>
  <c r="AF842" i="83"/>
  <c r="AE842" i="83"/>
  <c r="Q842" i="83"/>
  <c r="C842" i="83"/>
  <c r="BJ841" i="83"/>
  <c r="BG841" i="83"/>
  <c r="BD841" i="83" s="1"/>
  <c r="BC841" i="83"/>
  <c r="BB841" i="83"/>
  <c r="AY841" i="83"/>
  <c r="AX841" i="83"/>
  <c r="AM841" i="83"/>
  <c r="BK841" i="83" s="1"/>
  <c r="BO841" i="83" s="1"/>
  <c r="BP841" i="83" s="1"/>
  <c r="AK841" i="83"/>
  <c r="AJ841" i="83"/>
  <c r="AI841" i="83"/>
  <c r="AH841" i="83"/>
  <c r="AG841" i="83"/>
  <c r="AF841" i="83"/>
  <c r="AE841" i="83"/>
  <c r="Q841" i="83"/>
  <c r="C841" i="83"/>
  <c r="BD840" i="83"/>
  <c r="BC840" i="83"/>
  <c r="BP840" i="83"/>
  <c r="AY840" i="83"/>
  <c r="AX840" i="83"/>
  <c r="AW840" i="83"/>
  <c r="AM840" i="83"/>
  <c r="AK840" i="83"/>
  <c r="AJ840" i="83"/>
  <c r="AI840" i="83"/>
  <c r="AH840" i="83"/>
  <c r="AG840" i="83"/>
  <c r="AF840" i="83"/>
  <c r="AE840" i="83"/>
  <c r="Y840" i="83"/>
  <c r="Z840" i="83" s="1"/>
  <c r="AP840" i="83" s="1"/>
  <c r="AQ840" i="83" s="1"/>
  <c r="BX840" i="83" s="1"/>
  <c r="Q840" i="83"/>
  <c r="C840" i="83"/>
  <c r="BD839" i="83"/>
  <c r="BC839" i="83"/>
  <c r="BB839" i="83" s="1"/>
  <c r="AY839" i="83"/>
  <c r="AX839" i="83"/>
  <c r="AW839" i="83"/>
  <c r="AM839" i="83"/>
  <c r="AK839" i="83"/>
  <c r="AJ839" i="83"/>
  <c r="AI839" i="83"/>
  <c r="AH839" i="83"/>
  <c r="AG839" i="83"/>
  <c r="AF839" i="83"/>
  <c r="AE839" i="83"/>
  <c r="Q839" i="83"/>
  <c r="C839" i="83"/>
  <c r="BD838" i="83"/>
  <c r="BC838" i="83"/>
  <c r="AY838" i="83"/>
  <c r="AX838" i="83"/>
  <c r="AW838" i="83"/>
  <c r="AM838" i="83"/>
  <c r="AK838" i="83"/>
  <c r="AJ838" i="83"/>
  <c r="AI838" i="83"/>
  <c r="AH838" i="83"/>
  <c r="AG838" i="83"/>
  <c r="AF838" i="83"/>
  <c r="AE838" i="83"/>
  <c r="Q838" i="83"/>
  <c r="C838" i="83"/>
  <c r="BD837" i="83"/>
  <c r="BC837" i="83"/>
  <c r="BP837" i="83"/>
  <c r="AM837" i="83"/>
  <c r="AK837" i="83"/>
  <c r="AJ837" i="83"/>
  <c r="AI837" i="83"/>
  <c r="AH837" i="83"/>
  <c r="AG837" i="83"/>
  <c r="AF837" i="83"/>
  <c r="AE837" i="83"/>
  <c r="Q837" i="83"/>
  <c r="C837" i="83"/>
  <c r="BJ836" i="83"/>
  <c r="BC836" i="83"/>
  <c r="BB836" i="83" s="1"/>
  <c r="AM836" i="83"/>
  <c r="BK836" i="83"/>
  <c r="BO836" i="83"/>
  <c r="AK836" i="83"/>
  <c r="AJ836" i="83"/>
  <c r="AI836" i="83"/>
  <c r="AH836" i="83"/>
  <c r="AG836" i="83"/>
  <c r="AF836" i="83"/>
  <c r="AE836" i="83"/>
  <c r="Q836" i="83"/>
  <c r="C836" i="83"/>
  <c r="BD835" i="83"/>
  <c r="BC835" i="83"/>
  <c r="BP835" i="83" s="1"/>
  <c r="AM835" i="83"/>
  <c r="AK835" i="83"/>
  <c r="AJ835" i="83"/>
  <c r="AI835" i="83"/>
  <c r="AH835" i="83"/>
  <c r="AG835" i="83"/>
  <c r="AF835" i="83"/>
  <c r="AE835" i="83"/>
  <c r="Q835" i="83"/>
  <c r="C835" i="83"/>
  <c r="BJ834" i="83"/>
  <c r="BC834" i="83"/>
  <c r="BB834" i="83" s="1"/>
  <c r="AY834" i="83"/>
  <c r="AX834" i="83"/>
  <c r="AW834" i="83"/>
  <c r="AM834" i="83"/>
  <c r="BK834" i="83"/>
  <c r="BO834" i="83"/>
  <c r="AK834" i="83"/>
  <c r="AJ834" i="83"/>
  <c r="AI834" i="83"/>
  <c r="AH834" i="83"/>
  <c r="AG834" i="83"/>
  <c r="AF834" i="83"/>
  <c r="AE834" i="83"/>
  <c r="Q834" i="83"/>
  <c r="C834" i="83"/>
  <c r="BD833" i="83"/>
  <c r="BC833" i="83"/>
  <c r="AY833" i="83"/>
  <c r="AX833" i="83"/>
  <c r="AW833" i="83"/>
  <c r="AM833" i="83"/>
  <c r="AK833" i="83"/>
  <c r="AJ833" i="83"/>
  <c r="AI833" i="83"/>
  <c r="AH833" i="83"/>
  <c r="AG833" i="83"/>
  <c r="AF833" i="83"/>
  <c r="AE833" i="83"/>
  <c r="Q833" i="83"/>
  <c r="C833" i="83"/>
  <c r="BJ832" i="83"/>
  <c r="BH832" i="83"/>
  <c r="BD832" i="83"/>
  <c r="BC832" i="83"/>
  <c r="AY832" i="83"/>
  <c r="AW832" i="83"/>
  <c r="AM832" i="83"/>
  <c r="BK832" i="83"/>
  <c r="BO832" i="83"/>
  <c r="AK832" i="83"/>
  <c r="AJ832" i="83"/>
  <c r="AI832" i="83"/>
  <c r="AH832" i="83"/>
  <c r="AG832" i="83"/>
  <c r="AF832" i="83"/>
  <c r="AE832" i="83"/>
  <c r="Q832" i="83"/>
  <c r="C832" i="83"/>
  <c r="BD831" i="83"/>
  <c r="BC831" i="83"/>
  <c r="BP831" i="83" s="1"/>
  <c r="AY831" i="83"/>
  <c r="AX831" i="83"/>
  <c r="AW831" i="83"/>
  <c r="AM831" i="83"/>
  <c r="AK831" i="83"/>
  <c r="AJ831" i="83"/>
  <c r="AI831" i="83"/>
  <c r="AH831" i="83"/>
  <c r="AG831" i="83"/>
  <c r="AF831" i="83"/>
  <c r="AE831" i="83"/>
  <c r="Q831" i="83"/>
  <c r="C831" i="83"/>
  <c r="BJ830" i="83"/>
  <c r="BH830" i="83"/>
  <c r="BD830" i="83" s="1"/>
  <c r="BC830" i="83"/>
  <c r="BB830" i="83"/>
  <c r="AY830" i="83"/>
  <c r="AW830" i="83"/>
  <c r="AM830" i="83"/>
  <c r="BK830" i="83"/>
  <c r="BO830" i="83" s="1"/>
  <c r="BP830" i="83" s="1"/>
  <c r="AK830" i="83"/>
  <c r="AJ830" i="83"/>
  <c r="AI830" i="83"/>
  <c r="AH830" i="83"/>
  <c r="AG830" i="83"/>
  <c r="AF830" i="83"/>
  <c r="AE830" i="83"/>
  <c r="Q830" i="83"/>
  <c r="O830" i="83"/>
  <c r="C830" i="83"/>
  <c r="BJ829" i="83"/>
  <c r="BH829" i="83"/>
  <c r="BD829" i="83"/>
  <c r="BC829" i="83"/>
  <c r="BB829" i="83"/>
  <c r="AY829" i="83"/>
  <c r="AW829" i="83"/>
  <c r="AM829" i="83"/>
  <c r="BK829" i="83"/>
  <c r="BO829" i="83"/>
  <c r="AK829" i="83"/>
  <c r="AJ829" i="83"/>
  <c r="AI829" i="83"/>
  <c r="AH829" i="83"/>
  <c r="AG829" i="83"/>
  <c r="AF829" i="83"/>
  <c r="AE829" i="83"/>
  <c r="Y829" i="83"/>
  <c r="Z829" i="83" s="1"/>
  <c r="AP829" i="83" s="1"/>
  <c r="AQ829" i="83" s="1"/>
  <c r="BX829" i="83" s="1"/>
  <c r="Q829" i="83"/>
  <c r="C829" i="83"/>
  <c r="BD828" i="83"/>
  <c r="BC828" i="83"/>
  <c r="AY828" i="83"/>
  <c r="AX828" i="83"/>
  <c r="AW828" i="83"/>
  <c r="AM828" i="83"/>
  <c r="AK828" i="83"/>
  <c r="AJ828" i="83"/>
  <c r="AI828" i="83"/>
  <c r="AH828" i="83"/>
  <c r="AG828" i="83"/>
  <c r="AF828" i="83"/>
  <c r="AE828" i="83"/>
  <c r="Y828" i="83"/>
  <c r="Z828" i="83" s="1"/>
  <c r="AP828" i="83" s="1"/>
  <c r="AQ828" i="83" s="1"/>
  <c r="BX828" i="83" s="1"/>
  <c r="Q828" i="83"/>
  <c r="O828" i="83"/>
  <c r="C828" i="83"/>
  <c r="BC827" i="83"/>
  <c r="BB827" i="83" s="1"/>
  <c r="AY827" i="83"/>
  <c r="AX827" i="83"/>
  <c r="AW827" i="83"/>
  <c r="AM827" i="83"/>
  <c r="AK827" i="83"/>
  <c r="AJ827" i="83"/>
  <c r="AI827" i="83"/>
  <c r="AH827" i="83"/>
  <c r="AG827" i="83"/>
  <c r="AF827" i="83"/>
  <c r="AE827" i="83"/>
  <c r="Q827" i="83"/>
  <c r="C827" i="83"/>
  <c r="BD826" i="83"/>
  <c r="BC826" i="83"/>
  <c r="AY826" i="83"/>
  <c r="AX826" i="83"/>
  <c r="AW826" i="83"/>
  <c r="AM826" i="83"/>
  <c r="AK826" i="83"/>
  <c r="AJ826" i="83"/>
  <c r="AI826" i="83"/>
  <c r="AH826" i="83"/>
  <c r="AG826" i="83"/>
  <c r="AF826" i="83"/>
  <c r="AE826" i="83"/>
  <c r="Q826" i="83"/>
  <c r="C826" i="83"/>
  <c r="BD825" i="83"/>
  <c r="BC825" i="83"/>
  <c r="BP825" i="83" s="1"/>
  <c r="AY825" i="83"/>
  <c r="AX825" i="83"/>
  <c r="AW825" i="83"/>
  <c r="AK825" i="83"/>
  <c r="AJ825" i="83"/>
  <c r="AI825" i="83"/>
  <c r="AH825" i="83"/>
  <c r="AG825" i="83"/>
  <c r="AF825" i="83"/>
  <c r="AE825" i="83"/>
  <c r="Q825" i="83"/>
  <c r="O825" i="83"/>
  <c r="C825" i="83"/>
  <c r="BD824" i="83"/>
  <c r="BC824" i="83"/>
  <c r="BB824" i="83" s="1"/>
  <c r="AY824" i="83"/>
  <c r="AX824" i="83"/>
  <c r="AW824" i="83"/>
  <c r="AM824" i="83"/>
  <c r="AK824" i="83"/>
  <c r="AJ824" i="83"/>
  <c r="AI824" i="83"/>
  <c r="AH824" i="83"/>
  <c r="AG824" i="83"/>
  <c r="AF824" i="83"/>
  <c r="AE824" i="83"/>
  <c r="Y824" i="83"/>
  <c r="Z824" i="83" s="1"/>
  <c r="AP824" i="83" s="1"/>
  <c r="AQ824" i="83" s="1"/>
  <c r="BX824" i="83" s="1"/>
  <c r="Q824" i="83"/>
  <c r="C824" i="83"/>
  <c r="BJ823" i="83"/>
  <c r="BH823" i="83"/>
  <c r="BC823" i="83"/>
  <c r="BB823" i="83" s="1"/>
  <c r="AY823" i="83"/>
  <c r="AW823" i="83"/>
  <c r="AM823" i="83"/>
  <c r="BK823" i="83" s="1"/>
  <c r="BO823" i="83" s="1"/>
  <c r="AK823" i="83"/>
  <c r="AJ823" i="83"/>
  <c r="AI823" i="83"/>
  <c r="AH823" i="83"/>
  <c r="AG823" i="83"/>
  <c r="AF823" i="83"/>
  <c r="AE823" i="83"/>
  <c r="Q823" i="83"/>
  <c r="O823" i="83"/>
  <c r="C823" i="83"/>
  <c r="BD822" i="83"/>
  <c r="BC822" i="83"/>
  <c r="BP822" i="83"/>
  <c r="AY822" i="83"/>
  <c r="AX822" i="83"/>
  <c r="AW822" i="83"/>
  <c r="AM822" i="83"/>
  <c r="AK822" i="83"/>
  <c r="AJ822" i="83"/>
  <c r="AI822" i="83"/>
  <c r="AH822" i="83"/>
  <c r="AG822" i="83"/>
  <c r="AF822" i="83"/>
  <c r="AE822" i="83"/>
  <c r="Q822" i="83"/>
  <c r="C822" i="83"/>
  <c r="BD821" i="83"/>
  <c r="BC821" i="83"/>
  <c r="BB821" i="83"/>
  <c r="AY821" i="83"/>
  <c r="AX821" i="83"/>
  <c r="AW821" i="83"/>
  <c r="AM821" i="83"/>
  <c r="AK821" i="83"/>
  <c r="AJ821" i="83"/>
  <c r="AI821" i="83"/>
  <c r="AH821" i="83"/>
  <c r="AG821" i="83"/>
  <c r="AF821" i="83"/>
  <c r="AE821" i="83"/>
  <c r="Y821" i="83"/>
  <c r="Z821" i="83" s="1"/>
  <c r="AP821" i="83" s="1"/>
  <c r="AQ821" i="83" s="1"/>
  <c r="BX821" i="83" s="1"/>
  <c r="Q821" i="83"/>
  <c r="C821" i="83"/>
  <c r="BD820" i="83"/>
  <c r="BC820" i="83"/>
  <c r="AY820" i="83"/>
  <c r="AX820" i="83"/>
  <c r="AW820" i="83"/>
  <c r="AM820" i="83"/>
  <c r="AK820" i="83"/>
  <c r="AJ820" i="83"/>
  <c r="AI820" i="83"/>
  <c r="AH820" i="83"/>
  <c r="AG820" i="83"/>
  <c r="AF820" i="83"/>
  <c r="AE820" i="83"/>
  <c r="Q820" i="83"/>
  <c r="C820" i="83"/>
  <c r="BD819" i="83"/>
  <c r="BC819" i="83"/>
  <c r="BP819" i="83"/>
  <c r="AY819" i="83"/>
  <c r="AX819" i="83"/>
  <c r="AW819" i="83"/>
  <c r="AM819" i="83"/>
  <c r="AK819" i="83"/>
  <c r="AJ819" i="83"/>
  <c r="AI819" i="83"/>
  <c r="AH819" i="83"/>
  <c r="AG819" i="83"/>
  <c r="AF819" i="83"/>
  <c r="AE819" i="83"/>
  <c r="Q819" i="83"/>
  <c r="C819" i="83"/>
  <c r="BD818" i="83"/>
  <c r="BC818" i="83"/>
  <c r="BP818" i="83"/>
  <c r="AY818" i="83"/>
  <c r="AX818" i="83"/>
  <c r="AW818" i="83"/>
  <c r="AM818" i="83"/>
  <c r="AK818" i="83"/>
  <c r="AJ818" i="83"/>
  <c r="AI818" i="83"/>
  <c r="AH818" i="83"/>
  <c r="AG818" i="83"/>
  <c r="AF818" i="83"/>
  <c r="AE818" i="83"/>
  <c r="Q818" i="83"/>
  <c r="C818" i="83"/>
  <c r="BK817" i="83"/>
  <c r="BO817" i="83" s="1"/>
  <c r="BJ817" i="83"/>
  <c r="BD817" i="83"/>
  <c r="BC817" i="83"/>
  <c r="AY817" i="83"/>
  <c r="AX817" i="83"/>
  <c r="AW817" i="83"/>
  <c r="AP817" i="83"/>
  <c r="AQ817" i="83" s="1"/>
  <c r="AK817" i="83"/>
  <c r="AJ817" i="83"/>
  <c r="AI817" i="83"/>
  <c r="AH817" i="83"/>
  <c r="AG817" i="83"/>
  <c r="AF817" i="83"/>
  <c r="AE817" i="83"/>
  <c r="Q817" i="83"/>
  <c r="O817" i="83"/>
  <c r="C817" i="83"/>
  <c r="BD816" i="83"/>
  <c r="BC816" i="83"/>
  <c r="BP816" i="83" s="1"/>
  <c r="AY816" i="83"/>
  <c r="AX816" i="83"/>
  <c r="AW816" i="83"/>
  <c r="AM816" i="83"/>
  <c r="AK816" i="83"/>
  <c r="AJ816" i="83"/>
  <c r="AI816" i="83"/>
  <c r="AH816" i="83"/>
  <c r="AG816" i="83"/>
  <c r="AF816" i="83"/>
  <c r="AE816" i="83"/>
  <c r="Q816" i="83"/>
  <c r="O816" i="83"/>
  <c r="C816" i="83"/>
  <c r="BD815" i="83"/>
  <c r="BC815" i="83"/>
  <c r="BP815" i="83" s="1"/>
  <c r="AY815" i="83"/>
  <c r="AX815" i="83"/>
  <c r="AW815" i="83"/>
  <c r="AM815" i="83"/>
  <c r="AK815" i="83"/>
  <c r="AJ815" i="83"/>
  <c r="AI815" i="83"/>
  <c r="AH815" i="83"/>
  <c r="AG815" i="83"/>
  <c r="AF815" i="83"/>
  <c r="AE815" i="83"/>
  <c r="Y815" i="83"/>
  <c r="Z815" i="83" s="1"/>
  <c r="AP815" i="83" s="1"/>
  <c r="AQ815" i="83" s="1"/>
  <c r="BX815" i="83" s="1"/>
  <c r="Q815" i="83"/>
  <c r="O815" i="83"/>
  <c r="C815" i="83"/>
  <c r="BJ814" i="83"/>
  <c r="BH814" i="83"/>
  <c r="BD814" i="83" s="1"/>
  <c r="BC814" i="83"/>
  <c r="BB814" i="83"/>
  <c r="AY814" i="83"/>
  <c r="AW814" i="83"/>
  <c r="AM814" i="83"/>
  <c r="BA814" i="83" s="1"/>
  <c r="AK814" i="83"/>
  <c r="AJ814" i="83"/>
  <c r="AI814" i="83"/>
  <c r="AH814" i="83"/>
  <c r="AG814" i="83"/>
  <c r="AF814" i="83"/>
  <c r="AE814" i="83"/>
  <c r="Q814" i="83"/>
  <c r="C814" i="83"/>
  <c r="BD813" i="83"/>
  <c r="BC813" i="83"/>
  <c r="BP813" i="83"/>
  <c r="AY813" i="83"/>
  <c r="AX813" i="83"/>
  <c r="AW813" i="83"/>
  <c r="AM813" i="83"/>
  <c r="AK813" i="83"/>
  <c r="AJ813" i="83"/>
  <c r="AI813" i="83"/>
  <c r="AH813" i="83"/>
  <c r="AG813" i="83"/>
  <c r="AF813" i="83"/>
  <c r="AE813" i="83"/>
  <c r="Y813" i="83"/>
  <c r="Z813" i="83" s="1"/>
  <c r="AP813" i="83" s="1"/>
  <c r="AQ813" i="83" s="1"/>
  <c r="BX813" i="83" s="1"/>
  <c r="Q813" i="83"/>
  <c r="C813" i="83"/>
  <c r="BD812" i="83"/>
  <c r="BC812" i="83"/>
  <c r="AY812" i="83"/>
  <c r="AX812" i="83"/>
  <c r="AW812" i="83"/>
  <c r="AK812" i="83"/>
  <c r="AJ812" i="83"/>
  <c r="AI812" i="83"/>
  <c r="AH812" i="83"/>
  <c r="AG812" i="83"/>
  <c r="AF812" i="83"/>
  <c r="AE812" i="83"/>
  <c r="Y812" i="83"/>
  <c r="Z812" i="83" s="1"/>
  <c r="AP812" i="83" s="1"/>
  <c r="AQ812" i="83" s="1"/>
  <c r="BX812" i="83" s="1"/>
  <c r="CA812" i="83" s="1"/>
  <c r="Q812" i="83"/>
  <c r="O812" i="83"/>
  <c r="C812" i="83"/>
  <c r="BD811" i="83"/>
  <c r="BC811" i="83"/>
  <c r="BP811" i="83" s="1"/>
  <c r="AY811" i="83"/>
  <c r="AX811" i="83"/>
  <c r="AW811" i="83"/>
  <c r="AM811" i="83"/>
  <c r="AK811" i="83"/>
  <c r="AJ811" i="83"/>
  <c r="AI811" i="83"/>
  <c r="AH811" i="83"/>
  <c r="AG811" i="83"/>
  <c r="AF811" i="83"/>
  <c r="AE811" i="83"/>
  <c r="Q811" i="83"/>
  <c r="C811" i="83"/>
  <c r="BD810" i="83"/>
  <c r="BC810" i="83"/>
  <c r="BP810" i="83" s="1"/>
  <c r="AY810" i="83"/>
  <c r="AX810" i="83"/>
  <c r="AW810" i="83"/>
  <c r="AM810" i="83"/>
  <c r="AK810" i="83"/>
  <c r="AJ810" i="83"/>
  <c r="AI810" i="83"/>
  <c r="AH810" i="83"/>
  <c r="AG810" i="83"/>
  <c r="AF810" i="83"/>
  <c r="AE810" i="83"/>
  <c r="Q810" i="83"/>
  <c r="C810" i="83"/>
  <c r="BJ809" i="83"/>
  <c r="BG809" i="83"/>
  <c r="BD809" i="83" s="1"/>
  <c r="BC809" i="83"/>
  <c r="BB809" i="83" s="1"/>
  <c r="AY809" i="83"/>
  <c r="AX809" i="83"/>
  <c r="AM809" i="83"/>
  <c r="BK809" i="83"/>
  <c r="BO809" i="83"/>
  <c r="AK809" i="83"/>
  <c r="AJ809" i="83"/>
  <c r="AI809" i="83"/>
  <c r="AH809" i="83"/>
  <c r="AG809" i="83"/>
  <c r="AF809" i="83"/>
  <c r="AE809" i="83"/>
  <c r="Q809" i="83"/>
  <c r="C809" i="83"/>
  <c r="BD808" i="83"/>
  <c r="BC808" i="83"/>
  <c r="BB808" i="83" s="1"/>
  <c r="AY808" i="83"/>
  <c r="AX808" i="83"/>
  <c r="AW808" i="83"/>
  <c r="AM808" i="83"/>
  <c r="AK808" i="83"/>
  <c r="AJ808" i="83"/>
  <c r="AI808" i="83"/>
  <c r="AH808" i="83"/>
  <c r="AG808" i="83"/>
  <c r="AF808" i="83"/>
  <c r="AE808" i="83"/>
  <c r="Y808" i="83"/>
  <c r="Z808" i="83" s="1"/>
  <c r="AP808" i="83" s="1"/>
  <c r="AQ808" i="83" s="1"/>
  <c r="BX808" i="83" s="1"/>
  <c r="Q808" i="83"/>
  <c r="C808" i="83"/>
  <c r="BD807" i="83"/>
  <c r="BC807" i="83"/>
  <c r="BP807" i="83" s="1"/>
  <c r="AY807" i="83"/>
  <c r="AX807" i="83"/>
  <c r="AW807" i="83"/>
  <c r="AM807" i="83"/>
  <c r="AK807" i="83"/>
  <c r="AJ807" i="83"/>
  <c r="AI807" i="83"/>
  <c r="AH807" i="83"/>
  <c r="AG807" i="83"/>
  <c r="AF807" i="83"/>
  <c r="AE807" i="83"/>
  <c r="Q807" i="83"/>
  <c r="C807" i="83"/>
  <c r="BD806" i="83"/>
  <c r="BC806" i="83"/>
  <c r="AY806" i="83"/>
  <c r="AX806" i="83"/>
  <c r="AW806" i="83"/>
  <c r="AM806" i="83"/>
  <c r="AK806" i="83"/>
  <c r="AJ806" i="83"/>
  <c r="AI806" i="83"/>
  <c r="AH806" i="83"/>
  <c r="AG806" i="83"/>
  <c r="AF806" i="83"/>
  <c r="AE806" i="83"/>
  <c r="Q806" i="83"/>
  <c r="C806" i="83"/>
  <c r="BD805" i="83"/>
  <c r="BC805" i="83"/>
  <c r="BB805" i="83" s="1"/>
  <c r="AY805" i="83"/>
  <c r="AX805" i="83"/>
  <c r="AW805" i="83"/>
  <c r="AM805" i="83"/>
  <c r="AK805" i="83"/>
  <c r="AJ805" i="83"/>
  <c r="AI805" i="83"/>
  <c r="AH805" i="83"/>
  <c r="AG805" i="83"/>
  <c r="AF805" i="83"/>
  <c r="AE805" i="83"/>
  <c r="Y805" i="83"/>
  <c r="Z805" i="83" s="1"/>
  <c r="AP805" i="83" s="1"/>
  <c r="AQ805" i="83" s="1"/>
  <c r="BX805" i="83" s="1"/>
  <c r="Q805" i="83"/>
  <c r="C805" i="83"/>
  <c r="BD804" i="83"/>
  <c r="BC804" i="83"/>
  <c r="BB804" i="83" s="1"/>
  <c r="AY804" i="83"/>
  <c r="AX804" i="83"/>
  <c r="AW804" i="83"/>
  <c r="AM804" i="83"/>
  <c r="AK804" i="83"/>
  <c r="AJ804" i="83"/>
  <c r="AI804" i="83"/>
  <c r="AH804" i="83"/>
  <c r="AG804" i="83"/>
  <c r="AF804" i="83"/>
  <c r="AE804" i="83"/>
  <c r="Q804" i="83"/>
  <c r="C804" i="83"/>
  <c r="BD803" i="83"/>
  <c r="BC803" i="83"/>
  <c r="BP803" i="83" s="1"/>
  <c r="AY803" i="83"/>
  <c r="AX803" i="83"/>
  <c r="AW803" i="83"/>
  <c r="AM803" i="83"/>
  <c r="AK803" i="83"/>
  <c r="AJ803" i="83"/>
  <c r="AI803" i="83"/>
  <c r="AH803" i="83"/>
  <c r="AG803" i="83"/>
  <c r="AF803" i="83"/>
  <c r="AE803" i="83"/>
  <c r="Q803" i="83"/>
  <c r="C803" i="83"/>
  <c r="BD802" i="83"/>
  <c r="BC802" i="83"/>
  <c r="AY802" i="83"/>
  <c r="AX802" i="83"/>
  <c r="AW802" i="83"/>
  <c r="AL802" i="83"/>
  <c r="AM802" i="83" s="1"/>
  <c r="AK802" i="83"/>
  <c r="AJ802" i="83"/>
  <c r="AI802" i="83"/>
  <c r="AH802" i="83"/>
  <c r="AG802" i="83"/>
  <c r="AF802" i="83"/>
  <c r="AE802" i="83"/>
  <c r="Q802" i="83"/>
  <c r="C802" i="83"/>
  <c r="BD801" i="83"/>
  <c r="BC801" i="83"/>
  <c r="AY801" i="83"/>
  <c r="AX801" i="83"/>
  <c r="AW801" i="83"/>
  <c r="AM801" i="83"/>
  <c r="AK801" i="83"/>
  <c r="AJ801" i="83"/>
  <c r="AI801" i="83"/>
  <c r="AH801" i="83"/>
  <c r="AG801" i="83"/>
  <c r="AF801" i="83"/>
  <c r="AE801" i="83"/>
  <c r="Y801" i="83"/>
  <c r="Z801" i="83" s="1"/>
  <c r="AP801" i="83" s="1"/>
  <c r="AQ801" i="83" s="1"/>
  <c r="BX801" i="83" s="1"/>
  <c r="CA801" i="83" s="1"/>
  <c r="Q801" i="83"/>
  <c r="C801" i="83"/>
  <c r="BJ800" i="83"/>
  <c r="BG800" i="83"/>
  <c r="BD800" i="83" s="1"/>
  <c r="BC800" i="83"/>
  <c r="BB800" i="83"/>
  <c r="AY800" i="83"/>
  <c r="AX800" i="83"/>
  <c r="AW800" i="83"/>
  <c r="AM800" i="83"/>
  <c r="BK800" i="83" s="1"/>
  <c r="BO800" i="83" s="1"/>
  <c r="AK800" i="83"/>
  <c r="AJ800" i="83"/>
  <c r="AI800" i="83"/>
  <c r="AH800" i="83"/>
  <c r="AG800" i="83"/>
  <c r="AF800" i="83"/>
  <c r="AE800" i="83"/>
  <c r="Q800" i="83"/>
  <c r="C800" i="83"/>
  <c r="BJ799" i="83"/>
  <c r="BG799" i="83"/>
  <c r="BD799" i="83" s="1"/>
  <c r="BC799" i="83"/>
  <c r="BB799" i="83" s="1"/>
  <c r="AY799" i="83"/>
  <c r="AX799" i="83"/>
  <c r="AM799" i="83"/>
  <c r="BK799" i="83"/>
  <c r="BO799" i="83"/>
  <c r="AK799" i="83"/>
  <c r="AJ799" i="83"/>
  <c r="AI799" i="83"/>
  <c r="AH799" i="83"/>
  <c r="AG799" i="83"/>
  <c r="AF799" i="83"/>
  <c r="AE799" i="83"/>
  <c r="Q799" i="83"/>
  <c r="C799" i="83"/>
  <c r="BD798" i="83"/>
  <c r="BC798" i="83"/>
  <c r="AY798" i="83"/>
  <c r="AX798" i="83"/>
  <c r="AW798" i="83"/>
  <c r="AM798" i="83"/>
  <c r="AK798" i="83"/>
  <c r="AJ798" i="83"/>
  <c r="AI798" i="83"/>
  <c r="AH798" i="83"/>
  <c r="AG798" i="83"/>
  <c r="AF798" i="83"/>
  <c r="AE798" i="83"/>
  <c r="Q798" i="83"/>
  <c r="C798" i="83"/>
  <c r="BD797" i="83"/>
  <c r="BC797" i="83"/>
  <c r="AY797" i="83"/>
  <c r="AX797" i="83"/>
  <c r="AW797" i="83"/>
  <c r="AM797" i="83"/>
  <c r="AK797" i="83"/>
  <c r="AJ797" i="83"/>
  <c r="AI797" i="83"/>
  <c r="AH797" i="83"/>
  <c r="AG797" i="83"/>
  <c r="AF797" i="83"/>
  <c r="AE797" i="83"/>
  <c r="Q797" i="83"/>
  <c r="C797" i="83"/>
  <c r="BD796" i="83"/>
  <c r="BC796" i="83"/>
  <c r="BB796" i="83"/>
  <c r="AY796" i="83"/>
  <c r="AX796" i="83"/>
  <c r="AW796" i="83"/>
  <c r="AM796" i="83"/>
  <c r="AK796" i="83"/>
  <c r="AJ796" i="83"/>
  <c r="AI796" i="83"/>
  <c r="AH796" i="83"/>
  <c r="AG796" i="83"/>
  <c r="AF796" i="83"/>
  <c r="AE796" i="83"/>
  <c r="Q796" i="83"/>
  <c r="C796" i="83"/>
  <c r="BD795" i="83"/>
  <c r="BC795" i="83"/>
  <c r="BP795" i="83"/>
  <c r="AY795" i="83"/>
  <c r="AX795" i="83"/>
  <c r="AW795" i="83"/>
  <c r="AM795" i="83"/>
  <c r="AK795" i="83"/>
  <c r="AJ795" i="83"/>
  <c r="AI795" i="83"/>
  <c r="AH795" i="83"/>
  <c r="AG795" i="83"/>
  <c r="AF795" i="83"/>
  <c r="AE795" i="83"/>
  <c r="Y795" i="83"/>
  <c r="Z795" i="83" s="1"/>
  <c r="AP795" i="83" s="1"/>
  <c r="AQ795" i="83" s="1"/>
  <c r="BX795" i="83" s="1"/>
  <c r="Q795" i="83"/>
  <c r="C795" i="83"/>
  <c r="BD794" i="83"/>
  <c r="BC794" i="83"/>
  <c r="AY794" i="83"/>
  <c r="AX794" i="83"/>
  <c r="AW794" i="83"/>
  <c r="AL794" i="83"/>
  <c r="AM794" i="83"/>
  <c r="AK794" i="83"/>
  <c r="AJ794" i="83"/>
  <c r="AI794" i="83"/>
  <c r="AH794" i="83"/>
  <c r="AG794" i="83"/>
  <c r="AF794" i="83"/>
  <c r="AE794" i="83"/>
  <c r="Q794" i="83"/>
  <c r="C794" i="83"/>
  <c r="BK793" i="83"/>
  <c r="BO793" i="83"/>
  <c r="BJ793" i="83"/>
  <c r="BD793" i="83"/>
  <c r="BC793" i="83"/>
  <c r="BB793" i="83"/>
  <c r="AY793" i="83"/>
  <c r="AX793" i="83"/>
  <c r="AW793" i="83"/>
  <c r="AP793" i="83"/>
  <c r="AQ793" i="83" s="1"/>
  <c r="BX793" i="83" s="1"/>
  <c r="AK793" i="83"/>
  <c r="AJ793" i="83"/>
  <c r="AI793" i="83"/>
  <c r="AH793" i="83"/>
  <c r="AG793" i="83"/>
  <c r="AF793" i="83"/>
  <c r="AE793" i="83"/>
  <c r="Q793" i="83"/>
  <c r="C793" i="83"/>
  <c r="BD792" i="83"/>
  <c r="BC792" i="83"/>
  <c r="BB792" i="83" s="1"/>
  <c r="AY792" i="83"/>
  <c r="AX792" i="83"/>
  <c r="AW792" i="83"/>
  <c r="AM792" i="83"/>
  <c r="AK792" i="83"/>
  <c r="AJ792" i="83"/>
  <c r="AI792" i="83"/>
  <c r="AH792" i="83"/>
  <c r="AG792" i="83"/>
  <c r="AF792" i="83"/>
  <c r="AE792" i="83"/>
  <c r="Q792" i="83"/>
  <c r="C792" i="83"/>
  <c r="BD791" i="83"/>
  <c r="BC791" i="83"/>
  <c r="AY791" i="83"/>
  <c r="AX791" i="83"/>
  <c r="AW791" i="83"/>
  <c r="AM791" i="83"/>
  <c r="AK791" i="83"/>
  <c r="AJ791" i="83"/>
  <c r="AI791" i="83"/>
  <c r="AH791" i="83"/>
  <c r="AG791" i="83"/>
  <c r="AF791" i="83"/>
  <c r="AE791" i="83"/>
  <c r="Q791" i="83"/>
  <c r="C791" i="83"/>
  <c r="BD790" i="83"/>
  <c r="BC790" i="83"/>
  <c r="BB790" i="83" s="1"/>
  <c r="AY790" i="83"/>
  <c r="AX790" i="83"/>
  <c r="AW790" i="83"/>
  <c r="AL790" i="83"/>
  <c r="AM790" i="83" s="1"/>
  <c r="AK790" i="83"/>
  <c r="AJ790" i="83"/>
  <c r="AI790" i="83"/>
  <c r="AH790" i="83"/>
  <c r="AG790" i="83"/>
  <c r="AF790" i="83"/>
  <c r="AE790" i="83"/>
  <c r="Q790" i="83"/>
  <c r="C790" i="83"/>
  <c r="BD789" i="83"/>
  <c r="BC789" i="83"/>
  <c r="BP789" i="83"/>
  <c r="AY789" i="83"/>
  <c r="AX789" i="83"/>
  <c r="AW789" i="83"/>
  <c r="AM789" i="83"/>
  <c r="AK789" i="83"/>
  <c r="AJ789" i="83"/>
  <c r="AI789" i="83"/>
  <c r="AH789" i="83"/>
  <c r="AG789" i="83"/>
  <c r="AF789" i="83"/>
  <c r="AE789" i="83"/>
  <c r="Y789" i="83"/>
  <c r="Z789" i="83" s="1"/>
  <c r="AP789" i="83" s="1"/>
  <c r="AQ789" i="83" s="1"/>
  <c r="BX789" i="83" s="1"/>
  <c r="Q789" i="83"/>
  <c r="C789" i="83"/>
  <c r="BD788" i="83"/>
  <c r="BC788" i="83"/>
  <c r="BP788" i="83"/>
  <c r="AY788" i="83"/>
  <c r="AX788" i="83"/>
  <c r="AW788" i="83"/>
  <c r="AM788" i="83"/>
  <c r="AK788" i="83"/>
  <c r="AJ788" i="83"/>
  <c r="AI788" i="83"/>
  <c r="AH788" i="83"/>
  <c r="AG788" i="83"/>
  <c r="AF788" i="83"/>
  <c r="AE788" i="83"/>
  <c r="Q788" i="83"/>
  <c r="C788" i="83"/>
  <c r="BD787" i="83"/>
  <c r="BC787" i="83"/>
  <c r="BB787" i="83"/>
  <c r="AY787" i="83"/>
  <c r="AX787" i="83"/>
  <c r="AW787" i="83"/>
  <c r="AL787" i="83"/>
  <c r="AM787" i="83" s="1"/>
  <c r="AK787" i="83"/>
  <c r="AJ787" i="83"/>
  <c r="AI787" i="83"/>
  <c r="AH787" i="83"/>
  <c r="AG787" i="83"/>
  <c r="AF787" i="83"/>
  <c r="AE787" i="83"/>
  <c r="Q787" i="83"/>
  <c r="C787" i="83"/>
  <c r="BD786" i="83"/>
  <c r="BC786" i="83"/>
  <c r="AY786" i="83"/>
  <c r="AX786" i="83"/>
  <c r="AW786" i="83"/>
  <c r="AM786" i="83"/>
  <c r="AK786" i="83"/>
  <c r="AJ786" i="83"/>
  <c r="AI786" i="83"/>
  <c r="AH786" i="83"/>
  <c r="AG786" i="83"/>
  <c r="AF786" i="83"/>
  <c r="AE786" i="83"/>
  <c r="Q786" i="83"/>
  <c r="C786" i="83"/>
  <c r="BC785" i="83"/>
  <c r="BP785" i="83" s="1"/>
  <c r="AY785" i="83"/>
  <c r="AX785" i="83"/>
  <c r="AW785" i="83"/>
  <c r="AM785" i="83"/>
  <c r="AK785" i="83"/>
  <c r="AJ785" i="83"/>
  <c r="AI785" i="83"/>
  <c r="AH785" i="83"/>
  <c r="AG785" i="83"/>
  <c r="AF785" i="83"/>
  <c r="AE785" i="83"/>
  <c r="Y785" i="83"/>
  <c r="Z785" i="83" s="1"/>
  <c r="AP785" i="83" s="1"/>
  <c r="AQ785" i="83" s="1"/>
  <c r="BX785" i="83" s="1"/>
  <c r="Q785" i="83"/>
  <c r="C785" i="83"/>
  <c r="BD784" i="83"/>
  <c r="BC784" i="83"/>
  <c r="BP784" i="83"/>
  <c r="AY784" i="83"/>
  <c r="AX784" i="83"/>
  <c r="AW784" i="83"/>
  <c r="AM784" i="83"/>
  <c r="AK784" i="83"/>
  <c r="AJ784" i="83"/>
  <c r="AI784" i="83"/>
  <c r="AH784" i="83"/>
  <c r="AG784" i="83"/>
  <c r="AF784" i="83"/>
  <c r="AE784" i="83"/>
  <c r="Q784" i="83"/>
  <c r="C784" i="83"/>
  <c r="BD783" i="83"/>
  <c r="BC783" i="83"/>
  <c r="BP783" i="83"/>
  <c r="AY783" i="83"/>
  <c r="AX783" i="83"/>
  <c r="AW783" i="83"/>
  <c r="AM783" i="83"/>
  <c r="AK783" i="83"/>
  <c r="AJ783" i="83"/>
  <c r="AI783" i="83"/>
  <c r="AH783" i="83"/>
  <c r="AG783" i="83"/>
  <c r="AF783" i="83"/>
  <c r="AE783" i="83"/>
  <c r="Q783" i="83"/>
  <c r="C783" i="83"/>
  <c r="BD782" i="83"/>
  <c r="BC782" i="83"/>
  <c r="AY782" i="83"/>
  <c r="AX782" i="83"/>
  <c r="AW782" i="83"/>
  <c r="AM782" i="83"/>
  <c r="AK782" i="83"/>
  <c r="AJ782" i="83"/>
  <c r="AI782" i="83"/>
  <c r="AH782" i="83"/>
  <c r="AG782" i="83"/>
  <c r="AF782" i="83"/>
  <c r="AE782" i="83"/>
  <c r="Q782" i="83"/>
  <c r="C782" i="83"/>
  <c r="BJ781" i="83"/>
  <c r="BC781" i="83"/>
  <c r="BB781" i="83" s="1"/>
  <c r="AY781" i="83"/>
  <c r="AX781" i="83"/>
  <c r="AW781" i="83"/>
  <c r="AM781" i="83"/>
  <c r="BK781" i="83" s="1"/>
  <c r="BO781" i="83" s="1"/>
  <c r="AK781" i="83"/>
  <c r="AJ781" i="83"/>
  <c r="AI781" i="83"/>
  <c r="AH781" i="83"/>
  <c r="AG781" i="83"/>
  <c r="AF781" i="83"/>
  <c r="AE781" i="83"/>
  <c r="Y781" i="83"/>
  <c r="Q781" i="83"/>
  <c r="C781" i="83"/>
  <c r="BC780" i="83"/>
  <c r="AY780" i="83"/>
  <c r="AX780" i="83"/>
  <c r="AW780" i="83"/>
  <c r="AM780" i="83"/>
  <c r="AK780" i="83"/>
  <c r="AJ780" i="83"/>
  <c r="AI780" i="83"/>
  <c r="AH780" i="83"/>
  <c r="AG780" i="83"/>
  <c r="AF780" i="83"/>
  <c r="AE780" i="83"/>
  <c r="Y780" i="83"/>
  <c r="Z780" i="83" s="1"/>
  <c r="AP780" i="83" s="1"/>
  <c r="AQ780" i="83" s="1"/>
  <c r="BX780" i="83" s="1"/>
  <c r="CA780" i="83" s="1"/>
  <c r="Q780" i="83"/>
  <c r="C780" i="83"/>
  <c r="BD779" i="83"/>
  <c r="BC779" i="83"/>
  <c r="BB779" i="83" s="1"/>
  <c r="AY779" i="83"/>
  <c r="AX779" i="83"/>
  <c r="AW779" i="83"/>
  <c r="AM779" i="83"/>
  <c r="AK779" i="83"/>
  <c r="AJ779" i="83"/>
  <c r="AI779" i="83"/>
  <c r="AH779" i="83"/>
  <c r="AG779" i="83"/>
  <c r="AF779" i="83"/>
  <c r="AE779" i="83"/>
  <c r="Q779" i="83"/>
  <c r="C779" i="83"/>
  <c r="BI778" i="83"/>
  <c r="BD778" i="83"/>
  <c r="BC778" i="83"/>
  <c r="BB778" i="83"/>
  <c r="AX778" i="83"/>
  <c r="AW778" i="83"/>
  <c r="AM778" i="83"/>
  <c r="BA778" i="83"/>
  <c r="AK778" i="83"/>
  <c r="AJ778" i="83"/>
  <c r="AI778" i="83"/>
  <c r="AH778" i="83"/>
  <c r="AG778" i="83"/>
  <c r="AF778" i="83"/>
  <c r="AE778" i="83"/>
  <c r="Q778" i="83"/>
  <c r="C778" i="83"/>
  <c r="BD777" i="83"/>
  <c r="BC777" i="83"/>
  <c r="BP777" i="83"/>
  <c r="AM777" i="83"/>
  <c r="AK777" i="83"/>
  <c r="AJ777" i="83"/>
  <c r="AI777" i="83"/>
  <c r="AH777" i="83"/>
  <c r="AG777" i="83"/>
  <c r="AF777" i="83"/>
  <c r="AE777" i="83"/>
  <c r="Q777" i="83"/>
  <c r="C777" i="83"/>
  <c r="BD776" i="83"/>
  <c r="BC776" i="83"/>
  <c r="AY776" i="83"/>
  <c r="AX776" i="83"/>
  <c r="AW776" i="83"/>
  <c r="AM776" i="83"/>
  <c r="AK776" i="83"/>
  <c r="AJ776" i="83"/>
  <c r="AI776" i="83"/>
  <c r="AH776" i="83"/>
  <c r="AG776" i="83"/>
  <c r="AF776" i="83"/>
  <c r="AE776" i="83"/>
  <c r="Q776" i="83"/>
  <c r="C776" i="83"/>
  <c r="BD775" i="83"/>
  <c r="BC775" i="83"/>
  <c r="AY775" i="83"/>
  <c r="AX775" i="83"/>
  <c r="AW775" i="83"/>
  <c r="AM775" i="83"/>
  <c r="AK775" i="83"/>
  <c r="AJ775" i="83"/>
  <c r="AI775" i="83"/>
  <c r="AH775" i="83"/>
  <c r="AG775" i="83"/>
  <c r="AF775" i="83"/>
  <c r="AE775" i="83"/>
  <c r="Q775" i="83"/>
  <c r="C775" i="83"/>
  <c r="BD774" i="83"/>
  <c r="BC774" i="83"/>
  <c r="BB774" i="83" s="1"/>
  <c r="AY774" i="83"/>
  <c r="AX774" i="83"/>
  <c r="AW774" i="83"/>
  <c r="AM774" i="83"/>
  <c r="AK774" i="83"/>
  <c r="AJ774" i="83"/>
  <c r="AI774" i="83"/>
  <c r="AH774" i="83"/>
  <c r="AG774" i="83"/>
  <c r="AF774" i="83"/>
  <c r="AE774" i="83"/>
  <c r="Q774" i="83"/>
  <c r="C774" i="83"/>
  <c r="BJ773" i="83"/>
  <c r="BC773" i="83"/>
  <c r="BB773" i="83" s="1"/>
  <c r="AY773" i="83"/>
  <c r="AX773" i="83"/>
  <c r="AW773" i="83"/>
  <c r="AM773" i="83"/>
  <c r="BK773" i="83"/>
  <c r="BO773" i="83" s="1"/>
  <c r="AK773" i="83"/>
  <c r="AJ773" i="83"/>
  <c r="AI773" i="83"/>
  <c r="AH773" i="83"/>
  <c r="AG773" i="83"/>
  <c r="AF773" i="83"/>
  <c r="AE773" i="83"/>
  <c r="Q773" i="83"/>
  <c r="C773" i="83"/>
  <c r="BD772" i="83"/>
  <c r="BC772" i="83"/>
  <c r="AY772" i="83"/>
  <c r="AX772" i="83"/>
  <c r="AW772" i="83"/>
  <c r="AM772" i="83"/>
  <c r="AK772" i="83"/>
  <c r="AJ772" i="83"/>
  <c r="AI772" i="83"/>
  <c r="AH772" i="83"/>
  <c r="AG772" i="83"/>
  <c r="AF772" i="83"/>
  <c r="AE772" i="83"/>
  <c r="Q772" i="83"/>
  <c r="C772" i="83"/>
  <c r="BJ771" i="83"/>
  <c r="BD771" i="83"/>
  <c r="BC771" i="83"/>
  <c r="AY771" i="83"/>
  <c r="AX771" i="83"/>
  <c r="AW771" i="83"/>
  <c r="AM771" i="83"/>
  <c r="BK771" i="83" s="1"/>
  <c r="BO771" i="83" s="1"/>
  <c r="AK771" i="83"/>
  <c r="AJ771" i="83"/>
  <c r="AI771" i="83"/>
  <c r="AH771" i="83"/>
  <c r="AG771" i="83"/>
  <c r="AF771" i="83"/>
  <c r="AE771" i="83"/>
  <c r="Q771" i="83"/>
  <c r="C771" i="83"/>
  <c r="BD770" i="83"/>
  <c r="BC770" i="83"/>
  <c r="BB770" i="83"/>
  <c r="AY770" i="83"/>
  <c r="AX770" i="83"/>
  <c r="AW770" i="83"/>
  <c r="AM770" i="83"/>
  <c r="AK770" i="83"/>
  <c r="AJ770" i="83"/>
  <c r="AI770" i="83"/>
  <c r="AH770" i="83"/>
  <c r="AG770" i="83"/>
  <c r="AF770" i="83"/>
  <c r="AE770" i="83"/>
  <c r="Q770" i="83"/>
  <c r="C770" i="83"/>
  <c r="BD769" i="83"/>
  <c r="BC769" i="83"/>
  <c r="AY769" i="83"/>
  <c r="AX769" i="83"/>
  <c r="AW769" i="83"/>
  <c r="AM769" i="83"/>
  <c r="AK769" i="83"/>
  <c r="AJ769" i="83"/>
  <c r="AI769" i="83"/>
  <c r="AH769" i="83"/>
  <c r="AG769" i="83"/>
  <c r="AF769" i="83"/>
  <c r="AE769" i="83"/>
  <c r="Q769" i="83"/>
  <c r="C769" i="83"/>
  <c r="BD768" i="83"/>
  <c r="BC768" i="83"/>
  <c r="BP768" i="83" s="1"/>
  <c r="AY768" i="83"/>
  <c r="AX768" i="83"/>
  <c r="AW768" i="83"/>
  <c r="AM768" i="83"/>
  <c r="AK768" i="83"/>
  <c r="AJ768" i="83"/>
  <c r="AI768" i="83"/>
  <c r="AH768" i="83"/>
  <c r="AG768" i="83"/>
  <c r="AF768" i="83"/>
  <c r="AE768" i="83"/>
  <c r="Q768" i="83"/>
  <c r="C768" i="83"/>
  <c r="BD767" i="83"/>
  <c r="BC767" i="83"/>
  <c r="AY767" i="83"/>
  <c r="AX767" i="83"/>
  <c r="AW767" i="83"/>
  <c r="AM767" i="83"/>
  <c r="AK767" i="83"/>
  <c r="AJ767" i="83"/>
  <c r="AI767" i="83"/>
  <c r="AH767" i="83"/>
  <c r="AG767" i="83"/>
  <c r="AF767" i="83"/>
  <c r="AE767" i="83"/>
  <c r="Y767" i="83"/>
  <c r="Z767" i="83" s="1"/>
  <c r="AP767" i="83" s="1"/>
  <c r="AQ767" i="83" s="1"/>
  <c r="BX767" i="83" s="1"/>
  <c r="CA767" i="83" s="1"/>
  <c r="Q767" i="83"/>
  <c r="C767" i="83"/>
  <c r="BD766" i="83"/>
  <c r="BC766" i="83"/>
  <c r="BP766" i="83" s="1"/>
  <c r="AY766" i="83"/>
  <c r="AX766" i="83"/>
  <c r="AW766" i="83"/>
  <c r="AM766" i="83"/>
  <c r="AK766" i="83"/>
  <c r="AJ766" i="83"/>
  <c r="AI766" i="83"/>
  <c r="AH766" i="83"/>
  <c r="AG766" i="83"/>
  <c r="AF766" i="83"/>
  <c r="AE766" i="83"/>
  <c r="Q766" i="83"/>
  <c r="C766" i="83"/>
  <c r="BI765" i="83"/>
  <c r="BD765" i="83" s="1"/>
  <c r="BC765" i="83"/>
  <c r="BB765" i="83"/>
  <c r="BA765" i="83"/>
  <c r="AX765" i="83"/>
  <c r="AW765" i="83"/>
  <c r="AK765" i="83"/>
  <c r="AJ765" i="83"/>
  <c r="AI765" i="83"/>
  <c r="AH765" i="83"/>
  <c r="AG765" i="83"/>
  <c r="AF765" i="83"/>
  <c r="AE765" i="83"/>
  <c r="Q765" i="83"/>
  <c r="C765" i="83"/>
  <c r="BD764" i="83"/>
  <c r="BC764" i="83"/>
  <c r="BP764" i="83" s="1"/>
  <c r="AY764" i="83"/>
  <c r="AX764" i="83"/>
  <c r="AW764" i="83"/>
  <c r="AM764" i="83"/>
  <c r="AK764" i="83"/>
  <c r="AJ764" i="83"/>
  <c r="AI764" i="83"/>
  <c r="AH764" i="83"/>
  <c r="AG764" i="83"/>
  <c r="AF764" i="83"/>
  <c r="AE764" i="83"/>
  <c r="Q764" i="83"/>
  <c r="C764" i="83"/>
  <c r="BD763" i="83"/>
  <c r="BC763" i="83"/>
  <c r="BP763" i="83" s="1"/>
  <c r="AY763" i="83"/>
  <c r="AX763" i="83"/>
  <c r="AW763" i="83"/>
  <c r="AM763" i="83"/>
  <c r="AK763" i="83"/>
  <c r="AJ763" i="83"/>
  <c r="AI763" i="83"/>
  <c r="AH763" i="83"/>
  <c r="AG763" i="83"/>
  <c r="AF763" i="83"/>
  <c r="AE763" i="83"/>
  <c r="Y763" i="83"/>
  <c r="Z763" i="83" s="1"/>
  <c r="AP763" i="83" s="1"/>
  <c r="AQ763" i="83" s="1"/>
  <c r="BX763" i="83" s="1"/>
  <c r="Q763" i="83"/>
  <c r="C763" i="83"/>
  <c r="BJ762" i="83"/>
  <c r="BC762" i="83"/>
  <c r="BB762" i="83"/>
  <c r="AX762" i="83"/>
  <c r="AW762" i="83"/>
  <c r="AM762" i="83"/>
  <c r="BA762" i="83" s="1"/>
  <c r="AK762" i="83"/>
  <c r="AJ762" i="83"/>
  <c r="AI762" i="83"/>
  <c r="AH762" i="83"/>
  <c r="AG762" i="83"/>
  <c r="AF762" i="83"/>
  <c r="AE762" i="83"/>
  <c r="Q762" i="83"/>
  <c r="C762" i="83"/>
  <c r="BD761" i="83"/>
  <c r="BC761" i="83"/>
  <c r="BB761" i="83"/>
  <c r="AY761" i="83"/>
  <c r="AX761" i="83"/>
  <c r="AW761" i="83"/>
  <c r="AM761" i="83"/>
  <c r="AK761" i="83"/>
  <c r="AJ761" i="83"/>
  <c r="AI761" i="83"/>
  <c r="AH761" i="83"/>
  <c r="AG761" i="83"/>
  <c r="AF761" i="83"/>
  <c r="AE761" i="83"/>
  <c r="Q761" i="83"/>
  <c r="C761" i="83"/>
  <c r="BD760" i="83"/>
  <c r="BC760" i="83"/>
  <c r="BP760" i="83"/>
  <c r="AY760" i="83"/>
  <c r="AX760" i="83"/>
  <c r="AW760" i="83"/>
  <c r="AM760" i="83"/>
  <c r="AK760" i="83"/>
  <c r="AJ760" i="83"/>
  <c r="AI760" i="83"/>
  <c r="AH760" i="83"/>
  <c r="AG760" i="83"/>
  <c r="AF760" i="83"/>
  <c r="AE760" i="83"/>
  <c r="Q760" i="83"/>
  <c r="C760" i="83"/>
  <c r="BD759" i="83"/>
  <c r="BC759" i="83"/>
  <c r="BP759" i="83"/>
  <c r="AY759" i="83"/>
  <c r="AX759" i="83"/>
  <c r="AW759" i="83"/>
  <c r="AM759" i="83"/>
  <c r="AK759" i="83"/>
  <c r="AJ759" i="83"/>
  <c r="AI759" i="83"/>
  <c r="AH759" i="83"/>
  <c r="AG759" i="83"/>
  <c r="AF759" i="83"/>
  <c r="AE759" i="83"/>
  <c r="Y759" i="83"/>
  <c r="Z759" i="83" s="1"/>
  <c r="AP759" i="83" s="1"/>
  <c r="AQ759" i="83" s="1"/>
  <c r="BX759" i="83" s="1"/>
  <c r="Q759" i="83"/>
  <c r="C759" i="83"/>
  <c r="BD758" i="83"/>
  <c r="BC758" i="83"/>
  <c r="BB758" i="83" s="1"/>
  <c r="AY758" i="83"/>
  <c r="AX758" i="83"/>
  <c r="AW758" i="83"/>
  <c r="AM758" i="83"/>
  <c r="AK758" i="83"/>
  <c r="AJ758" i="83"/>
  <c r="AI758" i="83"/>
  <c r="AH758" i="83"/>
  <c r="AG758" i="83"/>
  <c r="AF758" i="83"/>
  <c r="AE758" i="83"/>
  <c r="Q758" i="83"/>
  <c r="C758" i="83"/>
  <c r="BD757" i="83"/>
  <c r="BC757" i="83"/>
  <c r="AY757" i="83"/>
  <c r="AX757" i="83"/>
  <c r="AW757" i="83"/>
  <c r="AM757" i="83"/>
  <c r="AK757" i="83"/>
  <c r="AJ757" i="83"/>
  <c r="AI757" i="83"/>
  <c r="AH757" i="83"/>
  <c r="AG757" i="83"/>
  <c r="AF757" i="83"/>
  <c r="AE757" i="83"/>
  <c r="Q757" i="83"/>
  <c r="C757" i="83"/>
  <c r="BD756" i="83"/>
  <c r="BC756" i="83"/>
  <c r="BP756" i="83"/>
  <c r="AM756" i="83"/>
  <c r="AK756" i="83"/>
  <c r="AJ756" i="83"/>
  <c r="AI756" i="83"/>
  <c r="AH756" i="83"/>
  <c r="AG756" i="83"/>
  <c r="AF756" i="83"/>
  <c r="AE756" i="83"/>
  <c r="Q756" i="83"/>
  <c r="BD755" i="83"/>
  <c r="BC755" i="83"/>
  <c r="BB755" i="83" s="1"/>
  <c r="AY755" i="83"/>
  <c r="AX755" i="83"/>
  <c r="AW755" i="83"/>
  <c r="AM755" i="83"/>
  <c r="AK755" i="83"/>
  <c r="AJ755" i="83"/>
  <c r="AI755" i="83"/>
  <c r="AH755" i="83"/>
  <c r="AG755" i="83"/>
  <c r="AF755" i="83"/>
  <c r="AE755" i="83"/>
  <c r="Q755" i="83"/>
  <c r="BD754" i="83"/>
  <c r="BC754" i="83"/>
  <c r="BB754" i="83" s="1"/>
  <c r="AY754" i="83"/>
  <c r="AX754" i="83"/>
  <c r="AW754" i="83"/>
  <c r="AM754" i="83"/>
  <c r="AK754" i="83"/>
  <c r="AJ754" i="83"/>
  <c r="AI754" i="83"/>
  <c r="AH754" i="83"/>
  <c r="AG754" i="83"/>
  <c r="AF754" i="83"/>
  <c r="AE754" i="83"/>
  <c r="Q754" i="83"/>
  <c r="BD753" i="83"/>
  <c r="BC753" i="83"/>
  <c r="AY753" i="83"/>
  <c r="AX753" i="83"/>
  <c r="AW753" i="83"/>
  <c r="AM753" i="83"/>
  <c r="AK753" i="83"/>
  <c r="AJ753" i="83"/>
  <c r="AI753" i="83"/>
  <c r="AH753" i="83"/>
  <c r="AG753" i="83"/>
  <c r="AF753" i="83"/>
  <c r="AE753" i="83"/>
  <c r="Q753" i="83"/>
  <c r="BD752" i="83"/>
  <c r="BC752" i="83"/>
  <c r="BB752" i="83"/>
  <c r="AY752" i="83"/>
  <c r="AX752" i="83"/>
  <c r="AW752" i="83"/>
  <c r="AM752" i="83"/>
  <c r="AK752" i="83"/>
  <c r="AJ752" i="83"/>
  <c r="AI752" i="83"/>
  <c r="AH752" i="83"/>
  <c r="AG752" i="83"/>
  <c r="AF752" i="83"/>
  <c r="AE752" i="83"/>
  <c r="Q752" i="83"/>
  <c r="C752" i="83"/>
  <c r="BD751" i="83"/>
  <c r="BC751" i="83"/>
  <c r="BP751" i="83"/>
  <c r="AY751" i="83"/>
  <c r="AX751" i="83"/>
  <c r="AW751" i="83"/>
  <c r="AM751" i="83"/>
  <c r="AK751" i="83"/>
  <c r="AJ751" i="83"/>
  <c r="AI751" i="83"/>
  <c r="AH751" i="83"/>
  <c r="AG751" i="83"/>
  <c r="AF751" i="83"/>
  <c r="AE751" i="83"/>
  <c r="Q751" i="83"/>
  <c r="O751" i="83"/>
  <c r="C751" i="83"/>
  <c r="BD750" i="83"/>
  <c r="BC750" i="83"/>
  <c r="AY750" i="83"/>
  <c r="AX750" i="83"/>
  <c r="AW750" i="83"/>
  <c r="AM750" i="83"/>
  <c r="AK750" i="83"/>
  <c r="AJ750" i="83"/>
  <c r="AI750" i="83"/>
  <c r="AH750" i="83"/>
  <c r="AG750" i="83"/>
  <c r="AF750" i="83"/>
  <c r="AE750" i="83"/>
  <c r="Y750" i="83"/>
  <c r="Z750" i="83" s="1"/>
  <c r="AP750" i="83" s="1"/>
  <c r="AQ750" i="83" s="1"/>
  <c r="BX750" i="83" s="1"/>
  <c r="Q750" i="83"/>
  <c r="C750" i="83"/>
  <c r="BD749" i="83"/>
  <c r="BC749" i="83"/>
  <c r="BP749" i="83" s="1"/>
  <c r="AY749" i="83"/>
  <c r="AX749" i="83"/>
  <c r="AW749" i="83"/>
  <c r="AM749" i="83"/>
  <c r="AK749" i="83"/>
  <c r="AJ749" i="83"/>
  <c r="AI749" i="83"/>
  <c r="AH749" i="83"/>
  <c r="AG749" i="83"/>
  <c r="AF749" i="83"/>
  <c r="AE749" i="83"/>
  <c r="Q749" i="83"/>
  <c r="C749" i="83"/>
  <c r="BD748" i="83"/>
  <c r="BC748" i="83"/>
  <c r="BP748" i="83" s="1"/>
  <c r="AY748" i="83"/>
  <c r="AX748" i="83"/>
  <c r="AW748" i="83"/>
  <c r="AM748" i="83"/>
  <c r="AK748" i="83"/>
  <c r="AJ748" i="83"/>
  <c r="AI748" i="83"/>
  <c r="AH748" i="83"/>
  <c r="AG748" i="83"/>
  <c r="AF748" i="83"/>
  <c r="AE748" i="83"/>
  <c r="Q748" i="83"/>
  <c r="O748" i="83"/>
  <c r="C748" i="83"/>
  <c r="BD747" i="83"/>
  <c r="BC747" i="83"/>
  <c r="AY747" i="83"/>
  <c r="AX747" i="83"/>
  <c r="AW747" i="83"/>
  <c r="AM747" i="83"/>
  <c r="AK747" i="83"/>
  <c r="AJ747" i="83"/>
  <c r="AI747" i="83"/>
  <c r="AH747" i="83"/>
  <c r="AG747" i="83"/>
  <c r="AF747" i="83"/>
  <c r="AE747" i="83"/>
  <c r="Y747" i="83"/>
  <c r="Z747" i="83" s="1"/>
  <c r="AP747" i="83" s="1"/>
  <c r="AQ747" i="83" s="1"/>
  <c r="BX747" i="83" s="1"/>
  <c r="CA747" i="83" s="1"/>
  <c r="Q747" i="83"/>
  <c r="C747" i="83"/>
  <c r="BD746" i="83"/>
  <c r="BC746" i="83"/>
  <c r="BB746" i="83"/>
  <c r="AY746" i="83"/>
  <c r="AX746" i="83"/>
  <c r="AW746" i="83"/>
  <c r="AM746" i="83"/>
  <c r="AK746" i="83"/>
  <c r="AJ746" i="83"/>
  <c r="AI746" i="83"/>
  <c r="AH746" i="83"/>
  <c r="AG746" i="83"/>
  <c r="AF746" i="83"/>
  <c r="AE746" i="83"/>
  <c r="Y746" i="83"/>
  <c r="Z746" i="83" s="1"/>
  <c r="AP746" i="83" s="1"/>
  <c r="AQ746" i="83" s="1"/>
  <c r="BX746" i="83" s="1"/>
  <c r="CA746" i="83" s="1"/>
  <c r="Q746" i="83"/>
  <c r="C746" i="83"/>
  <c r="BC745" i="83"/>
  <c r="BB745" i="83"/>
  <c r="AY745" i="83"/>
  <c r="AX745" i="83"/>
  <c r="AW745" i="83"/>
  <c r="AQ745" i="83"/>
  <c r="BX745" i="83" s="1"/>
  <c r="CA745" i="83" s="1"/>
  <c r="AM745" i="83"/>
  <c r="AK745" i="83"/>
  <c r="AJ745" i="83"/>
  <c r="AI745" i="83"/>
  <c r="AH745" i="83"/>
  <c r="AF745" i="83"/>
  <c r="Q745" i="83"/>
  <c r="C745" i="83"/>
  <c r="BD744" i="83"/>
  <c r="BC744" i="83"/>
  <c r="BB744" i="83" s="1"/>
  <c r="AY744" i="83"/>
  <c r="AX744" i="83"/>
  <c r="AW744" i="83"/>
  <c r="AM744" i="83"/>
  <c r="AK744" i="83"/>
  <c r="AJ744" i="83"/>
  <c r="AI744" i="83"/>
  <c r="AH744" i="83"/>
  <c r="AG744" i="83"/>
  <c r="AF744" i="83"/>
  <c r="AE744" i="83"/>
  <c r="Q744" i="83"/>
  <c r="C744" i="83"/>
  <c r="BD743" i="83"/>
  <c r="BC743" i="83"/>
  <c r="BB743" i="83" s="1"/>
  <c r="AY743" i="83"/>
  <c r="AX743" i="83"/>
  <c r="AW743" i="83"/>
  <c r="AM743" i="83"/>
  <c r="AK743" i="83"/>
  <c r="AJ743" i="83"/>
  <c r="AI743" i="83"/>
  <c r="AH743" i="83"/>
  <c r="AG743" i="83"/>
  <c r="AF743" i="83"/>
  <c r="AE743" i="83"/>
  <c r="Q743" i="83"/>
  <c r="C743" i="83"/>
  <c r="BD742" i="83"/>
  <c r="BC742" i="83"/>
  <c r="BP742" i="83" s="1"/>
  <c r="AY742" i="83"/>
  <c r="AX742" i="83"/>
  <c r="AW742" i="83"/>
  <c r="AM742" i="83"/>
  <c r="AK742" i="83"/>
  <c r="AJ742" i="83"/>
  <c r="AI742" i="83"/>
  <c r="AH742" i="83"/>
  <c r="AG742" i="83"/>
  <c r="AF742" i="83"/>
  <c r="AE742" i="83"/>
  <c r="Y742" i="83"/>
  <c r="Z742" i="83" s="1"/>
  <c r="AP742" i="83" s="1"/>
  <c r="AQ742" i="83" s="1"/>
  <c r="BX742" i="83" s="1"/>
  <c r="Q742" i="83"/>
  <c r="C742" i="83"/>
  <c r="BD741" i="83"/>
  <c r="BC741" i="83"/>
  <c r="AY741" i="83"/>
  <c r="AX741" i="83"/>
  <c r="AW741" i="83"/>
  <c r="AM741" i="83"/>
  <c r="AK741" i="83"/>
  <c r="AJ741" i="83"/>
  <c r="AI741" i="83"/>
  <c r="AH741" i="83"/>
  <c r="AG741" i="83"/>
  <c r="AF741" i="83"/>
  <c r="AE741" i="83"/>
  <c r="Q741" i="83"/>
  <c r="C741" i="83"/>
  <c r="BD740" i="83"/>
  <c r="BC740" i="83"/>
  <c r="BB740" i="83" s="1"/>
  <c r="AY740" i="83"/>
  <c r="AX740" i="83"/>
  <c r="AW740" i="83"/>
  <c r="AM740" i="83"/>
  <c r="AK740" i="83"/>
  <c r="AJ740" i="83"/>
  <c r="AI740" i="83"/>
  <c r="AH740" i="83"/>
  <c r="AG740" i="83"/>
  <c r="AF740" i="83"/>
  <c r="AE740" i="83"/>
  <c r="Q740" i="83"/>
  <c r="C740" i="83"/>
  <c r="BD739" i="83"/>
  <c r="BC739" i="83"/>
  <c r="BB739" i="83" s="1"/>
  <c r="AY739" i="83"/>
  <c r="AX739" i="83"/>
  <c r="AW739" i="83"/>
  <c r="AM739" i="83"/>
  <c r="AK739" i="83"/>
  <c r="AJ739" i="83"/>
  <c r="AI739" i="83"/>
  <c r="AH739" i="83"/>
  <c r="AG739" i="83"/>
  <c r="AF739" i="83"/>
  <c r="AE739" i="83"/>
  <c r="Q739" i="83"/>
  <c r="C739" i="83"/>
  <c r="BD738" i="83"/>
  <c r="BC738" i="83"/>
  <c r="BP738" i="83" s="1"/>
  <c r="AY738" i="83"/>
  <c r="AX738" i="83"/>
  <c r="AW738" i="83"/>
  <c r="AM738" i="83"/>
  <c r="AK738" i="83"/>
  <c r="AJ738" i="83"/>
  <c r="AI738" i="83"/>
  <c r="AH738" i="83"/>
  <c r="AG738" i="83"/>
  <c r="AF738" i="83"/>
  <c r="AE738" i="83"/>
  <c r="Y738" i="83"/>
  <c r="Z738" i="83" s="1"/>
  <c r="AP738" i="83" s="1"/>
  <c r="AQ738" i="83" s="1"/>
  <c r="BX738" i="83" s="1"/>
  <c r="Q738" i="83"/>
  <c r="C738" i="83"/>
  <c r="BD737" i="83"/>
  <c r="BC737" i="83"/>
  <c r="AY737" i="83"/>
  <c r="AX737" i="83"/>
  <c r="AW737" i="83"/>
  <c r="AM737" i="83"/>
  <c r="AK737" i="83"/>
  <c r="AJ737" i="83"/>
  <c r="AI737" i="83"/>
  <c r="AH737" i="83"/>
  <c r="AG737" i="83"/>
  <c r="AF737" i="83"/>
  <c r="AE737" i="83"/>
  <c r="Y737" i="83"/>
  <c r="Z737" i="83" s="1"/>
  <c r="AP737" i="83" s="1"/>
  <c r="AQ737" i="83" s="1"/>
  <c r="BX737" i="83" s="1"/>
  <c r="CA737" i="83" s="1"/>
  <c r="Q737" i="83"/>
  <c r="C737" i="83"/>
  <c r="BD736" i="83"/>
  <c r="BC736" i="83"/>
  <c r="BP736" i="83" s="1"/>
  <c r="AY736" i="83"/>
  <c r="AX736" i="83"/>
  <c r="AW736" i="83"/>
  <c r="AM736" i="83"/>
  <c r="AK736" i="83"/>
  <c r="AJ736" i="83"/>
  <c r="AI736" i="83"/>
  <c r="AH736" i="83"/>
  <c r="AG736" i="83"/>
  <c r="AF736" i="83"/>
  <c r="AE736" i="83"/>
  <c r="Q736" i="83"/>
  <c r="C736" i="83"/>
  <c r="BD735" i="83"/>
  <c r="BC735" i="83"/>
  <c r="BB735" i="83" s="1"/>
  <c r="AY735" i="83"/>
  <c r="AX735" i="83"/>
  <c r="AW735" i="83"/>
  <c r="AM735" i="83"/>
  <c r="AK735" i="83"/>
  <c r="AJ735" i="83"/>
  <c r="AI735" i="83"/>
  <c r="AH735" i="83"/>
  <c r="AG735" i="83"/>
  <c r="AF735" i="83"/>
  <c r="AE735" i="83"/>
  <c r="Q735" i="83"/>
  <c r="C735" i="83"/>
  <c r="BD734" i="83"/>
  <c r="BC734" i="83"/>
  <c r="BP734" i="83" s="1"/>
  <c r="AY734" i="83"/>
  <c r="AX734" i="83"/>
  <c r="AW734" i="83"/>
  <c r="AK734" i="83"/>
  <c r="AJ734" i="83"/>
  <c r="AI734" i="83"/>
  <c r="AH734" i="83"/>
  <c r="AG734" i="83"/>
  <c r="AF734" i="83"/>
  <c r="AE734" i="83"/>
  <c r="Y734" i="83"/>
  <c r="Q734" i="83"/>
  <c r="C734" i="83"/>
  <c r="BD733" i="83"/>
  <c r="BC733" i="83"/>
  <c r="BP733" i="83" s="1"/>
  <c r="AY733" i="83"/>
  <c r="AX733" i="83"/>
  <c r="AW733" i="83"/>
  <c r="AM733" i="83"/>
  <c r="AK733" i="83"/>
  <c r="AJ733" i="83"/>
  <c r="AI733" i="83"/>
  <c r="AH733" i="83"/>
  <c r="AG733" i="83"/>
  <c r="AF733" i="83"/>
  <c r="AE733" i="83"/>
  <c r="Y733" i="83"/>
  <c r="Z733" i="83" s="1"/>
  <c r="AP733" i="83" s="1"/>
  <c r="AQ733" i="83" s="1"/>
  <c r="Q733" i="83"/>
  <c r="C733" i="83"/>
  <c r="BI732" i="83"/>
  <c r="BD732" i="83" s="1"/>
  <c r="BC732" i="83"/>
  <c r="BB732" i="83"/>
  <c r="AX732" i="83"/>
  <c r="AW732" i="83"/>
  <c r="AM732" i="83"/>
  <c r="BA732" i="83"/>
  <c r="AK732" i="83"/>
  <c r="AJ732" i="83"/>
  <c r="AI732" i="83"/>
  <c r="AH732" i="83"/>
  <c r="AG732" i="83"/>
  <c r="AF732" i="83"/>
  <c r="AE732" i="83"/>
  <c r="Q732" i="83"/>
  <c r="C732" i="83"/>
  <c r="BD731" i="83"/>
  <c r="BC731" i="83"/>
  <c r="BP731" i="83"/>
  <c r="AM731" i="83"/>
  <c r="AQ731" i="83"/>
  <c r="BX731" i="83" s="1"/>
  <c r="AK731" i="83"/>
  <c r="AJ731" i="83"/>
  <c r="AI731" i="83"/>
  <c r="AH731" i="83"/>
  <c r="AG731" i="83"/>
  <c r="AF731" i="83"/>
  <c r="AE731" i="83"/>
  <c r="Q731" i="83"/>
  <c r="C731" i="83"/>
  <c r="BD730" i="83"/>
  <c r="BC730" i="83"/>
  <c r="BB730" i="83"/>
  <c r="AY730" i="83"/>
  <c r="AX730" i="83"/>
  <c r="AW730" i="83"/>
  <c r="AM730" i="83"/>
  <c r="AK730" i="83"/>
  <c r="AJ730" i="83"/>
  <c r="AI730" i="83"/>
  <c r="AH730" i="83"/>
  <c r="AG730" i="83"/>
  <c r="AF730" i="83"/>
  <c r="AE730" i="83"/>
  <c r="Q730" i="83"/>
  <c r="C730" i="83"/>
  <c r="BD729" i="83"/>
  <c r="BC729" i="83"/>
  <c r="BP729" i="83"/>
  <c r="AY729" i="83"/>
  <c r="AX729" i="83"/>
  <c r="AW729" i="83"/>
  <c r="AK729" i="83"/>
  <c r="AJ729" i="83"/>
  <c r="AI729" i="83"/>
  <c r="AH729" i="83"/>
  <c r="AG729" i="83"/>
  <c r="AF729" i="83"/>
  <c r="AE729" i="83"/>
  <c r="Q729" i="83"/>
  <c r="C729" i="83"/>
  <c r="BD728" i="83"/>
  <c r="BC728" i="83"/>
  <c r="AY728" i="83"/>
  <c r="AX728" i="83"/>
  <c r="AW728" i="83"/>
  <c r="AM728" i="83"/>
  <c r="AK728" i="83"/>
  <c r="AJ728" i="83"/>
  <c r="AI728" i="83"/>
  <c r="AH728" i="83"/>
  <c r="AG728" i="83"/>
  <c r="AF728" i="83"/>
  <c r="AE728" i="83"/>
  <c r="Q728" i="83"/>
  <c r="C728" i="83"/>
  <c r="BC727" i="83"/>
  <c r="BP727" i="83"/>
  <c r="AM727" i="83"/>
  <c r="AQ727" i="83" s="1"/>
  <c r="BX727" i="83" s="1"/>
  <c r="AK727" i="83"/>
  <c r="AJ727" i="83"/>
  <c r="AI727" i="83"/>
  <c r="AH727" i="83"/>
  <c r="AG727" i="83"/>
  <c r="AF727" i="83"/>
  <c r="AE727" i="83"/>
  <c r="Q727" i="83"/>
  <c r="C727" i="83"/>
  <c r="BD726" i="83"/>
  <c r="BC726" i="83"/>
  <c r="BP726" i="83" s="1"/>
  <c r="AY726" i="83"/>
  <c r="AX726" i="83"/>
  <c r="AW726" i="83"/>
  <c r="AM726" i="83"/>
  <c r="AK726" i="83"/>
  <c r="AJ726" i="83"/>
  <c r="AI726" i="83"/>
  <c r="AH726" i="83"/>
  <c r="AG726" i="83"/>
  <c r="AF726" i="83"/>
  <c r="AE726" i="83"/>
  <c r="Q726" i="83"/>
  <c r="C726" i="83"/>
  <c r="BD725" i="83"/>
  <c r="BC725" i="83"/>
  <c r="BP725" i="83" s="1"/>
  <c r="AY725" i="83"/>
  <c r="AX725" i="83"/>
  <c r="AW725" i="83"/>
  <c r="AM725" i="83"/>
  <c r="AK725" i="83"/>
  <c r="AJ725" i="83"/>
  <c r="AI725" i="83"/>
  <c r="AH725" i="83"/>
  <c r="AG725" i="83"/>
  <c r="AF725" i="83"/>
  <c r="AE725" i="83"/>
  <c r="Q725" i="83"/>
  <c r="C725" i="83"/>
  <c r="BD724" i="83"/>
  <c r="BC724" i="83"/>
  <c r="BB724" i="83" s="1"/>
  <c r="AY724" i="83"/>
  <c r="AX724" i="83"/>
  <c r="AW724" i="83"/>
  <c r="AM724" i="83"/>
  <c r="AK724" i="83"/>
  <c r="AJ724" i="83"/>
  <c r="AI724" i="83"/>
  <c r="AH724" i="83"/>
  <c r="AG724" i="83"/>
  <c r="AF724" i="83"/>
  <c r="AE724" i="83"/>
  <c r="Q724" i="83"/>
  <c r="C724" i="83"/>
  <c r="BD723" i="83"/>
  <c r="BC723" i="83"/>
  <c r="AY723" i="83"/>
  <c r="AX723" i="83"/>
  <c r="AW723" i="83"/>
  <c r="AK723" i="83"/>
  <c r="AJ723" i="83"/>
  <c r="AI723" i="83"/>
  <c r="AH723" i="83"/>
  <c r="AG723" i="83"/>
  <c r="AF723" i="83"/>
  <c r="AE723" i="83"/>
  <c r="Q723" i="83"/>
  <c r="O723" i="83"/>
  <c r="C723" i="83"/>
  <c r="BD722" i="83"/>
  <c r="BC722" i="83"/>
  <c r="BP722" i="83"/>
  <c r="AY722" i="83"/>
  <c r="AX722" i="83"/>
  <c r="AW722" i="83"/>
  <c r="AM722" i="83"/>
  <c r="AK722" i="83"/>
  <c r="AJ722" i="83"/>
  <c r="AI722" i="83"/>
  <c r="AH722" i="83"/>
  <c r="AG722" i="83"/>
  <c r="AF722" i="83"/>
  <c r="AE722" i="83"/>
  <c r="Q722" i="83"/>
  <c r="C722" i="83"/>
  <c r="BD721" i="83"/>
  <c r="BC721" i="83"/>
  <c r="BP721" i="83"/>
  <c r="AY721" i="83"/>
  <c r="AX721" i="83"/>
  <c r="AW721" i="83"/>
  <c r="AM721" i="83"/>
  <c r="AK721" i="83"/>
  <c r="AJ721" i="83"/>
  <c r="AI721" i="83"/>
  <c r="AH721" i="83"/>
  <c r="AG721" i="83"/>
  <c r="AF721" i="83"/>
  <c r="AE721" i="83"/>
  <c r="Q721" i="83"/>
  <c r="C721" i="83"/>
  <c r="BD720" i="83"/>
  <c r="BC720" i="83"/>
  <c r="AY720" i="83"/>
  <c r="AX720" i="83"/>
  <c r="AW720" i="83"/>
  <c r="AM720" i="83"/>
  <c r="AK720" i="83"/>
  <c r="AJ720" i="83"/>
  <c r="AI720" i="83"/>
  <c r="AH720" i="83"/>
  <c r="AG720" i="83"/>
  <c r="AF720" i="83"/>
  <c r="AE720" i="83"/>
  <c r="Q720" i="83"/>
  <c r="C720" i="83"/>
  <c r="BD719" i="83"/>
  <c r="BC719" i="83"/>
  <c r="BB719" i="83" s="1"/>
  <c r="AY719" i="83"/>
  <c r="AX719" i="83"/>
  <c r="AW719" i="83"/>
  <c r="AM719" i="83"/>
  <c r="AK719" i="83"/>
  <c r="AJ719" i="83"/>
  <c r="AI719" i="83"/>
  <c r="AH719" i="83"/>
  <c r="AG719" i="83"/>
  <c r="AF719" i="83"/>
  <c r="AE719" i="83"/>
  <c r="Q719" i="83"/>
  <c r="C719" i="83"/>
  <c r="BI718" i="83"/>
  <c r="BD718" i="83"/>
  <c r="BC718" i="83"/>
  <c r="BP718" i="83"/>
  <c r="AY718" i="83"/>
  <c r="AX718" i="83"/>
  <c r="AW718" i="83"/>
  <c r="AK718" i="83"/>
  <c r="AJ718" i="83"/>
  <c r="AI718" i="83"/>
  <c r="AH718" i="83"/>
  <c r="AG718" i="83"/>
  <c r="AF718" i="83"/>
  <c r="AE718" i="83"/>
  <c r="Y718" i="83"/>
  <c r="Z718" i="83" s="1"/>
  <c r="AP718" i="83" s="1"/>
  <c r="AQ718" i="83" s="1"/>
  <c r="BX718" i="83" s="1"/>
  <c r="BZ718" i="83" s="1"/>
  <c r="Q718" i="83"/>
  <c r="C718" i="83"/>
  <c r="BI717" i="83"/>
  <c r="BD717" i="83" s="1"/>
  <c r="BC717" i="83"/>
  <c r="BB717" i="83" s="1"/>
  <c r="AX717" i="83"/>
  <c r="AW717" i="83"/>
  <c r="AM717" i="83"/>
  <c r="BA717" i="83"/>
  <c r="AK717" i="83"/>
  <c r="AJ717" i="83"/>
  <c r="AI717" i="83"/>
  <c r="AH717" i="83"/>
  <c r="AG717" i="83"/>
  <c r="AF717" i="83"/>
  <c r="AE717" i="83"/>
  <c r="Q717" i="83"/>
  <c r="C717" i="83"/>
  <c r="BD716" i="83"/>
  <c r="BC716" i="83"/>
  <c r="AY716" i="83"/>
  <c r="AX716" i="83"/>
  <c r="AW716" i="83"/>
  <c r="AM716" i="83"/>
  <c r="AK716" i="83"/>
  <c r="AJ716" i="83"/>
  <c r="AI716" i="83"/>
  <c r="AH716" i="83"/>
  <c r="AG716" i="83"/>
  <c r="AF716" i="83"/>
  <c r="AE716" i="83"/>
  <c r="Q716" i="83"/>
  <c r="C716" i="83"/>
  <c r="BI715" i="83"/>
  <c r="BD715" i="83" s="1"/>
  <c r="BC715" i="83"/>
  <c r="BB715" i="83" s="1"/>
  <c r="AX715" i="83"/>
  <c r="AW715" i="83"/>
  <c r="AM715" i="83"/>
  <c r="BA715" i="83"/>
  <c r="AK715" i="83"/>
  <c r="AJ715" i="83"/>
  <c r="AI715" i="83"/>
  <c r="AH715" i="83"/>
  <c r="AG715" i="83"/>
  <c r="AF715" i="83"/>
  <c r="AE715" i="83"/>
  <c r="Y715" i="83"/>
  <c r="Q715" i="83"/>
  <c r="C715" i="83"/>
  <c r="BD714" i="83"/>
  <c r="BC714" i="83"/>
  <c r="BP714" i="83"/>
  <c r="AY714" i="83"/>
  <c r="AX714" i="83"/>
  <c r="AW714" i="83"/>
  <c r="AK714" i="83"/>
  <c r="AJ714" i="83"/>
  <c r="AI714" i="83"/>
  <c r="AH714" i="83"/>
  <c r="AG714" i="83"/>
  <c r="AF714" i="83"/>
  <c r="AE714" i="83"/>
  <c r="Y714" i="83"/>
  <c r="Z714" i="83" s="1"/>
  <c r="AP714" i="83" s="1"/>
  <c r="AQ714" i="83" s="1"/>
  <c r="BX714" i="83" s="1"/>
  <c r="Q714" i="83"/>
  <c r="O714" i="83"/>
  <c r="C714" i="83"/>
  <c r="BD713" i="83"/>
  <c r="BC713" i="83"/>
  <c r="BP713" i="83" s="1"/>
  <c r="AY713" i="83"/>
  <c r="AX713" i="83"/>
  <c r="AW713" i="83"/>
  <c r="AM713" i="83"/>
  <c r="AK713" i="83"/>
  <c r="AJ713" i="83"/>
  <c r="AI713" i="83"/>
  <c r="AH713" i="83"/>
  <c r="AG713" i="83"/>
  <c r="AF713" i="83"/>
  <c r="AE713" i="83"/>
  <c r="Q713" i="83"/>
  <c r="C713" i="83"/>
  <c r="BD712" i="83"/>
  <c r="BC712" i="83"/>
  <c r="AY712" i="83"/>
  <c r="AX712" i="83"/>
  <c r="AW712" i="83"/>
  <c r="AM712" i="83"/>
  <c r="AK712" i="83"/>
  <c r="AJ712" i="83"/>
  <c r="AI712" i="83"/>
  <c r="AH712" i="83"/>
  <c r="AG712" i="83"/>
  <c r="AF712" i="83"/>
  <c r="AE712" i="83"/>
  <c r="Q712" i="83"/>
  <c r="C712" i="83"/>
  <c r="BD711" i="83"/>
  <c r="BC711" i="83"/>
  <c r="BB711" i="83"/>
  <c r="AY711" i="83"/>
  <c r="AX711" i="83"/>
  <c r="AW711" i="83"/>
  <c r="AM711" i="83"/>
  <c r="AK711" i="83"/>
  <c r="AJ711" i="83"/>
  <c r="AI711" i="83"/>
  <c r="AH711" i="83"/>
  <c r="AG711" i="83"/>
  <c r="AF711" i="83"/>
  <c r="AE711" i="83"/>
  <c r="Q711" i="83"/>
  <c r="C711" i="83"/>
  <c r="BI710" i="83"/>
  <c r="BD710" i="83" s="1"/>
  <c r="BC710" i="83"/>
  <c r="BB710" i="83"/>
  <c r="AX710" i="83"/>
  <c r="AW710" i="83"/>
  <c r="AK710" i="83"/>
  <c r="AJ710" i="83"/>
  <c r="AI710" i="83"/>
  <c r="AH710" i="83"/>
  <c r="AG710" i="83"/>
  <c r="AF710" i="83"/>
  <c r="AE710" i="83"/>
  <c r="Q710" i="83"/>
  <c r="C710" i="83"/>
  <c r="BD709" i="83"/>
  <c r="BC709" i="83"/>
  <c r="BB709" i="83" s="1"/>
  <c r="AY709" i="83"/>
  <c r="AX709" i="83"/>
  <c r="AW709" i="83"/>
  <c r="AM709" i="83"/>
  <c r="AK709" i="83"/>
  <c r="AJ709" i="83"/>
  <c r="AI709" i="83"/>
  <c r="AH709" i="83"/>
  <c r="AG709" i="83"/>
  <c r="AF709" i="83"/>
  <c r="AE709" i="83"/>
  <c r="Y709" i="83"/>
  <c r="Z709" i="83" s="1"/>
  <c r="AP709" i="83" s="1"/>
  <c r="AQ709" i="83" s="1"/>
  <c r="BX709" i="83" s="1"/>
  <c r="Q709" i="83"/>
  <c r="C709" i="83"/>
  <c r="BK708" i="83"/>
  <c r="BO708" i="83" s="1"/>
  <c r="BJ708" i="83"/>
  <c r="BC708" i="83"/>
  <c r="AY708" i="83"/>
  <c r="AX708" i="83"/>
  <c r="AW708" i="83"/>
  <c r="AK708" i="83"/>
  <c r="AJ708" i="83"/>
  <c r="AI708" i="83"/>
  <c r="AH708" i="83"/>
  <c r="AG708" i="83"/>
  <c r="AF708" i="83"/>
  <c r="AE708" i="83"/>
  <c r="Q708" i="83"/>
  <c r="C708" i="83"/>
  <c r="BD707" i="83"/>
  <c r="BC707" i="83"/>
  <c r="BB707" i="83"/>
  <c r="AY707" i="83"/>
  <c r="AX707" i="83"/>
  <c r="AW707" i="83"/>
  <c r="AM707" i="83"/>
  <c r="AK707" i="83"/>
  <c r="AJ707" i="83"/>
  <c r="AI707" i="83"/>
  <c r="AH707" i="83"/>
  <c r="AG707" i="83"/>
  <c r="AF707" i="83"/>
  <c r="AE707" i="83"/>
  <c r="Q707" i="83"/>
  <c r="C707" i="83"/>
  <c r="BD706" i="83"/>
  <c r="BC706" i="83"/>
  <c r="AY706" i="83"/>
  <c r="AX706" i="83"/>
  <c r="AW706" i="83"/>
  <c r="AM706" i="83"/>
  <c r="AK706" i="83"/>
  <c r="AJ706" i="83"/>
  <c r="AI706" i="83"/>
  <c r="AH706" i="83"/>
  <c r="AG706" i="83"/>
  <c r="AF706" i="83"/>
  <c r="AE706" i="83"/>
  <c r="Q706" i="83"/>
  <c r="C706" i="83"/>
  <c r="BJ705" i="83"/>
  <c r="BC705" i="83"/>
  <c r="BB705" i="83" s="1"/>
  <c r="AX705" i="83"/>
  <c r="AW705" i="83"/>
  <c r="AM705" i="83"/>
  <c r="BK705" i="83"/>
  <c r="BO705" i="83"/>
  <c r="AK705" i="83"/>
  <c r="AJ705" i="83"/>
  <c r="AI705" i="83"/>
  <c r="AH705" i="83"/>
  <c r="AG705" i="83"/>
  <c r="AF705" i="83"/>
  <c r="AE705" i="83"/>
  <c r="Y705" i="83"/>
  <c r="Z705" i="83" s="1"/>
  <c r="AP705" i="83" s="1"/>
  <c r="AQ705" i="83" s="1"/>
  <c r="BX705" i="83" s="1"/>
  <c r="Q705" i="83"/>
  <c r="C705" i="83"/>
  <c r="BD704" i="83"/>
  <c r="BC704" i="83"/>
  <c r="BP704" i="83"/>
  <c r="AY704" i="83"/>
  <c r="AX704" i="83"/>
  <c r="AW704" i="83"/>
  <c r="AM704" i="83"/>
  <c r="AK704" i="83"/>
  <c r="AJ704" i="83"/>
  <c r="AI704" i="83"/>
  <c r="AH704" i="83"/>
  <c r="AG704" i="83"/>
  <c r="AF704" i="83"/>
  <c r="AE704" i="83"/>
  <c r="Q704" i="83"/>
  <c r="C704" i="83"/>
  <c r="BI703" i="83"/>
  <c r="BD703" i="83"/>
  <c r="BC703" i="83"/>
  <c r="AX703" i="83"/>
  <c r="AW703" i="83"/>
  <c r="AM703" i="83"/>
  <c r="BA703" i="83" s="1"/>
  <c r="AK703" i="83"/>
  <c r="AJ703" i="83"/>
  <c r="AI703" i="83"/>
  <c r="AH703" i="83"/>
  <c r="AG703" i="83"/>
  <c r="AF703" i="83"/>
  <c r="AE703" i="83"/>
  <c r="Q703" i="83"/>
  <c r="C703" i="83"/>
  <c r="BD702" i="83"/>
  <c r="BC702" i="83"/>
  <c r="BP702" i="83" s="1"/>
  <c r="AY702" i="83"/>
  <c r="AX702" i="83"/>
  <c r="AW702" i="83"/>
  <c r="AM702" i="83"/>
  <c r="AK702" i="83"/>
  <c r="AJ702" i="83"/>
  <c r="AI702" i="83"/>
  <c r="AH702" i="83"/>
  <c r="AG702" i="83"/>
  <c r="AF702" i="83"/>
  <c r="AE702" i="83"/>
  <c r="Q702" i="83"/>
  <c r="C702" i="83"/>
  <c r="BD701" i="83"/>
  <c r="BC701" i="83"/>
  <c r="AY701" i="83"/>
  <c r="AX701" i="83"/>
  <c r="AW701" i="83"/>
  <c r="AM701" i="83"/>
  <c r="AK701" i="83"/>
  <c r="AJ701" i="83"/>
  <c r="AI701" i="83"/>
  <c r="AH701" i="83"/>
  <c r="AG701" i="83"/>
  <c r="AF701" i="83"/>
  <c r="AE701" i="83"/>
  <c r="Y701" i="83"/>
  <c r="Z701" i="83" s="1"/>
  <c r="AP701" i="83" s="1"/>
  <c r="AQ701" i="83" s="1"/>
  <c r="BX701" i="83" s="1"/>
  <c r="CA701" i="83" s="1"/>
  <c r="Q701" i="83"/>
  <c r="C701" i="83"/>
  <c r="BD700" i="83"/>
  <c r="BC700" i="83"/>
  <c r="BP700" i="83"/>
  <c r="AY700" i="83"/>
  <c r="AX700" i="83"/>
  <c r="AW700" i="83"/>
  <c r="AM700" i="83"/>
  <c r="AK700" i="83"/>
  <c r="AJ700" i="83"/>
  <c r="AI700" i="83"/>
  <c r="AH700" i="83"/>
  <c r="AG700" i="83"/>
  <c r="AF700" i="83"/>
  <c r="AE700" i="83"/>
  <c r="Q700" i="83"/>
  <c r="C700" i="83"/>
  <c r="BD699" i="83"/>
  <c r="BC699" i="83"/>
  <c r="BB699" i="83"/>
  <c r="AY699" i="83"/>
  <c r="AX699" i="83"/>
  <c r="AW699" i="83"/>
  <c r="AM699" i="83"/>
  <c r="AK699" i="83"/>
  <c r="AJ699" i="83"/>
  <c r="AI699" i="83"/>
  <c r="AH699" i="83"/>
  <c r="AG699" i="83"/>
  <c r="AF699" i="83"/>
  <c r="AE699" i="83"/>
  <c r="Q699" i="83"/>
  <c r="C699" i="83"/>
  <c r="BI698" i="83"/>
  <c r="BD698" i="83"/>
  <c r="BC698" i="83"/>
  <c r="BP698" i="83" s="1"/>
  <c r="AX698" i="83"/>
  <c r="AW698" i="83"/>
  <c r="AM698" i="83"/>
  <c r="BA698" i="83"/>
  <c r="AK698" i="83"/>
  <c r="AJ698" i="83"/>
  <c r="AI698" i="83"/>
  <c r="AH698" i="83"/>
  <c r="AG698" i="83"/>
  <c r="AF698" i="83"/>
  <c r="AE698" i="83"/>
  <c r="Q698" i="83"/>
  <c r="C698" i="83"/>
  <c r="BD697" i="83"/>
  <c r="BC697" i="83"/>
  <c r="BP697" i="83" s="1"/>
  <c r="AM697" i="83"/>
  <c r="AK697" i="83"/>
  <c r="AJ697" i="83"/>
  <c r="AI697" i="83"/>
  <c r="AH697" i="83"/>
  <c r="AG697" i="83"/>
  <c r="AF697" i="83"/>
  <c r="AE697" i="83"/>
  <c r="Q697" i="83"/>
  <c r="C697" i="83"/>
  <c r="BI696" i="83"/>
  <c r="BD696" i="83"/>
  <c r="BC696" i="83"/>
  <c r="BP696" i="83"/>
  <c r="AX696" i="83"/>
  <c r="AW696" i="83"/>
  <c r="AM696" i="83"/>
  <c r="AK696" i="83"/>
  <c r="AJ696" i="83"/>
  <c r="AI696" i="83"/>
  <c r="AH696" i="83"/>
  <c r="AG696" i="83"/>
  <c r="AF696" i="83"/>
  <c r="AE696" i="83"/>
  <c r="Y696" i="83"/>
  <c r="Z696" i="83" s="1"/>
  <c r="AP696" i="83" s="1"/>
  <c r="AQ696" i="83" s="1"/>
  <c r="BX696" i="83" s="1"/>
  <c r="Q696" i="83"/>
  <c r="C696" i="83"/>
  <c r="BI695" i="83"/>
  <c r="BD695" i="83" s="1"/>
  <c r="BC695" i="83"/>
  <c r="AX695" i="83"/>
  <c r="AW695" i="83"/>
  <c r="AM695" i="83"/>
  <c r="BA695" i="83"/>
  <c r="AK695" i="83"/>
  <c r="AJ695" i="83"/>
  <c r="AI695" i="83"/>
  <c r="AH695" i="83"/>
  <c r="AG695" i="83"/>
  <c r="AF695" i="83"/>
  <c r="AE695" i="83"/>
  <c r="Q695" i="83"/>
  <c r="C695" i="83"/>
  <c r="BD694" i="83"/>
  <c r="BC694" i="83"/>
  <c r="BB694" i="83"/>
  <c r="AY694" i="83"/>
  <c r="AX694" i="83"/>
  <c r="AW694" i="83"/>
  <c r="AM694" i="83"/>
  <c r="AK694" i="83"/>
  <c r="AJ694" i="83"/>
  <c r="AI694" i="83"/>
  <c r="AH694" i="83"/>
  <c r="AG694" i="83"/>
  <c r="AF694" i="83"/>
  <c r="AE694" i="83"/>
  <c r="Q694" i="83"/>
  <c r="C694" i="83"/>
  <c r="BD693" i="83"/>
  <c r="BC693" i="83"/>
  <c r="BP693" i="83"/>
  <c r="AY693" i="83"/>
  <c r="AX693" i="83"/>
  <c r="AW693" i="83"/>
  <c r="AK693" i="83"/>
  <c r="AJ693" i="83"/>
  <c r="AI693" i="83"/>
  <c r="AH693" i="83"/>
  <c r="AG693" i="83"/>
  <c r="AF693" i="83"/>
  <c r="AE693" i="83"/>
  <c r="Q693" i="83"/>
  <c r="C693" i="83"/>
  <c r="BD692" i="83"/>
  <c r="BC692" i="83"/>
  <c r="BP692" i="83" s="1"/>
  <c r="AY692" i="83"/>
  <c r="AX692" i="83"/>
  <c r="AW692" i="83"/>
  <c r="AP692" i="83"/>
  <c r="AM692" i="83"/>
  <c r="AK692" i="83"/>
  <c r="AJ692" i="83"/>
  <c r="AI692" i="83"/>
  <c r="AH692" i="83"/>
  <c r="AG692" i="83"/>
  <c r="AF692" i="83"/>
  <c r="AE692" i="83"/>
  <c r="Y692" i="83"/>
  <c r="Q692" i="83"/>
  <c r="C692" i="83"/>
  <c r="BD691" i="83"/>
  <c r="BC691" i="83"/>
  <c r="BP691" i="83"/>
  <c r="AY691" i="83"/>
  <c r="AX691" i="83"/>
  <c r="AW691" i="83"/>
  <c r="AP691" i="83"/>
  <c r="AM691" i="83"/>
  <c r="AK691" i="83"/>
  <c r="AJ691" i="83"/>
  <c r="AI691" i="83"/>
  <c r="AH691" i="83"/>
  <c r="AG691" i="83"/>
  <c r="AF691" i="83"/>
  <c r="AE691" i="83"/>
  <c r="Y691" i="83"/>
  <c r="Q691" i="83"/>
  <c r="C691" i="83"/>
  <c r="BI690" i="83"/>
  <c r="BD690" i="83" s="1"/>
  <c r="BC690" i="83"/>
  <c r="AY690" i="83"/>
  <c r="AX690" i="83"/>
  <c r="AW690" i="83"/>
  <c r="AP690" i="83"/>
  <c r="AM690" i="83"/>
  <c r="AK690" i="83"/>
  <c r="AJ690" i="83"/>
  <c r="AI690" i="83"/>
  <c r="AH690" i="83"/>
  <c r="AG690" i="83"/>
  <c r="AF690" i="83"/>
  <c r="AE690" i="83"/>
  <c r="Q690" i="83"/>
  <c r="C690" i="83"/>
  <c r="BI689" i="83"/>
  <c r="BD689" i="83"/>
  <c r="BC689" i="83"/>
  <c r="BB689" i="83" s="1"/>
  <c r="AX689" i="83"/>
  <c r="AW689" i="83"/>
  <c r="AP689" i="83"/>
  <c r="AM689" i="83"/>
  <c r="BA689" i="83" s="1"/>
  <c r="AK689" i="83"/>
  <c r="AJ689" i="83"/>
  <c r="AI689" i="83"/>
  <c r="AH689" i="83"/>
  <c r="AG689" i="83"/>
  <c r="AF689" i="83"/>
  <c r="AE689" i="83"/>
  <c r="Q689" i="83"/>
  <c r="C689" i="83"/>
  <c r="BI688" i="83"/>
  <c r="BD688" i="83" s="1"/>
  <c r="BC688" i="83"/>
  <c r="BP688" i="83" s="1"/>
  <c r="AX688" i="83"/>
  <c r="AW688" i="83"/>
  <c r="AP688" i="83"/>
  <c r="AM688" i="83"/>
  <c r="BA688" i="83"/>
  <c r="AK688" i="83"/>
  <c r="AJ688" i="83"/>
  <c r="AI688" i="83"/>
  <c r="AH688" i="83"/>
  <c r="AG688" i="83"/>
  <c r="AF688" i="83"/>
  <c r="AE688" i="83"/>
  <c r="Q688" i="83"/>
  <c r="C688" i="83"/>
  <c r="BD687" i="83"/>
  <c r="BC687" i="83"/>
  <c r="BP687" i="83"/>
  <c r="AY687" i="83"/>
  <c r="AX687" i="83"/>
  <c r="AW687" i="83"/>
  <c r="AP687" i="83"/>
  <c r="AM687" i="83"/>
  <c r="AK687" i="83"/>
  <c r="AJ687" i="83"/>
  <c r="AI687" i="83"/>
  <c r="AH687" i="83"/>
  <c r="AG687" i="83"/>
  <c r="AF687" i="83"/>
  <c r="AE687" i="83"/>
  <c r="Q687" i="83"/>
  <c r="C687" i="83"/>
  <c r="BD686" i="83"/>
  <c r="BC686" i="83"/>
  <c r="BP686" i="83"/>
  <c r="AY686" i="83"/>
  <c r="AX686" i="83"/>
  <c r="AW686" i="83"/>
  <c r="AP686" i="83"/>
  <c r="AM686" i="83"/>
  <c r="AK686" i="83"/>
  <c r="AJ686" i="83"/>
  <c r="AI686" i="83"/>
  <c r="AH686" i="83"/>
  <c r="AG686" i="83"/>
  <c r="AF686" i="83"/>
  <c r="AE686" i="83"/>
  <c r="Q686" i="83"/>
  <c r="C686" i="83"/>
  <c r="BD685" i="83"/>
  <c r="BC685" i="83"/>
  <c r="AY685" i="83"/>
  <c r="AX685" i="83"/>
  <c r="AW685" i="83"/>
  <c r="AP685" i="83"/>
  <c r="AM685" i="83"/>
  <c r="AK685" i="83"/>
  <c r="AJ685" i="83"/>
  <c r="AI685" i="83"/>
  <c r="AH685" i="83"/>
  <c r="AG685" i="83"/>
  <c r="AF685" i="83"/>
  <c r="AE685" i="83"/>
  <c r="Q685" i="83"/>
  <c r="C685" i="83"/>
  <c r="BI684" i="83"/>
  <c r="BD684" i="83" s="1"/>
  <c r="BC684" i="83"/>
  <c r="BB684" i="83"/>
  <c r="AX684" i="83"/>
  <c r="AW684" i="83"/>
  <c r="AP684" i="83"/>
  <c r="AM684" i="83"/>
  <c r="AK684" i="83"/>
  <c r="AJ684" i="83"/>
  <c r="AI684" i="83"/>
  <c r="AH684" i="83"/>
  <c r="AG684" i="83"/>
  <c r="AF684" i="83"/>
  <c r="AE684" i="83"/>
  <c r="Y684" i="83"/>
  <c r="Q684" i="83"/>
  <c r="C684" i="83"/>
  <c r="BD683" i="83"/>
  <c r="BC683" i="83"/>
  <c r="BB683" i="83"/>
  <c r="AY683" i="83"/>
  <c r="AX683" i="83"/>
  <c r="AW683" i="83"/>
  <c r="AP683" i="83"/>
  <c r="AM683" i="83"/>
  <c r="AK683" i="83"/>
  <c r="AJ683" i="83"/>
  <c r="AI683" i="83"/>
  <c r="AH683" i="83"/>
  <c r="AG683" i="83"/>
  <c r="AF683" i="83"/>
  <c r="AE683" i="83"/>
  <c r="Q683" i="83"/>
  <c r="C683" i="83"/>
  <c r="BI682" i="83"/>
  <c r="BD682" i="83"/>
  <c r="BC682" i="83"/>
  <c r="BP682" i="83"/>
  <c r="AX682" i="83"/>
  <c r="AW682" i="83"/>
  <c r="AP682" i="83"/>
  <c r="AM682" i="83"/>
  <c r="AK682" i="83"/>
  <c r="AJ682" i="83"/>
  <c r="AI682" i="83"/>
  <c r="AH682" i="83"/>
  <c r="AG682" i="83"/>
  <c r="AF682" i="83"/>
  <c r="AE682" i="83"/>
  <c r="Q682" i="83"/>
  <c r="C682" i="83"/>
  <c r="BD681" i="83"/>
  <c r="BC681" i="83"/>
  <c r="BP681" i="83"/>
  <c r="AY681" i="83"/>
  <c r="AX681" i="83"/>
  <c r="AW681" i="83"/>
  <c r="AP681" i="83"/>
  <c r="AM681" i="83"/>
  <c r="AK681" i="83"/>
  <c r="AJ681" i="83"/>
  <c r="AI681" i="83"/>
  <c r="AH681" i="83"/>
  <c r="AG681" i="83"/>
  <c r="AF681" i="83"/>
  <c r="AE681" i="83"/>
  <c r="Q681" i="83"/>
  <c r="C681" i="83"/>
  <c r="BD680" i="83"/>
  <c r="BC680" i="83"/>
  <c r="BP680" i="83" s="1"/>
  <c r="AY680" i="83"/>
  <c r="AX680" i="83"/>
  <c r="AW680" i="83"/>
  <c r="AP680" i="83"/>
  <c r="AM680" i="83"/>
  <c r="AK680" i="83"/>
  <c r="AJ680" i="83"/>
  <c r="AI680" i="83"/>
  <c r="AH680" i="83"/>
  <c r="AG680" i="83"/>
  <c r="AF680" i="83"/>
  <c r="AE680" i="83"/>
  <c r="Q680" i="83"/>
  <c r="C680" i="83"/>
  <c r="BC679" i="83"/>
  <c r="BB679" i="83" s="1"/>
  <c r="AY679" i="83"/>
  <c r="AX679" i="83"/>
  <c r="AW679" i="83"/>
  <c r="AM679" i="83"/>
  <c r="AK679" i="83"/>
  <c r="AJ679" i="83"/>
  <c r="AI679" i="83"/>
  <c r="AH679" i="83"/>
  <c r="AG679" i="83"/>
  <c r="AF679" i="83"/>
  <c r="AE679" i="83"/>
  <c r="Q679" i="83"/>
  <c r="C679" i="83"/>
  <c r="BJ678" i="83"/>
  <c r="BH678" i="83"/>
  <c r="BD678" i="83" s="1"/>
  <c r="BC678" i="83"/>
  <c r="BB678" i="83" s="1"/>
  <c r="AY678" i="83"/>
  <c r="AW678" i="83"/>
  <c r="AM678" i="83"/>
  <c r="AK678" i="83"/>
  <c r="AJ678" i="83"/>
  <c r="AI678" i="83"/>
  <c r="AH678" i="83"/>
  <c r="AG678" i="83"/>
  <c r="AF678" i="83"/>
  <c r="AE678" i="83"/>
  <c r="Q678" i="83"/>
  <c r="C678" i="83"/>
  <c r="BD677" i="83"/>
  <c r="BC677" i="83"/>
  <c r="BP677" i="83"/>
  <c r="AY677" i="83"/>
  <c r="AX677" i="83"/>
  <c r="AW677" i="83"/>
  <c r="AK677" i="83"/>
  <c r="AJ677" i="83"/>
  <c r="AI677" i="83"/>
  <c r="AH677" i="83"/>
  <c r="AG677" i="83"/>
  <c r="AF677" i="83"/>
  <c r="AE677" i="83"/>
  <c r="Q677" i="83"/>
  <c r="C677" i="83"/>
  <c r="BD676" i="83"/>
  <c r="BC676" i="83"/>
  <c r="BP676" i="83" s="1"/>
  <c r="AY676" i="83"/>
  <c r="AX676" i="83"/>
  <c r="AW676" i="83"/>
  <c r="AM676" i="83"/>
  <c r="AK676" i="83"/>
  <c r="AJ676" i="83"/>
  <c r="AI676" i="83"/>
  <c r="AH676" i="83"/>
  <c r="AG676" i="83"/>
  <c r="AF676" i="83"/>
  <c r="AE676" i="83"/>
  <c r="Q676" i="83"/>
  <c r="C676" i="83"/>
  <c r="BD675" i="83"/>
  <c r="BC675" i="83"/>
  <c r="BP675" i="83" s="1"/>
  <c r="AY675" i="83"/>
  <c r="AX675" i="83"/>
  <c r="AW675" i="83"/>
  <c r="AP675" i="83"/>
  <c r="AQ675" i="83"/>
  <c r="BX675" i="83" s="1"/>
  <c r="AK675" i="83"/>
  <c r="AJ675" i="83"/>
  <c r="AI675" i="83"/>
  <c r="AH675" i="83"/>
  <c r="AG675" i="83"/>
  <c r="AF675" i="83"/>
  <c r="AE675" i="83"/>
  <c r="Y675" i="83"/>
  <c r="Q675" i="83"/>
  <c r="O675" i="83"/>
  <c r="C675" i="83"/>
  <c r="BD674" i="83"/>
  <c r="BC674" i="83"/>
  <c r="AY674" i="83"/>
  <c r="AX674" i="83"/>
  <c r="AW674" i="83"/>
  <c r="AM674" i="83"/>
  <c r="AK674" i="83"/>
  <c r="AJ674" i="83"/>
  <c r="AI674" i="83"/>
  <c r="AH674" i="83"/>
  <c r="AG674" i="83"/>
  <c r="AF674" i="83"/>
  <c r="AE674" i="83"/>
  <c r="Q674" i="83"/>
  <c r="O674" i="83"/>
  <c r="C674" i="83"/>
  <c r="BD673" i="83"/>
  <c r="BC673" i="83"/>
  <c r="AY673" i="83"/>
  <c r="AX673" i="83"/>
  <c r="AW673" i="83"/>
  <c r="AM673" i="83"/>
  <c r="AK673" i="83"/>
  <c r="AJ673" i="83"/>
  <c r="AI673" i="83"/>
  <c r="AH673" i="83"/>
  <c r="AG673" i="83"/>
  <c r="AF673" i="83"/>
  <c r="AE673" i="83"/>
  <c r="Q673" i="83"/>
  <c r="C673" i="83"/>
  <c r="BJ672" i="83"/>
  <c r="BH672" i="83"/>
  <c r="BD672" i="83" s="1"/>
  <c r="BC672" i="83"/>
  <c r="BB672" i="83"/>
  <c r="AY672" i="83"/>
  <c r="AW672" i="83"/>
  <c r="AM672" i="83"/>
  <c r="BK672" i="83"/>
  <c r="BO672" i="83"/>
  <c r="AK672" i="83"/>
  <c r="AJ672" i="83"/>
  <c r="AI672" i="83"/>
  <c r="AH672" i="83"/>
  <c r="AG672" i="83"/>
  <c r="AF672" i="83"/>
  <c r="AE672" i="83"/>
  <c r="Y672" i="83"/>
  <c r="Z672" i="83" s="1"/>
  <c r="AP672" i="83" s="1"/>
  <c r="AQ672" i="83" s="1"/>
  <c r="BX672" i="83" s="1"/>
  <c r="Q672" i="83"/>
  <c r="C672" i="83"/>
  <c r="AY671" i="83"/>
  <c r="AX671" i="83"/>
  <c r="AW671" i="83"/>
  <c r="AM671" i="83"/>
  <c r="AK671" i="83"/>
  <c r="AJ671" i="83"/>
  <c r="AI671" i="83"/>
  <c r="AH671" i="83"/>
  <c r="AG671" i="83"/>
  <c r="AF671" i="83"/>
  <c r="AE671" i="83"/>
  <c r="Y671" i="83"/>
  <c r="Z671" i="83" s="1"/>
  <c r="AP671" i="83" s="1"/>
  <c r="AQ671" i="83" s="1"/>
  <c r="BX671" i="83" s="1"/>
  <c r="BZ671" i="83" s="1"/>
  <c r="Q671" i="83"/>
  <c r="C671" i="83"/>
  <c r="BD670" i="83"/>
  <c r="BC670" i="83"/>
  <c r="AY670" i="83"/>
  <c r="AX670" i="83"/>
  <c r="AW670" i="83"/>
  <c r="AM670" i="83"/>
  <c r="AK670" i="83"/>
  <c r="AJ670" i="83"/>
  <c r="AI670" i="83"/>
  <c r="AH670" i="83"/>
  <c r="AG670" i="83"/>
  <c r="AF670" i="83"/>
  <c r="AE670" i="83"/>
  <c r="Q670" i="83"/>
  <c r="C670" i="83"/>
  <c r="BD669" i="83"/>
  <c r="BC669" i="83"/>
  <c r="BB669" i="83"/>
  <c r="AY669" i="83"/>
  <c r="AX669" i="83"/>
  <c r="AW669" i="83"/>
  <c r="AM669" i="83"/>
  <c r="AK669" i="83"/>
  <c r="AJ669" i="83"/>
  <c r="AI669" i="83"/>
  <c r="AH669" i="83"/>
  <c r="AG669" i="83"/>
  <c r="AF669" i="83"/>
  <c r="AE669" i="83"/>
  <c r="Y669" i="83"/>
  <c r="Z669" i="83" s="1"/>
  <c r="AP669" i="83" s="1"/>
  <c r="AQ669" i="83" s="1"/>
  <c r="BX669" i="83" s="1"/>
  <c r="Q669" i="83"/>
  <c r="C669" i="83"/>
  <c r="BD668" i="83"/>
  <c r="BC668" i="83"/>
  <c r="BP668" i="83"/>
  <c r="AY668" i="83"/>
  <c r="AX668" i="83"/>
  <c r="AW668" i="83"/>
  <c r="AM668" i="83"/>
  <c r="AK668" i="83"/>
  <c r="AJ668" i="83"/>
  <c r="AI668" i="83"/>
  <c r="AH668" i="83"/>
  <c r="AG668" i="83"/>
  <c r="AF668" i="83"/>
  <c r="AE668" i="83"/>
  <c r="Q668" i="83"/>
  <c r="C668" i="83"/>
  <c r="BD667" i="83"/>
  <c r="BC667" i="83"/>
  <c r="BP667" i="83"/>
  <c r="AY667" i="83"/>
  <c r="AX667" i="83"/>
  <c r="AW667" i="83"/>
  <c r="AM667" i="83"/>
  <c r="AK667" i="83"/>
  <c r="AJ667" i="83"/>
  <c r="AI667" i="83"/>
  <c r="AH667" i="83"/>
  <c r="AG667" i="83"/>
  <c r="AF667" i="83"/>
  <c r="AE667" i="83"/>
  <c r="Q667" i="83"/>
  <c r="C667" i="83"/>
  <c r="BD666" i="83"/>
  <c r="BC666" i="83"/>
  <c r="AY666" i="83"/>
  <c r="AX666" i="83"/>
  <c r="AW666" i="83"/>
  <c r="AM666" i="83"/>
  <c r="AK666" i="83"/>
  <c r="AJ666" i="83"/>
  <c r="AI666" i="83"/>
  <c r="AH666" i="83"/>
  <c r="AG666" i="83"/>
  <c r="AF666" i="83"/>
  <c r="AE666" i="83"/>
  <c r="Y666" i="83"/>
  <c r="Z666" i="83" s="1"/>
  <c r="AP666" i="83" s="1"/>
  <c r="AQ666" i="83" s="1"/>
  <c r="BX666" i="83" s="1"/>
  <c r="Q666" i="83"/>
  <c r="C666" i="83"/>
  <c r="BD665" i="83"/>
  <c r="BC665" i="83"/>
  <c r="BB665" i="83"/>
  <c r="AY665" i="83"/>
  <c r="AX665" i="83"/>
  <c r="AW665" i="83"/>
  <c r="AM665" i="83"/>
  <c r="AK665" i="83"/>
  <c r="AJ665" i="83"/>
  <c r="AI665" i="83"/>
  <c r="AH665" i="83"/>
  <c r="AG665" i="83"/>
  <c r="AF665" i="83"/>
  <c r="AE665" i="83"/>
  <c r="Q665" i="83"/>
  <c r="C665" i="83"/>
  <c r="BD664" i="83"/>
  <c r="BC664" i="83"/>
  <c r="BP664" i="83"/>
  <c r="AY664" i="83"/>
  <c r="AX664" i="83"/>
  <c r="AW664" i="83"/>
  <c r="AM664" i="83"/>
  <c r="AK664" i="83"/>
  <c r="AJ664" i="83"/>
  <c r="AI664" i="83"/>
  <c r="AH664" i="83"/>
  <c r="AG664" i="83"/>
  <c r="AF664" i="83"/>
  <c r="AE664" i="83"/>
  <c r="Q664" i="83"/>
  <c r="C664" i="83"/>
  <c r="BJ663" i="83"/>
  <c r="BC663" i="83"/>
  <c r="AY663" i="83"/>
  <c r="AX663" i="83"/>
  <c r="AW663" i="83"/>
  <c r="AM663" i="83"/>
  <c r="BK663" i="83"/>
  <c r="BO663" i="83"/>
  <c r="AK663" i="83"/>
  <c r="AJ663" i="83"/>
  <c r="AI663" i="83"/>
  <c r="AH663" i="83"/>
  <c r="AG663" i="83"/>
  <c r="AF663" i="83"/>
  <c r="AE663" i="83"/>
  <c r="Q663" i="83"/>
  <c r="C663" i="83"/>
  <c r="BD662" i="83"/>
  <c r="BC662" i="83"/>
  <c r="AY662" i="83"/>
  <c r="AX662" i="83"/>
  <c r="AW662" i="83"/>
  <c r="AM662" i="83"/>
  <c r="AK662" i="83"/>
  <c r="AJ662" i="83"/>
  <c r="AI662" i="83"/>
  <c r="AH662" i="83"/>
  <c r="AG662" i="83"/>
  <c r="AF662" i="83"/>
  <c r="AE662" i="83"/>
  <c r="Y662" i="83"/>
  <c r="Z662" i="83" s="1"/>
  <c r="AP662" i="83" s="1"/>
  <c r="AQ662" i="83" s="1"/>
  <c r="BX662" i="83" s="1"/>
  <c r="Q662" i="83"/>
  <c r="C662" i="83"/>
  <c r="BD661" i="83"/>
  <c r="BC661" i="83"/>
  <c r="BP661" i="83" s="1"/>
  <c r="AY661" i="83"/>
  <c r="AX661" i="83"/>
  <c r="AW661" i="83"/>
  <c r="AM661" i="83"/>
  <c r="AK661" i="83"/>
  <c r="AJ661" i="83"/>
  <c r="AI661" i="83"/>
  <c r="AH661" i="83"/>
  <c r="AG661" i="83"/>
  <c r="AF661" i="83"/>
  <c r="AE661" i="83"/>
  <c r="Q661" i="83"/>
  <c r="C661" i="83"/>
  <c r="BC660" i="83"/>
  <c r="BB660" i="83"/>
  <c r="AY660" i="83"/>
  <c r="AX660" i="83"/>
  <c r="AW660" i="83"/>
  <c r="AM660" i="83"/>
  <c r="AK660" i="83"/>
  <c r="AJ660" i="83"/>
  <c r="AI660" i="83"/>
  <c r="AH660" i="83"/>
  <c r="AG660" i="83"/>
  <c r="AF660" i="83"/>
  <c r="AE660" i="83"/>
  <c r="Q660" i="83"/>
  <c r="C660" i="83"/>
  <c r="BD659" i="83"/>
  <c r="BC659" i="83"/>
  <c r="AY659" i="83"/>
  <c r="AX659" i="83"/>
  <c r="AW659" i="83"/>
  <c r="AM659" i="83"/>
  <c r="AK659" i="83"/>
  <c r="AJ659" i="83"/>
  <c r="AI659" i="83"/>
  <c r="AH659" i="83"/>
  <c r="AG659" i="83"/>
  <c r="AF659" i="83"/>
  <c r="AE659" i="83"/>
  <c r="Q659" i="83"/>
  <c r="C659" i="83"/>
  <c r="BD658" i="83"/>
  <c r="BC658" i="83"/>
  <c r="BB658" i="83"/>
  <c r="AY658" i="83"/>
  <c r="AX658" i="83"/>
  <c r="AW658" i="83"/>
  <c r="AM658" i="83"/>
  <c r="AK658" i="83"/>
  <c r="AJ658" i="83"/>
  <c r="AI658" i="83"/>
  <c r="AH658" i="83"/>
  <c r="AG658" i="83"/>
  <c r="AF658" i="83"/>
  <c r="AE658" i="83"/>
  <c r="Q658" i="83"/>
  <c r="C658" i="83"/>
  <c r="BD657" i="83"/>
  <c r="BC657" i="83"/>
  <c r="BP657" i="83"/>
  <c r="AY657" i="83"/>
  <c r="AX657" i="83"/>
  <c r="AW657" i="83"/>
  <c r="AM657" i="83"/>
  <c r="AK657" i="83"/>
  <c r="AJ657" i="83"/>
  <c r="AI657" i="83"/>
  <c r="AH657" i="83"/>
  <c r="AG657" i="83"/>
  <c r="AF657" i="83"/>
  <c r="AE657" i="83"/>
  <c r="Y657" i="83"/>
  <c r="Z657" i="83" s="1"/>
  <c r="AP657" i="83" s="1"/>
  <c r="AQ657" i="83" s="1"/>
  <c r="BX657" i="83" s="1"/>
  <c r="Q657" i="83"/>
  <c r="C657" i="83"/>
  <c r="BD656" i="83"/>
  <c r="BC656" i="83"/>
  <c r="BP656" i="83"/>
  <c r="AY656" i="83"/>
  <c r="AX656" i="83"/>
  <c r="AW656" i="83"/>
  <c r="AM656" i="83"/>
  <c r="AK656" i="83"/>
  <c r="AJ656" i="83"/>
  <c r="AI656" i="83"/>
  <c r="AH656" i="83"/>
  <c r="AG656" i="83"/>
  <c r="AF656" i="83"/>
  <c r="AE656" i="83"/>
  <c r="Q656" i="83"/>
  <c r="C656" i="83"/>
  <c r="BD655" i="83"/>
  <c r="BC655" i="83"/>
  <c r="AY655" i="83"/>
  <c r="AX655" i="83"/>
  <c r="AW655" i="83"/>
  <c r="AM655" i="83"/>
  <c r="AK655" i="83"/>
  <c r="AJ655" i="83"/>
  <c r="AI655" i="83"/>
  <c r="AH655" i="83"/>
  <c r="AG655" i="83"/>
  <c r="AF655" i="83"/>
  <c r="AE655" i="83"/>
  <c r="Q655" i="83"/>
  <c r="C655" i="83"/>
  <c r="BD654" i="83"/>
  <c r="BC654" i="83"/>
  <c r="BP654" i="83" s="1"/>
  <c r="AY654" i="83"/>
  <c r="AX654" i="83"/>
  <c r="AW654" i="83"/>
  <c r="AM654" i="83"/>
  <c r="AK654" i="83"/>
  <c r="AJ654" i="83"/>
  <c r="AI654" i="83"/>
  <c r="AH654" i="83"/>
  <c r="AG654" i="83"/>
  <c r="AF654" i="83"/>
  <c r="AE654" i="83"/>
  <c r="Q654" i="83"/>
  <c r="C654" i="83"/>
  <c r="BJ653" i="83"/>
  <c r="BH653" i="83"/>
  <c r="BD653" i="83" s="1"/>
  <c r="BC653" i="83"/>
  <c r="AY653" i="83"/>
  <c r="AW653" i="83"/>
  <c r="AM653" i="83"/>
  <c r="BK653" i="83"/>
  <c r="BO653" i="83"/>
  <c r="AK653" i="83"/>
  <c r="AJ653" i="83"/>
  <c r="AI653" i="83"/>
  <c r="AH653" i="83"/>
  <c r="AG653" i="83"/>
  <c r="AF653" i="83"/>
  <c r="AE653" i="83"/>
  <c r="Y653" i="83"/>
  <c r="Z653" i="83" s="1"/>
  <c r="AP653" i="83" s="1"/>
  <c r="AQ653" i="83" s="1"/>
  <c r="BX653" i="83" s="1"/>
  <c r="Q653" i="83"/>
  <c r="C653" i="83"/>
  <c r="BD652" i="83"/>
  <c r="BC652" i="83"/>
  <c r="BB652" i="83"/>
  <c r="AY652" i="83"/>
  <c r="AX652" i="83"/>
  <c r="AW652" i="83"/>
  <c r="AM652" i="83"/>
  <c r="AK652" i="83"/>
  <c r="AJ652" i="83"/>
  <c r="AI652" i="83"/>
  <c r="AH652" i="83"/>
  <c r="AG652" i="83"/>
  <c r="AF652" i="83"/>
  <c r="AE652" i="83"/>
  <c r="Y652" i="83"/>
  <c r="Z652" i="83" s="1"/>
  <c r="AP652" i="83" s="1"/>
  <c r="AQ652" i="83" s="1"/>
  <c r="BX652" i="83" s="1"/>
  <c r="Q652" i="83"/>
  <c r="C652" i="83"/>
  <c r="BC651" i="83"/>
  <c r="BB651" i="83"/>
  <c r="AM651" i="83"/>
  <c r="AK651" i="83"/>
  <c r="AJ651" i="83"/>
  <c r="AI651" i="83"/>
  <c r="AH651" i="83"/>
  <c r="AG651" i="83"/>
  <c r="AF651" i="83"/>
  <c r="AE651" i="83"/>
  <c r="Q651" i="83"/>
  <c r="C651" i="83"/>
  <c r="BC650" i="83"/>
  <c r="BB650" i="83" s="1"/>
  <c r="AM650" i="83"/>
  <c r="AK650" i="83"/>
  <c r="AJ650" i="83"/>
  <c r="AI650" i="83"/>
  <c r="AH650" i="83"/>
  <c r="AG650" i="83"/>
  <c r="AF650" i="83"/>
  <c r="AE650" i="83"/>
  <c r="Q650" i="83"/>
  <c r="C650" i="83"/>
  <c r="BJ649" i="83"/>
  <c r="BG649" i="83"/>
  <c r="BD649" i="83"/>
  <c r="BC649" i="83"/>
  <c r="BB649" i="83"/>
  <c r="AY649" i="83"/>
  <c r="AX649" i="83"/>
  <c r="AM649" i="83"/>
  <c r="BK649" i="83" s="1"/>
  <c r="BO649" i="83" s="1"/>
  <c r="AK649" i="83"/>
  <c r="AJ649" i="83"/>
  <c r="AI649" i="83"/>
  <c r="AH649" i="83"/>
  <c r="AG649" i="83"/>
  <c r="AF649" i="83"/>
  <c r="AE649" i="83"/>
  <c r="Q649" i="83"/>
  <c r="C649" i="83"/>
  <c r="BD648" i="83"/>
  <c r="BC648" i="83"/>
  <c r="BP648" i="83" s="1"/>
  <c r="AY648" i="83"/>
  <c r="AX648" i="83"/>
  <c r="AW648" i="83"/>
  <c r="AM648" i="83"/>
  <c r="AK648" i="83"/>
  <c r="AJ648" i="83"/>
  <c r="AI648" i="83"/>
  <c r="AH648" i="83"/>
  <c r="AG648" i="83"/>
  <c r="AF648" i="83"/>
  <c r="AE648" i="83"/>
  <c r="Y648" i="83"/>
  <c r="Q648" i="83"/>
  <c r="C648" i="83"/>
  <c r="BJ647" i="83"/>
  <c r="BG647" i="83"/>
  <c r="BD647" i="83" s="1"/>
  <c r="BC647" i="83"/>
  <c r="BB647" i="83" s="1"/>
  <c r="AY647" i="83"/>
  <c r="AX647" i="83"/>
  <c r="AM647" i="83"/>
  <c r="BK647" i="83"/>
  <c r="BO647" i="83" s="1"/>
  <c r="AK647" i="83"/>
  <c r="AJ647" i="83"/>
  <c r="AI647" i="83"/>
  <c r="AH647" i="83"/>
  <c r="AG647" i="83"/>
  <c r="AF647" i="83"/>
  <c r="AE647" i="83"/>
  <c r="Q647" i="83"/>
  <c r="C647" i="83"/>
  <c r="BC646" i="83"/>
  <c r="AM646" i="83"/>
  <c r="AK646" i="83"/>
  <c r="AJ646" i="83"/>
  <c r="AI646" i="83"/>
  <c r="AH646" i="83"/>
  <c r="AG646" i="83"/>
  <c r="AF646" i="83"/>
  <c r="AE646" i="83"/>
  <c r="Q646" i="83"/>
  <c r="C646" i="83"/>
  <c r="BJ645" i="83"/>
  <c r="BG645" i="83"/>
  <c r="BD645" i="83"/>
  <c r="BC645" i="83"/>
  <c r="BB645" i="83" s="1"/>
  <c r="AY645" i="83"/>
  <c r="AX645" i="83"/>
  <c r="AM645" i="83"/>
  <c r="BK645" i="83"/>
  <c r="BO645" i="83"/>
  <c r="AK645" i="83"/>
  <c r="AJ645" i="83"/>
  <c r="AI645" i="83"/>
  <c r="AH645" i="83"/>
  <c r="AG645" i="83"/>
  <c r="AF645" i="83"/>
  <c r="AE645" i="83"/>
  <c r="Y645" i="83"/>
  <c r="Z645" i="83" s="1"/>
  <c r="AP645" i="83" s="1"/>
  <c r="AQ645" i="83" s="1"/>
  <c r="BX645" i="83" s="1"/>
  <c r="CA645" i="83" s="1"/>
  <c r="Q645" i="83"/>
  <c r="C645" i="83"/>
  <c r="BJ644" i="83"/>
  <c r="BC644" i="83"/>
  <c r="BB644" i="83" s="1"/>
  <c r="AY644" i="83"/>
  <c r="AX644" i="83"/>
  <c r="AW644" i="83"/>
  <c r="AM644" i="83"/>
  <c r="BK644" i="83" s="1"/>
  <c r="BO644" i="83" s="1"/>
  <c r="AK644" i="83"/>
  <c r="AJ644" i="83"/>
  <c r="AI644" i="83"/>
  <c r="AH644" i="83"/>
  <c r="AG644" i="83"/>
  <c r="AF644" i="83"/>
  <c r="AE644" i="83"/>
  <c r="Q644" i="83"/>
  <c r="C644" i="83"/>
  <c r="BD643" i="83"/>
  <c r="BC643" i="83"/>
  <c r="BB643" i="83"/>
  <c r="AY643" i="83"/>
  <c r="AX643" i="83"/>
  <c r="AW643" i="83"/>
  <c r="AM643" i="83"/>
  <c r="AK643" i="83"/>
  <c r="AJ643" i="83"/>
  <c r="AI643" i="83"/>
  <c r="AH643" i="83"/>
  <c r="AG643" i="83"/>
  <c r="AF643" i="83"/>
  <c r="AE643" i="83"/>
  <c r="Q643" i="83"/>
  <c r="C643" i="83"/>
  <c r="BD642" i="83"/>
  <c r="BC642" i="83"/>
  <c r="BP642" i="83"/>
  <c r="AY642" i="83"/>
  <c r="AX642" i="83"/>
  <c r="AW642" i="83"/>
  <c r="AM642" i="83"/>
  <c r="AK642" i="83"/>
  <c r="AJ642" i="83"/>
  <c r="AI642" i="83"/>
  <c r="AH642" i="83"/>
  <c r="AG642" i="83"/>
  <c r="AF642" i="83"/>
  <c r="AE642" i="83"/>
  <c r="Y642" i="83"/>
  <c r="Z642" i="83" s="1"/>
  <c r="AP642" i="83" s="1"/>
  <c r="AQ642" i="83" s="1"/>
  <c r="BX642" i="83" s="1"/>
  <c r="Q642" i="83"/>
  <c r="C642" i="83"/>
  <c r="BD641" i="83"/>
  <c r="BC641" i="83"/>
  <c r="AY641" i="83"/>
  <c r="AX641" i="83"/>
  <c r="AW641" i="83"/>
  <c r="AM641" i="83"/>
  <c r="AK641" i="83"/>
  <c r="AJ641" i="83"/>
  <c r="AI641" i="83"/>
  <c r="AH641" i="83"/>
  <c r="AG641" i="83"/>
  <c r="AF641" i="83"/>
  <c r="AE641" i="83"/>
  <c r="Y641" i="83"/>
  <c r="Z641" i="83" s="1"/>
  <c r="AP641" i="83" s="1"/>
  <c r="AQ641" i="83" s="1"/>
  <c r="BX641" i="83" s="1"/>
  <c r="Q641" i="83"/>
  <c r="C641" i="83"/>
  <c r="BC640" i="83"/>
  <c r="BP640" i="83"/>
  <c r="AY640" i="83"/>
  <c r="AX640" i="83"/>
  <c r="AW640" i="83"/>
  <c r="AM640" i="83"/>
  <c r="AK640" i="83"/>
  <c r="AJ640" i="83"/>
  <c r="AI640" i="83"/>
  <c r="AH640" i="83"/>
  <c r="AG640" i="83"/>
  <c r="AF640" i="83"/>
  <c r="AE640" i="83"/>
  <c r="Q640" i="83"/>
  <c r="C640" i="83"/>
  <c r="BD639" i="83"/>
  <c r="BC639" i="83"/>
  <c r="BB639" i="83"/>
  <c r="AY639" i="83"/>
  <c r="AX639" i="83"/>
  <c r="AW639" i="83"/>
  <c r="AM639" i="83"/>
  <c r="AK639" i="83"/>
  <c r="AJ639" i="83"/>
  <c r="AI639" i="83"/>
  <c r="AH639" i="83"/>
  <c r="AG639" i="83"/>
  <c r="AF639" i="83"/>
  <c r="AE639" i="83"/>
  <c r="Q639" i="83"/>
  <c r="C639" i="83"/>
  <c r="BC638" i="83"/>
  <c r="BB638" i="83"/>
  <c r="AM638" i="83"/>
  <c r="AK638" i="83"/>
  <c r="AJ638" i="83"/>
  <c r="AI638" i="83"/>
  <c r="AH638" i="83"/>
  <c r="AG638" i="83"/>
  <c r="AF638" i="83"/>
  <c r="AE638" i="83"/>
  <c r="Q638" i="83"/>
  <c r="C638" i="83"/>
  <c r="BJ637" i="83"/>
  <c r="BD637" i="83"/>
  <c r="BC637" i="83"/>
  <c r="BB637" i="83"/>
  <c r="AM637" i="83"/>
  <c r="AQ637" i="83" s="1"/>
  <c r="AK637" i="83"/>
  <c r="AJ637" i="83"/>
  <c r="AI637" i="83"/>
  <c r="AH637" i="83"/>
  <c r="AG637" i="83"/>
  <c r="AF637" i="83"/>
  <c r="AE637" i="83"/>
  <c r="Q637" i="83"/>
  <c r="C637" i="83"/>
  <c r="BD636" i="83"/>
  <c r="BC636" i="83"/>
  <c r="BB636" i="83" s="1"/>
  <c r="AY636" i="83"/>
  <c r="AX636" i="83"/>
  <c r="AW636" i="83"/>
  <c r="AM636" i="83"/>
  <c r="AK636" i="83"/>
  <c r="AJ636" i="83"/>
  <c r="AI636" i="83"/>
  <c r="AH636" i="83"/>
  <c r="AG636" i="83"/>
  <c r="AF636" i="83"/>
  <c r="AE636" i="83"/>
  <c r="Q636" i="83"/>
  <c r="C636" i="83"/>
  <c r="BD635" i="83"/>
  <c r="BC635" i="83"/>
  <c r="BB635" i="83" s="1"/>
  <c r="AY635" i="83"/>
  <c r="AX635" i="83"/>
  <c r="AW635" i="83"/>
  <c r="AM635" i="83"/>
  <c r="AK635" i="83"/>
  <c r="AJ635" i="83"/>
  <c r="AI635" i="83"/>
  <c r="AH635" i="83"/>
  <c r="AG635" i="83"/>
  <c r="AF635" i="83"/>
  <c r="AE635" i="83"/>
  <c r="Y635" i="83"/>
  <c r="Z635" i="83" s="1"/>
  <c r="AP635" i="83" s="1"/>
  <c r="AQ635" i="83" s="1"/>
  <c r="BX635" i="83" s="1"/>
  <c r="CA635" i="83" s="1"/>
  <c r="Q635" i="83"/>
  <c r="C635" i="83"/>
  <c r="BD634" i="83"/>
  <c r="BC634" i="83"/>
  <c r="AY634" i="83"/>
  <c r="AX634" i="83"/>
  <c r="AW634" i="83"/>
  <c r="AM634" i="83"/>
  <c r="AK634" i="83"/>
  <c r="AJ634" i="83"/>
  <c r="AI634" i="83"/>
  <c r="AH634" i="83"/>
  <c r="AG634" i="83"/>
  <c r="AF634" i="83"/>
  <c r="AE634" i="83"/>
  <c r="Q634" i="83"/>
  <c r="C634" i="83"/>
  <c r="BJ633" i="83"/>
  <c r="BC633" i="83"/>
  <c r="BB633" i="83" s="1"/>
  <c r="AY633" i="83"/>
  <c r="AX633" i="83"/>
  <c r="AW633" i="83"/>
  <c r="AM633" i="83"/>
  <c r="BK633" i="83" s="1"/>
  <c r="BO633" i="83" s="1"/>
  <c r="AK633" i="83"/>
  <c r="AJ633" i="83"/>
  <c r="AI633" i="83"/>
  <c r="AH633" i="83"/>
  <c r="AG633" i="83"/>
  <c r="AF633" i="83"/>
  <c r="AE633" i="83"/>
  <c r="Q633" i="83"/>
  <c r="C633" i="83"/>
  <c r="BD632" i="83"/>
  <c r="BC632" i="83"/>
  <c r="BB632" i="83"/>
  <c r="AY632" i="83"/>
  <c r="AX632" i="83"/>
  <c r="AW632" i="83"/>
  <c r="AM632" i="83"/>
  <c r="AK632" i="83"/>
  <c r="AJ632" i="83"/>
  <c r="AI632" i="83"/>
  <c r="AH632" i="83"/>
  <c r="AG632" i="83"/>
  <c r="AF632" i="83"/>
  <c r="AE632" i="83"/>
  <c r="Y632" i="83"/>
  <c r="Z632" i="83" s="1"/>
  <c r="AP632" i="83" s="1"/>
  <c r="AQ632" i="83" s="1"/>
  <c r="BX632" i="83" s="1"/>
  <c r="Q632" i="83"/>
  <c r="C632" i="83"/>
  <c r="BJ631" i="83"/>
  <c r="BC631" i="83"/>
  <c r="BB631" i="83" s="1"/>
  <c r="AY631" i="83"/>
  <c r="AX631" i="83"/>
  <c r="AW631" i="83"/>
  <c r="AM631" i="83"/>
  <c r="BK631" i="83" s="1"/>
  <c r="BO631" i="83" s="1"/>
  <c r="BP631" i="83" s="1"/>
  <c r="AK631" i="83"/>
  <c r="AJ631" i="83"/>
  <c r="AI631" i="83"/>
  <c r="AH631" i="83"/>
  <c r="AG631" i="83"/>
  <c r="AF631" i="83"/>
  <c r="AE631" i="83"/>
  <c r="Q631" i="83"/>
  <c r="C631" i="83"/>
  <c r="BJ630" i="83"/>
  <c r="BG630" i="83"/>
  <c r="BD630" i="83" s="1"/>
  <c r="BC630" i="83"/>
  <c r="BB630" i="83" s="1"/>
  <c r="AY630" i="83"/>
  <c r="AX630" i="83"/>
  <c r="AM630" i="83"/>
  <c r="BK630" i="83"/>
  <c r="BO630" i="83"/>
  <c r="AK630" i="83"/>
  <c r="AJ630" i="83"/>
  <c r="AI630" i="83"/>
  <c r="AH630" i="83"/>
  <c r="AG630" i="83"/>
  <c r="AF630" i="83"/>
  <c r="AE630" i="83"/>
  <c r="Y630" i="83"/>
  <c r="Z630" i="83" s="1"/>
  <c r="AP630" i="83" s="1"/>
  <c r="AQ630" i="83" s="1"/>
  <c r="BX630" i="83" s="1"/>
  <c r="Q630" i="83"/>
  <c r="C630" i="83"/>
  <c r="BG629" i="83"/>
  <c r="BD629" i="83" s="1"/>
  <c r="BC629" i="83"/>
  <c r="BB629" i="83"/>
  <c r="AM629" i="83"/>
  <c r="AK629" i="83"/>
  <c r="AJ629" i="83"/>
  <c r="AI629" i="83"/>
  <c r="AH629" i="83"/>
  <c r="AG629" i="83"/>
  <c r="AF629" i="83"/>
  <c r="AE629" i="83"/>
  <c r="Y629" i="83"/>
  <c r="Z629" i="83" s="1"/>
  <c r="AP629" i="83" s="1"/>
  <c r="AQ629" i="83" s="1"/>
  <c r="BX629" i="83" s="1"/>
  <c r="Q629" i="83"/>
  <c r="C629" i="83"/>
  <c r="BJ628" i="83"/>
  <c r="BG628" i="83"/>
  <c r="BD628" i="83" s="1"/>
  <c r="BC628" i="83"/>
  <c r="BB628" i="83"/>
  <c r="AY628" i="83"/>
  <c r="AX628" i="83"/>
  <c r="AM628" i="83"/>
  <c r="BK628" i="83"/>
  <c r="BO628" i="83"/>
  <c r="AK628" i="83"/>
  <c r="AJ628" i="83"/>
  <c r="AI628" i="83"/>
  <c r="AH628" i="83"/>
  <c r="AG628" i="83"/>
  <c r="AF628" i="83"/>
  <c r="AE628" i="83"/>
  <c r="Q628" i="83"/>
  <c r="C628" i="83"/>
  <c r="BD627" i="83"/>
  <c r="BC627" i="83"/>
  <c r="BB627" i="83"/>
  <c r="AY627" i="83"/>
  <c r="AX627" i="83"/>
  <c r="AW627" i="83"/>
  <c r="AM627" i="83"/>
  <c r="AK627" i="83"/>
  <c r="AJ627" i="83"/>
  <c r="AI627" i="83"/>
  <c r="AH627" i="83"/>
  <c r="AG627" i="83"/>
  <c r="AF627" i="83"/>
  <c r="AE627" i="83"/>
  <c r="Y627" i="83"/>
  <c r="Z627" i="83" s="1"/>
  <c r="AP627" i="83" s="1"/>
  <c r="AQ627" i="83" s="1"/>
  <c r="BX627" i="83" s="1"/>
  <c r="CA627" i="83" s="1"/>
  <c r="Q627" i="83"/>
  <c r="C627" i="83"/>
  <c r="BD626" i="83"/>
  <c r="BC626" i="83"/>
  <c r="BP626" i="83"/>
  <c r="AY626" i="83"/>
  <c r="AX626" i="83"/>
  <c r="AW626" i="83"/>
  <c r="AM626" i="83"/>
  <c r="AK626" i="83"/>
  <c r="AJ626" i="83"/>
  <c r="AI626" i="83"/>
  <c r="AH626" i="83"/>
  <c r="AG626" i="83"/>
  <c r="AF626" i="83"/>
  <c r="AE626" i="83"/>
  <c r="Q626" i="83"/>
  <c r="C626" i="83"/>
  <c r="BD625" i="83"/>
  <c r="BC625" i="83"/>
  <c r="BP625" i="83"/>
  <c r="AY625" i="83"/>
  <c r="AX625" i="83"/>
  <c r="AW625" i="83"/>
  <c r="AM625" i="83"/>
  <c r="AK625" i="83"/>
  <c r="AJ625" i="83"/>
  <c r="AI625" i="83"/>
  <c r="AH625" i="83"/>
  <c r="AG625" i="83"/>
  <c r="AF625" i="83"/>
  <c r="AE625" i="83"/>
  <c r="Q625" i="83"/>
  <c r="C625" i="83"/>
  <c r="BD624" i="83"/>
  <c r="BC624" i="83"/>
  <c r="BB624" i="83"/>
  <c r="AM624" i="83"/>
  <c r="AK624" i="83"/>
  <c r="AJ624" i="83"/>
  <c r="AI624" i="83"/>
  <c r="AH624" i="83"/>
  <c r="AG624" i="83"/>
  <c r="AF624" i="83"/>
  <c r="AE624" i="83"/>
  <c r="Q624" i="83"/>
  <c r="C624" i="83"/>
  <c r="BD623" i="83"/>
  <c r="BC623" i="83"/>
  <c r="AY623" i="83"/>
  <c r="AX623" i="83"/>
  <c r="AW623" i="83"/>
  <c r="AM623" i="83"/>
  <c r="AK623" i="83"/>
  <c r="AJ623" i="83"/>
  <c r="AI623" i="83"/>
  <c r="AH623" i="83"/>
  <c r="AG623" i="83"/>
  <c r="AF623" i="83"/>
  <c r="AE623" i="83"/>
  <c r="Y623" i="83"/>
  <c r="Z623" i="83" s="1"/>
  <c r="AP623" i="83" s="1"/>
  <c r="AQ623" i="83" s="1"/>
  <c r="BX623" i="83" s="1"/>
  <c r="Q623" i="83"/>
  <c r="C623" i="83"/>
  <c r="BD622" i="83"/>
  <c r="BC622" i="83"/>
  <c r="BP622" i="83" s="1"/>
  <c r="AY622" i="83"/>
  <c r="AX622" i="83"/>
  <c r="AW622" i="83"/>
  <c r="AM622" i="83"/>
  <c r="AK622" i="83"/>
  <c r="AJ622" i="83"/>
  <c r="AI622" i="83"/>
  <c r="AH622" i="83"/>
  <c r="AG622" i="83"/>
  <c r="AF622" i="83"/>
  <c r="AE622" i="83"/>
  <c r="Y622" i="83"/>
  <c r="Z622" i="83" s="1"/>
  <c r="AP622" i="83" s="1"/>
  <c r="AQ622" i="83" s="1"/>
  <c r="BX622" i="83" s="1"/>
  <c r="CA622" i="83" s="1"/>
  <c r="Q622" i="83"/>
  <c r="C622" i="83"/>
  <c r="BJ621" i="83"/>
  <c r="BH621" i="83"/>
  <c r="BD621" i="83"/>
  <c r="BC621" i="83"/>
  <c r="AY621" i="83"/>
  <c r="AW621" i="83"/>
  <c r="AM621" i="83"/>
  <c r="BK621" i="83"/>
  <c r="BO621" i="83" s="1"/>
  <c r="AK621" i="83"/>
  <c r="AJ621" i="83"/>
  <c r="AI621" i="83"/>
  <c r="AH621" i="83"/>
  <c r="AG621" i="83"/>
  <c r="AF621" i="83"/>
  <c r="AE621" i="83"/>
  <c r="Q621" i="83"/>
  <c r="C621" i="83"/>
  <c r="BD620" i="83"/>
  <c r="BC620" i="83"/>
  <c r="BB620" i="83"/>
  <c r="AY620" i="83"/>
  <c r="AX620" i="83"/>
  <c r="AW620" i="83"/>
  <c r="AM620" i="83"/>
  <c r="AK620" i="83"/>
  <c r="AJ620" i="83"/>
  <c r="AI620" i="83"/>
  <c r="AH620" i="83"/>
  <c r="AG620" i="83"/>
  <c r="AF620" i="83"/>
  <c r="AE620" i="83"/>
  <c r="Q620" i="83"/>
  <c r="C620" i="83"/>
  <c r="BD619" i="83"/>
  <c r="BC619" i="83"/>
  <c r="BB619" i="83"/>
  <c r="AY619" i="83"/>
  <c r="AX619" i="83"/>
  <c r="AW619" i="83"/>
  <c r="AM619" i="83"/>
  <c r="AK619" i="83"/>
  <c r="AJ619" i="83"/>
  <c r="AI619" i="83"/>
  <c r="AH619" i="83"/>
  <c r="AG619" i="83"/>
  <c r="AF619" i="83"/>
  <c r="AE619" i="83"/>
  <c r="Q619" i="83"/>
  <c r="C619" i="83"/>
  <c r="BD618" i="83"/>
  <c r="BC618" i="83"/>
  <c r="AY618" i="83"/>
  <c r="AX618" i="83"/>
  <c r="AW618" i="83"/>
  <c r="AM618" i="83"/>
  <c r="AK618" i="83"/>
  <c r="AJ618" i="83"/>
  <c r="AI618" i="83"/>
  <c r="AH618" i="83"/>
  <c r="AG618" i="83"/>
  <c r="AF618" i="83"/>
  <c r="AE618" i="83"/>
  <c r="Q618" i="83"/>
  <c r="O618" i="83"/>
  <c r="C618" i="83"/>
  <c r="BJ617" i="83"/>
  <c r="BH617" i="83"/>
  <c r="BD617" i="83"/>
  <c r="BC617" i="83"/>
  <c r="BB617" i="83"/>
  <c r="AY617" i="83"/>
  <c r="AW617" i="83"/>
  <c r="AM617" i="83"/>
  <c r="BK617" i="83"/>
  <c r="BO617" i="83" s="1"/>
  <c r="BP617" i="83" s="1"/>
  <c r="AK617" i="83"/>
  <c r="AJ617" i="83"/>
  <c r="AI617" i="83"/>
  <c r="AH617" i="83"/>
  <c r="AG617" i="83"/>
  <c r="AF617" i="83"/>
  <c r="AE617" i="83"/>
  <c r="Q617" i="83"/>
  <c r="C617" i="83"/>
  <c r="BD616" i="83"/>
  <c r="BC616" i="83"/>
  <c r="AY616" i="83"/>
  <c r="AX616" i="83"/>
  <c r="AW616" i="83"/>
  <c r="AM616" i="83"/>
  <c r="AK616" i="83"/>
  <c r="AJ616" i="83"/>
  <c r="AI616" i="83"/>
  <c r="AH616" i="83"/>
  <c r="AG616" i="83"/>
  <c r="AF616" i="83"/>
  <c r="AE616" i="83"/>
  <c r="Q616" i="83"/>
  <c r="C616" i="83"/>
  <c r="BD615" i="83"/>
  <c r="BC615" i="83"/>
  <c r="BP615" i="83"/>
  <c r="AY615" i="83"/>
  <c r="AX615" i="83"/>
  <c r="AW615" i="83"/>
  <c r="AM615" i="83"/>
  <c r="AK615" i="83"/>
  <c r="AJ615" i="83"/>
  <c r="AI615" i="83"/>
  <c r="AH615" i="83"/>
  <c r="AG615" i="83"/>
  <c r="AF615" i="83"/>
  <c r="AE615" i="83"/>
  <c r="Q615" i="83"/>
  <c r="C615" i="83"/>
  <c r="BD614" i="83"/>
  <c r="BC614" i="83"/>
  <c r="BB614" i="83"/>
  <c r="AY614" i="83"/>
  <c r="AX614" i="83"/>
  <c r="AW614" i="83"/>
  <c r="AM614" i="83"/>
  <c r="AK614" i="83"/>
  <c r="AJ614" i="83"/>
  <c r="AI614" i="83"/>
  <c r="AH614" i="83"/>
  <c r="AG614" i="83"/>
  <c r="AF614" i="83"/>
  <c r="AE614" i="83"/>
  <c r="Q614" i="83"/>
  <c r="C614" i="83"/>
  <c r="BD613" i="83"/>
  <c r="BC613" i="83"/>
  <c r="BB613" i="83"/>
  <c r="AY613" i="83"/>
  <c r="AX613" i="83"/>
  <c r="AW613" i="83"/>
  <c r="AM613" i="83"/>
  <c r="AK613" i="83"/>
  <c r="AJ613" i="83"/>
  <c r="AI613" i="83"/>
  <c r="AH613" i="83"/>
  <c r="AG613" i="83"/>
  <c r="AF613" i="83"/>
  <c r="AE613" i="83"/>
  <c r="Q613" i="83"/>
  <c r="C613" i="83"/>
  <c r="BD612" i="83"/>
  <c r="BC612" i="83"/>
  <c r="BP612" i="83"/>
  <c r="AY612" i="83"/>
  <c r="AX612" i="83"/>
  <c r="AW612" i="83"/>
  <c r="AM612" i="83"/>
  <c r="AK612" i="83"/>
  <c r="AJ612" i="83"/>
  <c r="AI612" i="83"/>
  <c r="AH612" i="83"/>
  <c r="AG612" i="83"/>
  <c r="AF612" i="83"/>
  <c r="AE612" i="83"/>
  <c r="Y612" i="83"/>
  <c r="Q612" i="83"/>
  <c r="C612" i="83"/>
  <c r="BJ611" i="83"/>
  <c r="BH611" i="83"/>
  <c r="BD611" i="83"/>
  <c r="BC611" i="83"/>
  <c r="BB611" i="83" s="1"/>
  <c r="AY611" i="83"/>
  <c r="AW611" i="83"/>
  <c r="AM611" i="83"/>
  <c r="BK611" i="83" s="1"/>
  <c r="BO611" i="83" s="1"/>
  <c r="BP611" i="83" s="1"/>
  <c r="AK611" i="83"/>
  <c r="AJ611" i="83"/>
  <c r="AI611" i="83"/>
  <c r="AH611" i="83"/>
  <c r="AG611" i="83"/>
  <c r="AF611" i="83"/>
  <c r="AE611" i="83"/>
  <c r="Q611" i="83"/>
  <c r="C611" i="83"/>
  <c r="BJ610" i="83"/>
  <c r="BH610" i="83"/>
  <c r="BD610" i="83"/>
  <c r="BC610" i="83"/>
  <c r="AY610" i="83"/>
  <c r="AW610" i="83"/>
  <c r="AM610" i="83"/>
  <c r="AK610" i="83"/>
  <c r="AJ610" i="83"/>
  <c r="AI610" i="83"/>
  <c r="AH610" i="83"/>
  <c r="AG610" i="83"/>
  <c r="AF610" i="83"/>
  <c r="AE610" i="83"/>
  <c r="Q610" i="83"/>
  <c r="C610" i="83"/>
  <c r="BD609" i="83"/>
  <c r="BC609" i="83"/>
  <c r="BP609" i="83"/>
  <c r="AY609" i="83"/>
  <c r="AX609" i="83"/>
  <c r="AW609" i="83"/>
  <c r="AM609" i="83"/>
  <c r="AK609" i="83"/>
  <c r="AJ609" i="83"/>
  <c r="AI609" i="83"/>
  <c r="AH609" i="83"/>
  <c r="AG609" i="83"/>
  <c r="AF609" i="83"/>
  <c r="AE609" i="83"/>
  <c r="Q609" i="83"/>
  <c r="C609" i="83"/>
  <c r="BC608" i="83"/>
  <c r="BP608" i="83" s="1"/>
  <c r="AY608" i="83"/>
  <c r="AX608" i="83"/>
  <c r="AW608" i="83"/>
  <c r="AM608" i="83"/>
  <c r="AK608" i="83"/>
  <c r="AJ608" i="83"/>
  <c r="AI608" i="83"/>
  <c r="AH608" i="83"/>
  <c r="AG608" i="83"/>
  <c r="AF608" i="83"/>
  <c r="AE608" i="83"/>
  <c r="Q608" i="83"/>
  <c r="O608" i="83"/>
  <c r="C608" i="83"/>
  <c r="BD607" i="83"/>
  <c r="BC607" i="83"/>
  <c r="BP607" i="83"/>
  <c r="AY607" i="83"/>
  <c r="AX607" i="83"/>
  <c r="AW607" i="83"/>
  <c r="AM607" i="83"/>
  <c r="AK607" i="83"/>
  <c r="AJ607" i="83"/>
  <c r="AI607" i="83"/>
  <c r="AH607" i="83"/>
  <c r="AG607" i="83"/>
  <c r="AF607" i="83"/>
  <c r="AE607" i="83"/>
  <c r="Q607" i="83"/>
  <c r="C607" i="83"/>
  <c r="BK606" i="83"/>
  <c r="BO606" i="83" s="1"/>
  <c r="BP606" i="83" s="1"/>
  <c r="BJ606" i="83"/>
  <c r="BD606" i="83"/>
  <c r="BC606" i="83"/>
  <c r="AY606" i="83"/>
  <c r="AX606" i="83"/>
  <c r="AW606" i="83"/>
  <c r="AP606" i="83"/>
  <c r="AQ606" i="83" s="1"/>
  <c r="BX606" i="83" s="1"/>
  <c r="AK606" i="83"/>
  <c r="AJ606" i="83"/>
  <c r="AI606" i="83"/>
  <c r="AH606" i="83"/>
  <c r="AG606" i="83"/>
  <c r="AF606" i="83"/>
  <c r="AE606" i="83"/>
  <c r="Y606" i="83"/>
  <c r="Q606" i="83"/>
  <c r="O606" i="83"/>
  <c r="C606" i="83"/>
  <c r="BD605" i="83"/>
  <c r="BC605" i="83"/>
  <c r="BP605" i="83"/>
  <c r="AY605" i="83"/>
  <c r="AX605" i="83"/>
  <c r="AW605" i="83"/>
  <c r="AP605" i="83"/>
  <c r="AQ605" i="83"/>
  <c r="BX605" i="83" s="1"/>
  <c r="AK605" i="83"/>
  <c r="AJ605" i="83"/>
  <c r="AI605" i="83"/>
  <c r="AH605" i="83"/>
  <c r="AG605" i="83"/>
  <c r="AF605" i="83"/>
  <c r="AE605" i="83"/>
  <c r="Q605" i="83"/>
  <c r="O605" i="83"/>
  <c r="C605" i="83"/>
  <c r="BD604" i="83"/>
  <c r="BC604" i="83"/>
  <c r="BP604" i="83"/>
  <c r="AY604" i="83"/>
  <c r="AX604" i="83"/>
  <c r="AW604" i="83"/>
  <c r="AM604" i="83"/>
  <c r="AK604" i="83"/>
  <c r="AJ604" i="83"/>
  <c r="AI604" i="83"/>
  <c r="AH604" i="83"/>
  <c r="AG604" i="83"/>
  <c r="AF604" i="83"/>
  <c r="AE604" i="83"/>
  <c r="Q604" i="83"/>
  <c r="O604" i="83"/>
  <c r="C604" i="83"/>
  <c r="BD603" i="83"/>
  <c r="BC603" i="83"/>
  <c r="AY603" i="83"/>
  <c r="AX603" i="83"/>
  <c r="AW603" i="83"/>
  <c r="AK603" i="83"/>
  <c r="AJ603" i="83"/>
  <c r="AI603" i="83"/>
  <c r="AH603" i="83"/>
  <c r="AG603" i="83"/>
  <c r="AF603" i="83"/>
  <c r="AE603" i="83"/>
  <c r="Q603" i="83"/>
  <c r="C603" i="83"/>
  <c r="BD602" i="83"/>
  <c r="BC602" i="83"/>
  <c r="AY602" i="83"/>
  <c r="AX602" i="83"/>
  <c r="AW602" i="83"/>
  <c r="AM602" i="83"/>
  <c r="AK602" i="83"/>
  <c r="AJ602" i="83"/>
  <c r="AI602" i="83"/>
  <c r="AH602" i="83"/>
  <c r="AG602" i="83"/>
  <c r="AF602" i="83"/>
  <c r="AE602" i="83"/>
  <c r="Q602" i="83"/>
  <c r="C602" i="83"/>
  <c r="BD601" i="83"/>
  <c r="BC601" i="83"/>
  <c r="BB601" i="83" s="1"/>
  <c r="AY601" i="83"/>
  <c r="AX601" i="83"/>
  <c r="AW601" i="83"/>
  <c r="AK601" i="83"/>
  <c r="AJ601" i="83"/>
  <c r="AI601" i="83"/>
  <c r="AH601" i="83"/>
  <c r="AG601" i="83"/>
  <c r="AF601" i="83"/>
  <c r="AE601" i="83"/>
  <c r="Q601" i="83"/>
  <c r="C601" i="83"/>
  <c r="BJ600" i="83"/>
  <c r="BH600" i="83"/>
  <c r="BD600" i="83" s="1"/>
  <c r="BC600" i="83"/>
  <c r="AY600" i="83"/>
  <c r="AW600" i="83"/>
  <c r="AM600" i="83"/>
  <c r="BK600" i="83"/>
  <c r="BO600" i="83" s="1"/>
  <c r="AK600" i="83"/>
  <c r="AJ600" i="83"/>
  <c r="AI600" i="83"/>
  <c r="AH600" i="83"/>
  <c r="AG600" i="83"/>
  <c r="AF600" i="83"/>
  <c r="AE600" i="83"/>
  <c r="Q600" i="83"/>
  <c r="C600" i="83"/>
  <c r="BD599" i="83"/>
  <c r="BC599" i="83"/>
  <c r="BP599" i="83"/>
  <c r="AY599" i="83"/>
  <c r="AX599" i="83"/>
  <c r="AW599" i="83"/>
  <c r="AM599" i="83"/>
  <c r="AK599" i="83"/>
  <c r="AJ599" i="83"/>
  <c r="AI599" i="83"/>
  <c r="AH599" i="83"/>
  <c r="AG599" i="83"/>
  <c r="AF599" i="83"/>
  <c r="AE599" i="83"/>
  <c r="Q599" i="83"/>
  <c r="C599" i="83"/>
  <c r="BJ598" i="83"/>
  <c r="BH598" i="83"/>
  <c r="BD598" i="83"/>
  <c r="BC598" i="83"/>
  <c r="BB598" i="83" s="1"/>
  <c r="AY598" i="83"/>
  <c r="AW598" i="83"/>
  <c r="AM598" i="83"/>
  <c r="BK598" i="83"/>
  <c r="BO598" i="83" s="1"/>
  <c r="AK598" i="83"/>
  <c r="AJ598" i="83"/>
  <c r="AI598" i="83"/>
  <c r="AH598" i="83"/>
  <c r="AG598" i="83"/>
  <c r="AF598" i="83"/>
  <c r="AE598" i="83"/>
  <c r="Q598" i="83"/>
  <c r="C598" i="83"/>
  <c r="BD597" i="83"/>
  <c r="BC597" i="83"/>
  <c r="BB597" i="83"/>
  <c r="AY597" i="83"/>
  <c r="AX597" i="83"/>
  <c r="AW597" i="83"/>
  <c r="AM597" i="83"/>
  <c r="AK597" i="83"/>
  <c r="AJ597" i="83"/>
  <c r="AI597" i="83"/>
  <c r="AH597" i="83"/>
  <c r="AG597" i="83"/>
  <c r="AF597" i="83"/>
  <c r="AE597" i="83"/>
  <c r="Y597" i="83"/>
  <c r="Z597" i="83" s="1"/>
  <c r="AP597" i="83" s="1"/>
  <c r="AQ597" i="83" s="1"/>
  <c r="BX597" i="83" s="1"/>
  <c r="CA597" i="83" s="1"/>
  <c r="Q597" i="83"/>
  <c r="C597" i="83"/>
  <c r="BD596" i="83"/>
  <c r="BC596" i="83"/>
  <c r="AY596" i="83"/>
  <c r="AX596" i="83"/>
  <c r="AW596" i="83"/>
  <c r="AM596" i="83"/>
  <c r="AK596" i="83"/>
  <c r="AJ596" i="83"/>
  <c r="AI596" i="83"/>
  <c r="AH596" i="83"/>
  <c r="AG596" i="83"/>
  <c r="AF596" i="83"/>
  <c r="AE596" i="83"/>
  <c r="Q596" i="83"/>
  <c r="C596" i="83"/>
  <c r="BD595" i="83"/>
  <c r="BC595" i="83"/>
  <c r="AY595" i="83"/>
  <c r="AX595" i="83"/>
  <c r="AW595" i="83"/>
  <c r="AM595" i="83"/>
  <c r="AK595" i="83"/>
  <c r="AJ595" i="83"/>
  <c r="AI595" i="83"/>
  <c r="AH595" i="83"/>
  <c r="AG595" i="83"/>
  <c r="AF595" i="83"/>
  <c r="AE595" i="83"/>
  <c r="Q595" i="83"/>
  <c r="C595" i="83"/>
  <c r="BD594" i="83"/>
  <c r="BC594" i="83"/>
  <c r="AY594" i="83"/>
  <c r="AX594" i="83"/>
  <c r="AW594" i="83"/>
  <c r="AM594" i="83"/>
  <c r="AK594" i="83"/>
  <c r="AJ594" i="83"/>
  <c r="AI594" i="83"/>
  <c r="AH594" i="83"/>
  <c r="AG594" i="83"/>
  <c r="AF594" i="83"/>
  <c r="AE594" i="83"/>
  <c r="Q594" i="83"/>
  <c r="C594" i="83"/>
  <c r="BD593" i="83"/>
  <c r="BC593" i="83"/>
  <c r="AM593" i="83"/>
  <c r="AK593" i="83"/>
  <c r="AJ593" i="83"/>
  <c r="AI593" i="83"/>
  <c r="AH593" i="83"/>
  <c r="AG593" i="83"/>
  <c r="AF593" i="83"/>
  <c r="AE593" i="83"/>
  <c r="Q593" i="83"/>
  <c r="C593" i="83"/>
  <c r="BJ592" i="83"/>
  <c r="BH592" i="83"/>
  <c r="BD592" i="83"/>
  <c r="BC592" i="83"/>
  <c r="AY592" i="83"/>
  <c r="AW592" i="83"/>
  <c r="AM592" i="83"/>
  <c r="BK592" i="83" s="1"/>
  <c r="BO592" i="83" s="1"/>
  <c r="AK592" i="83"/>
  <c r="AJ592" i="83"/>
  <c r="AI592" i="83"/>
  <c r="AH592" i="83"/>
  <c r="AG592" i="83"/>
  <c r="AF592" i="83"/>
  <c r="AE592" i="83"/>
  <c r="Q592" i="83"/>
  <c r="C592" i="83"/>
  <c r="BJ591" i="83"/>
  <c r="BH591" i="83"/>
  <c r="BD591" i="83" s="1"/>
  <c r="BC591" i="83"/>
  <c r="AY591" i="83"/>
  <c r="AX591" i="83"/>
  <c r="AW591" i="83"/>
  <c r="AM591" i="83"/>
  <c r="BK591" i="83"/>
  <c r="BO591" i="83" s="1"/>
  <c r="AK591" i="83"/>
  <c r="AJ591" i="83"/>
  <c r="AI591" i="83"/>
  <c r="AH591" i="83"/>
  <c r="AG591" i="83"/>
  <c r="AF591" i="83"/>
  <c r="AE591" i="83"/>
  <c r="Q591" i="83"/>
  <c r="C591" i="83"/>
  <c r="BJ590" i="83"/>
  <c r="BH590" i="83"/>
  <c r="BD590" i="83" s="1"/>
  <c r="BC590" i="83"/>
  <c r="BB590" i="83" s="1"/>
  <c r="AY590" i="83"/>
  <c r="AW590" i="83"/>
  <c r="AM590" i="83"/>
  <c r="BA590" i="83" s="1"/>
  <c r="AK590" i="83"/>
  <c r="AJ590" i="83"/>
  <c r="AI590" i="83"/>
  <c r="AH590" i="83"/>
  <c r="AG590" i="83"/>
  <c r="AF590" i="83"/>
  <c r="AE590" i="83"/>
  <c r="Q590" i="83"/>
  <c r="C590" i="83"/>
  <c r="BJ589" i="83"/>
  <c r="BH589" i="83"/>
  <c r="BD589" i="83" s="1"/>
  <c r="BC589" i="83"/>
  <c r="AY589" i="83"/>
  <c r="AW589" i="83"/>
  <c r="AM589" i="83"/>
  <c r="BK589" i="83"/>
  <c r="BO589" i="83" s="1"/>
  <c r="AK589" i="83"/>
  <c r="AJ589" i="83"/>
  <c r="AI589" i="83"/>
  <c r="AH589" i="83"/>
  <c r="AG589" i="83"/>
  <c r="AF589" i="83"/>
  <c r="AE589" i="83"/>
  <c r="Q589" i="83"/>
  <c r="C589" i="83"/>
  <c r="BJ588" i="83"/>
  <c r="BG588" i="83"/>
  <c r="BD588" i="83" s="1"/>
  <c r="BC588" i="83"/>
  <c r="BB588" i="83" s="1"/>
  <c r="AY588" i="83"/>
  <c r="AX588" i="83"/>
  <c r="AM588" i="83"/>
  <c r="BK588" i="83" s="1"/>
  <c r="BO588" i="83" s="1"/>
  <c r="BP588" i="83" s="1"/>
  <c r="AK588" i="83"/>
  <c r="AJ588" i="83"/>
  <c r="AI588" i="83"/>
  <c r="AH588" i="83"/>
  <c r="AG588" i="83"/>
  <c r="AF588" i="83"/>
  <c r="AE588" i="83"/>
  <c r="Y588" i="83"/>
  <c r="Z588" i="83" s="1"/>
  <c r="AP588" i="83" s="1"/>
  <c r="AQ588" i="83" s="1"/>
  <c r="Q588" i="83"/>
  <c r="C588" i="83"/>
  <c r="BD587" i="83"/>
  <c r="BC587" i="83"/>
  <c r="BB587" i="83" s="1"/>
  <c r="AY587" i="83"/>
  <c r="AX587" i="83"/>
  <c r="AW587" i="83"/>
  <c r="AM587" i="83"/>
  <c r="AK587" i="83"/>
  <c r="AJ587" i="83"/>
  <c r="AI587" i="83"/>
  <c r="AH587" i="83"/>
  <c r="AG587" i="83"/>
  <c r="AF587" i="83"/>
  <c r="AE587" i="83"/>
  <c r="Q587" i="83"/>
  <c r="C587" i="83"/>
  <c r="BD586" i="83"/>
  <c r="BC586" i="83"/>
  <c r="BB586" i="83" s="1"/>
  <c r="AY586" i="83"/>
  <c r="AX586" i="83"/>
  <c r="AW586" i="83"/>
  <c r="AM586" i="83"/>
  <c r="AK586" i="83"/>
  <c r="AJ586" i="83"/>
  <c r="AI586" i="83"/>
  <c r="AH586" i="83"/>
  <c r="AG586" i="83"/>
  <c r="AF586" i="83"/>
  <c r="AE586" i="83"/>
  <c r="Q586" i="83"/>
  <c r="C586" i="83"/>
  <c r="BD585" i="83"/>
  <c r="BC585" i="83"/>
  <c r="BP585" i="83" s="1"/>
  <c r="AY585" i="83"/>
  <c r="AX585" i="83"/>
  <c r="AW585" i="83"/>
  <c r="AM585" i="83"/>
  <c r="AK585" i="83"/>
  <c r="AJ585" i="83"/>
  <c r="AI585" i="83"/>
  <c r="AH585" i="83"/>
  <c r="AG585" i="83"/>
  <c r="AF585" i="83"/>
  <c r="AE585" i="83"/>
  <c r="Q585" i="83"/>
  <c r="C585" i="83"/>
  <c r="BD584" i="83"/>
  <c r="BC584" i="83"/>
  <c r="BB584" i="83" s="1"/>
  <c r="AY584" i="83"/>
  <c r="AX584" i="83"/>
  <c r="AW584" i="83"/>
  <c r="AK584" i="83"/>
  <c r="AJ584" i="83"/>
  <c r="AI584" i="83"/>
  <c r="AH584" i="83"/>
  <c r="AG584" i="83"/>
  <c r="AF584" i="83"/>
  <c r="AE584" i="83"/>
  <c r="Q584" i="83"/>
  <c r="O584" i="83"/>
  <c r="C584" i="83"/>
  <c r="BD583" i="83"/>
  <c r="BC583" i="83"/>
  <c r="BB583" i="83" s="1"/>
  <c r="AY583" i="83"/>
  <c r="AX583" i="83"/>
  <c r="AW583" i="83"/>
  <c r="AM583" i="83"/>
  <c r="AK583" i="83"/>
  <c r="AJ583" i="83"/>
  <c r="AI583" i="83"/>
  <c r="AH583" i="83"/>
  <c r="AG583" i="83"/>
  <c r="AF583" i="83"/>
  <c r="AE583" i="83"/>
  <c r="Q583" i="83"/>
  <c r="C583" i="83"/>
  <c r="BD582" i="83"/>
  <c r="BC582" i="83"/>
  <c r="AY582" i="83"/>
  <c r="AX582" i="83"/>
  <c r="AW582" i="83"/>
  <c r="AM582" i="83"/>
  <c r="AK582" i="83"/>
  <c r="AJ582" i="83"/>
  <c r="AI582" i="83"/>
  <c r="AH582" i="83"/>
  <c r="AG582" i="83"/>
  <c r="AF582" i="83"/>
  <c r="AE582" i="83"/>
  <c r="Q582" i="83"/>
  <c r="C582" i="83"/>
  <c r="BD581" i="83"/>
  <c r="BC581" i="83"/>
  <c r="AY581" i="83"/>
  <c r="AX581" i="83"/>
  <c r="AW581" i="83"/>
  <c r="AM581" i="83"/>
  <c r="AK581" i="83"/>
  <c r="AJ581" i="83"/>
  <c r="AI581" i="83"/>
  <c r="AH581" i="83"/>
  <c r="AG581" i="83"/>
  <c r="AF581" i="83"/>
  <c r="AE581" i="83"/>
  <c r="Q581" i="83"/>
  <c r="C581" i="83"/>
  <c r="BD580" i="83"/>
  <c r="BC580" i="83"/>
  <c r="AY580" i="83"/>
  <c r="AX580" i="83"/>
  <c r="AW580" i="83"/>
  <c r="AK580" i="83"/>
  <c r="AJ580" i="83"/>
  <c r="AI580" i="83"/>
  <c r="AH580" i="83"/>
  <c r="AG580" i="83"/>
  <c r="AF580" i="83"/>
  <c r="AE580" i="83"/>
  <c r="Q580" i="83"/>
  <c r="C580" i="83"/>
  <c r="BD579" i="83"/>
  <c r="BC579" i="83"/>
  <c r="BP579" i="83" s="1"/>
  <c r="AY579" i="83"/>
  <c r="AX579" i="83"/>
  <c r="AW579" i="83"/>
  <c r="AM579" i="83"/>
  <c r="AK579" i="83"/>
  <c r="AJ579" i="83"/>
  <c r="AI579" i="83"/>
  <c r="AH579" i="83"/>
  <c r="AG579" i="83"/>
  <c r="AF579" i="83"/>
  <c r="AE579" i="83"/>
  <c r="Q579" i="83"/>
  <c r="C579" i="83"/>
  <c r="BJ578" i="83"/>
  <c r="BC578" i="83"/>
  <c r="BB578" i="83" s="1"/>
  <c r="AY578" i="83"/>
  <c r="AX578" i="83"/>
  <c r="AW578" i="83"/>
  <c r="AM578" i="83"/>
  <c r="BK578" i="83"/>
  <c r="BO578" i="83" s="1"/>
  <c r="BP578" i="83" s="1"/>
  <c r="AK578" i="83"/>
  <c r="AJ578" i="83"/>
  <c r="AI578" i="83"/>
  <c r="AH578" i="83"/>
  <c r="AG578" i="83"/>
  <c r="AF578" i="83"/>
  <c r="AE578" i="83"/>
  <c r="Q578" i="83"/>
  <c r="C578" i="83"/>
  <c r="BD577" i="83"/>
  <c r="BC577" i="83"/>
  <c r="AY577" i="83"/>
  <c r="AX577" i="83"/>
  <c r="AW577" i="83"/>
  <c r="AM577" i="83"/>
  <c r="AK577" i="83"/>
  <c r="AJ577" i="83"/>
  <c r="AI577" i="83"/>
  <c r="AH577" i="83"/>
  <c r="AG577" i="83"/>
  <c r="AF577" i="83"/>
  <c r="AE577" i="83"/>
  <c r="Y577" i="83"/>
  <c r="Z577" i="83" s="1"/>
  <c r="AP577" i="83" s="1"/>
  <c r="AQ577" i="83" s="1"/>
  <c r="BX577" i="83" s="1"/>
  <c r="Q577" i="83"/>
  <c r="C577" i="83"/>
  <c r="BD576" i="83"/>
  <c r="BC576" i="83"/>
  <c r="BP576" i="83"/>
  <c r="AY576" i="83"/>
  <c r="AX576" i="83"/>
  <c r="AW576" i="83"/>
  <c r="AM576" i="83"/>
  <c r="AK576" i="83"/>
  <c r="AJ576" i="83"/>
  <c r="AI576" i="83"/>
  <c r="AH576" i="83"/>
  <c r="AG576" i="83"/>
  <c r="AF576" i="83"/>
  <c r="AE576" i="83"/>
  <c r="Q576" i="83"/>
  <c r="C576" i="83"/>
  <c r="BJ575" i="83"/>
  <c r="BH575" i="83"/>
  <c r="BD575" i="83"/>
  <c r="BC575" i="83"/>
  <c r="BB575" i="83" s="1"/>
  <c r="AY575" i="83"/>
  <c r="AW575" i="83"/>
  <c r="AM575" i="83"/>
  <c r="BK575" i="83" s="1"/>
  <c r="BO575" i="83" s="1"/>
  <c r="BP575" i="83" s="1"/>
  <c r="AK575" i="83"/>
  <c r="AJ575" i="83"/>
  <c r="AI575" i="83"/>
  <c r="AH575" i="83"/>
  <c r="AG575" i="83"/>
  <c r="AF575" i="83"/>
  <c r="AE575" i="83"/>
  <c r="Q575" i="83"/>
  <c r="C575" i="83"/>
  <c r="BD574" i="83"/>
  <c r="BC574" i="83"/>
  <c r="AY574" i="83"/>
  <c r="AX574" i="83"/>
  <c r="AW574" i="83"/>
  <c r="AM574" i="83"/>
  <c r="AK574" i="83"/>
  <c r="AJ574" i="83"/>
  <c r="AI574" i="83"/>
  <c r="AH574" i="83"/>
  <c r="AG574" i="83"/>
  <c r="AF574" i="83"/>
  <c r="AE574" i="83"/>
  <c r="Q574" i="83"/>
  <c r="C574" i="83"/>
  <c r="BD573" i="83"/>
  <c r="BC573" i="83"/>
  <c r="BB573" i="83" s="1"/>
  <c r="AY573" i="83"/>
  <c r="AX573" i="83"/>
  <c r="AW573" i="83"/>
  <c r="AM573" i="83"/>
  <c r="AK573" i="83"/>
  <c r="AJ573" i="83"/>
  <c r="AI573" i="83"/>
  <c r="AH573" i="83"/>
  <c r="AG573" i="83"/>
  <c r="AF573" i="83"/>
  <c r="AE573" i="83"/>
  <c r="Q573" i="83"/>
  <c r="C573" i="83"/>
  <c r="BD572" i="83"/>
  <c r="BC572" i="83"/>
  <c r="AM572" i="83"/>
  <c r="AK572" i="83"/>
  <c r="AJ572" i="83"/>
  <c r="AI572" i="83"/>
  <c r="AH572" i="83"/>
  <c r="AG572" i="83"/>
  <c r="AF572" i="83"/>
  <c r="AE572" i="83"/>
  <c r="Q572" i="83"/>
  <c r="C572" i="83"/>
  <c r="BD571" i="83"/>
  <c r="BC571" i="83"/>
  <c r="BP571" i="83" s="1"/>
  <c r="AY571" i="83"/>
  <c r="AX571" i="83"/>
  <c r="AW571" i="83"/>
  <c r="AM571" i="83"/>
  <c r="AK571" i="83"/>
  <c r="AJ571" i="83"/>
  <c r="AI571" i="83"/>
  <c r="AH571" i="83"/>
  <c r="AG571" i="83"/>
  <c r="AF571" i="83"/>
  <c r="AE571" i="83"/>
  <c r="Q571" i="83"/>
  <c r="C571" i="83"/>
  <c r="BD570" i="83"/>
  <c r="BC570" i="83"/>
  <c r="AY570" i="83"/>
  <c r="AX570" i="83"/>
  <c r="AW570" i="83"/>
  <c r="AM570" i="83"/>
  <c r="AK570" i="83"/>
  <c r="AJ570" i="83"/>
  <c r="AI570" i="83"/>
  <c r="AH570" i="83"/>
  <c r="AG570" i="83"/>
  <c r="AF570" i="83"/>
  <c r="AE570" i="83"/>
  <c r="Q570" i="83"/>
  <c r="C570" i="83"/>
  <c r="BC569" i="83"/>
  <c r="BP569" i="83" s="1"/>
  <c r="AY569" i="83"/>
  <c r="AX569" i="83"/>
  <c r="AW569" i="83"/>
  <c r="AM569" i="83"/>
  <c r="AK569" i="83"/>
  <c r="AJ569" i="83"/>
  <c r="AI569" i="83"/>
  <c r="AH569" i="83"/>
  <c r="AG569" i="83"/>
  <c r="AF569" i="83"/>
  <c r="AE569" i="83"/>
  <c r="Q569" i="83"/>
  <c r="C569" i="83"/>
  <c r="BD568" i="83"/>
  <c r="BC568" i="83"/>
  <c r="BP568" i="83" s="1"/>
  <c r="AY568" i="83"/>
  <c r="AX568" i="83"/>
  <c r="AW568" i="83"/>
  <c r="AM568" i="83"/>
  <c r="AK568" i="83"/>
  <c r="AJ568" i="83"/>
  <c r="AI568" i="83"/>
  <c r="AH568" i="83"/>
  <c r="AG568" i="83"/>
  <c r="AF568" i="83"/>
  <c r="AE568" i="83"/>
  <c r="Q568" i="83"/>
  <c r="C568" i="83"/>
  <c r="BD567" i="83"/>
  <c r="BC567" i="83"/>
  <c r="BB567" i="83" s="1"/>
  <c r="AY567" i="83"/>
  <c r="AX567" i="83"/>
  <c r="AW567" i="83"/>
  <c r="AM567" i="83"/>
  <c r="AK567" i="83"/>
  <c r="AJ567" i="83"/>
  <c r="AI567" i="83"/>
  <c r="AH567" i="83"/>
  <c r="AG567" i="83"/>
  <c r="AF567" i="83"/>
  <c r="AE567" i="83"/>
  <c r="Q567" i="83"/>
  <c r="C567" i="83"/>
  <c r="BD566" i="83"/>
  <c r="BC566" i="83"/>
  <c r="AY566" i="83"/>
  <c r="AX566" i="83"/>
  <c r="AW566" i="83"/>
  <c r="AM566" i="83"/>
  <c r="AK566" i="83"/>
  <c r="AJ566" i="83"/>
  <c r="AI566" i="83"/>
  <c r="AH566" i="83"/>
  <c r="AG566" i="83"/>
  <c r="AF566" i="83"/>
  <c r="AE566" i="83"/>
  <c r="Q566" i="83"/>
  <c r="C566" i="83"/>
  <c r="BJ565" i="83"/>
  <c r="BC565" i="83"/>
  <c r="BB565" i="83"/>
  <c r="AY565" i="83"/>
  <c r="AX565" i="83"/>
  <c r="AW565" i="83"/>
  <c r="AM565" i="83"/>
  <c r="BK565" i="83"/>
  <c r="BO565" i="83" s="1"/>
  <c r="BP565" i="83" s="1"/>
  <c r="AK565" i="83"/>
  <c r="AJ565" i="83"/>
  <c r="AI565" i="83"/>
  <c r="AH565" i="83"/>
  <c r="AG565" i="83"/>
  <c r="AF565" i="83"/>
  <c r="AE565" i="83"/>
  <c r="Y565" i="83"/>
  <c r="Q565" i="83"/>
  <c r="C565" i="83"/>
  <c r="BD564" i="83"/>
  <c r="BC564" i="83"/>
  <c r="BB564" i="83"/>
  <c r="AY564" i="83"/>
  <c r="AX564" i="83"/>
  <c r="AW564" i="83"/>
  <c r="AM564" i="83"/>
  <c r="AK564" i="83"/>
  <c r="AJ564" i="83"/>
  <c r="AI564" i="83"/>
  <c r="AH564" i="83"/>
  <c r="AG564" i="83"/>
  <c r="AF564" i="83"/>
  <c r="AE564" i="83"/>
  <c r="Q564" i="83"/>
  <c r="C564" i="83"/>
  <c r="BD563" i="83"/>
  <c r="BC563" i="83"/>
  <c r="AY563" i="83"/>
  <c r="AX563" i="83"/>
  <c r="AW563" i="83"/>
  <c r="AM563" i="83"/>
  <c r="AK563" i="83"/>
  <c r="AJ563" i="83"/>
  <c r="AI563" i="83"/>
  <c r="AH563" i="83"/>
  <c r="AG563" i="83"/>
  <c r="AF563" i="83"/>
  <c r="AE563" i="83"/>
  <c r="Q563" i="83"/>
  <c r="C563" i="83"/>
  <c r="BD562" i="83"/>
  <c r="BC562" i="83"/>
  <c r="AY562" i="83"/>
  <c r="AX562" i="83"/>
  <c r="AW562" i="83"/>
  <c r="AM562" i="83"/>
  <c r="AK562" i="83"/>
  <c r="AJ562" i="83"/>
  <c r="AI562" i="83"/>
  <c r="AH562" i="83"/>
  <c r="AG562" i="83"/>
  <c r="AF562" i="83"/>
  <c r="AE562" i="83"/>
  <c r="Q562" i="83"/>
  <c r="C562" i="83"/>
  <c r="BD561" i="83"/>
  <c r="BC561" i="83"/>
  <c r="BP561" i="83"/>
  <c r="AY561" i="83"/>
  <c r="AX561" i="83"/>
  <c r="AW561" i="83"/>
  <c r="AM561" i="83"/>
  <c r="AK561" i="83"/>
  <c r="AJ561" i="83"/>
  <c r="AI561" i="83"/>
  <c r="AH561" i="83"/>
  <c r="AG561" i="83"/>
  <c r="AF561" i="83"/>
  <c r="AE561" i="83"/>
  <c r="Q561" i="83"/>
  <c r="C561" i="83"/>
  <c r="BD560" i="83"/>
  <c r="BC560" i="83"/>
  <c r="BB560" i="83"/>
  <c r="AY560" i="83"/>
  <c r="AX560" i="83"/>
  <c r="AW560" i="83"/>
  <c r="AM560" i="83"/>
  <c r="AK560" i="83"/>
  <c r="AJ560" i="83"/>
  <c r="AI560" i="83"/>
  <c r="AH560" i="83"/>
  <c r="AG560" i="83"/>
  <c r="AF560" i="83"/>
  <c r="AE560" i="83"/>
  <c r="Q560" i="83"/>
  <c r="C560" i="83"/>
  <c r="BI559" i="83"/>
  <c r="BD559" i="83"/>
  <c r="BC559" i="83"/>
  <c r="BB559" i="83" s="1"/>
  <c r="AX559" i="83"/>
  <c r="AW559" i="83"/>
  <c r="AM559" i="83"/>
  <c r="AK559" i="83"/>
  <c r="AJ559" i="83"/>
  <c r="AI559" i="83"/>
  <c r="AH559" i="83"/>
  <c r="AG559" i="83"/>
  <c r="AF559" i="83"/>
  <c r="AE559" i="83"/>
  <c r="Y559" i="83"/>
  <c r="Q559" i="83"/>
  <c r="C559" i="83"/>
  <c r="BJ558" i="83"/>
  <c r="BC558" i="83"/>
  <c r="BB558" i="83" s="1"/>
  <c r="AY558" i="83"/>
  <c r="AX558" i="83"/>
  <c r="AW558" i="83"/>
  <c r="AM558" i="83"/>
  <c r="BK558" i="83" s="1"/>
  <c r="BO558" i="83" s="1"/>
  <c r="AK558" i="83"/>
  <c r="AJ558" i="83"/>
  <c r="AI558" i="83"/>
  <c r="AH558" i="83"/>
  <c r="AG558" i="83"/>
  <c r="AF558" i="83"/>
  <c r="AE558" i="83"/>
  <c r="Q558" i="83"/>
  <c r="C558" i="83"/>
  <c r="BD557" i="83"/>
  <c r="BC557" i="83"/>
  <c r="BP557" i="83" s="1"/>
  <c r="AY557" i="83"/>
  <c r="AX557" i="83"/>
  <c r="AW557" i="83"/>
  <c r="AM557" i="83"/>
  <c r="AK557" i="83"/>
  <c r="AJ557" i="83"/>
  <c r="AI557" i="83"/>
  <c r="AH557" i="83"/>
  <c r="AG557" i="83"/>
  <c r="AF557" i="83"/>
  <c r="AE557" i="83"/>
  <c r="Q557" i="83"/>
  <c r="C557" i="83"/>
  <c r="BO556" i="83"/>
  <c r="BC556" i="83"/>
  <c r="AY556" i="83"/>
  <c r="AX556" i="83"/>
  <c r="AW556" i="83"/>
  <c r="AP556" i="83"/>
  <c r="AQ556" i="83"/>
  <c r="AK556" i="83"/>
  <c r="AJ556" i="83"/>
  <c r="AI556" i="83"/>
  <c r="AH556" i="83"/>
  <c r="AG556" i="83"/>
  <c r="AF556" i="83"/>
  <c r="AE556" i="83"/>
  <c r="Q556" i="83"/>
  <c r="C556" i="83"/>
  <c r="BC555" i="83"/>
  <c r="AY555" i="83"/>
  <c r="AX555" i="83"/>
  <c r="AW555" i="83"/>
  <c r="AM555" i="83"/>
  <c r="AK555" i="83"/>
  <c r="AJ555" i="83"/>
  <c r="AI555" i="83"/>
  <c r="AH555" i="83"/>
  <c r="AG555" i="83"/>
  <c r="AF555" i="83"/>
  <c r="AE555" i="83"/>
  <c r="Q555" i="83"/>
  <c r="C555" i="83"/>
  <c r="BD554" i="83"/>
  <c r="BC554" i="83"/>
  <c r="BB554" i="83"/>
  <c r="AY554" i="83"/>
  <c r="AX554" i="83"/>
  <c r="AW554" i="83"/>
  <c r="AM554" i="83"/>
  <c r="AK554" i="83"/>
  <c r="AJ554" i="83"/>
  <c r="AI554" i="83"/>
  <c r="AH554" i="83"/>
  <c r="AG554" i="83"/>
  <c r="AF554" i="83"/>
  <c r="AE554" i="83"/>
  <c r="Q554" i="83"/>
  <c r="C554" i="83"/>
  <c r="BD553" i="83"/>
  <c r="BC553" i="83"/>
  <c r="BP553" i="83"/>
  <c r="AY553" i="83"/>
  <c r="AX553" i="83"/>
  <c r="AW553" i="83"/>
  <c r="AM553" i="83"/>
  <c r="AK553" i="83"/>
  <c r="AJ553" i="83"/>
  <c r="AI553" i="83"/>
  <c r="AH553" i="83"/>
  <c r="AG553" i="83"/>
  <c r="AF553" i="83"/>
  <c r="AE553" i="83"/>
  <c r="Q553" i="83"/>
  <c r="C553" i="83"/>
  <c r="BD552" i="83"/>
  <c r="BC552" i="83"/>
  <c r="BP552" i="83"/>
  <c r="AY552" i="83"/>
  <c r="AX552" i="83"/>
  <c r="AW552" i="83"/>
  <c r="AK552" i="83"/>
  <c r="AJ552" i="83"/>
  <c r="AI552" i="83"/>
  <c r="AH552" i="83"/>
  <c r="AG552" i="83"/>
  <c r="AF552" i="83"/>
  <c r="AE552" i="83"/>
  <c r="Q552" i="83"/>
  <c r="C552" i="83"/>
  <c r="BC551" i="83"/>
  <c r="BP551" i="83"/>
  <c r="AY551" i="83"/>
  <c r="AX551" i="83"/>
  <c r="AW551" i="83"/>
  <c r="AP551" i="83"/>
  <c r="AM551" i="83"/>
  <c r="AK551" i="83"/>
  <c r="AJ551" i="83"/>
  <c r="AI551" i="83"/>
  <c r="AH551" i="83"/>
  <c r="AG551" i="83"/>
  <c r="AF551" i="83"/>
  <c r="AE551" i="83"/>
  <c r="Q551" i="83"/>
  <c r="C551" i="83"/>
  <c r="BD550" i="83"/>
  <c r="BC550" i="83"/>
  <c r="BP550" i="83" s="1"/>
  <c r="AY550" i="83"/>
  <c r="AX550" i="83"/>
  <c r="AW550" i="83"/>
  <c r="AP550" i="83"/>
  <c r="AQ550" i="83" s="1"/>
  <c r="BX550" i="83" s="1"/>
  <c r="AK550" i="83"/>
  <c r="AJ550" i="83"/>
  <c r="AI550" i="83"/>
  <c r="AH550" i="83"/>
  <c r="AG550" i="83"/>
  <c r="AF550" i="83"/>
  <c r="AE550" i="83"/>
  <c r="Q550" i="83"/>
  <c r="O550" i="83"/>
  <c r="C550" i="83"/>
  <c r="BD549" i="83"/>
  <c r="BC549" i="83"/>
  <c r="AY549" i="83"/>
  <c r="AX549" i="83"/>
  <c r="AW549" i="83"/>
  <c r="AM549" i="83"/>
  <c r="AK549" i="83"/>
  <c r="AJ549" i="83"/>
  <c r="AI549" i="83"/>
  <c r="AH549" i="83"/>
  <c r="AG549" i="83"/>
  <c r="AF549" i="83"/>
  <c r="AE549" i="83"/>
  <c r="Y549" i="83"/>
  <c r="Q549" i="83"/>
  <c r="C549" i="83"/>
  <c r="BJ548" i="83"/>
  <c r="BC548" i="83"/>
  <c r="BB548" i="83" s="1"/>
  <c r="AY548" i="83"/>
  <c r="AW548" i="83"/>
  <c r="AM548" i="83"/>
  <c r="BK548" i="83"/>
  <c r="BO548" i="83" s="1"/>
  <c r="AK548" i="83"/>
  <c r="AJ548" i="83"/>
  <c r="AI548" i="83"/>
  <c r="AH548" i="83"/>
  <c r="AG548" i="83"/>
  <c r="AF548" i="83"/>
  <c r="AE548" i="83"/>
  <c r="Y548" i="83"/>
  <c r="Z548" i="83" s="1"/>
  <c r="AP548" i="83" s="1"/>
  <c r="AQ548" i="83" s="1"/>
  <c r="Q548" i="83"/>
  <c r="C548" i="83"/>
  <c r="BC547" i="83"/>
  <c r="BP547" i="83"/>
  <c r="AY547" i="83"/>
  <c r="AX547" i="83"/>
  <c r="AW547" i="83"/>
  <c r="AM547" i="83"/>
  <c r="AK547" i="83"/>
  <c r="AJ547" i="83"/>
  <c r="AI547" i="83"/>
  <c r="AH547" i="83"/>
  <c r="AG547" i="83"/>
  <c r="AF547" i="83"/>
  <c r="AE547" i="83"/>
  <c r="Q547" i="83"/>
  <c r="C547" i="83"/>
  <c r="BD546" i="83"/>
  <c r="BC546" i="83"/>
  <c r="BP546" i="83"/>
  <c r="AY546" i="83"/>
  <c r="AX546" i="83"/>
  <c r="AW546" i="83"/>
  <c r="AM546" i="83"/>
  <c r="AK546" i="83"/>
  <c r="AJ546" i="83"/>
  <c r="AI546" i="83"/>
  <c r="AH546" i="83"/>
  <c r="AG546" i="83"/>
  <c r="AF546" i="83"/>
  <c r="AE546" i="83"/>
  <c r="Q546" i="83"/>
  <c r="C546" i="83"/>
  <c r="BD545" i="83"/>
  <c r="BC545" i="83"/>
  <c r="BB545" i="83"/>
  <c r="AY545" i="83"/>
  <c r="AX545" i="83"/>
  <c r="AW545" i="83"/>
  <c r="AM545" i="83"/>
  <c r="AK545" i="83"/>
  <c r="AJ545" i="83"/>
  <c r="AI545" i="83"/>
  <c r="AH545" i="83"/>
  <c r="AG545" i="83"/>
  <c r="AF545" i="83"/>
  <c r="AE545" i="83"/>
  <c r="Q545" i="83"/>
  <c r="C545" i="83"/>
  <c r="BD544" i="83"/>
  <c r="BC544" i="83"/>
  <c r="BB544" i="83"/>
  <c r="AY544" i="83"/>
  <c r="AX544" i="83"/>
  <c r="AW544" i="83"/>
  <c r="AM544" i="83"/>
  <c r="AK544" i="83"/>
  <c r="AJ544" i="83"/>
  <c r="AI544" i="83"/>
  <c r="AH544" i="83"/>
  <c r="AG544" i="83"/>
  <c r="AF544" i="83"/>
  <c r="AE544" i="83"/>
  <c r="Q544" i="83"/>
  <c r="C544" i="83"/>
  <c r="BI543" i="83"/>
  <c r="BD543" i="83" s="1"/>
  <c r="BC543" i="83"/>
  <c r="BP543" i="83" s="1"/>
  <c r="AX543" i="83"/>
  <c r="AW543" i="83"/>
  <c r="AM543" i="83"/>
  <c r="BA543" i="83"/>
  <c r="AK543" i="83"/>
  <c r="AJ543" i="83"/>
  <c r="AI543" i="83"/>
  <c r="AH543" i="83"/>
  <c r="AG543" i="83"/>
  <c r="AF543" i="83"/>
  <c r="AE543" i="83"/>
  <c r="Q543" i="83"/>
  <c r="C543" i="83"/>
  <c r="BD542" i="83"/>
  <c r="BC542" i="83"/>
  <c r="BP542" i="83" s="1"/>
  <c r="AY542" i="83"/>
  <c r="AX542" i="83"/>
  <c r="AW542" i="83"/>
  <c r="AK542" i="83"/>
  <c r="AJ542" i="83"/>
  <c r="AI542" i="83"/>
  <c r="AH542" i="83"/>
  <c r="AG542" i="83"/>
  <c r="AF542" i="83"/>
  <c r="AE542" i="83"/>
  <c r="Q542" i="83"/>
  <c r="C542" i="83"/>
  <c r="BD541" i="83"/>
  <c r="BC541" i="83"/>
  <c r="BP541" i="83"/>
  <c r="AY541" i="83"/>
  <c r="AX541" i="83"/>
  <c r="AW541" i="83"/>
  <c r="AM541" i="83"/>
  <c r="AK541" i="83"/>
  <c r="AJ541" i="83"/>
  <c r="AI541" i="83"/>
  <c r="AH541" i="83"/>
  <c r="AG541" i="83"/>
  <c r="AF541" i="83"/>
  <c r="AE541" i="83"/>
  <c r="Q541" i="83"/>
  <c r="C541" i="83"/>
  <c r="BD540" i="83"/>
  <c r="BC540" i="83"/>
  <c r="AY540" i="83"/>
  <c r="AX540" i="83"/>
  <c r="AW540" i="83"/>
  <c r="AM540" i="83"/>
  <c r="AK540" i="83"/>
  <c r="AJ540" i="83"/>
  <c r="AI540" i="83"/>
  <c r="AH540" i="83"/>
  <c r="AG540" i="83"/>
  <c r="AF540" i="83"/>
  <c r="AE540" i="83"/>
  <c r="Y540" i="83"/>
  <c r="Z540" i="83" s="1"/>
  <c r="AP540" i="83" s="1"/>
  <c r="AQ540" i="83" s="1"/>
  <c r="BX540" i="83" s="1"/>
  <c r="Q540" i="83"/>
  <c r="C540" i="83"/>
  <c r="BD539" i="83"/>
  <c r="BC539" i="83"/>
  <c r="BB539" i="83"/>
  <c r="AY539" i="83"/>
  <c r="AX539" i="83"/>
  <c r="AW539" i="83"/>
  <c r="AM539" i="83"/>
  <c r="AK539" i="83"/>
  <c r="AJ539" i="83"/>
  <c r="AI539" i="83"/>
  <c r="AH539" i="83"/>
  <c r="AG539" i="83"/>
  <c r="AF539" i="83"/>
  <c r="AE539" i="83"/>
  <c r="Q539" i="83"/>
  <c r="C539" i="83"/>
  <c r="BD538" i="83"/>
  <c r="BC538" i="83"/>
  <c r="BP538" i="83"/>
  <c r="AY538" i="83"/>
  <c r="AX538" i="83"/>
  <c r="AW538" i="83"/>
  <c r="AM538" i="83"/>
  <c r="AK538" i="83"/>
  <c r="AJ538" i="83"/>
  <c r="AI538" i="83"/>
  <c r="AH538" i="83"/>
  <c r="AG538" i="83"/>
  <c r="AF538" i="83"/>
  <c r="AE538" i="83"/>
  <c r="Q538" i="83"/>
  <c r="C538" i="83"/>
  <c r="BD537" i="83"/>
  <c r="BC537" i="83"/>
  <c r="BP537" i="83"/>
  <c r="AY537" i="83"/>
  <c r="AX537" i="83"/>
  <c r="AW537" i="83"/>
  <c r="AM537" i="83"/>
  <c r="AK537" i="83"/>
  <c r="AJ537" i="83"/>
  <c r="AI537" i="83"/>
  <c r="AH537" i="83"/>
  <c r="AG537" i="83"/>
  <c r="AF537" i="83"/>
  <c r="AE537" i="83"/>
  <c r="Q537" i="83"/>
  <c r="C537" i="83"/>
  <c r="BD536" i="83"/>
  <c r="BC536" i="83"/>
  <c r="BP536" i="83"/>
  <c r="AY536" i="83"/>
  <c r="AX536" i="83"/>
  <c r="AW536" i="83"/>
  <c r="AM536" i="83"/>
  <c r="AK536" i="83"/>
  <c r="AJ536" i="83"/>
  <c r="AI536" i="83"/>
  <c r="AH536" i="83"/>
  <c r="AG536" i="83"/>
  <c r="AF536" i="83"/>
  <c r="AE536" i="83"/>
  <c r="Y536" i="83"/>
  <c r="Z536" i="83" s="1"/>
  <c r="AP536" i="83" s="1"/>
  <c r="AQ536" i="83" s="1"/>
  <c r="BX536" i="83" s="1"/>
  <c r="CA536" i="83" s="1"/>
  <c r="Q536" i="83"/>
  <c r="C536" i="83"/>
  <c r="BC535" i="83"/>
  <c r="BP535" i="83"/>
  <c r="AY535" i="83"/>
  <c r="AX535" i="83"/>
  <c r="AW535" i="83"/>
  <c r="AM535" i="83"/>
  <c r="AQ535" i="83" s="1"/>
  <c r="BX535" i="83" s="1"/>
  <c r="AK535" i="83"/>
  <c r="AJ535" i="83"/>
  <c r="AI535" i="83"/>
  <c r="AH535" i="83"/>
  <c r="Q535" i="83"/>
  <c r="C535" i="83"/>
  <c r="BD534" i="83"/>
  <c r="BC534" i="83"/>
  <c r="AY534" i="83"/>
  <c r="AX534" i="83"/>
  <c r="AW534" i="83"/>
  <c r="AM534" i="83"/>
  <c r="AK534" i="83"/>
  <c r="AJ534" i="83"/>
  <c r="AI534" i="83"/>
  <c r="AH534" i="83"/>
  <c r="AG534" i="83"/>
  <c r="AF534" i="83"/>
  <c r="AE534" i="83"/>
  <c r="Y534" i="83"/>
  <c r="Z534" i="83" s="1"/>
  <c r="AP534" i="83" s="1"/>
  <c r="AQ534" i="83" s="1"/>
  <c r="BX534" i="83" s="1"/>
  <c r="CA534" i="83" s="1"/>
  <c r="Q534" i="83"/>
  <c r="C534" i="83"/>
  <c r="BD533" i="83"/>
  <c r="BC533" i="83"/>
  <c r="BB533" i="83" s="1"/>
  <c r="AY533" i="83"/>
  <c r="AX533" i="83"/>
  <c r="AW533" i="83"/>
  <c r="AM533" i="83"/>
  <c r="AK533" i="83"/>
  <c r="AJ533" i="83"/>
  <c r="AI533" i="83"/>
  <c r="AH533" i="83"/>
  <c r="AG533" i="83"/>
  <c r="AF533" i="83"/>
  <c r="AE533" i="83"/>
  <c r="Y533" i="83"/>
  <c r="Z533" i="83" s="1"/>
  <c r="AP533" i="83" s="1"/>
  <c r="AQ533" i="83" s="1"/>
  <c r="BX533" i="83" s="1"/>
  <c r="Q533" i="83"/>
  <c r="C533" i="83"/>
  <c r="BD532" i="83"/>
  <c r="BC532" i="83"/>
  <c r="BP532" i="83"/>
  <c r="AY532" i="83"/>
  <c r="AX532" i="83"/>
  <c r="AW532" i="83"/>
  <c r="AM532" i="83"/>
  <c r="AK532" i="83"/>
  <c r="AJ532" i="83"/>
  <c r="AI532" i="83"/>
  <c r="AH532" i="83"/>
  <c r="AG532" i="83"/>
  <c r="AF532" i="83"/>
  <c r="AE532" i="83"/>
  <c r="Q532" i="83"/>
  <c r="C532" i="83"/>
  <c r="BD531" i="83"/>
  <c r="BC531" i="83"/>
  <c r="BP531" i="83"/>
  <c r="AY531" i="83"/>
  <c r="AX531" i="83"/>
  <c r="AW531" i="83"/>
  <c r="AM531" i="83"/>
  <c r="AK531" i="83"/>
  <c r="AJ531" i="83"/>
  <c r="AI531" i="83"/>
  <c r="AH531" i="83"/>
  <c r="AG531" i="83"/>
  <c r="AF531" i="83"/>
  <c r="AE531" i="83"/>
  <c r="Q531" i="83"/>
  <c r="C531" i="83"/>
  <c r="BK530" i="83"/>
  <c r="BO530" i="83" s="1"/>
  <c r="BX530" i="83" s="1"/>
  <c r="BJ530" i="83"/>
  <c r="BD530" i="83"/>
  <c r="BC530" i="83"/>
  <c r="BB530" i="83"/>
  <c r="AY530" i="83"/>
  <c r="AX530" i="83"/>
  <c r="AW530" i="83"/>
  <c r="AP530" i="83"/>
  <c r="AQ530" i="83"/>
  <c r="AK530" i="83"/>
  <c r="AJ530" i="83"/>
  <c r="AI530" i="83"/>
  <c r="AH530" i="83"/>
  <c r="AG530" i="83"/>
  <c r="AF530" i="83"/>
  <c r="AE530" i="83"/>
  <c r="Q530" i="83"/>
  <c r="C530" i="83"/>
  <c r="BD529" i="83"/>
  <c r="BC529" i="83"/>
  <c r="BP529" i="83" s="1"/>
  <c r="AY529" i="83"/>
  <c r="AX529" i="83"/>
  <c r="AW529" i="83"/>
  <c r="AM529" i="83"/>
  <c r="AK529" i="83"/>
  <c r="AJ529" i="83"/>
  <c r="AI529" i="83"/>
  <c r="AH529" i="83"/>
  <c r="AG529" i="83"/>
  <c r="AF529" i="83"/>
  <c r="AE529" i="83"/>
  <c r="Q529" i="83"/>
  <c r="O529" i="83"/>
  <c r="C529" i="83"/>
  <c r="BD528" i="83"/>
  <c r="BC528" i="83"/>
  <c r="AY528" i="83"/>
  <c r="AX528" i="83"/>
  <c r="AW528" i="83"/>
  <c r="AK528" i="83"/>
  <c r="AJ528" i="83"/>
  <c r="AI528" i="83"/>
  <c r="AH528" i="83"/>
  <c r="AG528" i="83"/>
  <c r="AF528" i="83"/>
  <c r="AE528" i="83"/>
  <c r="Q528" i="83"/>
  <c r="C528" i="83"/>
  <c r="BD527" i="83"/>
  <c r="BC527" i="83"/>
  <c r="BP527" i="83"/>
  <c r="AY527" i="83"/>
  <c r="AX527" i="83"/>
  <c r="AW527" i="83"/>
  <c r="AM527" i="83"/>
  <c r="AQ527" i="83"/>
  <c r="BX527" i="83" s="1"/>
  <c r="AK527" i="83"/>
  <c r="AJ527" i="83"/>
  <c r="AI527" i="83"/>
  <c r="AH527" i="83"/>
  <c r="AG527" i="83"/>
  <c r="AF527" i="83"/>
  <c r="AE527" i="83"/>
  <c r="Q527" i="83"/>
  <c r="C527" i="83"/>
  <c r="BD526" i="83"/>
  <c r="BC526" i="83"/>
  <c r="AY526" i="83"/>
  <c r="AX526" i="83"/>
  <c r="AW526" i="83"/>
  <c r="AM526" i="83"/>
  <c r="AK526" i="83"/>
  <c r="AJ526" i="83"/>
  <c r="AI526" i="83"/>
  <c r="AH526" i="83"/>
  <c r="AG526" i="83"/>
  <c r="AF526" i="83"/>
  <c r="AE526" i="83"/>
  <c r="Q526" i="83"/>
  <c r="O526" i="83"/>
  <c r="C526" i="83"/>
  <c r="BD525" i="83"/>
  <c r="BC525" i="83"/>
  <c r="AM525" i="83"/>
  <c r="AK525" i="83"/>
  <c r="AJ525" i="83"/>
  <c r="AI525" i="83"/>
  <c r="AH525" i="83"/>
  <c r="AG525" i="83"/>
  <c r="AF525" i="83"/>
  <c r="AE525" i="83"/>
  <c r="Q525" i="83"/>
  <c r="C525" i="83"/>
  <c r="BJ524" i="83"/>
  <c r="BC524" i="83"/>
  <c r="BB524" i="83"/>
  <c r="AY524" i="83"/>
  <c r="AW524" i="83"/>
  <c r="AM524" i="83"/>
  <c r="BK524" i="83" s="1"/>
  <c r="BO524" i="83" s="1"/>
  <c r="AK524" i="83"/>
  <c r="AJ524" i="83"/>
  <c r="AI524" i="83"/>
  <c r="AH524" i="83"/>
  <c r="AG524" i="83"/>
  <c r="AF524" i="83"/>
  <c r="AE524" i="83"/>
  <c r="Q524" i="83"/>
  <c r="C524" i="83"/>
  <c r="BD523" i="83"/>
  <c r="BC523" i="83"/>
  <c r="AY523" i="83"/>
  <c r="AX523" i="83"/>
  <c r="AW523" i="83"/>
  <c r="AP523" i="83"/>
  <c r="AQ523" i="83"/>
  <c r="BX523" i="83" s="1"/>
  <c r="CA523" i="83" s="1"/>
  <c r="AK523" i="83"/>
  <c r="AJ523" i="83"/>
  <c r="AI523" i="83"/>
  <c r="AH523" i="83"/>
  <c r="AG523" i="83"/>
  <c r="AF523" i="83"/>
  <c r="AE523" i="83"/>
  <c r="Q523" i="83"/>
  <c r="C523" i="83"/>
  <c r="BD522" i="83"/>
  <c r="BC522" i="83"/>
  <c r="AY522" i="83"/>
  <c r="AX522" i="83"/>
  <c r="AW522" i="83"/>
  <c r="AM522" i="83"/>
  <c r="AK522" i="83"/>
  <c r="AJ522" i="83"/>
  <c r="AI522" i="83"/>
  <c r="AH522" i="83"/>
  <c r="AG522" i="83"/>
  <c r="AF522" i="83"/>
  <c r="AE522" i="83"/>
  <c r="Q522" i="83"/>
  <c r="C522" i="83"/>
  <c r="BD521" i="83"/>
  <c r="BC521" i="83"/>
  <c r="BB521" i="83"/>
  <c r="AY521" i="83"/>
  <c r="AX521" i="83"/>
  <c r="AW521" i="83"/>
  <c r="AM521" i="83"/>
  <c r="AK521" i="83"/>
  <c r="AJ521" i="83"/>
  <c r="AI521" i="83"/>
  <c r="AH521" i="83"/>
  <c r="AG521" i="83"/>
  <c r="AF521" i="83"/>
  <c r="AE521" i="83"/>
  <c r="Q521" i="83"/>
  <c r="C521" i="83"/>
  <c r="BD520" i="83"/>
  <c r="BC520" i="83"/>
  <c r="AY520" i="83"/>
  <c r="AX520" i="83"/>
  <c r="AW520" i="83"/>
  <c r="AM520" i="83"/>
  <c r="AK520" i="83"/>
  <c r="AJ520" i="83"/>
  <c r="AI520" i="83"/>
  <c r="AH520" i="83"/>
  <c r="AG520" i="83"/>
  <c r="AF520" i="83"/>
  <c r="AE520" i="83"/>
  <c r="Q520" i="83"/>
  <c r="C520" i="83"/>
  <c r="BD519" i="83"/>
  <c r="BC519" i="83"/>
  <c r="BB519" i="83"/>
  <c r="AY519" i="83"/>
  <c r="AX519" i="83"/>
  <c r="AW519" i="83"/>
  <c r="AK519" i="83"/>
  <c r="AJ519" i="83"/>
  <c r="AI519" i="83"/>
  <c r="AH519" i="83"/>
  <c r="AG519" i="83"/>
  <c r="AF519" i="83"/>
  <c r="AE519" i="83"/>
  <c r="Q519" i="83"/>
  <c r="C519" i="83"/>
  <c r="BD518" i="83"/>
  <c r="BC518" i="83"/>
  <c r="BP518" i="83"/>
  <c r="AY518" i="83"/>
  <c r="AX518" i="83"/>
  <c r="AW518" i="83"/>
  <c r="AM518" i="83"/>
  <c r="AK518" i="83"/>
  <c r="AJ518" i="83"/>
  <c r="AI518" i="83"/>
  <c r="AH518" i="83"/>
  <c r="AG518" i="83"/>
  <c r="AF518" i="83"/>
  <c r="AE518" i="83"/>
  <c r="Y518" i="83"/>
  <c r="Z518" i="83" s="1"/>
  <c r="AP518" i="83" s="1"/>
  <c r="AQ518" i="83" s="1"/>
  <c r="BX518" i="83" s="1"/>
  <c r="CA518" i="83" s="1"/>
  <c r="Q518" i="83"/>
  <c r="C518" i="83"/>
  <c r="BD517" i="83"/>
  <c r="BC517" i="83"/>
  <c r="BP517" i="83"/>
  <c r="AY517" i="83"/>
  <c r="AX517" i="83"/>
  <c r="AW517" i="83"/>
  <c r="AM517" i="83"/>
  <c r="AK517" i="83"/>
  <c r="AJ517" i="83"/>
  <c r="AI517" i="83"/>
  <c r="AH517" i="83"/>
  <c r="AG517" i="83"/>
  <c r="AF517" i="83"/>
  <c r="AE517" i="83"/>
  <c r="Q517" i="83"/>
  <c r="C517" i="83"/>
  <c r="BD516" i="83"/>
  <c r="BC516" i="83"/>
  <c r="BB516" i="83"/>
  <c r="AY516" i="83"/>
  <c r="AX516" i="83"/>
  <c r="AW516" i="83"/>
  <c r="AM516" i="83"/>
  <c r="AK516" i="83"/>
  <c r="AJ516" i="83"/>
  <c r="AI516" i="83"/>
  <c r="AH516" i="83"/>
  <c r="AG516" i="83"/>
  <c r="AF516" i="83"/>
  <c r="AE516" i="83"/>
  <c r="Q516" i="83"/>
  <c r="C516" i="83"/>
  <c r="BI515" i="83"/>
  <c r="BD515" i="83" s="1"/>
  <c r="BC515" i="83"/>
  <c r="AX515" i="83"/>
  <c r="AW515" i="83"/>
  <c r="AM515" i="83"/>
  <c r="AK515" i="83"/>
  <c r="AJ515" i="83"/>
  <c r="AI515" i="83"/>
  <c r="AH515" i="83"/>
  <c r="AG515" i="83"/>
  <c r="AF515" i="83"/>
  <c r="AE515" i="83"/>
  <c r="Q515" i="83"/>
  <c r="C515" i="83"/>
  <c r="BK514" i="83"/>
  <c r="BO514" i="83"/>
  <c r="BJ514" i="83"/>
  <c r="BD514" i="83"/>
  <c r="BC514" i="83"/>
  <c r="AY514" i="83"/>
  <c r="AX514" i="83"/>
  <c r="AW514" i="83"/>
  <c r="AK514" i="83"/>
  <c r="AJ514" i="83"/>
  <c r="AI514" i="83"/>
  <c r="AH514" i="83"/>
  <c r="AG514" i="83"/>
  <c r="AF514" i="83"/>
  <c r="AE514" i="83"/>
  <c r="Q514" i="83"/>
  <c r="C514" i="83"/>
  <c r="BD513" i="83"/>
  <c r="BC513" i="83"/>
  <c r="BB513" i="83"/>
  <c r="AY513" i="83"/>
  <c r="AX513" i="83"/>
  <c r="AW513" i="83"/>
  <c r="AK513" i="83"/>
  <c r="AJ513" i="83"/>
  <c r="AI513" i="83"/>
  <c r="AH513" i="83"/>
  <c r="AG513" i="83"/>
  <c r="AF513" i="83"/>
  <c r="AE513" i="83"/>
  <c r="Q513" i="83"/>
  <c r="C513" i="83"/>
  <c r="BI512" i="83"/>
  <c r="BD512" i="83"/>
  <c r="BC512" i="83"/>
  <c r="BB512" i="83"/>
  <c r="AX512" i="83"/>
  <c r="AW512" i="83"/>
  <c r="AM512" i="83"/>
  <c r="BA512" i="83"/>
  <c r="AK512" i="83"/>
  <c r="AJ512" i="83"/>
  <c r="AI512" i="83"/>
  <c r="AH512" i="83"/>
  <c r="AG512" i="83"/>
  <c r="AF512" i="83"/>
  <c r="AE512" i="83"/>
  <c r="Q512" i="83"/>
  <c r="C512" i="83"/>
  <c r="BD511" i="83"/>
  <c r="BC511" i="83"/>
  <c r="BB511" i="83"/>
  <c r="AM511" i="83"/>
  <c r="AK511" i="83"/>
  <c r="AJ511" i="83"/>
  <c r="AI511" i="83"/>
  <c r="AH511" i="83"/>
  <c r="AG511" i="83"/>
  <c r="AF511" i="83"/>
  <c r="AE511" i="83"/>
  <c r="Q511" i="83"/>
  <c r="C511" i="83"/>
  <c r="BK510" i="83"/>
  <c r="BO510" i="83"/>
  <c r="BJ510" i="83"/>
  <c r="BC510" i="83"/>
  <c r="BB510" i="83" s="1"/>
  <c r="AY510" i="83"/>
  <c r="AX510" i="83"/>
  <c r="AW510" i="83"/>
  <c r="AK510" i="83"/>
  <c r="AJ510" i="83"/>
  <c r="AI510" i="83"/>
  <c r="AH510" i="83"/>
  <c r="AG510" i="83"/>
  <c r="AF510" i="83"/>
  <c r="AE510" i="83"/>
  <c r="Q510" i="83"/>
  <c r="C510" i="83"/>
  <c r="BD509" i="83"/>
  <c r="BC509" i="83"/>
  <c r="BP509" i="83"/>
  <c r="AY509" i="83"/>
  <c r="AX509" i="83"/>
  <c r="AW509" i="83"/>
  <c r="AM509" i="83"/>
  <c r="AK509" i="83"/>
  <c r="AJ509" i="83"/>
  <c r="AI509" i="83"/>
  <c r="AH509" i="83"/>
  <c r="AG509" i="83"/>
  <c r="AF509" i="83"/>
  <c r="AE509" i="83"/>
  <c r="Q509" i="83"/>
  <c r="C509" i="83"/>
  <c r="BD508" i="83"/>
  <c r="BC508" i="83"/>
  <c r="BB508" i="83"/>
  <c r="AY508" i="83"/>
  <c r="AX508" i="83"/>
  <c r="AW508" i="83"/>
  <c r="AM508" i="83"/>
  <c r="AK508" i="83"/>
  <c r="AJ508" i="83"/>
  <c r="AI508" i="83"/>
  <c r="AH508" i="83"/>
  <c r="AG508" i="83"/>
  <c r="AF508" i="83"/>
  <c r="AE508" i="83"/>
  <c r="Q508" i="83"/>
  <c r="C508" i="83"/>
  <c r="BI507" i="83"/>
  <c r="BD507" i="83" s="1"/>
  <c r="BC507" i="83"/>
  <c r="BB507" i="83" s="1"/>
  <c r="BA507" i="83"/>
  <c r="AX507" i="83"/>
  <c r="AW507" i="83"/>
  <c r="AK507" i="83"/>
  <c r="AJ507" i="83"/>
  <c r="AI507" i="83"/>
  <c r="AH507" i="83"/>
  <c r="AG507" i="83"/>
  <c r="AF507" i="83"/>
  <c r="AE507" i="83"/>
  <c r="Q507" i="83"/>
  <c r="O507" i="83"/>
  <c r="C507" i="83"/>
  <c r="BD506" i="83"/>
  <c r="BC506" i="83"/>
  <c r="BP506" i="83" s="1"/>
  <c r="AY506" i="83"/>
  <c r="AX506" i="83"/>
  <c r="AW506" i="83"/>
  <c r="AM506" i="83"/>
  <c r="AK506" i="83"/>
  <c r="AJ506" i="83"/>
  <c r="AI506" i="83"/>
  <c r="AH506" i="83"/>
  <c r="AG506" i="83"/>
  <c r="AF506" i="83"/>
  <c r="AE506" i="83"/>
  <c r="Q506" i="83"/>
  <c r="C506" i="83"/>
  <c r="BD505" i="83"/>
  <c r="BC505" i="83"/>
  <c r="BB505" i="83" s="1"/>
  <c r="AY505" i="83"/>
  <c r="AX505" i="83"/>
  <c r="AW505" i="83"/>
  <c r="AM505" i="83"/>
  <c r="AK505" i="83"/>
  <c r="AJ505" i="83"/>
  <c r="AI505" i="83"/>
  <c r="AH505" i="83"/>
  <c r="AG505" i="83"/>
  <c r="AF505" i="83"/>
  <c r="AE505" i="83"/>
  <c r="Q505" i="83"/>
  <c r="C505" i="83"/>
  <c r="BD504" i="83"/>
  <c r="BC504" i="83"/>
  <c r="BP504" i="83" s="1"/>
  <c r="AY504" i="83"/>
  <c r="AX504" i="83"/>
  <c r="AW504" i="83"/>
  <c r="AM504" i="83"/>
  <c r="AK504" i="83"/>
  <c r="AJ504" i="83"/>
  <c r="AI504" i="83"/>
  <c r="AH504" i="83"/>
  <c r="AG504" i="83"/>
  <c r="AF504" i="83"/>
  <c r="AE504" i="83"/>
  <c r="Q504" i="83"/>
  <c r="C504" i="83"/>
  <c r="BD503" i="83"/>
  <c r="BC503" i="83"/>
  <c r="BP503" i="83" s="1"/>
  <c r="AY503" i="83"/>
  <c r="AX503" i="83"/>
  <c r="AW503" i="83"/>
  <c r="AM503" i="83"/>
  <c r="AK503" i="83"/>
  <c r="AJ503" i="83"/>
  <c r="AI503" i="83"/>
  <c r="AH503" i="83"/>
  <c r="AG503" i="83"/>
  <c r="AF503" i="83"/>
  <c r="AE503" i="83"/>
  <c r="Q503" i="83"/>
  <c r="C503" i="83"/>
  <c r="BD502" i="83"/>
  <c r="BC502" i="83"/>
  <c r="AY502" i="83"/>
  <c r="AX502" i="83"/>
  <c r="AW502" i="83"/>
  <c r="AM502" i="83"/>
  <c r="AK502" i="83"/>
  <c r="AJ502" i="83"/>
  <c r="AI502" i="83"/>
  <c r="AH502" i="83"/>
  <c r="AG502" i="83"/>
  <c r="AF502" i="83"/>
  <c r="AE502" i="83"/>
  <c r="Q502" i="83"/>
  <c r="C502" i="83"/>
  <c r="BD501" i="83"/>
  <c r="BC501" i="83"/>
  <c r="AY501" i="83"/>
  <c r="AX501" i="83"/>
  <c r="AW501" i="83"/>
  <c r="AM501" i="83"/>
  <c r="AK501" i="83"/>
  <c r="AJ501" i="83"/>
  <c r="AI501" i="83"/>
  <c r="AH501" i="83"/>
  <c r="AG501" i="83"/>
  <c r="AF501" i="83"/>
  <c r="AE501" i="83"/>
  <c r="Q501" i="83"/>
  <c r="C501" i="83"/>
  <c r="BD500" i="83"/>
  <c r="BC500" i="83"/>
  <c r="AY500" i="83"/>
  <c r="AX500" i="83"/>
  <c r="AW500" i="83"/>
  <c r="AM500" i="83"/>
  <c r="AK500" i="83"/>
  <c r="AJ500" i="83"/>
  <c r="AI500" i="83"/>
  <c r="AH500" i="83"/>
  <c r="AG500" i="83"/>
  <c r="AF500" i="83"/>
  <c r="AE500" i="83"/>
  <c r="Y500" i="83"/>
  <c r="Q500" i="83"/>
  <c r="C500" i="83"/>
  <c r="BD499" i="83"/>
  <c r="BC499" i="83"/>
  <c r="BP499" i="83" s="1"/>
  <c r="AY499" i="83"/>
  <c r="AX499" i="83"/>
  <c r="AW499" i="83"/>
  <c r="AM499" i="83"/>
  <c r="AK499" i="83"/>
  <c r="AJ499" i="83"/>
  <c r="AI499" i="83"/>
  <c r="AH499" i="83"/>
  <c r="AG499" i="83"/>
  <c r="AF499" i="83"/>
  <c r="AE499" i="83"/>
  <c r="Q499" i="83"/>
  <c r="C499" i="83"/>
  <c r="BK498" i="83"/>
  <c r="BO498" i="83"/>
  <c r="BJ498" i="83"/>
  <c r="BD498" i="83"/>
  <c r="BC498" i="83"/>
  <c r="BB498" i="83"/>
  <c r="AY498" i="83"/>
  <c r="AX498" i="83"/>
  <c r="AW498" i="83"/>
  <c r="AP498" i="83"/>
  <c r="AQ498" i="83" s="1"/>
  <c r="AK498" i="83"/>
  <c r="AJ498" i="83"/>
  <c r="AI498" i="83"/>
  <c r="AH498" i="83"/>
  <c r="AG498" i="83"/>
  <c r="AF498" i="83"/>
  <c r="AE498" i="83"/>
  <c r="Q498" i="83"/>
  <c r="C498" i="83"/>
  <c r="BD497" i="83"/>
  <c r="BC497" i="83"/>
  <c r="BP497" i="83"/>
  <c r="AY497" i="83"/>
  <c r="AX497" i="83"/>
  <c r="AW497" i="83"/>
  <c r="AM497" i="83"/>
  <c r="AK497" i="83"/>
  <c r="AJ497" i="83"/>
  <c r="AI497" i="83"/>
  <c r="AH497" i="83"/>
  <c r="AG497" i="83"/>
  <c r="AF497" i="83"/>
  <c r="AE497" i="83"/>
  <c r="Q497" i="83"/>
  <c r="C497" i="83"/>
  <c r="BD496" i="83"/>
  <c r="BC496" i="83"/>
  <c r="BP496" i="83"/>
  <c r="AY496" i="83"/>
  <c r="AX496" i="83"/>
  <c r="AW496" i="83"/>
  <c r="AM496" i="83"/>
  <c r="AK496" i="83"/>
  <c r="AJ496" i="83"/>
  <c r="AI496" i="83"/>
  <c r="AH496" i="83"/>
  <c r="AG496" i="83"/>
  <c r="AF496" i="83"/>
  <c r="AE496" i="83"/>
  <c r="Q496" i="83"/>
  <c r="C496" i="83"/>
  <c r="BD495" i="83"/>
  <c r="BC495" i="83"/>
  <c r="BP495" i="83"/>
  <c r="AY495" i="83"/>
  <c r="AX495" i="83"/>
  <c r="AW495" i="83"/>
  <c r="AK495" i="83"/>
  <c r="AJ495" i="83"/>
  <c r="AI495" i="83"/>
  <c r="AH495" i="83"/>
  <c r="AG495" i="83"/>
  <c r="AF495" i="83"/>
  <c r="AE495" i="83"/>
  <c r="Q495" i="83"/>
  <c r="C495" i="83"/>
  <c r="BD494" i="83"/>
  <c r="BC494" i="83"/>
  <c r="AY494" i="83"/>
  <c r="AX494" i="83"/>
  <c r="AW494" i="83"/>
  <c r="AM494" i="83"/>
  <c r="AK494" i="83"/>
  <c r="AJ494" i="83"/>
  <c r="AI494" i="83"/>
  <c r="AH494" i="83"/>
  <c r="AG494" i="83"/>
  <c r="AF494" i="83"/>
  <c r="AE494" i="83"/>
  <c r="Q494" i="83"/>
  <c r="C494" i="83"/>
  <c r="BD493" i="83"/>
  <c r="BC493" i="83"/>
  <c r="BP493" i="83"/>
  <c r="AY493" i="83"/>
  <c r="AX493" i="83"/>
  <c r="AW493" i="83"/>
  <c r="AM493" i="83"/>
  <c r="AK493" i="83"/>
  <c r="AJ493" i="83"/>
  <c r="AI493" i="83"/>
  <c r="AH493" i="83"/>
  <c r="AG493" i="83"/>
  <c r="AF493" i="83"/>
  <c r="AE493" i="83"/>
  <c r="Q493" i="83"/>
  <c r="C493" i="83"/>
  <c r="BD492" i="83"/>
  <c r="BC492" i="83"/>
  <c r="BP492" i="83"/>
  <c r="AY492" i="83"/>
  <c r="AX492" i="83"/>
  <c r="AW492" i="83"/>
  <c r="AM492" i="83"/>
  <c r="AK492" i="83"/>
  <c r="AJ492" i="83"/>
  <c r="AI492" i="83"/>
  <c r="AH492" i="83"/>
  <c r="AG492" i="83"/>
  <c r="AF492" i="83"/>
  <c r="AE492" i="83"/>
  <c r="Q492" i="83"/>
  <c r="C492" i="83"/>
  <c r="BD491" i="83"/>
  <c r="BC491" i="83"/>
  <c r="BP491" i="83"/>
  <c r="AY491" i="83"/>
  <c r="AX491" i="83"/>
  <c r="AW491" i="83"/>
  <c r="AM491" i="83"/>
  <c r="AK491" i="83"/>
  <c r="AJ491" i="83"/>
  <c r="AI491" i="83"/>
  <c r="AH491" i="83"/>
  <c r="AG491" i="83"/>
  <c r="AF491" i="83"/>
  <c r="AE491" i="83"/>
  <c r="Q491" i="83"/>
  <c r="C491" i="83"/>
  <c r="BD490" i="83"/>
  <c r="BC490" i="83"/>
  <c r="AY490" i="83"/>
  <c r="AX490" i="83"/>
  <c r="AW490" i="83"/>
  <c r="AM490" i="83"/>
  <c r="AK490" i="83"/>
  <c r="AJ490" i="83"/>
  <c r="AI490" i="83"/>
  <c r="AH490" i="83"/>
  <c r="AG490" i="83"/>
  <c r="AF490" i="83"/>
  <c r="AE490" i="83"/>
  <c r="Y490" i="83"/>
  <c r="Z490" i="83" s="1"/>
  <c r="AP490" i="83" s="1"/>
  <c r="AQ490" i="83" s="1"/>
  <c r="BX490" i="83" s="1"/>
  <c r="Q490" i="83"/>
  <c r="C490" i="83"/>
  <c r="BD489" i="83"/>
  <c r="BC489" i="83"/>
  <c r="BP489" i="83"/>
  <c r="AY489" i="83"/>
  <c r="AX489" i="83"/>
  <c r="AW489" i="83"/>
  <c r="AM489" i="83"/>
  <c r="AK489" i="83"/>
  <c r="AJ489" i="83"/>
  <c r="AI489" i="83"/>
  <c r="AH489" i="83"/>
  <c r="AG489" i="83"/>
  <c r="AF489" i="83"/>
  <c r="AE489" i="83"/>
  <c r="Q489" i="83"/>
  <c r="C489" i="83"/>
  <c r="BD488" i="83"/>
  <c r="BC488" i="83"/>
  <c r="BP488" i="83"/>
  <c r="AY488" i="83"/>
  <c r="AX488" i="83"/>
  <c r="AW488" i="83"/>
  <c r="AM488" i="83"/>
  <c r="AK488" i="83"/>
  <c r="AJ488" i="83"/>
  <c r="AI488" i="83"/>
  <c r="AH488" i="83"/>
  <c r="AG488" i="83"/>
  <c r="AF488" i="83"/>
  <c r="AE488" i="83"/>
  <c r="Q488" i="83"/>
  <c r="C488" i="83"/>
  <c r="BD487" i="83"/>
  <c r="BC487" i="83"/>
  <c r="BP487" i="83"/>
  <c r="AY487" i="83"/>
  <c r="AX487" i="83"/>
  <c r="AW487" i="83"/>
  <c r="AM487" i="83"/>
  <c r="AK487" i="83"/>
  <c r="AJ487" i="83"/>
  <c r="AI487" i="83"/>
  <c r="AH487" i="83"/>
  <c r="AG487" i="83"/>
  <c r="AF487" i="83"/>
  <c r="AE487" i="83"/>
  <c r="Q487" i="83"/>
  <c r="C487" i="83"/>
  <c r="BD486" i="83"/>
  <c r="BC486" i="83"/>
  <c r="AY486" i="83"/>
  <c r="AX486" i="83"/>
  <c r="AW486" i="83"/>
  <c r="AM486" i="83"/>
  <c r="AK486" i="83"/>
  <c r="AJ486" i="83"/>
  <c r="AI486" i="83"/>
  <c r="AH486" i="83"/>
  <c r="AG486" i="83"/>
  <c r="AF486" i="83"/>
  <c r="AE486" i="83"/>
  <c r="Q486" i="83"/>
  <c r="C486" i="83"/>
  <c r="BD485" i="83"/>
  <c r="BC485" i="83"/>
  <c r="AY485" i="83"/>
  <c r="AX485" i="83"/>
  <c r="AW485" i="83"/>
  <c r="AK485" i="83"/>
  <c r="AJ485" i="83"/>
  <c r="AI485" i="83"/>
  <c r="AH485" i="83"/>
  <c r="AG485" i="83"/>
  <c r="AF485" i="83"/>
  <c r="AE485" i="83"/>
  <c r="Q485" i="83"/>
  <c r="C485" i="83"/>
  <c r="BD484" i="83"/>
  <c r="BC484" i="83"/>
  <c r="BP484" i="83"/>
  <c r="AY484" i="83"/>
  <c r="AX484" i="83"/>
  <c r="AW484" i="83"/>
  <c r="AM484" i="83"/>
  <c r="AK484" i="83"/>
  <c r="AJ484" i="83"/>
  <c r="AI484" i="83"/>
  <c r="AH484" i="83"/>
  <c r="AG484" i="83"/>
  <c r="AF484" i="83"/>
  <c r="AE484" i="83"/>
  <c r="Q484" i="83"/>
  <c r="C484" i="83"/>
  <c r="BD483" i="83"/>
  <c r="BC483" i="83"/>
  <c r="BP483" i="83"/>
  <c r="AY483" i="83"/>
  <c r="AX483" i="83"/>
  <c r="AW483" i="83"/>
  <c r="AM483" i="83"/>
  <c r="AK483" i="83"/>
  <c r="AJ483" i="83"/>
  <c r="AI483" i="83"/>
  <c r="AH483" i="83"/>
  <c r="AG483" i="83"/>
  <c r="AF483" i="83"/>
  <c r="AE483" i="83"/>
  <c r="Q483" i="83"/>
  <c r="C483" i="83"/>
  <c r="BD482" i="83"/>
  <c r="BC482" i="83"/>
  <c r="BP482" i="83"/>
  <c r="AY482" i="83"/>
  <c r="AX482" i="83"/>
  <c r="AW482" i="83"/>
  <c r="AM482" i="83"/>
  <c r="AK482" i="83"/>
  <c r="AJ482" i="83"/>
  <c r="AI482" i="83"/>
  <c r="AH482" i="83"/>
  <c r="AG482" i="83"/>
  <c r="AF482" i="83"/>
  <c r="AE482" i="83"/>
  <c r="Q482" i="83"/>
  <c r="C482" i="83"/>
  <c r="BD481" i="83"/>
  <c r="BC481" i="83"/>
  <c r="BB481" i="83"/>
  <c r="AY481" i="83"/>
  <c r="AX481" i="83"/>
  <c r="AW481" i="83"/>
  <c r="AM481" i="83"/>
  <c r="AK481" i="83"/>
  <c r="AJ481" i="83"/>
  <c r="AI481" i="83"/>
  <c r="AH481" i="83"/>
  <c r="AG481" i="83"/>
  <c r="AF481" i="83"/>
  <c r="AE481" i="83"/>
  <c r="Q481" i="83"/>
  <c r="C481" i="83"/>
  <c r="BI480" i="83"/>
  <c r="BD480" i="83" s="1"/>
  <c r="BC480" i="83"/>
  <c r="AY480" i="83"/>
  <c r="AX480" i="83"/>
  <c r="AW480" i="83"/>
  <c r="AK480" i="83"/>
  <c r="AJ480" i="83"/>
  <c r="AI480" i="83"/>
  <c r="AH480" i="83"/>
  <c r="AG480" i="83"/>
  <c r="AF480" i="83"/>
  <c r="AE480" i="83"/>
  <c r="Q480" i="83"/>
  <c r="C480" i="83"/>
  <c r="BI479" i="83"/>
  <c r="BD479" i="83" s="1"/>
  <c r="BC479" i="83"/>
  <c r="BP479" i="83"/>
  <c r="AX479" i="83"/>
  <c r="AW479" i="83"/>
  <c r="AM479" i="83"/>
  <c r="BA479" i="83"/>
  <c r="AK479" i="83"/>
  <c r="AJ479" i="83"/>
  <c r="AI479" i="83"/>
  <c r="AH479" i="83"/>
  <c r="AG479" i="83"/>
  <c r="AF479" i="83"/>
  <c r="AE479" i="83"/>
  <c r="Q479" i="83"/>
  <c r="C479" i="83"/>
  <c r="BD478" i="83"/>
  <c r="BC478" i="83"/>
  <c r="AY478" i="83"/>
  <c r="AX478" i="83"/>
  <c r="AW478" i="83"/>
  <c r="AM478" i="83"/>
  <c r="AK478" i="83"/>
  <c r="AJ478" i="83"/>
  <c r="AI478" i="83"/>
  <c r="AH478" i="83"/>
  <c r="AG478" i="83"/>
  <c r="AF478" i="83"/>
  <c r="AE478" i="83"/>
  <c r="Q478" i="83"/>
  <c r="C478" i="83"/>
  <c r="BD477" i="83"/>
  <c r="BC477" i="83"/>
  <c r="BB477" i="83" s="1"/>
  <c r="AY477" i="83"/>
  <c r="AX477" i="83"/>
  <c r="AW477" i="83"/>
  <c r="AM477" i="83"/>
  <c r="AK477" i="83"/>
  <c r="AJ477" i="83"/>
  <c r="AI477" i="83"/>
  <c r="AH477" i="83"/>
  <c r="AG477" i="83"/>
  <c r="AF477" i="83"/>
  <c r="AE477" i="83"/>
  <c r="Q477" i="83"/>
  <c r="C477" i="83"/>
  <c r="BI476" i="83"/>
  <c r="BD476" i="83" s="1"/>
  <c r="BC476" i="83"/>
  <c r="AY476" i="83"/>
  <c r="AX476" i="83"/>
  <c r="AW476" i="83"/>
  <c r="AP476" i="83"/>
  <c r="AQ476" i="83" s="1"/>
  <c r="BX476" i="83" s="1"/>
  <c r="CA476" i="83" s="1"/>
  <c r="AK476" i="83"/>
  <c r="AJ476" i="83"/>
  <c r="AI476" i="83"/>
  <c r="AH476" i="83"/>
  <c r="AG476" i="83"/>
  <c r="AF476" i="83"/>
  <c r="AE476" i="83"/>
  <c r="Q476" i="83"/>
  <c r="C476" i="83"/>
  <c r="BI475" i="83"/>
  <c r="BD475" i="83" s="1"/>
  <c r="BC475" i="83"/>
  <c r="BP475" i="83"/>
  <c r="AX475" i="83"/>
  <c r="AW475" i="83"/>
  <c r="AM475" i="83"/>
  <c r="BA475" i="83" s="1"/>
  <c r="AK475" i="83"/>
  <c r="AJ475" i="83"/>
  <c r="AI475" i="83"/>
  <c r="AH475" i="83"/>
  <c r="AG475" i="83"/>
  <c r="AF475" i="83"/>
  <c r="AE475" i="83"/>
  <c r="Q475" i="83"/>
  <c r="C475" i="83"/>
  <c r="BI474" i="83"/>
  <c r="BD474" i="83"/>
  <c r="BC474" i="83"/>
  <c r="BB474" i="83" s="1"/>
  <c r="AX474" i="83"/>
  <c r="AW474" i="83"/>
  <c r="AM474" i="83"/>
  <c r="AK474" i="83"/>
  <c r="AJ474" i="83"/>
  <c r="AI474" i="83"/>
  <c r="AH474" i="83"/>
  <c r="AG474" i="83"/>
  <c r="AF474" i="83"/>
  <c r="AE474" i="83"/>
  <c r="Y474" i="83"/>
  <c r="Q474" i="83"/>
  <c r="C474" i="83"/>
  <c r="BD473" i="83"/>
  <c r="BC473" i="83"/>
  <c r="AY473" i="83"/>
  <c r="AX473" i="83"/>
  <c r="AW473" i="83"/>
  <c r="AM473" i="83"/>
  <c r="AK473" i="83"/>
  <c r="AJ473" i="83"/>
  <c r="AI473" i="83"/>
  <c r="AH473" i="83"/>
  <c r="AG473" i="83"/>
  <c r="AF473" i="83"/>
  <c r="AE473" i="83"/>
  <c r="Y473" i="83"/>
  <c r="Q473" i="83"/>
  <c r="C473" i="83"/>
  <c r="BD472" i="83"/>
  <c r="BC472" i="83"/>
  <c r="BP472" i="83" s="1"/>
  <c r="AY472" i="83"/>
  <c r="AX472" i="83"/>
  <c r="AW472" i="83"/>
  <c r="AM472" i="83"/>
  <c r="AK472" i="83"/>
  <c r="AJ472" i="83"/>
  <c r="AI472" i="83"/>
  <c r="AH472" i="83"/>
  <c r="AG472" i="83"/>
  <c r="AF472" i="83"/>
  <c r="AE472" i="83"/>
  <c r="Q472" i="83"/>
  <c r="C472" i="83"/>
  <c r="BD471" i="83"/>
  <c r="BC471" i="83"/>
  <c r="BP471" i="83" s="1"/>
  <c r="AY471" i="83"/>
  <c r="AX471" i="83"/>
  <c r="AW471" i="83"/>
  <c r="AM471" i="83"/>
  <c r="AK471" i="83"/>
  <c r="AJ471" i="83"/>
  <c r="AI471" i="83"/>
  <c r="AH471" i="83"/>
  <c r="AG471" i="83"/>
  <c r="AF471" i="83"/>
  <c r="AE471" i="83"/>
  <c r="Y471" i="83"/>
  <c r="Z471" i="83" s="1"/>
  <c r="AP471" i="83" s="1"/>
  <c r="AQ471" i="83" s="1"/>
  <c r="BX471" i="83" s="1"/>
  <c r="Q471" i="83"/>
  <c r="C471" i="83"/>
  <c r="BD470" i="83"/>
  <c r="BC470" i="83"/>
  <c r="AY470" i="83"/>
  <c r="AX470" i="83"/>
  <c r="AW470" i="83"/>
  <c r="AM470" i="83"/>
  <c r="AK470" i="83"/>
  <c r="AJ470" i="83"/>
  <c r="AI470" i="83"/>
  <c r="AH470" i="83"/>
  <c r="AG470" i="83"/>
  <c r="AF470" i="83"/>
  <c r="AE470" i="83"/>
  <c r="Q470" i="83"/>
  <c r="C470" i="83"/>
  <c r="BI469" i="83"/>
  <c r="BD469" i="83"/>
  <c r="BC469" i="83"/>
  <c r="BB469" i="83"/>
  <c r="AX469" i="83"/>
  <c r="AW469" i="83"/>
  <c r="AM469" i="83"/>
  <c r="BA469" i="83" s="1"/>
  <c r="AK469" i="83"/>
  <c r="AJ469" i="83"/>
  <c r="AI469" i="83"/>
  <c r="AH469" i="83"/>
  <c r="AG469" i="83"/>
  <c r="AF469" i="83"/>
  <c r="AE469" i="83"/>
  <c r="Y469" i="83"/>
  <c r="Q469" i="83"/>
  <c r="C469" i="83"/>
  <c r="BD468" i="83"/>
  <c r="BC468" i="83"/>
  <c r="BP468" i="83" s="1"/>
  <c r="AY468" i="83"/>
  <c r="AX468" i="83"/>
  <c r="AW468" i="83"/>
  <c r="AM468" i="83"/>
  <c r="AK468" i="83"/>
  <c r="AJ468" i="83"/>
  <c r="AI468" i="83"/>
  <c r="AH468" i="83"/>
  <c r="AG468" i="83"/>
  <c r="AF468" i="83"/>
  <c r="AE468" i="83"/>
  <c r="Y468" i="83"/>
  <c r="Z468" i="83" s="1"/>
  <c r="AP468" i="83" s="1"/>
  <c r="AQ468" i="83" s="1"/>
  <c r="BX468" i="83" s="1"/>
  <c r="CA468" i="83" s="1"/>
  <c r="Q468" i="83"/>
  <c r="C468" i="83"/>
  <c r="BD467" i="83"/>
  <c r="BC467" i="83"/>
  <c r="BP467" i="83" s="1"/>
  <c r="AY467" i="83"/>
  <c r="AX467" i="83"/>
  <c r="AW467" i="83"/>
  <c r="AM467" i="83"/>
  <c r="AK467" i="83"/>
  <c r="AJ467" i="83"/>
  <c r="AI467" i="83"/>
  <c r="AH467" i="83"/>
  <c r="AG467" i="83"/>
  <c r="AF467" i="83"/>
  <c r="AE467" i="83"/>
  <c r="Q467" i="83"/>
  <c r="C467" i="83"/>
  <c r="BD466" i="83"/>
  <c r="BC466" i="83"/>
  <c r="AY466" i="83"/>
  <c r="AX466" i="83"/>
  <c r="AW466" i="83"/>
  <c r="AM466" i="83"/>
  <c r="AK466" i="83"/>
  <c r="AJ466" i="83"/>
  <c r="AI466" i="83"/>
  <c r="AH466" i="83"/>
  <c r="AG466" i="83"/>
  <c r="AF466" i="83"/>
  <c r="AE466" i="83"/>
  <c r="Q466" i="83"/>
  <c r="C466" i="83"/>
  <c r="BD465" i="83"/>
  <c r="BC465" i="83"/>
  <c r="BP465" i="83" s="1"/>
  <c r="AY465" i="83"/>
  <c r="AX465" i="83"/>
  <c r="AW465" i="83"/>
  <c r="AM465" i="83"/>
  <c r="AK465" i="83"/>
  <c r="AJ465" i="83"/>
  <c r="AI465" i="83"/>
  <c r="AH465" i="83"/>
  <c r="AG465" i="83"/>
  <c r="AF465" i="83"/>
  <c r="AE465" i="83"/>
  <c r="Q465" i="83"/>
  <c r="C465" i="83"/>
  <c r="BD464" i="83"/>
  <c r="BC464" i="83"/>
  <c r="BP464" i="83" s="1"/>
  <c r="AY464" i="83"/>
  <c r="AX464" i="83"/>
  <c r="AW464" i="83"/>
  <c r="AM464" i="83"/>
  <c r="AK464" i="83"/>
  <c r="AJ464" i="83"/>
  <c r="AI464" i="83"/>
  <c r="AH464" i="83"/>
  <c r="AG464" i="83"/>
  <c r="AF464" i="83"/>
  <c r="AE464" i="83"/>
  <c r="Q464" i="83"/>
  <c r="C464" i="83"/>
  <c r="BI463" i="83"/>
  <c r="BD463" i="83"/>
  <c r="BC463" i="83"/>
  <c r="AX463" i="83"/>
  <c r="AW463" i="83"/>
  <c r="AM463" i="83"/>
  <c r="BA463" i="83"/>
  <c r="AK463" i="83"/>
  <c r="AJ463" i="83"/>
  <c r="AI463" i="83"/>
  <c r="AH463" i="83"/>
  <c r="AG463" i="83"/>
  <c r="AF463" i="83"/>
  <c r="AE463" i="83"/>
  <c r="Y463" i="83"/>
  <c r="Z463" i="83" s="1"/>
  <c r="AP463" i="83" s="1"/>
  <c r="AQ463" i="83" s="1"/>
  <c r="BX463" i="83" s="1"/>
  <c r="CA463" i="83" s="1"/>
  <c r="Q463" i="83"/>
  <c r="C463" i="83"/>
  <c r="BD462" i="83"/>
  <c r="BC462" i="83"/>
  <c r="BP462" i="83" s="1"/>
  <c r="AY462" i="83"/>
  <c r="AX462" i="83"/>
  <c r="AW462" i="83"/>
  <c r="AM462" i="83"/>
  <c r="AK462" i="83"/>
  <c r="AJ462" i="83"/>
  <c r="AI462" i="83"/>
  <c r="AH462" i="83"/>
  <c r="AG462" i="83"/>
  <c r="AF462" i="83"/>
  <c r="AE462" i="83"/>
  <c r="Q462" i="83"/>
  <c r="C462" i="83"/>
  <c r="BD461" i="83"/>
  <c r="BC461" i="83"/>
  <c r="BP461" i="83" s="1"/>
  <c r="AY461" i="83"/>
  <c r="AX461" i="83"/>
  <c r="AW461" i="83"/>
  <c r="AM461" i="83"/>
  <c r="AK461" i="83"/>
  <c r="AJ461" i="83"/>
  <c r="AI461" i="83"/>
  <c r="AH461" i="83"/>
  <c r="AG461" i="83"/>
  <c r="AF461" i="83"/>
  <c r="AE461" i="83"/>
  <c r="Q461" i="83"/>
  <c r="C461" i="83"/>
  <c r="BK460" i="83"/>
  <c r="BO460" i="83" s="1"/>
  <c r="BJ460" i="83"/>
  <c r="BD460" i="83"/>
  <c r="BC460" i="83"/>
  <c r="BB460" i="83"/>
  <c r="AY460" i="83"/>
  <c r="AX460" i="83"/>
  <c r="AW460" i="83"/>
  <c r="AP460" i="83"/>
  <c r="AQ460" i="83" s="1"/>
  <c r="BX460" i="83" s="1"/>
  <c r="AK460" i="83"/>
  <c r="AJ460" i="83"/>
  <c r="AI460" i="83"/>
  <c r="AH460" i="83"/>
  <c r="AG460" i="83"/>
  <c r="AF460" i="83"/>
  <c r="AE460" i="83"/>
  <c r="Q460" i="83"/>
  <c r="C460" i="83"/>
  <c r="BD459" i="83"/>
  <c r="BC459" i="83"/>
  <c r="AY459" i="83"/>
  <c r="AX459" i="83"/>
  <c r="AW459" i="83"/>
  <c r="AM459" i="83"/>
  <c r="AK459" i="83"/>
  <c r="AJ459" i="83"/>
  <c r="AI459" i="83"/>
  <c r="AH459" i="83"/>
  <c r="AG459" i="83"/>
  <c r="AF459" i="83"/>
  <c r="AE459" i="83"/>
  <c r="Q459" i="83"/>
  <c r="C459" i="83"/>
  <c r="BD458" i="83"/>
  <c r="BC458" i="83"/>
  <c r="BP458" i="83"/>
  <c r="AY458" i="83"/>
  <c r="AX458" i="83"/>
  <c r="AW458" i="83"/>
  <c r="AM458" i="83"/>
  <c r="AK458" i="83"/>
  <c r="AJ458" i="83"/>
  <c r="AI458" i="83"/>
  <c r="AH458" i="83"/>
  <c r="AG458" i="83"/>
  <c r="AF458" i="83"/>
  <c r="AE458" i="83"/>
  <c r="Y458" i="83"/>
  <c r="Q458" i="83"/>
  <c r="C458" i="83"/>
  <c r="BD457" i="83"/>
  <c r="BC457" i="83"/>
  <c r="BP457" i="83" s="1"/>
  <c r="AY457" i="83"/>
  <c r="AX457" i="83"/>
  <c r="AW457" i="83"/>
  <c r="AM457" i="83"/>
  <c r="AK457" i="83"/>
  <c r="AJ457" i="83"/>
  <c r="AI457" i="83"/>
  <c r="AH457" i="83"/>
  <c r="AG457" i="83"/>
  <c r="AF457" i="83"/>
  <c r="AE457" i="83"/>
  <c r="Q457" i="83"/>
  <c r="C457" i="83"/>
  <c r="BD456" i="83"/>
  <c r="BC456" i="83"/>
  <c r="AY456" i="83"/>
  <c r="AX456" i="83"/>
  <c r="AW456" i="83"/>
  <c r="AM456" i="83"/>
  <c r="AK456" i="83"/>
  <c r="AJ456" i="83"/>
  <c r="AI456" i="83"/>
  <c r="AH456" i="83"/>
  <c r="AG456" i="83"/>
  <c r="AF456" i="83"/>
  <c r="AE456" i="83"/>
  <c r="C456" i="83"/>
  <c r="BD455" i="83"/>
  <c r="BC455" i="83"/>
  <c r="AY455" i="83"/>
  <c r="AX455" i="83"/>
  <c r="AW455" i="83"/>
  <c r="AP455" i="83"/>
  <c r="AM455" i="83"/>
  <c r="AK455" i="83"/>
  <c r="AJ455" i="83"/>
  <c r="AI455" i="83"/>
  <c r="AH455" i="83"/>
  <c r="AG455" i="83"/>
  <c r="AF455" i="83"/>
  <c r="AE455" i="83"/>
  <c r="Q455" i="83"/>
  <c r="C455" i="83"/>
  <c r="BD454" i="83"/>
  <c r="BC454" i="83"/>
  <c r="AY454" i="83"/>
  <c r="AX454" i="83"/>
  <c r="AW454" i="83"/>
  <c r="AP454" i="83"/>
  <c r="AM454" i="83"/>
  <c r="AK454" i="83"/>
  <c r="AJ454" i="83"/>
  <c r="AI454" i="83"/>
  <c r="AH454" i="83"/>
  <c r="AG454" i="83"/>
  <c r="AF454" i="83"/>
  <c r="AE454" i="83"/>
  <c r="Q454" i="83"/>
  <c r="C454" i="83"/>
  <c r="BD453" i="83"/>
  <c r="BC453" i="83"/>
  <c r="AY453" i="83"/>
  <c r="AX453" i="83"/>
  <c r="AW453" i="83"/>
  <c r="AP453" i="83"/>
  <c r="AM453" i="83"/>
  <c r="AK453" i="83"/>
  <c r="AJ453" i="83"/>
  <c r="AI453" i="83"/>
  <c r="AH453" i="83"/>
  <c r="AG453" i="83"/>
  <c r="AF453" i="83"/>
  <c r="AE453" i="83"/>
  <c r="Y453" i="83"/>
  <c r="Q453" i="83"/>
  <c r="C453" i="83"/>
  <c r="BD452" i="83"/>
  <c r="BC452" i="83"/>
  <c r="BB452" i="83"/>
  <c r="AY452" i="83"/>
  <c r="AX452" i="83"/>
  <c r="AW452" i="83"/>
  <c r="AP452" i="83"/>
  <c r="AM452" i="83"/>
  <c r="AK452" i="83"/>
  <c r="AJ452" i="83"/>
  <c r="AI452" i="83"/>
  <c r="AH452" i="83"/>
  <c r="AG452" i="83"/>
  <c r="AF452" i="83"/>
  <c r="AE452" i="83"/>
  <c r="Q452" i="83"/>
  <c r="C452" i="83"/>
  <c r="BD451" i="83"/>
  <c r="BC451" i="83"/>
  <c r="BP451" i="83" s="1"/>
  <c r="AY451" i="83"/>
  <c r="AX451" i="83"/>
  <c r="AW451" i="83"/>
  <c r="AP451" i="83"/>
  <c r="AM451" i="83"/>
  <c r="AK451" i="83"/>
  <c r="AJ451" i="83"/>
  <c r="AI451" i="83"/>
  <c r="AH451" i="83"/>
  <c r="AG451" i="83"/>
  <c r="AF451" i="83"/>
  <c r="AE451" i="83"/>
  <c r="Q451" i="83"/>
  <c r="C451" i="83"/>
  <c r="BD450" i="83"/>
  <c r="BC450" i="83"/>
  <c r="BP450" i="83"/>
  <c r="AY450" i="83"/>
  <c r="AX450" i="83"/>
  <c r="AW450" i="83"/>
  <c r="AP450" i="83"/>
  <c r="AM450" i="83"/>
  <c r="AK450" i="83"/>
  <c r="AJ450" i="83"/>
  <c r="AI450" i="83"/>
  <c r="AH450" i="83"/>
  <c r="AG450" i="83"/>
  <c r="AF450" i="83"/>
  <c r="AE450" i="83"/>
  <c r="Q450" i="83"/>
  <c r="C450" i="83"/>
  <c r="BD449" i="83"/>
  <c r="BC449" i="83"/>
  <c r="BP449" i="83"/>
  <c r="AY449" i="83"/>
  <c r="AX449" i="83"/>
  <c r="AW449" i="83"/>
  <c r="AP449" i="83"/>
  <c r="AM449" i="83"/>
  <c r="AK449" i="83"/>
  <c r="AJ449" i="83"/>
  <c r="AI449" i="83"/>
  <c r="AH449" i="83"/>
  <c r="AG449" i="83"/>
  <c r="AF449" i="83"/>
  <c r="AE449" i="83"/>
  <c r="Q449" i="83"/>
  <c r="C449" i="83"/>
  <c r="BD448" i="83"/>
  <c r="BC448" i="83"/>
  <c r="AY448" i="83"/>
  <c r="AX448" i="83"/>
  <c r="AW448" i="83"/>
  <c r="AM448" i="83"/>
  <c r="AK448" i="83"/>
  <c r="AJ448" i="83"/>
  <c r="AI448" i="83"/>
  <c r="AH448" i="83"/>
  <c r="AG448" i="83"/>
  <c r="AF448" i="83"/>
  <c r="AE448" i="83"/>
  <c r="Q448" i="83"/>
  <c r="C448" i="83"/>
  <c r="BD447" i="83"/>
  <c r="BC447" i="83"/>
  <c r="BB447" i="83"/>
  <c r="AM447" i="83"/>
  <c r="AK447" i="83"/>
  <c r="AJ447" i="83"/>
  <c r="AI447" i="83"/>
  <c r="AH447" i="83"/>
  <c r="AG447" i="83"/>
  <c r="AF447" i="83"/>
  <c r="AE447" i="83"/>
  <c r="Q447" i="83"/>
  <c r="C447" i="83"/>
  <c r="BK446" i="83"/>
  <c r="BO446" i="83"/>
  <c r="BJ446" i="83"/>
  <c r="BD446" i="83"/>
  <c r="BC446" i="83"/>
  <c r="AY446" i="83"/>
  <c r="AX446" i="83"/>
  <c r="AW446" i="83"/>
  <c r="AK446" i="83"/>
  <c r="AJ446" i="83"/>
  <c r="AI446" i="83"/>
  <c r="AH446" i="83"/>
  <c r="AG446" i="83"/>
  <c r="AF446" i="83"/>
  <c r="AE446" i="83"/>
  <c r="Y446" i="83"/>
  <c r="Z446" i="83" s="1"/>
  <c r="AP446" i="83" s="1"/>
  <c r="AQ446" i="83" s="1"/>
  <c r="BX446" i="83" s="1"/>
  <c r="CA446" i="83" s="1"/>
  <c r="Q446" i="83"/>
  <c r="C446" i="83"/>
  <c r="BD445" i="83"/>
  <c r="BC445" i="83"/>
  <c r="BP445" i="83"/>
  <c r="AY445" i="83"/>
  <c r="AX445" i="83"/>
  <c r="AW445" i="83"/>
  <c r="AM445" i="83"/>
  <c r="AK445" i="83"/>
  <c r="AJ445" i="83"/>
  <c r="AI445" i="83"/>
  <c r="AH445" i="83"/>
  <c r="AG445" i="83"/>
  <c r="AF445" i="83"/>
  <c r="AE445" i="83"/>
  <c r="Y445" i="83"/>
  <c r="Z445" i="83" s="1"/>
  <c r="AP445" i="83" s="1"/>
  <c r="AQ445" i="83" s="1"/>
  <c r="BX445" i="83" s="1"/>
  <c r="Q445" i="83"/>
  <c r="C445" i="83"/>
  <c r="BD444" i="83"/>
  <c r="BC444" i="83"/>
  <c r="AY444" i="83"/>
  <c r="AX444" i="83"/>
  <c r="AW444" i="83"/>
  <c r="AM444" i="83"/>
  <c r="AK444" i="83"/>
  <c r="AJ444" i="83"/>
  <c r="AI444" i="83"/>
  <c r="AH444" i="83"/>
  <c r="AG444" i="83"/>
  <c r="AF444" i="83"/>
  <c r="AE444" i="83"/>
  <c r="Y444" i="83"/>
  <c r="Z444" i="83" s="1"/>
  <c r="AP444" i="83" s="1"/>
  <c r="AQ444" i="83" s="1"/>
  <c r="Q444" i="83"/>
  <c r="C444" i="83"/>
  <c r="BD443" i="83"/>
  <c r="BC443" i="83"/>
  <c r="BB443" i="83"/>
  <c r="AY443" i="83"/>
  <c r="AX443" i="83"/>
  <c r="AW443" i="83"/>
  <c r="AM443" i="83"/>
  <c r="AK443" i="83"/>
  <c r="AJ443" i="83"/>
  <c r="AI443" i="83"/>
  <c r="AH443" i="83"/>
  <c r="AG443" i="83"/>
  <c r="AF443" i="83"/>
  <c r="AE443" i="83"/>
  <c r="Q443" i="83"/>
  <c r="O443" i="83"/>
  <c r="C443" i="83"/>
  <c r="BD442" i="83"/>
  <c r="BC442" i="83"/>
  <c r="AY442" i="83"/>
  <c r="AX442" i="83"/>
  <c r="AW442" i="83"/>
  <c r="AM442" i="83"/>
  <c r="AK442" i="83"/>
  <c r="AJ442" i="83"/>
  <c r="AI442" i="83"/>
  <c r="AH442" i="83"/>
  <c r="AG442" i="83"/>
  <c r="AF442" i="83"/>
  <c r="AE442" i="83"/>
  <c r="Q442" i="83"/>
  <c r="O442" i="83"/>
  <c r="C442" i="83"/>
  <c r="BP441" i="83"/>
  <c r="BB441" i="83"/>
  <c r="AY441" i="83"/>
  <c r="AX441" i="83"/>
  <c r="AW441" i="83"/>
  <c r="AM441" i="83"/>
  <c r="AK441" i="83"/>
  <c r="AJ441" i="83"/>
  <c r="AI441" i="83"/>
  <c r="AH441" i="83"/>
  <c r="AG441" i="83"/>
  <c r="AF441" i="83"/>
  <c r="AE441" i="83"/>
  <c r="Y441" i="83"/>
  <c r="Q441" i="83"/>
  <c r="C441" i="83"/>
  <c r="BD440" i="83"/>
  <c r="BC440" i="83"/>
  <c r="BP440" i="83" s="1"/>
  <c r="AY440" i="83"/>
  <c r="AX440" i="83"/>
  <c r="AW440" i="83"/>
  <c r="AM440" i="83"/>
  <c r="AK440" i="83"/>
  <c r="AJ440" i="83"/>
  <c r="AI440" i="83"/>
  <c r="AH440" i="83"/>
  <c r="AG440" i="83"/>
  <c r="AF440" i="83"/>
  <c r="AE440" i="83"/>
  <c r="Y440" i="83"/>
  <c r="Z440" i="83" s="1"/>
  <c r="AP440" i="83" s="1"/>
  <c r="AQ440" i="83" s="1"/>
  <c r="BX440" i="83" s="1"/>
  <c r="Q440" i="83"/>
  <c r="C440" i="83"/>
  <c r="BJ439" i="83"/>
  <c r="BH439" i="83"/>
  <c r="BD439" i="83" s="1"/>
  <c r="BC439" i="83"/>
  <c r="BB439" i="83" s="1"/>
  <c r="AY439" i="83"/>
  <c r="AW439" i="83"/>
  <c r="AM439" i="83"/>
  <c r="BK439" i="83"/>
  <c r="BO439" i="83" s="1"/>
  <c r="AK439" i="83"/>
  <c r="AJ439" i="83"/>
  <c r="AI439" i="83"/>
  <c r="AH439" i="83"/>
  <c r="AG439" i="83"/>
  <c r="AF439" i="83"/>
  <c r="AE439" i="83"/>
  <c r="Q439" i="83"/>
  <c r="C439" i="83"/>
  <c r="BD438" i="83"/>
  <c r="BC438" i="83"/>
  <c r="BB438" i="83"/>
  <c r="AY438" i="83"/>
  <c r="AX438" i="83"/>
  <c r="AW438" i="83"/>
  <c r="AM438" i="83"/>
  <c r="AK438" i="83"/>
  <c r="AJ438" i="83"/>
  <c r="AI438" i="83"/>
  <c r="AH438" i="83"/>
  <c r="AG438" i="83"/>
  <c r="AF438" i="83"/>
  <c r="AE438" i="83"/>
  <c r="Y438" i="83"/>
  <c r="Z438" i="83" s="1"/>
  <c r="AP438" i="83" s="1"/>
  <c r="AQ438" i="83" s="1"/>
  <c r="Q438" i="83"/>
  <c r="C438" i="83"/>
  <c r="BD437" i="83"/>
  <c r="BC437" i="83"/>
  <c r="BB437" i="83" s="1"/>
  <c r="AY437" i="83"/>
  <c r="AX437" i="83"/>
  <c r="AW437" i="83"/>
  <c r="AM437" i="83"/>
  <c r="AK437" i="83"/>
  <c r="AJ437" i="83"/>
  <c r="AI437" i="83"/>
  <c r="AH437" i="83"/>
  <c r="AG437" i="83"/>
  <c r="AF437" i="83"/>
  <c r="AE437" i="83"/>
  <c r="Q437" i="83"/>
  <c r="C437" i="83"/>
  <c r="BD436" i="83"/>
  <c r="BC436" i="83"/>
  <c r="AY436" i="83"/>
  <c r="AX436" i="83"/>
  <c r="AW436" i="83"/>
  <c r="AM436" i="83"/>
  <c r="AK436" i="83"/>
  <c r="AJ436" i="83"/>
  <c r="AI436" i="83"/>
  <c r="AH436" i="83"/>
  <c r="AG436" i="83"/>
  <c r="AF436" i="83"/>
  <c r="AE436" i="83"/>
  <c r="Q436" i="83"/>
  <c r="C436" i="83"/>
  <c r="BD435" i="83"/>
  <c r="BC435" i="83"/>
  <c r="BP435" i="83"/>
  <c r="AY435" i="83"/>
  <c r="AX435" i="83"/>
  <c r="AW435" i="83"/>
  <c r="AM435" i="83"/>
  <c r="AK435" i="83"/>
  <c r="AJ435" i="83"/>
  <c r="AI435" i="83"/>
  <c r="AH435" i="83"/>
  <c r="AG435" i="83"/>
  <c r="AF435" i="83"/>
  <c r="AE435" i="83"/>
  <c r="Q435" i="83"/>
  <c r="C435" i="83"/>
  <c r="BD434" i="83"/>
  <c r="BC434" i="83"/>
  <c r="BP434" i="83"/>
  <c r="AY434" i="83"/>
  <c r="AX434" i="83"/>
  <c r="AW434" i="83"/>
  <c r="AM434" i="83"/>
  <c r="AK434" i="83"/>
  <c r="AJ434" i="83"/>
  <c r="AI434" i="83"/>
  <c r="AH434" i="83"/>
  <c r="AG434" i="83"/>
  <c r="AF434" i="83"/>
  <c r="AE434" i="83"/>
  <c r="Q434" i="83"/>
  <c r="C434" i="83"/>
  <c r="BJ433" i="83"/>
  <c r="BH433" i="83"/>
  <c r="BD433" i="83"/>
  <c r="BC433" i="83"/>
  <c r="BB433" i="83"/>
  <c r="AY433" i="83"/>
  <c r="AW433" i="83"/>
  <c r="AM433" i="83"/>
  <c r="BA433" i="83"/>
  <c r="AK433" i="83"/>
  <c r="AJ433" i="83"/>
  <c r="AI433" i="83"/>
  <c r="AH433" i="83"/>
  <c r="AG433" i="83"/>
  <c r="AF433" i="83"/>
  <c r="AE433" i="83"/>
  <c r="Y433" i="83"/>
  <c r="Z433" i="83" s="1"/>
  <c r="AP433" i="83" s="1"/>
  <c r="AQ433" i="83" s="1"/>
  <c r="Q433" i="83"/>
  <c r="C433" i="83"/>
  <c r="BD432" i="83"/>
  <c r="BC432" i="83"/>
  <c r="BB432" i="83"/>
  <c r="AY432" i="83"/>
  <c r="AX432" i="83"/>
  <c r="AW432" i="83"/>
  <c r="AM432" i="83"/>
  <c r="AK432" i="83"/>
  <c r="AJ432" i="83"/>
  <c r="AI432" i="83"/>
  <c r="AH432" i="83"/>
  <c r="AG432" i="83"/>
  <c r="AF432" i="83"/>
  <c r="AE432" i="83"/>
  <c r="Q432" i="83"/>
  <c r="C432" i="83"/>
  <c r="BD431" i="83"/>
  <c r="BC431" i="83"/>
  <c r="AY431" i="83"/>
  <c r="AX431" i="83"/>
  <c r="AW431" i="83"/>
  <c r="AM431" i="83"/>
  <c r="AK431" i="83"/>
  <c r="AJ431" i="83"/>
  <c r="AI431" i="83"/>
  <c r="AH431" i="83"/>
  <c r="AG431" i="83"/>
  <c r="AF431" i="83"/>
  <c r="AE431" i="83"/>
  <c r="Y431" i="83"/>
  <c r="Z431" i="83" s="1"/>
  <c r="AP431" i="83" s="1"/>
  <c r="AQ431" i="83" s="1"/>
  <c r="BX431" i="83" s="1"/>
  <c r="Q431" i="83"/>
  <c r="O431" i="83"/>
  <c r="C431" i="83"/>
  <c r="BD430" i="83"/>
  <c r="BC430" i="83"/>
  <c r="BB430" i="83" s="1"/>
  <c r="AY430" i="83"/>
  <c r="AX430" i="83"/>
  <c r="AW430" i="83"/>
  <c r="AM430" i="83"/>
  <c r="AK430" i="83"/>
  <c r="AJ430" i="83"/>
  <c r="AI430" i="83"/>
  <c r="AH430" i="83"/>
  <c r="AG430" i="83"/>
  <c r="AF430" i="83"/>
  <c r="AE430" i="83"/>
  <c r="Y430" i="83"/>
  <c r="Z430" i="83" s="1"/>
  <c r="AP430" i="83" s="1"/>
  <c r="AQ430" i="83" s="1"/>
  <c r="BX430" i="83" s="1"/>
  <c r="CA430" i="83" s="1"/>
  <c r="Q430" i="83"/>
  <c r="C430" i="83"/>
  <c r="BD429" i="83"/>
  <c r="BC429" i="83"/>
  <c r="BB429" i="83"/>
  <c r="AY429" i="83"/>
  <c r="AX429" i="83"/>
  <c r="AW429" i="83"/>
  <c r="AM429" i="83"/>
  <c r="AK429" i="83"/>
  <c r="AJ429" i="83"/>
  <c r="AI429" i="83"/>
  <c r="AH429" i="83"/>
  <c r="AG429" i="83"/>
  <c r="AF429" i="83"/>
  <c r="AE429" i="83"/>
  <c r="Q429" i="83"/>
  <c r="C429" i="83"/>
  <c r="BD428" i="83"/>
  <c r="BC428" i="83"/>
  <c r="BB428" i="83"/>
  <c r="AY428" i="83"/>
  <c r="AX428" i="83"/>
  <c r="AW428" i="83"/>
  <c r="AM428" i="83"/>
  <c r="AK428" i="83"/>
  <c r="AJ428" i="83"/>
  <c r="AI428" i="83"/>
  <c r="AH428" i="83"/>
  <c r="AG428" i="83"/>
  <c r="AF428" i="83"/>
  <c r="AE428" i="83"/>
  <c r="Q428" i="83"/>
  <c r="C428" i="83"/>
  <c r="BD427" i="83"/>
  <c r="BC427" i="83"/>
  <c r="BB427" i="83"/>
  <c r="AY427" i="83"/>
  <c r="AX427" i="83"/>
  <c r="AW427" i="83"/>
  <c r="AM427" i="83"/>
  <c r="AK427" i="83"/>
  <c r="AJ427" i="83"/>
  <c r="AI427" i="83"/>
  <c r="AH427" i="83"/>
  <c r="AG427" i="83"/>
  <c r="AF427" i="83"/>
  <c r="AE427" i="83"/>
  <c r="Y427" i="83"/>
  <c r="Q427" i="83"/>
  <c r="C427" i="83"/>
  <c r="BJ426" i="83"/>
  <c r="BD426" i="83"/>
  <c r="BC426" i="83"/>
  <c r="BB426" i="83" s="1"/>
  <c r="AM426" i="83"/>
  <c r="AK426" i="83"/>
  <c r="AJ426" i="83"/>
  <c r="AI426" i="83"/>
  <c r="AH426" i="83"/>
  <c r="AG426" i="83"/>
  <c r="AF426" i="83"/>
  <c r="AE426" i="83"/>
  <c r="Q426" i="83"/>
  <c r="C426" i="83"/>
  <c r="BK425" i="83"/>
  <c r="BO425" i="83"/>
  <c r="BJ425" i="83"/>
  <c r="BD425" i="83"/>
  <c r="BC425" i="83"/>
  <c r="BB425" i="83" s="1"/>
  <c r="AY425" i="83"/>
  <c r="AX425" i="83"/>
  <c r="AW425" i="83"/>
  <c r="AQ425" i="83"/>
  <c r="AK425" i="83"/>
  <c r="AJ425" i="83"/>
  <c r="AI425" i="83"/>
  <c r="AH425" i="83"/>
  <c r="AG425" i="83"/>
  <c r="AF425" i="83"/>
  <c r="AE425" i="83"/>
  <c r="Q425" i="83"/>
  <c r="C425" i="83"/>
  <c r="BD424" i="83"/>
  <c r="BC424" i="83"/>
  <c r="BB424" i="83" s="1"/>
  <c r="AY424" i="83"/>
  <c r="AX424" i="83"/>
  <c r="AW424" i="83"/>
  <c r="AM424" i="83"/>
  <c r="AK424" i="83"/>
  <c r="AJ424" i="83"/>
  <c r="AI424" i="83"/>
  <c r="AH424" i="83"/>
  <c r="AG424" i="83"/>
  <c r="AF424" i="83"/>
  <c r="AE424" i="83"/>
  <c r="Y424" i="83"/>
  <c r="Z424" i="83" s="1"/>
  <c r="AP424" i="83" s="1"/>
  <c r="Q424" i="83"/>
  <c r="C424" i="83"/>
  <c r="BJ423" i="83"/>
  <c r="BH423" i="83"/>
  <c r="BD423" i="83"/>
  <c r="BC423" i="83"/>
  <c r="BB423" i="83" s="1"/>
  <c r="AY423" i="83"/>
  <c r="AW423" i="83"/>
  <c r="AM423" i="83"/>
  <c r="BK423" i="83" s="1"/>
  <c r="BO423" i="83" s="1"/>
  <c r="AK423" i="83"/>
  <c r="AJ423" i="83"/>
  <c r="AI423" i="83"/>
  <c r="AH423" i="83"/>
  <c r="AG423" i="83"/>
  <c r="AF423" i="83"/>
  <c r="AE423" i="83"/>
  <c r="Q423" i="83"/>
  <c r="O423" i="83"/>
  <c r="C423" i="83"/>
  <c r="BJ422" i="83"/>
  <c r="BH422" i="83"/>
  <c r="BD422" i="83" s="1"/>
  <c r="BC422" i="83"/>
  <c r="BB422" i="83" s="1"/>
  <c r="AY422" i="83"/>
  <c r="AW422" i="83"/>
  <c r="AM422" i="83"/>
  <c r="BK422" i="83"/>
  <c r="BO422" i="83"/>
  <c r="AK422" i="83"/>
  <c r="AJ422" i="83"/>
  <c r="AI422" i="83"/>
  <c r="AH422" i="83"/>
  <c r="AG422" i="83"/>
  <c r="AF422" i="83"/>
  <c r="AE422" i="83"/>
  <c r="Y422" i="83"/>
  <c r="Z422" i="83" s="1"/>
  <c r="AP422" i="83" s="1"/>
  <c r="AQ422" i="83" s="1"/>
  <c r="Q422" i="83"/>
  <c r="C422" i="83"/>
  <c r="BD421" i="83"/>
  <c r="BC421" i="83"/>
  <c r="BP421" i="83"/>
  <c r="AY421" i="83"/>
  <c r="AX421" i="83"/>
  <c r="AW421" i="83"/>
  <c r="AM421" i="83"/>
  <c r="AK421" i="83"/>
  <c r="AJ421" i="83"/>
  <c r="AI421" i="83"/>
  <c r="AH421" i="83"/>
  <c r="AG421" i="83"/>
  <c r="AF421" i="83"/>
  <c r="AE421" i="83"/>
  <c r="Q421" i="83"/>
  <c r="C421" i="83"/>
  <c r="BD420" i="83"/>
  <c r="BC420" i="83"/>
  <c r="BB420" i="83"/>
  <c r="AY420" i="83"/>
  <c r="AX420" i="83"/>
  <c r="AW420" i="83"/>
  <c r="AM420" i="83"/>
  <c r="AK420" i="83"/>
  <c r="AJ420" i="83"/>
  <c r="AI420" i="83"/>
  <c r="AH420" i="83"/>
  <c r="AG420" i="83"/>
  <c r="AF420" i="83"/>
  <c r="AE420" i="83"/>
  <c r="Q420" i="83"/>
  <c r="C420" i="83"/>
  <c r="BD419" i="83"/>
  <c r="BC419" i="83"/>
  <c r="BB419" i="83"/>
  <c r="AY419" i="83"/>
  <c r="AX419" i="83"/>
  <c r="AW419" i="83"/>
  <c r="AM419" i="83"/>
  <c r="AK419" i="83"/>
  <c r="AJ419" i="83"/>
  <c r="AI419" i="83"/>
  <c r="AH419" i="83"/>
  <c r="AG419" i="83"/>
  <c r="AF419" i="83"/>
  <c r="AE419" i="83"/>
  <c r="Y419" i="83"/>
  <c r="Z419" i="83" s="1"/>
  <c r="AP419" i="83" s="1"/>
  <c r="AQ419" i="83" s="1"/>
  <c r="BX419" i="83" s="1"/>
  <c r="Q419" i="83"/>
  <c r="C419" i="83"/>
  <c r="BD418" i="83"/>
  <c r="BC418" i="83"/>
  <c r="BP418" i="83" s="1"/>
  <c r="AY418" i="83"/>
  <c r="AX418" i="83"/>
  <c r="AW418" i="83"/>
  <c r="AM418" i="83"/>
  <c r="AK418" i="83"/>
  <c r="AJ418" i="83"/>
  <c r="AI418" i="83"/>
  <c r="AH418" i="83"/>
  <c r="AG418" i="83"/>
  <c r="AF418" i="83"/>
  <c r="AE418" i="83"/>
  <c r="Q418" i="83"/>
  <c r="C418" i="83"/>
  <c r="BK417" i="83"/>
  <c r="BO417" i="83"/>
  <c r="BJ417" i="83"/>
  <c r="BD417" i="83"/>
  <c r="BC417" i="83"/>
  <c r="BB417" i="83" s="1"/>
  <c r="AY417" i="83"/>
  <c r="AX417" i="83"/>
  <c r="AW417" i="83"/>
  <c r="AK417" i="83"/>
  <c r="AJ417" i="83"/>
  <c r="AI417" i="83"/>
  <c r="AH417" i="83"/>
  <c r="AG417" i="83"/>
  <c r="AF417" i="83"/>
  <c r="AE417" i="83"/>
  <c r="Q417" i="83"/>
  <c r="O417" i="83"/>
  <c r="C417" i="83"/>
  <c r="BD416" i="83"/>
  <c r="BC416" i="83"/>
  <c r="BP416" i="83" s="1"/>
  <c r="AY416" i="83"/>
  <c r="AX416" i="83"/>
  <c r="AW416" i="83"/>
  <c r="AM416" i="83"/>
  <c r="AK416" i="83"/>
  <c r="AJ416" i="83"/>
  <c r="AI416" i="83"/>
  <c r="AH416" i="83"/>
  <c r="AG416" i="83"/>
  <c r="AF416" i="83"/>
  <c r="AE416" i="83"/>
  <c r="Y416" i="83"/>
  <c r="Z416" i="83" s="1"/>
  <c r="AP416" i="83" s="1"/>
  <c r="AQ416" i="83" s="1"/>
  <c r="BX416" i="83" s="1"/>
  <c r="Q416" i="83"/>
  <c r="O416" i="83"/>
  <c r="C416" i="83"/>
  <c r="BD415" i="83"/>
  <c r="BC415" i="83"/>
  <c r="AY415" i="83"/>
  <c r="AX415" i="83"/>
  <c r="AW415" i="83"/>
  <c r="AM415" i="83"/>
  <c r="AK415" i="83"/>
  <c r="AJ415" i="83"/>
  <c r="AI415" i="83"/>
  <c r="AH415" i="83"/>
  <c r="AG415" i="83"/>
  <c r="AF415" i="83"/>
  <c r="AE415" i="83"/>
  <c r="Q415" i="83"/>
  <c r="C415" i="83"/>
  <c r="BD414" i="83"/>
  <c r="BC414" i="83"/>
  <c r="BB414" i="83" s="1"/>
  <c r="AY414" i="83"/>
  <c r="AX414" i="83"/>
  <c r="AW414" i="83"/>
  <c r="AM414" i="83"/>
  <c r="AK414" i="83"/>
  <c r="AJ414" i="83"/>
  <c r="AI414" i="83"/>
  <c r="AH414" i="83"/>
  <c r="AG414" i="83"/>
  <c r="AF414" i="83"/>
  <c r="AE414" i="83"/>
  <c r="Q414" i="83"/>
  <c r="C414" i="83"/>
  <c r="BK413" i="83"/>
  <c r="BO413" i="83" s="1"/>
  <c r="BJ413" i="83"/>
  <c r="BD413" i="83"/>
  <c r="BC413" i="83"/>
  <c r="BB413" i="83"/>
  <c r="AY413" i="83"/>
  <c r="AX413" i="83"/>
  <c r="AW413" i="83"/>
  <c r="AP413" i="83"/>
  <c r="AQ413" i="83" s="1"/>
  <c r="BX413" i="83" s="1"/>
  <c r="AK413" i="83"/>
  <c r="AJ413" i="83"/>
  <c r="AI413" i="83"/>
  <c r="AH413" i="83"/>
  <c r="AG413" i="83"/>
  <c r="AF413" i="83"/>
  <c r="AE413" i="83"/>
  <c r="Q413" i="83"/>
  <c r="C413" i="83"/>
  <c r="BD412" i="83"/>
  <c r="BC412" i="83"/>
  <c r="AY412" i="83"/>
  <c r="AX412" i="83"/>
  <c r="AW412" i="83"/>
  <c r="AM412" i="83"/>
  <c r="AK412" i="83"/>
  <c r="AJ412" i="83"/>
  <c r="AI412" i="83"/>
  <c r="AH412" i="83"/>
  <c r="AG412" i="83"/>
  <c r="AF412" i="83"/>
  <c r="AE412" i="83"/>
  <c r="Q412" i="83"/>
  <c r="C412" i="83"/>
  <c r="BJ411" i="83"/>
  <c r="BH411" i="83"/>
  <c r="BD411" i="83"/>
  <c r="BC411" i="83"/>
  <c r="BB411" i="83"/>
  <c r="AY411" i="83"/>
  <c r="AW411" i="83"/>
  <c r="AM411" i="83"/>
  <c r="BA411" i="83"/>
  <c r="AK411" i="83"/>
  <c r="AJ411" i="83"/>
  <c r="AI411" i="83"/>
  <c r="AH411" i="83"/>
  <c r="AG411" i="83"/>
  <c r="AF411" i="83"/>
  <c r="AE411" i="83"/>
  <c r="Q411" i="83"/>
  <c r="C411" i="83"/>
  <c r="BD410" i="83"/>
  <c r="BC410" i="83"/>
  <c r="BP410" i="83"/>
  <c r="AY410" i="83"/>
  <c r="AX410" i="83"/>
  <c r="AW410" i="83"/>
  <c r="AM410" i="83"/>
  <c r="AK410" i="83"/>
  <c r="AJ410" i="83"/>
  <c r="AI410" i="83"/>
  <c r="AH410" i="83"/>
  <c r="AG410" i="83"/>
  <c r="AF410" i="83"/>
  <c r="AE410" i="83"/>
  <c r="Y410" i="83"/>
  <c r="Q410" i="83"/>
  <c r="C410" i="83"/>
  <c r="BD409" i="83"/>
  <c r="BC409" i="83"/>
  <c r="BB409" i="83" s="1"/>
  <c r="AY409" i="83"/>
  <c r="AX409" i="83"/>
  <c r="AW409" i="83"/>
  <c r="AM409" i="83"/>
  <c r="AK409" i="83"/>
  <c r="AJ409" i="83"/>
  <c r="AI409" i="83"/>
  <c r="AH409" i="83"/>
  <c r="AG409" i="83"/>
  <c r="AF409" i="83"/>
  <c r="AE409" i="83"/>
  <c r="Q409" i="83"/>
  <c r="C409" i="83"/>
  <c r="BD408" i="83"/>
  <c r="BC408" i="83"/>
  <c r="BB408" i="83" s="1"/>
  <c r="AY408" i="83"/>
  <c r="AX408" i="83"/>
  <c r="AW408" i="83"/>
  <c r="AM408" i="83"/>
  <c r="AK408" i="83"/>
  <c r="AJ408" i="83"/>
  <c r="AI408" i="83"/>
  <c r="AH408" i="83"/>
  <c r="AG408" i="83"/>
  <c r="AF408" i="83"/>
  <c r="AE408" i="83"/>
  <c r="Q408" i="83"/>
  <c r="C408" i="83"/>
  <c r="BD407" i="83"/>
  <c r="BC407" i="83"/>
  <c r="BP407" i="83" s="1"/>
  <c r="AY407" i="83"/>
  <c r="AX407" i="83"/>
  <c r="AW407" i="83"/>
  <c r="AM407" i="83"/>
  <c r="AK407" i="83"/>
  <c r="AJ407" i="83"/>
  <c r="AI407" i="83"/>
  <c r="AH407" i="83"/>
  <c r="AG407" i="83"/>
  <c r="AF407" i="83"/>
  <c r="AE407" i="83"/>
  <c r="Y407" i="83"/>
  <c r="Z407" i="83" s="1"/>
  <c r="AP407" i="83" s="1"/>
  <c r="AQ407" i="83" s="1"/>
  <c r="BX407" i="83" s="1"/>
  <c r="CA407" i="83" s="1"/>
  <c r="Q407" i="83"/>
  <c r="C407" i="83"/>
  <c r="BD406" i="83"/>
  <c r="BC406" i="83"/>
  <c r="BP406" i="83"/>
  <c r="AY406" i="83"/>
  <c r="AX406" i="83"/>
  <c r="AW406" i="83"/>
  <c r="AM406" i="83"/>
  <c r="AK406" i="83"/>
  <c r="AJ406" i="83"/>
  <c r="AI406" i="83"/>
  <c r="AH406" i="83"/>
  <c r="AG406" i="83"/>
  <c r="AF406" i="83"/>
  <c r="AE406" i="83"/>
  <c r="Y406" i="83"/>
  <c r="Z406" i="83" s="1"/>
  <c r="AP406" i="83" s="1"/>
  <c r="Q406" i="83"/>
  <c r="C406" i="83"/>
  <c r="BD405" i="83"/>
  <c r="BC405" i="83"/>
  <c r="BB405" i="83" s="1"/>
  <c r="AY405" i="83"/>
  <c r="AX405" i="83"/>
  <c r="AW405" i="83"/>
  <c r="AM405" i="83"/>
  <c r="AK405" i="83"/>
  <c r="AJ405" i="83"/>
  <c r="AI405" i="83"/>
  <c r="AH405" i="83"/>
  <c r="AG405" i="83"/>
  <c r="AF405" i="83"/>
  <c r="AE405" i="83"/>
  <c r="Y405" i="83"/>
  <c r="Z405" i="83" s="1"/>
  <c r="AP405" i="83" s="1"/>
  <c r="AQ405" i="83" s="1"/>
  <c r="BX405" i="83" s="1"/>
  <c r="Q405" i="83"/>
  <c r="C405" i="83"/>
  <c r="BD404" i="83"/>
  <c r="BC404" i="83"/>
  <c r="BB404" i="83"/>
  <c r="AY404" i="83"/>
  <c r="AX404" i="83"/>
  <c r="AW404" i="83"/>
  <c r="AM404" i="83"/>
  <c r="AK404" i="83"/>
  <c r="AJ404" i="83"/>
  <c r="AI404" i="83"/>
  <c r="AH404" i="83"/>
  <c r="AG404" i="83"/>
  <c r="AF404" i="83"/>
  <c r="AE404" i="83"/>
  <c r="Y404" i="83"/>
  <c r="Z404" i="83" s="1"/>
  <c r="AP404" i="83" s="1"/>
  <c r="AQ404" i="83" s="1"/>
  <c r="BX404" i="83" s="1"/>
  <c r="Q404" i="83"/>
  <c r="O404" i="83"/>
  <c r="C404" i="83"/>
  <c r="BD403" i="83"/>
  <c r="BC403" i="83"/>
  <c r="BP403" i="83"/>
  <c r="AY403" i="83"/>
  <c r="AX403" i="83"/>
  <c r="AW403" i="83"/>
  <c r="AM403" i="83"/>
  <c r="AK403" i="83"/>
  <c r="AJ403" i="83"/>
  <c r="AI403" i="83"/>
  <c r="AH403" i="83"/>
  <c r="AG403" i="83"/>
  <c r="AF403" i="83"/>
  <c r="AE403" i="83"/>
  <c r="Y403" i="83"/>
  <c r="Z403" i="83" s="1"/>
  <c r="AP403" i="83" s="1"/>
  <c r="AQ403" i="83" s="1"/>
  <c r="BX403" i="83" s="1"/>
  <c r="Q403" i="83"/>
  <c r="C403" i="83"/>
  <c r="BD402" i="83"/>
  <c r="BC402" i="83"/>
  <c r="AY402" i="83"/>
  <c r="AX402" i="83"/>
  <c r="AW402" i="83"/>
  <c r="AM402" i="83"/>
  <c r="AK402" i="83"/>
  <c r="AJ402" i="83"/>
  <c r="AI402" i="83"/>
  <c r="AH402" i="83"/>
  <c r="AG402" i="83"/>
  <c r="AF402" i="83"/>
  <c r="AE402" i="83"/>
  <c r="Q402" i="83"/>
  <c r="C402" i="83"/>
  <c r="BI401" i="83"/>
  <c r="BD401" i="83"/>
  <c r="BC401" i="83"/>
  <c r="BB401" i="83" s="1"/>
  <c r="AX401" i="83"/>
  <c r="AW401" i="83"/>
  <c r="AM401" i="83"/>
  <c r="BA401" i="83" s="1"/>
  <c r="AK401" i="83"/>
  <c r="AJ401" i="83"/>
  <c r="AI401" i="83"/>
  <c r="AH401" i="83"/>
  <c r="AG401" i="83"/>
  <c r="AF401" i="83"/>
  <c r="AE401" i="83"/>
  <c r="Q401" i="83"/>
  <c r="C401" i="83"/>
  <c r="BD400" i="83"/>
  <c r="BC400" i="83"/>
  <c r="BP400" i="83" s="1"/>
  <c r="AY400" i="83"/>
  <c r="AX400" i="83"/>
  <c r="AW400" i="83"/>
  <c r="AM400" i="83"/>
  <c r="AK400" i="83"/>
  <c r="AJ400" i="83"/>
  <c r="AI400" i="83"/>
  <c r="AH400" i="83"/>
  <c r="AG400" i="83"/>
  <c r="AF400" i="83"/>
  <c r="AE400" i="83"/>
  <c r="Y400" i="83"/>
  <c r="Q400" i="83"/>
  <c r="C400" i="83"/>
  <c r="BD399" i="83"/>
  <c r="BC399" i="83"/>
  <c r="BP399" i="83"/>
  <c r="AY399" i="83"/>
  <c r="AX399" i="83"/>
  <c r="AW399" i="83"/>
  <c r="AM399" i="83"/>
  <c r="AK399" i="83"/>
  <c r="AJ399" i="83"/>
  <c r="AI399" i="83"/>
  <c r="AH399" i="83"/>
  <c r="AG399" i="83"/>
  <c r="AF399" i="83"/>
  <c r="AE399" i="83"/>
  <c r="Y399" i="83"/>
  <c r="Q399" i="83"/>
  <c r="C399" i="83"/>
  <c r="BD398" i="83"/>
  <c r="BC398" i="83"/>
  <c r="BB398" i="83" s="1"/>
  <c r="AY398" i="83"/>
  <c r="AX398" i="83"/>
  <c r="AW398" i="83"/>
  <c r="AM398" i="83"/>
  <c r="AK398" i="83"/>
  <c r="AJ398" i="83"/>
  <c r="AI398" i="83"/>
  <c r="AH398" i="83"/>
  <c r="AG398" i="83"/>
  <c r="AF398" i="83"/>
  <c r="AE398" i="83"/>
  <c r="Q398" i="83"/>
  <c r="C398" i="83"/>
  <c r="BJ397" i="83"/>
  <c r="BH397" i="83"/>
  <c r="BD397" i="83" s="1"/>
  <c r="BC397" i="83"/>
  <c r="BB397" i="83" s="1"/>
  <c r="AY397" i="83"/>
  <c r="AW397" i="83"/>
  <c r="AM397" i="83"/>
  <c r="BK397" i="83"/>
  <c r="BO397" i="83" s="1"/>
  <c r="BP397" i="83" s="1"/>
  <c r="AK397" i="83"/>
  <c r="AJ397" i="83"/>
  <c r="AI397" i="83"/>
  <c r="AH397" i="83"/>
  <c r="AG397" i="83"/>
  <c r="AF397" i="83"/>
  <c r="AE397" i="83"/>
  <c r="Y397" i="83"/>
  <c r="Z397" i="83" s="1"/>
  <c r="AP397" i="83" s="1"/>
  <c r="AQ397" i="83" s="1"/>
  <c r="Q397" i="83"/>
  <c r="C397" i="83"/>
  <c r="BD396" i="83"/>
  <c r="BC396" i="83"/>
  <c r="BP396" i="83"/>
  <c r="AY396" i="83"/>
  <c r="AX396" i="83"/>
  <c r="AW396" i="83"/>
  <c r="AM396" i="83"/>
  <c r="AK396" i="83"/>
  <c r="AJ396" i="83"/>
  <c r="AI396" i="83"/>
  <c r="AH396" i="83"/>
  <c r="AG396" i="83"/>
  <c r="AF396" i="83"/>
  <c r="AE396" i="83"/>
  <c r="Y396" i="83"/>
  <c r="Z396" i="83" s="1"/>
  <c r="AP396" i="83" s="1"/>
  <c r="AQ396" i="83" s="1"/>
  <c r="BX396" i="83" s="1"/>
  <c r="BZ396" i="83" s="1"/>
  <c r="Q396" i="83"/>
  <c r="C396" i="83"/>
  <c r="BK395" i="83"/>
  <c r="BO395" i="83"/>
  <c r="BJ395" i="83"/>
  <c r="BD395" i="83"/>
  <c r="BC395" i="83"/>
  <c r="BB395" i="83"/>
  <c r="AY395" i="83"/>
  <c r="AX395" i="83"/>
  <c r="AW395" i="83"/>
  <c r="AP395" i="83"/>
  <c r="AQ395" i="83" s="1"/>
  <c r="BX395" i="83" s="1"/>
  <c r="AK395" i="83"/>
  <c r="AJ395" i="83"/>
  <c r="AI395" i="83"/>
  <c r="AH395" i="83"/>
  <c r="AG395" i="83"/>
  <c r="AF395" i="83"/>
  <c r="AE395" i="83"/>
  <c r="Y395" i="83"/>
  <c r="Q395" i="83"/>
  <c r="C395" i="83"/>
  <c r="BD394" i="83"/>
  <c r="BC394" i="83"/>
  <c r="BP394" i="83"/>
  <c r="AY394" i="83"/>
  <c r="AX394" i="83"/>
  <c r="AW394" i="83"/>
  <c r="AM394" i="83"/>
  <c r="AK394" i="83"/>
  <c r="AJ394" i="83"/>
  <c r="AI394" i="83"/>
  <c r="AH394" i="83"/>
  <c r="AG394" i="83"/>
  <c r="AF394" i="83"/>
  <c r="AE394" i="83"/>
  <c r="Y394" i="83"/>
  <c r="Z394" i="83" s="1"/>
  <c r="AP394" i="83" s="1"/>
  <c r="AQ394" i="83" s="1"/>
  <c r="BX394" i="83" s="1"/>
  <c r="Q394" i="83"/>
  <c r="C394" i="83"/>
  <c r="BJ393" i="83"/>
  <c r="BH393" i="83"/>
  <c r="BD393" i="83" s="1"/>
  <c r="BC393" i="83"/>
  <c r="BB393" i="83" s="1"/>
  <c r="AY393" i="83"/>
  <c r="AW393" i="83"/>
  <c r="AM393" i="83"/>
  <c r="BK393" i="83" s="1"/>
  <c r="BO393" i="83" s="1"/>
  <c r="BP393" i="83" s="1"/>
  <c r="AK393" i="83"/>
  <c r="AJ393" i="83"/>
  <c r="AI393" i="83"/>
  <c r="AH393" i="83"/>
  <c r="AG393" i="83"/>
  <c r="AF393" i="83"/>
  <c r="AE393" i="83"/>
  <c r="Q393" i="83"/>
  <c r="C393" i="83"/>
  <c r="BD392" i="83"/>
  <c r="BC392" i="83"/>
  <c r="BB392" i="83"/>
  <c r="AY392" i="83"/>
  <c r="AX392" i="83"/>
  <c r="AW392" i="83"/>
  <c r="AM392" i="83"/>
  <c r="AK392" i="83"/>
  <c r="AJ392" i="83"/>
  <c r="AI392" i="83"/>
  <c r="AH392" i="83"/>
  <c r="AG392" i="83"/>
  <c r="AF392" i="83"/>
  <c r="AE392" i="83"/>
  <c r="Y392" i="83"/>
  <c r="Z392" i="83" s="1"/>
  <c r="AP392" i="83" s="1"/>
  <c r="AQ392" i="83" s="1"/>
  <c r="BX392" i="83" s="1"/>
  <c r="Q392" i="83"/>
  <c r="C392" i="83"/>
  <c r="BJ391" i="83"/>
  <c r="BH391" i="83"/>
  <c r="BD391" i="83" s="1"/>
  <c r="BC391" i="83"/>
  <c r="BB391" i="83" s="1"/>
  <c r="AY391" i="83"/>
  <c r="AW391" i="83"/>
  <c r="AM391" i="83"/>
  <c r="BK391" i="83" s="1"/>
  <c r="BO391" i="83" s="1"/>
  <c r="AK391" i="83"/>
  <c r="AJ391" i="83"/>
  <c r="AI391" i="83"/>
  <c r="AH391" i="83"/>
  <c r="AG391" i="83"/>
  <c r="AF391" i="83"/>
  <c r="AE391" i="83"/>
  <c r="Q391" i="83"/>
  <c r="C391" i="83"/>
  <c r="BD390" i="83"/>
  <c r="BC390" i="83"/>
  <c r="AY390" i="83"/>
  <c r="AX390" i="83"/>
  <c r="AW390" i="83"/>
  <c r="AM390" i="83"/>
  <c r="AK390" i="83"/>
  <c r="AJ390" i="83"/>
  <c r="AI390" i="83"/>
  <c r="AH390" i="83"/>
  <c r="AG390" i="83"/>
  <c r="AF390" i="83"/>
  <c r="AE390" i="83"/>
  <c r="Q390" i="83"/>
  <c r="C390" i="83"/>
  <c r="BD389" i="83"/>
  <c r="BC389" i="83"/>
  <c r="AY389" i="83"/>
  <c r="AX389" i="83"/>
  <c r="AW389" i="83"/>
  <c r="AM389" i="83"/>
  <c r="AK389" i="83"/>
  <c r="AJ389" i="83"/>
  <c r="AI389" i="83"/>
  <c r="AH389" i="83"/>
  <c r="AG389" i="83"/>
  <c r="AF389" i="83"/>
  <c r="AE389" i="83"/>
  <c r="Y389" i="83"/>
  <c r="Z389" i="83" s="1"/>
  <c r="AP389" i="83" s="1"/>
  <c r="AQ389" i="83" s="1"/>
  <c r="BX389" i="83" s="1"/>
  <c r="CA389" i="83" s="1"/>
  <c r="Q389" i="83"/>
  <c r="C389" i="83"/>
  <c r="BD388" i="83"/>
  <c r="BC388" i="83"/>
  <c r="BP388" i="83" s="1"/>
  <c r="AY388" i="83"/>
  <c r="AX388" i="83"/>
  <c r="AW388" i="83"/>
  <c r="AM388" i="83"/>
  <c r="AK388" i="83"/>
  <c r="AJ388" i="83"/>
  <c r="AI388" i="83"/>
  <c r="AH388" i="83"/>
  <c r="AG388" i="83"/>
  <c r="AF388" i="83"/>
  <c r="AE388" i="83"/>
  <c r="Q388" i="83"/>
  <c r="C388" i="83"/>
  <c r="BD387" i="83"/>
  <c r="BC387" i="83"/>
  <c r="AY387" i="83"/>
  <c r="AX387" i="83"/>
  <c r="AW387" i="83"/>
  <c r="AM387" i="83"/>
  <c r="AK387" i="83"/>
  <c r="AJ387" i="83"/>
  <c r="AI387" i="83"/>
  <c r="AH387" i="83"/>
  <c r="AG387" i="83"/>
  <c r="AF387" i="83"/>
  <c r="AE387" i="83"/>
  <c r="Q387" i="83"/>
  <c r="C387" i="83"/>
  <c r="BD386" i="83"/>
  <c r="BC386" i="83"/>
  <c r="BB386" i="83" s="1"/>
  <c r="AY386" i="83"/>
  <c r="AX386" i="83"/>
  <c r="AW386" i="83"/>
  <c r="AK386" i="83"/>
  <c r="AJ386" i="83"/>
  <c r="AI386" i="83"/>
  <c r="AH386" i="83"/>
  <c r="AG386" i="83"/>
  <c r="AF386" i="83"/>
  <c r="AE386" i="83"/>
  <c r="Z386" i="83"/>
  <c r="AP386" i="83"/>
  <c r="AQ386" i="83" s="1"/>
  <c r="BX386" i="83" s="1"/>
  <c r="Q386" i="83"/>
  <c r="C386" i="83"/>
  <c r="BD385" i="83"/>
  <c r="BC385" i="83"/>
  <c r="AY385" i="83"/>
  <c r="AX385" i="83"/>
  <c r="AW385" i="83"/>
  <c r="AM385" i="83"/>
  <c r="AK385" i="83"/>
  <c r="AJ385" i="83"/>
  <c r="AI385" i="83"/>
  <c r="AH385" i="83"/>
  <c r="AG385" i="83"/>
  <c r="AF385" i="83"/>
  <c r="AE385" i="83"/>
  <c r="Z385" i="83"/>
  <c r="AP385" i="83"/>
  <c r="AQ385" i="83" s="1"/>
  <c r="BX385" i="83" s="1"/>
  <c r="Q385" i="83"/>
  <c r="C385" i="83"/>
  <c r="BD384" i="83"/>
  <c r="BC384" i="83"/>
  <c r="BB384" i="83" s="1"/>
  <c r="AY384" i="83"/>
  <c r="AX384" i="83"/>
  <c r="AW384" i="83"/>
  <c r="AM384" i="83"/>
  <c r="AK384" i="83"/>
  <c r="AJ384" i="83"/>
  <c r="AI384" i="83"/>
  <c r="AH384" i="83"/>
  <c r="AG384" i="83"/>
  <c r="AF384" i="83"/>
  <c r="AE384" i="83"/>
  <c r="Y384" i="83"/>
  <c r="Z384" i="83" s="1"/>
  <c r="AP384" i="83" s="1"/>
  <c r="AQ384" i="83" s="1"/>
  <c r="BX384" i="83" s="1"/>
  <c r="CA384" i="83" s="1"/>
  <c r="Q384" i="83"/>
  <c r="C384" i="83"/>
  <c r="BD383" i="83"/>
  <c r="BC383" i="83"/>
  <c r="BP383" i="83"/>
  <c r="AY383" i="83"/>
  <c r="AX383" i="83"/>
  <c r="AW383" i="83"/>
  <c r="AM383" i="83"/>
  <c r="AK383" i="83"/>
  <c r="AJ383" i="83"/>
  <c r="AI383" i="83"/>
  <c r="AH383" i="83"/>
  <c r="AG383" i="83"/>
  <c r="AF383" i="83"/>
  <c r="AE383" i="83"/>
  <c r="Y383" i="83"/>
  <c r="Z383" i="83" s="1"/>
  <c r="AP383" i="83" s="1"/>
  <c r="AQ383" i="83" s="1"/>
  <c r="BX383" i="83" s="1"/>
  <c r="Q383" i="83"/>
  <c r="C383" i="83"/>
  <c r="BJ382" i="83"/>
  <c r="BH382" i="83"/>
  <c r="BD382" i="83" s="1"/>
  <c r="BC382" i="83"/>
  <c r="BB382" i="83"/>
  <c r="AY382" i="83"/>
  <c r="AW382" i="83"/>
  <c r="AM382" i="83"/>
  <c r="BK382" i="83" s="1"/>
  <c r="BO382" i="83" s="1"/>
  <c r="AK382" i="83"/>
  <c r="AJ382" i="83"/>
  <c r="AI382" i="83"/>
  <c r="AH382" i="83"/>
  <c r="AG382" i="83"/>
  <c r="AF382" i="83"/>
  <c r="AE382" i="83"/>
  <c r="Q382" i="83"/>
  <c r="C382" i="83"/>
  <c r="BD381" i="83"/>
  <c r="BC381" i="83"/>
  <c r="AM381" i="83"/>
  <c r="AK381" i="83"/>
  <c r="AJ381" i="83"/>
  <c r="AI381" i="83"/>
  <c r="AH381" i="83"/>
  <c r="AG381" i="83"/>
  <c r="AF381" i="83"/>
  <c r="AE381" i="83"/>
  <c r="Q381" i="83"/>
  <c r="C381" i="83"/>
  <c r="BC380" i="83"/>
  <c r="BB380" i="83" s="1"/>
  <c r="AM380" i="83"/>
  <c r="AK380" i="83"/>
  <c r="AJ380" i="83"/>
  <c r="AI380" i="83"/>
  <c r="AH380" i="83"/>
  <c r="AG380" i="83"/>
  <c r="AF380" i="83"/>
  <c r="AE380" i="83"/>
  <c r="Q380" i="83"/>
  <c r="C380" i="83"/>
  <c r="BD379" i="83"/>
  <c r="BC379" i="83"/>
  <c r="AY379" i="83"/>
  <c r="AX379" i="83"/>
  <c r="AW379" i="83"/>
  <c r="AM379" i="83"/>
  <c r="AK379" i="83"/>
  <c r="AJ379" i="83"/>
  <c r="AI379" i="83"/>
  <c r="AH379" i="83"/>
  <c r="AG379" i="83"/>
  <c r="AF379" i="83"/>
  <c r="AE379" i="83"/>
  <c r="Q379" i="83"/>
  <c r="C379" i="83"/>
  <c r="BK378" i="83"/>
  <c r="BO378" i="83"/>
  <c r="BJ378" i="83"/>
  <c r="BD378" i="83"/>
  <c r="BC378" i="83"/>
  <c r="BB378" i="83" s="1"/>
  <c r="AY378" i="83"/>
  <c r="AX378" i="83"/>
  <c r="AW378" i="83"/>
  <c r="AK378" i="83"/>
  <c r="AJ378" i="83"/>
  <c r="AI378" i="83"/>
  <c r="AH378" i="83"/>
  <c r="AG378" i="83"/>
  <c r="AF378" i="83"/>
  <c r="AE378" i="83"/>
  <c r="Q378" i="83"/>
  <c r="C378" i="83"/>
  <c r="BD377" i="83"/>
  <c r="BC377" i="83"/>
  <c r="BP377" i="83"/>
  <c r="AY377" i="83"/>
  <c r="AX377" i="83"/>
  <c r="AW377" i="83"/>
  <c r="AM377" i="83"/>
  <c r="AK377" i="83"/>
  <c r="AJ377" i="83"/>
  <c r="AI377" i="83"/>
  <c r="AH377" i="83"/>
  <c r="AG377" i="83"/>
  <c r="AF377" i="83"/>
  <c r="AE377" i="83"/>
  <c r="Q377" i="83"/>
  <c r="C377" i="83"/>
  <c r="BD376" i="83"/>
  <c r="BC376" i="83"/>
  <c r="AY376" i="83"/>
  <c r="AX376" i="83"/>
  <c r="AW376" i="83"/>
  <c r="AM376" i="83"/>
  <c r="AK376" i="83"/>
  <c r="AJ376" i="83"/>
  <c r="AI376" i="83"/>
  <c r="AH376" i="83"/>
  <c r="AG376" i="83"/>
  <c r="AF376" i="83"/>
  <c r="AE376" i="83"/>
  <c r="Y376" i="83"/>
  <c r="Q376" i="83"/>
  <c r="C376" i="83"/>
  <c r="BD375" i="83"/>
  <c r="BC375" i="83"/>
  <c r="AY375" i="83"/>
  <c r="AX375" i="83"/>
  <c r="AW375" i="83"/>
  <c r="AK375" i="83"/>
  <c r="AJ375" i="83"/>
  <c r="AI375" i="83"/>
  <c r="AH375" i="83"/>
  <c r="AG375" i="83"/>
  <c r="AF375" i="83"/>
  <c r="AE375" i="83"/>
  <c r="Y375" i="83"/>
  <c r="Z375" i="83" s="1"/>
  <c r="AP375" i="83" s="1"/>
  <c r="Q375" i="83"/>
  <c r="C375" i="83"/>
  <c r="BJ374" i="83"/>
  <c r="BH374" i="83"/>
  <c r="BD374" i="83" s="1"/>
  <c r="BC374" i="83"/>
  <c r="AY374" i="83"/>
  <c r="AW374" i="83"/>
  <c r="AM374" i="83"/>
  <c r="BA374" i="83" s="1"/>
  <c r="AK374" i="83"/>
  <c r="AJ374" i="83"/>
  <c r="AI374" i="83"/>
  <c r="AH374" i="83"/>
  <c r="AG374" i="83"/>
  <c r="AF374" i="83"/>
  <c r="AE374" i="83"/>
  <c r="Q374" i="83"/>
  <c r="C374" i="83"/>
  <c r="BD373" i="83"/>
  <c r="BC373" i="83"/>
  <c r="BP373" i="83"/>
  <c r="AY373" i="83"/>
  <c r="AX373" i="83"/>
  <c r="AW373" i="83"/>
  <c r="AM373" i="83"/>
  <c r="AK373" i="83"/>
  <c r="AJ373" i="83"/>
  <c r="AI373" i="83"/>
  <c r="AH373" i="83"/>
  <c r="AG373" i="83"/>
  <c r="AF373" i="83"/>
  <c r="AE373" i="83"/>
  <c r="Y373" i="83"/>
  <c r="Z373" i="83" s="1"/>
  <c r="AP373" i="83" s="1"/>
  <c r="AQ373" i="83" s="1"/>
  <c r="BX373" i="83" s="1"/>
  <c r="Q373" i="83"/>
  <c r="C373" i="83"/>
  <c r="BD372" i="83"/>
  <c r="BC372" i="83"/>
  <c r="AY372" i="83"/>
  <c r="AX372" i="83"/>
  <c r="AW372" i="83"/>
  <c r="AM372" i="83"/>
  <c r="AK372" i="83"/>
  <c r="AJ372" i="83"/>
  <c r="AI372" i="83"/>
  <c r="AH372" i="83"/>
  <c r="AG372" i="83"/>
  <c r="AF372" i="83"/>
  <c r="AE372" i="83"/>
  <c r="Q372" i="83"/>
  <c r="C372" i="83"/>
  <c r="BD371" i="83"/>
  <c r="BC371" i="83"/>
  <c r="BB371" i="83" s="1"/>
  <c r="AY371" i="83"/>
  <c r="AX371" i="83"/>
  <c r="AW371" i="83"/>
  <c r="AM371" i="83"/>
  <c r="AK371" i="83"/>
  <c r="AJ371" i="83"/>
  <c r="AI371" i="83"/>
  <c r="AH371" i="83"/>
  <c r="AG371" i="83"/>
  <c r="AF371" i="83"/>
  <c r="AE371" i="83"/>
  <c r="Q371" i="83"/>
  <c r="C371" i="83"/>
  <c r="BD370" i="83"/>
  <c r="BC370" i="83"/>
  <c r="BB370" i="83"/>
  <c r="AY370" i="83"/>
  <c r="AX370" i="83"/>
  <c r="AW370" i="83"/>
  <c r="AM370" i="83"/>
  <c r="AK370" i="83"/>
  <c r="AJ370" i="83"/>
  <c r="AI370" i="83"/>
  <c r="AH370" i="83"/>
  <c r="AG370" i="83"/>
  <c r="AF370" i="83"/>
  <c r="AE370" i="83"/>
  <c r="Q370" i="83"/>
  <c r="C370" i="83"/>
  <c r="BD369" i="83"/>
  <c r="BC369" i="83"/>
  <c r="BP369" i="83"/>
  <c r="AY369" i="83"/>
  <c r="AX369" i="83"/>
  <c r="AW369" i="83"/>
  <c r="AM369" i="83"/>
  <c r="AK369" i="83"/>
  <c r="AJ369" i="83"/>
  <c r="AI369" i="83"/>
  <c r="AH369" i="83"/>
  <c r="AG369" i="83"/>
  <c r="AF369" i="83"/>
  <c r="AE369" i="83"/>
  <c r="Q369" i="83"/>
  <c r="C369" i="83"/>
  <c r="BD368" i="83"/>
  <c r="BC368" i="83"/>
  <c r="AY368" i="83"/>
  <c r="AX368" i="83"/>
  <c r="AW368" i="83"/>
  <c r="AM368" i="83"/>
  <c r="AK368" i="83"/>
  <c r="AJ368" i="83"/>
  <c r="AI368" i="83"/>
  <c r="AH368" i="83"/>
  <c r="AG368" i="83"/>
  <c r="AF368" i="83"/>
  <c r="AE368" i="83"/>
  <c r="Y368" i="83"/>
  <c r="Z368" i="83" s="1"/>
  <c r="AP368" i="83" s="1"/>
  <c r="AQ368" i="83" s="1"/>
  <c r="BX368" i="83" s="1"/>
  <c r="CA368" i="83" s="1"/>
  <c r="Q368" i="83"/>
  <c r="C368" i="83"/>
  <c r="BD367" i="83"/>
  <c r="BC367" i="83"/>
  <c r="BB367" i="83"/>
  <c r="AY367" i="83"/>
  <c r="AX367" i="83"/>
  <c r="AW367" i="83"/>
  <c r="AM367" i="83"/>
  <c r="AK367" i="83"/>
  <c r="AJ367" i="83"/>
  <c r="AI367" i="83"/>
  <c r="AH367" i="83"/>
  <c r="AG367" i="83"/>
  <c r="AF367" i="83"/>
  <c r="AE367" i="83"/>
  <c r="Q367" i="83"/>
  <c r="C367" i="83"/>
  <c r="BJ366" i="83"/>
  <c r="BH366" i="83"/>
  <c r="BD366" i="83"/>
  <c r="BC366" i="83"/>
  <c r="BB366" i="83"/>
  <c r="AY366" i="83"/>
  <c r="AW366" i="83"/>
  <c r="AM366" i="83"/>
  <c r="BK366" i="83"/>
  <c r="BO366" i="83" s="1"/>
  <c r="BP366" i="83" s="1"/>
  <c r="AK366" i="83"/>
  <c r="AJ366" i="83"/>
  <c r="AI366" i="83"/>
  <c r="AH366" i="83"/>
  <c r="AG366" i="83"/>
  <c r="AF366" i="83"/>
  <c r="AE366" i="83"/>
  <c r="Q366" i="83"/>
  <c r="C366" i="83"/>
  <c r="BD365" i="83"/>
  <c r="BC365" i="83"/>
  <c r="BP365" i="83"/>
  <c r="AY365" i="83"/>
  <c r="AX365" i="83"/>
  <c r="AW365" i="83"/>
  <c r="AM365" i="83"/>
  <c r="AK365" i="83"/>
  <c r="AJ365" i="83"/>
  <c r="AI365" i="83"/>
  <c r="AH365" i="83"/>
  <c r="AG365" i="83"/>
  <c r="AF365" i="83"/>
  <c r="AE365" i="83"/>
  <c r="Y365" i="83"/>
  <c r="Q365" i="83"/>
  <c r="C365" i="83"/>
  <c r="BD364" i="83"/>
  <c r="BC364" i="83"/>
  <c r="BB364" i="83" s="1"/>
  <c r="AY364" i="83"/>
  <c r="AX364" i="83"/>
  <c r="AW364" i="83"/>
  <c r="AM364" i="83"/>
  <c r="AK364" i="83"/>
  <c r="AJ364" i="83"/>
  <c r="AI364" i="83"/>
  <c r="AH364" i="83"/>
  <c r="AG364" i="83"/>
  <c r="AF364" i="83"/>
  <c r="AE364" i="83"/>
  <c r="Y364" i="83"/>
  <c r="Z364" i="83" s="1"/>
  <c r="AP364" i="83" s="1"/>
  <c r="AQ364" i="83" s="1"/>
  <c r="BX364" i="83" s="1"/>
  <c r="CA364" i="83" s="1"/>
  <c r="Q364" i="83"/>
  <c r="C364" i="83"/>
  <c r="BD363" i="83"/>
  <c r="BC363" i="83"/>
  <c r="BP363" i="83" s="1"/>
  <c r="AY363" i="83"/>
  <c r="AX363" i="83"/>
  <c r="AW363" i="83"/>
  <c r="AM363" i="83"/>
  <c r="AK363" i="83"/>
  <c r="AJ363" i="83"/>
  <c r="AI363" i="83"/>
  <c r="AH363" i="83"/>
  <c r="AG363" i="83"/>
  <c r="AF363" i="83"/>
  <c r="AE363" i="83"/>
  <c r="Q363" i="83"/>
  <c r="C363" i="83"/>
  <c r="BD362" i="83"/>
  <c r="BC362" i="83"/>
  <c r="BB362" i="83" s="1"/>
  <c r="AY362" i="83"/>
  <c r="AX362" i="83"/>
  <c r="AW362" i="83"/>
  <c r="AM362" i="83"/>
  <c r="AK362" i="83"/>
  <c r="AJ362" i="83"/>
  <c r="AI362" i="83"/>
  <c r="AH362" i="83"/>
  <c r="AG362" i="83"/>
  <c r="AF362" i="83"/>
  <c r="AE362" i="83"/>
  <c r="Q362" i="83"/>
  <c r="C362" i="83"/>
  <c r="BD361" i="83"/>
  <c r="BC361" i="83"/>
  <c r="AY361" i="83"/>
  <c r="AX361" i="83"/>
  <c r="AW361" i="83"/>
  <c r="AM361" i="83"/>
  <c r="AK361" i="83"/>
  <c r="AJ361" i="83"/>
  <c r="AI361" i="83"/>
  <c r="AH361" i="83"/>
  <c r="AG361" i="83"/>
  <c r="AF361" i="83"/>
  <c r="AE361" i="83"/>
  <c r="Q361" i="83"/>
  <c r="C361" i="83"/>
  <c r="BD360" i="83"/>
  <c r="BC360" i="83"/>
  <c r="BB360" i="83" s="1"/>
  <c r="AY360" i="83"/>
  <c r="AX360" i="83"/>
  <c r="AW360" i="83"/>
  <c r="AM360" i="83"/>
  <c r="AK360" i="83"/>
  <c r="AJ360" i="83"/>
  <c r="AI360" i="83"/>
  <c r="AH360" i="83"/>
  <c r="AG360" i="83"/>
  <c r="AF360" i="83"/>
  <c r="AE360" i="83"/>
  <c r="Q360" i="83"/>
  <c r="C360" i="83"/>
  <c r="BD359" i="83"/>
  <c r="BC359" i="83"/>
  <c r="BP359" i="83" s="1"/>
  <c r="AY359" i="83"/>
  <c r="AX359" i="83"/>
  <c r="AW359" i="83"/>
  <c r="AM359" i="83"/>
  <c r="AK359" i="83"/>
  <c r="AJ359" i="83"/>
  <c r="AI359" i="83"/>
  <c r="AH359" i="83"/>
  <c r="AG359" i="83"/>
  <c r="AF359" i="83"/>
  <c r="AE359" i="83"/>
  <c r="Q359" i="83"/>
  <c r="C359" i="83"/>
  <c r="BD358" i="83"/>
  <c r="BC358" i="83"/>
  <c r="BP358" i="83" s="1"/>
  <c r="AY358" i="83"/>
  <c r="AX358" i="83"/>
  <c r="AW358" i="83"/>
  <c r="AM358" i="83"/>
  <c r="AK358" i="83"/>
  <c r="AJ358" i="83"/>
  <c r="AI358" i="83"/>
  <c r="AH358" i="83"/>
  <c r="AG358" i="83"/>
  <c r="AF358" i="83"/>
  <c r="AE358" i="83"/>
  <c r="Q358" i="83"/>
  <c r="C358" i="83"/>
  <c r="BD357" i="83"/>
  <c r="BC357" i="83"/>
  <c r="AY357" i="83"/>
  <c r="AX357" i="83"/>
  <c r="AW357" i="83"/>
  <c r="AM357" i="83"/>
  <c r="AK357" i="83"/>
  <c r="AJ357" i="83"/>
  <c r="AI357" i="83"/>
  <c r="AH357" i="83"/>
  <c r="AG357" i="83"/>
  <c r="AF357" i="83"/>
  <c r="AE357" i="83"/>
  <c r="Q357" i="83"/>
  <c r="C357" i="83"/>
  <c r="BD356" i="83"/>
  <c r="BC356" i="83"/>
  <c r="BB356" i="83"/>
  <c r="AY356" i="83"/>
  <c r="AX356" i="83"/>
  <c r="AW356" i="83"/>
  <c r="AM356" i="83"/>
  <c r="AK356" i="83"/>
  <c r="AJ356" i="83"/>
  <c r="AI356" i="83"/>
  <c r="AH356" i="83"/>
  <c r="AG356" i="83"/>
  <c r="AF356" i="83"/>
  <c r="AE356" i="83"/>
  <c r="Y356" i="83"/>
  <c r="Z356" i="83" s="1"/>
  <c r="AP356" i="83" s="1"/>
  <c r="AQ356" i="83" s="1"/>
  <c r="BX356" i="83" s="1"/>
  <c r="CA356" i="83" s="1"/>
  <c r="Q356" i="83"/>
  <c r="C356" i="83"/>
  <c r="BD355" i="83"/>
  <c r="BC355" i="83"/>
  <c r="BP355" i="83" s="1"/>
  <c r="AY355" i="83"/>
  <c r="AX355" i="83"/>
  <c r="AW355" i="83"/>
  <c r="AP355" i="83"/>
  <c r="AQ355" i="83" s="1"/>
  <c r="BX355" i="83" s="1"/>
  <c r="AK355" i="83"/>
  <c r="AJ355" i="83"/>
  <c r="AI355" i="83"/>
  <c r="AH355" i="83"/>
  <c r="AG355" i="83"/>
  <c r="AF355" i="83"/>
  <c r="AE355" i="83"/>
  <c r="Q355" i="83"/>
  <c r="C355" i="83"/>
  <c r="BD354" i="83"/>
  <c r="BC354" i="83"/>
  <c r="BP354" i="83" s="1"/>
  <c r="AY354" i="83"/>
  <c r="AX354" i="83"/>
  <c r="AW354" i="83"/>
  <c r="AM354" i="83"/>
  <c r="AK354" i="83"/>
  <c r="AJ354" i="83"/>
  <c r="AI354" i="83"/>
  <c r="AH354" i="83"/>
  <c r="AG354" i="83"/>
  <c r="AF354" i="83"/>
  <c r="AE354" i="83"/>
  <c r="Y354" i="83"/>
  <c r="Z354" i="83" s="1"/>
  <c r="AP354" i="83" s="1"/>
  <c r="AQ354" i="83" s="1"/>
  <c r="BX354" i="83" s="1"/>
  <c r="CA354" i="83" s="1"/>
  <c r="Q354" i="83"/>
  <c r="C354" i="83"/>
  <c r="BD353" i="83"/>
  <c r="BC353" i="83"/>
  <c r="BB353" i="83" s="1"/>
  <c r="AY353" i="83"/>
  <c r="AX353" i="83"/>
  <c r="AW353" i="83"/>
  <c r="AM353" i="83"/>
  <c r="AK353" i="83"/>
  <c r="AJ353" i="83"/>
  <c r="AI353" i="83"/>
  <c r="AH353" i="83"/>
  <c r="AG353" i="83"/>
  <c r="AF353" i="83"/>
  <c r="AE353" i="83"/>
  <c r="Y353" i="83"/>
  <c r="Z353" i="83" s="1"/>
  <c r="AP353" i="83" s="1"/>
  <c r="AQ353" i="83" s="1"/>
  <c r="BX353" i="83" s="1"/>
  <c r="Q353" i="83"/>
  <c r="C353" i="83"/>
  <c r="BD352" i="83"/>
  <c r="BC352" i="83"/>
  <c r="AY352" i="83"/>
  <c r="AX352" i="83"/>
  <c r="AW352" i="83"/>
  <c r="AM352" i="83"/>
  <c r="AK352" i="83"/>
  <c r="AJ352" i="83"/>
  <c r="AI352" i="83"/>
  <c r="AH352" i="83"/>
  <c r="AG352" i="83"/>
  <c r="AF352" i="83"/>
  <c r="AE352" i="83"/>
  <c r="Q352" i="83"/>
  <c r="C352" i="83"/>
  <c r="BD351" i="83"/>
  <c r="BC351" i="83"/>
  <c r="BB351" i="83" s="1"/>
  <c r="AY351" i="83"/>
  <c r="AX351" i="83"/>
  <c r="AW351" i="83"/>
  <c r="AM351" i="83"/>
  <c r="AK351" i="83"/>
  <c r="AJ351" i="83"/>
  <c r="AI351" i="83"/>
  <c r="AH351" i="83"/>
  <c r="AG351" i="83"/>
  <c r="AF351" i="83"/>
  <c r="AE351" i="83"/>
  <c r="Q351" i="83"/>
  <c r="C351" i="83"/>
  <c r="BD350" i="83"/>
  <c r="BC350" i="83"/>
  <c r="BP350" i="83" s="1"/>
  <c r="AY350" i="83"/>
  <c r="AX350" i="83"/>
  <c r="AW350" i="83"/>
  <c r="AM350" i="83"/>
  <c r="AK350" i="83"/>
  <c r="AJ350" i="83"/>
  <c r="AI350" i="83"/>
  <c r="AH350" i="83"/>
  <c r="AG350" i="83"/>
  <c r="AF350" i="83"/>
  <c r="AE350" i="83"/>
  <c r="Y350" i="83"/>
  <c r="Z350" i="83" s="1"/>
  <c r="AP350" i="83" s="1"/>
  <c r="AQ350" i="83" s="1"/>
  <c r="BX350" i="83" s="1"/>
  <c r="Q350" i="83"/>
  <c r="C350" i="83"/>
  <c r="BC349" i="83"/>
  <c r="BP349" i="83" s="1"/>
  <c r="AY349" i="83"/>
  <c r="AX349" i="83"/>
  <c r="AW349" i="83"/>
  <c r="AM349" i="83"/>
  <c r="AK349" i="83"/>
  <c r="AJ349" i="83"/>
  <c r="AI349" i="83"/>
  <c r="AH349" i="83"/>
  <c r="AG349" i="83"/>
  <c r="AF349" i="83"/>
  <c r="AE349" i="83"/>
  <c r="Y349" i="83"/>
  <c r="Q349" i="83"/>
  <c r="C349" i="83"/>
  <c r="BD348" i="83"/>
  <c r="BC348" i="83"/>
  <c r="BB348" i="83"/>
  <c r="AY348" i="83"/>
  <c r="AX348" i="83"/>
  <c r="AW348" i="83"/>
  <c r="AM348" i="83"/>
  <c r="AK348" i="83"/>
  <c r="AJ348" i="83"/>
  <c r="AI348" i="83"/>
  <c r="AH348" i="83"/>
  <c r="AG348" i="83"/>
  <c r="AF348" i="83"/>
  <c r="AE348" i="83"/>
  <c r="Q348" i="83"/>
  <c r="C348" i="83"/>
  <c r="BD347" i="83"/>
  <c r="BC347" i="83"/>
  <c r="BB347" i="83"/>
  <c r="AY347" i="83"/>
  <c r="AX347" i="83"/>
  <c r="AW347" i="83"/>
  <c r="AM347" i="83"/>
  <c r="AK347" i="83"/>
  <c r="AJ347" i="83"/>
  <c r="AI347" i="83"/>
  <c r="AH347" i="83"/>
  <c r="AG347" i="83"/>
  <c r="AF347" i="83"/>
  <c r="AE347" i="83"/>
  <c r="Q347" i="83"/>
  <c r="C347" i="83"/>
  <c r="BD346" i="83"/>
  <c r="BC346" i="83"/>
  <c r="BP346" i="83"/>
  <c r="AY346" i="83"/>
  <c r="AX346" i="83"/>
  <c r="AW346" i="83"/>
  <c r="AM346" i="83"/>
  <c r="AK346" i="83"/>
  <c r="AJ346" i="83"/>
  <c r="AI346" i="83"/>
  <c r="AH346" i="83"/>
  <c r="AG346" i="83"/>
  <c r="AF346" i="83"/>
  <c r="AE346" i="83"/>
  <c r="Q346" i="83"/>
  <c r="C346" i="83"/>
  <c r="BJ345" i="83"/>
  <c r="BH345" i="83"/>
  <c r="BD345" i="83"/>
  <c r="BC345" i="83"/>
  <c r="BB345" i="83"/>
  <c r="AY345" i="83"/>
  <c r="AW345" i="83"/>
  <c r="AM345" i="83"/>
  <c r="BA345" i="83" s="1"/>
  <c r="AK345" i="83"/>
  <c r="AJ345" i="83"/>
  <c r="AI345" i="83"/>
  <c r="AH345" i="83"/>
  <c r="AG345" i="83"/>
  <c r="AF345" i="83"/>
  <c r="AE345" i="83"/>
  <c r="Y345" i="83"/>
  <c r="Z345" i="83" s="1"/>
  <c r="AP345" i="83" s="1"/>
  <c r="Q345" i="83"/>
  <c r="C345" i="83"/>
  <c r="BD344" i="83"/>
  <c r="BC344" i="83"/>
  <c r="AY344" i="83"/>
  <c r="AX344" i="83"/>
  <c r="AW344" i="83"/>
  <c r="AM344" i="83"/>
  <c r="AK344" i="83"/>
  <c r="AJ344" i="83"/>
  <c r="AI344" i="83"/>
  <c r="AH344" i="83"/>
  <c r="AG344" i="83"/>
  <c r="AF344" i="83"/>
  <c r="AE344" i="83"/>
  <c r="Q344" i="83"/>
  <c r="C344" i="83"/>
  <c r="BD343" i="83"/>
  <c r="BC343" i="83"/>
  <c r="BP343" i="83"/>
  <c r="AY343" i="83"/>
  <c r="AX343" i="83"/>
  <c r="AW343" i="83"/>
  <c r="AM343" i="83"/>
  <c r="AK343" i="83"/>
  <c r="AJ343" i="83"/>
  <c r="AI343" i="83"/>
  <c r="AH343" i="83"/>
  <c r="AG343" i="83"/>
  <c r="AF343" i="83"/>
  <c r="AE343" i="83"/>
  <c r="Q343" i="83"/>
  <c r="C343" i="83"/>
  <c r="BD342" i="83"/>
  <c r="BC342" i="83"/>
  <c r="BP342" i="83"/>
  <c r="AY342" i="83"/>
  <c r="AX342" i="83"/>
  <c r="AW342" i="83"/>
  <c r="AM342" i="83"/>
  <c r="AK342" i="83"/>
  <c r="AJ342" i="83"/>
  <c r="AI342" i="83"/>
  <c r="AH342" i="83"/>
  <c r="AG342" i="83"/>
  <c r="AF342" i="83"/>
  <c r="AE342" i="83"/>
  <c r="Q342" i="83"/>
  <c r="C342" i="83"/>
  <c r="BD341" i="83"/>
  <c r="BC341" i="83"/>
  <c r="BB341" i="83"/>
  <c r="AY341" i="83"/>
  <c r="AX341" i="83"/>
  <c r="AW341" i="83"/>
  <c r="AM341" i="83"/>
  <c r="AK341" i="83"/>
  <c r="AJ341" i="83"/>
  <c r="AI341" i="83"/>
  <c r="AH341" i="83"/>
  <c r="AG341" i="83"/>
  <c r="AF341" i="83"/>
  <c r="AE341" i="83"/>
  <c r="Y341" i="83"/>
  <c r="Z341" i="83" s="1"/>
  <c r="AP341" i="83" s="1"/>
  <c r="AQ341" i="83" s="1"/>
  <c r="BX341" i="83" s="1"/>
  <c r="Q341" i="83"/>
  <c r="C341" i="83"/>
  <c r="BD340" i="83"/>
  <c r="BC340" i="83"/>
  <c r="BP340" i="83" s="1"/>
  <c r="AY340" i="83"/>
  <c r="AX340" i="83"/>
  <c r="AW340" i="83"/>
  <c r="AM340" i="83"/>
  <c r="AK340" i="83"/>
  <c r="AJ340" i="83"/>
  <c r="AI340" i="83"/>
  <c r="AH340" i="83"/>
  <c r="AG340" i="83"/>
  <c r="AF340" i="83"/>
  <c r="AE340" i="83"/>
  <c r="Q340" i="83"/>
  <c r="C340" i="83"/>
  <c r="BK339" i="83"/>
  <c r="BO339" i="83"/>
  <c r="BJ339" i="83"/>
  <c r="BD339" i="83"/>
  <c r="BC339" i="83"/>
  <c r="AY339" i="83"/>
  <c r="AX339" i="83"/>
  <c r="AW339" i="83"/>
  <c r="AP339" i="83"/>
  <c r="AQ339" i="83"/>
  <c r="AM339" i="83"/>
  <c r="AK339" i="83"/>
  <c r="AJ339" i="83"/>
  <c r="AI339" i="83"/>
  <c r="AH339" i="83"/>
  <c r="AG339" i="83"/>
  <c r="AF339" i="83"/>
  <c r="AE339" i="83"/>
  <c r="Q339" i="83"/>
  <c r="C339" i="83"/>
  <c r="BD338" i="83"/>
  <c r="BC338" i="83"/>
  <c r="BP338" i="83" s="1"/>
  <c r="AY338" i="83"/>
  <c r="AX338" i="83"/>
  <c r="AW338" i="83"/>
  <c r="AM338" i="83"/>
  <c r="AK338" i="83"/>
  <c r="AJ338" i="83"/>
  <c r="AI338" i="83"/>
  <c r="AH338" i="83"/>
  <c r="AG338" i="83"/>
  <c r="AF338" i="83"/>
  <c r="AE338" i="83"/>
  <c r="Q338" i="83"/>
  <c r="C338" i="83"/>
  <c r="BJ337" i="83"/>
  <c r="BH337" i="83"/>
  <c r="BD337" i="83" s="1"/>
  <c r="BC337" i="83"/>
  <c r="BB337" i="83"/>
  <c r="AY337" i="83"/>
  <c r="AW337" i="83"/>
  <c r="AM337" i="83"/>
  <c r="BK337" i="83"/>
  <c r="BO337" i="83" s="1"/>
  <c r="AK337" i="83"/>
  <c r="AJ337" i="83"/>
  <c r="AI337" i="83"/>
  <c r="AH337" i="83"/>
  <c r="AG337" i="83"/>
  <c r="AF337" i="83"/>
  <c r="AE337" i="83"/>
  <c r="Y337" i="83"/>
  <c r="Z337" i="83" s="1"/>
  <c r="Q337" i="83"/>
  <c r="C337" i="83"/>
  <c r="BD336" i="83"/>
  <c r="BC336" i="83"/>
  <c r="AY336" i="83"/>
  <c r="AX336" i="83"/>
  <c r="AW336" i="83"/>
  <c r="AM336" i="83"/>
  <c r="AK336" i="83"/>
  <c r="AJ336" i="83"/>
  <c r="AI336" i="83"/>
  <c r="AH336" i="83"/>
  <c r="AG336" i="83"/>
  <c r="AF336" i="83"/>
  <c r="AE336" i="83"/>
  <c r="Y336" i="83"/>
  <c r="Z336" i="83" s="1"/>
  <c r="Q336" i="83"/>
  <c r="C336" i="83"/>
  <c r="BD335" i="83"/>
  <c r="BC335" i="83"/>
  <c r="BB335" i="83" s="1"/>
  <c r="AY335" i="83"/>
  <c r="AX335" i="83"/>
  <c r="AW335" i="83"/>
  <c r="AM335" i="83"/>
  <c r="AK335" i="83"/>
  <c r="AJ335" i="83"/>
  <c r="AI335" i="83"/>
  <c r="AH335" i="83"/>
  <c r="AG335" i="83"/>
  <c r="AF335" i="83"/>
  <c r="AE335" i="83"/>
  <c r="Q335" i="83"/>
  <c r="C335" i="83"/>
  <c r="BJ334" i="83"/>
  <c r="BH334" i="83"/>
  <c r="BD333" i="83" s="1"/>
  <c r="BC334" i="83"/>
  <c r="BB334" i="83"/>
  <c r="AM334" i="83"/>
  <c r="BK334" i="83" s="1"/>
  <c r="AK334" i="83"/>
  <c r="AJ334" i="83"/>
  <c r="AI334" i="83"/>
  <c r="AH334" i="83"/>
  <c r="AG334" i="83"/>
  <c r="AF334" i="83"/>
  <c r="AE334" i="83"/>
  <c r="Y334" i="83"/>
  <c r="Z334" i="83" s="1"/>
  <c r="AP334" i="83" s="1"/>
  <c r="Q334" i="83"/>
  <c r="C334" i="83"/>
  <c r="BJ333" i="83"/>
  <c r="BH333" i="83"/>
  <c r="BC333" i="83"/>
  <c r="BB333" i="83"/>
  <c r="AY333" i="83"/>
  <c r="AW333" i="83"/>
  <c r="AM333" i="83"/>
  <c r="BK333" i="83"/>
  <c r="BO333" i="83"/>
  <c r="AK333" i="83"/>
  <c r="AJ333" i="83"/>
  <c r="AI333" i="83"/>
  <c r="AH333" i="83"/>
  <c r="AG333" i="83"/>
  <c r="AF333" i="83"/>
  <c r="AE333" i="83"/>
  <c r="Y333" i="83"/>
  <c r="Z333" i="83" s="1"/>
  <c r="AP333" i="83" s="1"/>
  <c r="AQ333" i="83" s="1"/>
  <c r="BX333" i="83" s="1"/>
  <c r="CA333" i="83" s="1"/>
  <c r="Q333" i="83"/>
  <c r="C333" i="83"/>
  <c r="BJ332" i="83"/>
  <c r="BH332" i="83"/>
  <c r="BD332" i="83" s="1"/>
  <c r="BC332" i="83"/>
  <c r="BB332" i="83"/>
  <c r="AY332" i="83"/>
  <c r="AW332" i="83"/>
  <c r="AM332" i="83"/>
  <c r="BK332" i="83"/>
  <c r="BO332" i="83" s="1"/>
  <c r="AK332" i="83"/>
  <c r="AJ332" i="83"/>
  <c r="AI332" i="83"/>
  <c r="AH332" i="83"/>
  <c r="AG332" i="83"/>
  <c r="AF332" i="83"/>
  <c r="AE332" i="83"/>
  <c r="Q332" i="83"/>
  <c r="C332" i="83"/>
  <c r="BJ331" i="83"/>
  <c r="BH331" i="83"/>
  <c r="BD331" i="83"/>
  <c r="BC331" i="83"/>
  <c r="BB331" i="83"/>
  <c r="AY331" i="83"/>
  <c r="AW331" i="83"/>
  <c r="AM331" i="83"/>
  <c r="BK331" i="83" s="1"/>
  <c r="BO331" i="83" s="1"/>
  <c r="BP331" i="83" s="1"/>
  <c r="AK331" i="83"/>
  <c r="AJ331" i="83"/>
  <c r="AI331" i="83"/>
  <c r="AH331" i="83"/>
  <c r="AG331" i="83"/>
  <c r="AF331" i="83"/>
  <c r="AE331" i="83"/>
  <c r="Q331" i="83"/>
  <c r="C331" i="83"/>
  <c r="BD330" i="83"/>
  <c r="BC330" i="83"/>
  <c r="BP330" i="83" s="1"/>
  <c r="AY330" i="83"/>
  <c r="AX330" i="83"/>
  <c r="AW330" i="83"/>
  <c r="AM330" i="83"/>
  <c r="AK330" i="83"/>
  <c r="AJ330" i="83"/>
  <c r="AI330" i="83"/>
  <c r="AH330" i="83"/>
  <c r="AG330" i="83"/>
  <c r="AF330" i="83"/>
  <c r="AE330" i="83"/>
  <c r="Q330" i="83"/>
  <c r="C330" i="83"/>
  <c r="BD329" i="83"/>
  <c r="BC329" i="83"/>
  <c r="BP329" i="83" s="1"/>
  <c r="AY329" i="83"/>
  <c r="AX329" i="83"/>
  <c r="AW329" i="83"/>
  <c r="AM329" i="83"/>
  <c r="AK329" i="83"/>
  <c r="AJ329" i="83"/>
  <c r="AI329" i="83"/>
  <c r="AH329" i="83"/>
  <c r="AG329" i="83"/>
  <c r="AF329" i="83"/>
  <c r="AE329" i="83"/>
  <c r="Y329" i="83"/>
  <c r="Z329" i="83" s="1"/>
  <c r="AP329" i="83" s="1"/>
  <c r="AQ329" i="83" s="1"/>
  <c r="BX329" i="83" s="1"/>
  <c r="CA329" i="83" s="1"/>
  <c r="Q329" i="83"/>
  <c r="C329" i="83"/>
  <c r="BK328" i="83"/>
  <c r="BO328" i="83" s="1"/>
  <c r="BP328" i="83" s="1"/>
  <c r="BJ328" i="83"/>
  <c r="BD328" i="83"/>
  <c r="BC328" i="83"/>
  <c r="BB328" i="83"/>
  <c r="AY328" i="83"/>
  <c r="AX328" i="83"/>
  <c r="AW328" i="83"/>
  <c r="AP328" i="83"/>
  <c r="AQ328" i="83" s="1"/>
  <c r="BX328" i="83" s="1"/>
  <c r="AK328" i="83"/>
  <c r="AJ328" i="83"/>
  <c r="AI328" i="83"/>
  <c r="AH328" i="83"/>
  <c r="AG328" i="83"/>
  <c r="AF328" i="83"/>
  <c r="AE328" i="83"/>
  <c r="Q328" i="83"/>
  <c r="C328" i="83"/>
  <c r="BD327" i="83"/>
  <c r="BC327" i="83"/>
  <c r="BP327" i="83" s="1"/>
  <c r="AY327" i="83"/>
  <c r="AX327" i="83"/>
  <c r="AW327" i="83"/>
  <c r="AM327" i="83"/>
  <c r="AK327" i="83"/>
  <c r="AJ327" i="83"/>
  <c r="AI327" i="83"/>
  <c r="AH327" i="83"/>
  <c r="AG327" i="83"/>
  <c r="AF327" i="83"/>
  <c r="AE327" i="83"/>
  <c r="Y327" i="83"/>
  <c r="Z327" i="83" s="1"/>
  <c r="AP327" i="83" s="1"/>
  <c r="AQ327" i="83" s="1"/>
  <c r="BX327" i="83" s="1"/>
  <c r="CA327" i="83" s="1"/>
  <c r="Q327" i="83"/>
  <c r="C327" i="83"/>
  <c r="BD326" i="83"/>
  <c r="BC326" i="83"/>
  <c r="AY326" i="83"/>
  <c r="AX326" i="83"/>
  <c r="AW326" i="83"/>
  <c r="AM326" i="83"/>
  <c r="AK326" i="83"/>
  <c r="AJ326" i="83"/>
  <c r="AI326" i="83"/>
  <c r="AH326" i="83"/>
  <c r="AG326" i="83"/>
  <c r="AF326" i="83"/>
  <c r="AE326" i="83"/>
  <c r="Q326" i="83"/>
  <c r="C326" i="83"/>
  <c r="BD325" i="83"/>
  <c r="BC325" i="83"/>
  <c r="BP325" i="83" s="1"/>
  <c r="AY325" i="83"/>
  <c r="AX325" i="83"/>
  <c r="AW325" i="83"/>
  <c r="AM325" i="83"/>
  <c r="AK325" i="83"/>
  <c r="AJ325" i="83"/>
  <c r="AI325" i="83"/>
  <c r="AH325" i="83"/>
  <c r="AG325" i="83"/>
  <c r="AF325" i="83"/>
  <c r="AE325" i="83"/>
  <c r="Q325" i="83"/>
  <c r="C325" i="83"/>
  <c r="BD324" i="83"/>
  <c r="BC324" i="83"/>
  <c r="BP324" i="83" s="1"/>
  <c r="AY324" i="83"/>
  <c r="AX324" i="83"/>
  <c r="AW324" i="83"/>
  <c r="AM324" i="83"/>
  <c r="AK324" i="83"/>
  <c r="AJ324" i="83"/>
  <c r="AI324" i="83"/>
  <c r="AH324" i="83"/>
  <c r="AG324" i="83"/>
  <c r="AF324" i="83"/>
  <c r="AE324" i="83"/>
  <c r="Q324" i="83"/>
  <c r="BJ323" i="83"/>
  <c r="BH323" i="83"/>
  <c r="BD323" i="83"/>
  <c r="BC323" i="83"/>
  <c r="BB323" i="83"/>
  <c r="AY323" i="83"/>
  <c r="AW323" i="83"/>
  <c r="AM323" i="83"/>
  <c r="BK323" i="83" s="1"/>
  <c r="BO323" i="83" s="1"/>
  <c r="AK323" i="83"/>
  <c r="AJ323" i="83"/>
  <c r="AI323" i="83"/>
  <c r="AH323" i="83"/>
  <c r="AG323" i="83"/>
  <c r="AF323" i="83"/>
  <c r="AE323" i="83"/>
  <c r="Y323" i="83"/>
  <c r="Z323" i="83" s="1"/>
  <c r="AP323" i="83" s="1"/>
  <c r="AQ323" i="83" s="1"/>
  <c r="Q323" i="83"/>
  <c r="C323" i="83"/>
  <c r="BJ322" i="83"/>
  <c r="BH322" i="83"/>
  <c r="BD322" i="83" s="1"/>
  <c r="BC322" i="83"/>
  <c r="BB322" i="83" s="1"/>
  <c r="AY322" i="83"/>
  <c r="AW322" i="83"/>
  <c r="AM322" i="83"/>
  <c r="BK322" i="83"/>
  <c r="BO322" i="83"/>
  <c r="AK322" i="83"/>
  <c r="AJ322" i="83"/>
  <c r="AI322" i="83"/>
  <c r="AH322" i="83"/>
  <c r="AG322" i="83"/>
  <c r="AF322" i="83"/>
  <c r="AE322" i="83"/>
  <c r="Q322" i="83"/>
  <c r="C322" i="83"/>
  <c r="BK321" i="83"/>
  <c r="BO321" i="83" s="1"/>
  <c r="BJ321" i="83"/>
  <c r="BC321" i="83"/>
  <c r="BB321" i="83" s="1"/>
  <c r="AY321" i="83"/>
  <c r="AX321" i="83"/>
  <c r="AW321" i="83"/>
  <c r="AP321" i="83"/>
  <c r="AQ321" i="83" s="1"/>
  <c r="AK321" i="83"/>
  <c r="AJ321" i="83"/>
  <c r="AI321" i="83"/>
  <c r="AH321" i="83"/>
  <c r="AG321" i="83"/>
  <c r="AF321" i="83"/>
  <c r="AE321" i="83"/>
  <c r="Q321" i="83"/>
  <c r="C321" i="83"/>
  <c r="BC320" i="83"/>
  <c r="BP320" i="83" s="1"/>
  <c r="AY320" i="83"/>
  <c r="AX320" i="83"/>
  <c r="AW320" i="83"/>
  <c r="AQ320" i="83"/>
  <c r="BX320" i="83" s="1"/>
  <c r="AK320" i="83"/>
  <c r="AJ320" i="83"/>
  <c r="AI320" i="83"/>
  <c r="AH320" i="83"/>
  <c r="AF320" i="83"/>
  <c r="Q320" i="83"/>
  <c r="C320" i="83"/>
  <c r="BK319" i="83"/>
  <c r="BO319" i="83"/>
  <c r="BJ319" i="83"/>
  <c r="BC319" i="83"/>
  <c r="BB319" i="83"/>
  <c r="AY319" i="83"/>
  <c r="AX319" i="83"/>
  <c r="AW319" i="83"/>
  <c r="AP319" i="83"/>
  <c r="AQ319" i="83"/>
  <c r="AK319" i="83"/>
  <c r="AJ319" i="83"/>
  <c r="AI319" i="83"/>
  <c r="AH319" i="83"/>
  <c r="AG319" i="83"/>
  <c r="AF319" i="83"/>
  <c r="AE319" i="83"/>
  <c r="Y319" i="83"/>
  <c r="Q319" i="83"/>
  <c r="C319" i="83"/>
  <c r="BD318" i="83"/>
  <c r="BC318" i="83"/>
  <c r="BP318" i="83" s="1"/>
  <c r="AY318" i="83"/>
  <c r="AX318" i="83"/>
  <c r="AW318" i="83"/>
  <c r="AM318" i="83"/>
  <c r="AK318" i="83"/>
  <c r="AJ318" i="83"/>
  <c r="AI318" i="83"/>
  <c r="AH318" i="83"/>
  <c r="AG318" i="83"/>
  <c r="AF318" i="83"/>
  <c r="AE318" i="83"/>
  <c r="Q318" i="83"/>
  <c r="C318" i="83"/>
  <c r="BJ317" i="83"/>
  <c r="BH317" i="83"/>
  <c r="BD317" i="83" s="1"/>
  <c r="BC317" i="83"/>
  <c r="BB317" i="83" s="1"/>
  <c r="AY317" i="83"/>
  <c r="AW317" i="83"/>
  <c r="AM317" i="83"/>
  <c r="BA317" i="83"/>
  <c r="AK317" i="83"/>
  <c r="AJ317" i="83"/>
  <c r="AI317" i="83"/>
  <c r="AH317" i="83"/>
  <c r="AG317" i="83"/>
  <c r="AF317" i="83"/>
  <c r="AE317" i="83"/>
  <c r="Q317" i="83"/>
  <c r="C317" i="83"/>
  <c r="BD316" i="83"/>
  <c r="BC316" i="83"/>
  <c r="BB316" i="83" s="1"/>
  <c r="AY316" i="83"/>
  <c r="AX316" i="83"/>
  <c r="AW316" i="83"/>
  <c r="AM316" i="83"/>
  <c r="AK316" i="83"/>
  <c r="AJ316" i="83"/>
  <c r="AI316" i="83"/>
  <c r="AH316" i="83"/>
  <c r="AG316" i="83"/>
  <c r="AF316" i="83"/>
  <c r="AE316" i="83"/>
  <c r="Y316" i="83"/>
  <c r="Z316" i="83" s="1"/>
  <c r="AP316" i="83" s="1"/>
  <c r="AQ316" i="83" s="1"/>
  <c r="Q316" i="83"/>
  <c r="C316" i="83"/>
  <c r="BD315" i="83"/>
  <c r="BC315" i="83"/>
  <c r="BP315" i="83"/>
  <c r="AY315" i="83"/>
  <c r="AX315" i="83"/>
  <c r="AW315" i="83"/>
  <c r="AM315" i="83"/>
  <c r="AK315" i="83"/>
  <c r="AJ315" i="83"/>
  <c r="AI315" i="83"/>
  <c r="AH315" i="83"/>
  <c r="AG315" i="83"/>
  <c r="AF315" i="83"/>
  <c r="AE315" i="83"/>
  <c r="Q315" i="83"/>
  <c r="C315" i="83"/>
  <c r="BK314" i="83"/>
  <c r="BO314" i="83" s="1"/>
  <c r="BX314" i="83" s="1"/>
  <c r="BJ314" i="83"/>
  <c r="BG314" i="83"/>
  <c r="BD314" i="83" s="1"/>
  <c r="BC314" i="83"/>
  <c r="BB314" i="83"/>
  <c r="AY314" i="83"/>
  <c r="AX314" i="83"/>
  <c r="AW314" i="83"/>
  <c r="AP314" i="83"/>
  <c r="AQ314" i="83"/>
  <c r="AK314" i="83"/>
  <c r="AJ314" i="83"/>
  <c r="AI314" i="83"/>
  <c r="AH314" i="83"/>
  <c r="AG314" i="83"/>
  <c r="AF314" i="83"/>
  <c r="AE314" i="83"/>
  <c r="Q314" i="83"/>
  <c r="C314" i="83"/>
  <c r="BJ313" i="83"/>
  <c r="BG313" i="83"/>
  <c r="BD313" i="83" s="1"/>
  <c r="BC313" i="83"/>
  <c r="BB313" i="83" s="1"/>
  <c r="AY313" i="83"/>
  <c r="AX313" i="83"/>
  <c r="AM313" i="83"/>
  <c r="BK313" i="83"/>
  <c r="BO313" i="83"/>
  <c r="AK313" i="83"/>
  <c r="AJ313" i="83"/>
  <c r="AI313" i="83"/>
  <c r="AH313" i="83"/>
  <c r="AG313" i="83"/>
  <c r="AF313" i="83"/>
  <c r="AE313" i="83"/>
  <c r="Q313" i="83"/>
  <c r="C313" i="83"/>
  <c r="BJ312" i="83"/>
  <c r="BG312" i="83"/>
  <c r="BD312" i="83"/>
  <c r="BC312" i="83"/>
  <c r="BB312" i="83" s="1"/>
  <c r="AY312" i="83"/>
  <c r="AX312" i="83"/>
  <c r="AM312" i="83"/>
  <c r="BK312" i="83" s="1"/>
  <c r="BO312" i="83" s="1"/>
  <c r="AK312" i="83"/>
  <c r="AJ312" i="83"/>
  <c r="AI312" i="83"/>
  <c r="AH312" i="83"/>
  <c r="AG312" i="83"/>
  <c r="AF312" i="83"/>
  <c r="AE312" i="83"/>
  <c r="Q312" i="83"/>
  <c r="C312" i="83"/>
  <c r="BJ311" i="83"/>
  <c r="BG311" i="83"/>
  <c r="BD311" i="83"/>
  <c r="BC311" i="83"/>
  <c r="BB311" i="83" s="1"/>
  <c r="AY311" i="83"/>
  <c r="AX311" i="83"/>
  <c r="AM311" i="83"/>
  <c r="BK311" i="83"/>
  <c r="BO311" i="83" s="1"/>
  <c r="AK311" i="83"/>
  <c r="AJ311" i="83"/>
  <c r="AI311" i="83"/>
  <c r="AH311" i="83"/>
  <c r="AG311" i="83"/>
  <c r="AF311" i="83"/>
  <c r="AE311" i="83"/>
  <c r="Q311" i="83"/>
  <c r="C311" i="83"/>
  <c r="BJ310" i="83"/>
  <c r="BC310" i="83"/>
  <c r="BB310" i="83" s="1"/>
  <c r="AY310" i="83"/>
  <c r="AX310" i="83"/>
  <c r="AW310" i="83"/>
  <c r="AM310" i="83"/>
  <c r="BK310" i="83"/>
  <c r="BO310" i="83"/>
  <c r="AK310" i="83"/>
  <c r="AJ310" i="83"/>
  <c r="AI310" i="83"/>
  <c r="AH310" i="83"/>
  <c r="AG310" i="83"/>
  <c r="AF310" i="83"/>
  <c r="AE310" i="83"/>
  <c r="Q310" i="83"/>
  <c r="C310" i="83"/>
  <c r="BD309" i="83"/>
  <c r="BC309" i="83"/>
  <c r="BP309" i="83"/>
  <c r="AY309" i="83"/>
  <c r="AX309" i="83"/>
  <c r="AW309" i="83"/>
  <c r="AM309" i="83"/>
  <c r="AK309" i="83"/>
  <c r="AJ309" i="83"/>
  <c r="AI309" i="83"/>
  <c r="AH309" i="83"/>
  <c r="AG309" i="83"/>
  <c r="AF309" i="83"/>
  <c r="AE309" i="83"/>
  <c r="Q309" i="83"/>
  <c r="C309" i="83"/>
  <c r="BD308" i="83"/>
  <c r="BC308" i="83"/>
  <c r="AY308" i="83"/>
  <c r="AX308" i="83"/>
  <c r="AW308" i="83"/>
  <c r="AM308" i="83"/>
  <c r="AK308" i="83"/>
  <c r="AJ308" i="83"/>
  <c r="AI308" i="83"/>
  <c r="AH308" i="83"/>
  <c r="AG308" i="83"/>
  <c r="AF308" i="83"/>
  <c r="AE308" i="83"/>
  <c r="Q308" i="83"/>
  <c r="C308" i="83"/>
  <c r="BD307" i="83"/>
  <c r="BC307" i="83"/>
  <c r="BB307" i="83" s="1"/>
  <c r="AY307" i="83"/>
  <c r="AX307" i="83"/>
  <c r="AW307" i="83"/>
  <c r="AK307" i="83"/>
  <c r="AJ307" i="83"/>
  <c r="AI307" i="83"/>
  <c r="AH307" i="83"/>
  <c r="AG307" i="83"/>
  <c r="AF307" i="83"/>
  <c r="AE307" i="83"/>
  <c r="Y307" i="83"/>
  <c r="Z307" i="83" s="1"/>
  <c r="AP307" i="83" s="1"/>
  <c r="AQ307" i="83" s="1"/>
  <c r="BX307" i="83" s="1"/>
  <c r="CA307" i="83" s="1"/>
  <c r="Q307" i="83"/>
  <c r="C307" i="83"/>
  <c r="BD306" i="83"/>
  <c r="BC306" i="83"/>
  <c r="BP306" i="83" s="1"/>
  <c r="AY306" i="83"/>
  <c r="AX306" i="83"/>
  <c r="AW306" i="83"/>
  <c r="AM306" i="83"/>
  <c r="AK306" i="83"/>
  <c r="AJ306" i="83"/>
  <c r="AI306" i="83"/>
  <c r="AH306" i="83"/>
  <c r="AG306" i="83"/>
  <c r="AF306" i="83"/>
  <c r="AE306" i="83"/>
  <c r="Q306" i="83"/>
  <c r="C306" i="83"/>
  <c r="BI305" i="83"/>
  <c r="BD305" i="83" s="1"/>
  <c r="BC305" i="83"/>
  <c r="BP305" i="83"/>
  <c r="AX305" i="83"/>
  <c r="AW305" i="83"/>
  <c r="AM305" i="83"/>
  <c r="BA305" i="83"/>
  <c r="AK305" i="83"/>
  <c r="AJ305" i="83"/>
  <c r="AI305" i="83"/>
  <c r="AH305" i="83"/>
  <c r="AG305" i="83"/>
  <c r="AF305" i="83"/>
  <c r="AE305" i="83"/>
  <c r="Q305" i="83"/>
  <c r="C305" i="83"/>
  <c r="BD304" i="83"/>
  <c r="BC304" i="83"/>
  <c r="AY304" i="83"/>
  <c r="AX304" i="83"/>
  <c r="AW304" i="83"/>
  <c r="AM304" i="83"/>
  <c r="AK304" i="83"/>
  <c r="AJ304" i="83"/>
  <c r="AI304" i="83"/>
  <c r="AH304" i="83"/>
  <c r="AG304" i="83"/>
  <c r="AF304" i="83"/>
  <c r="AE304" i="83"/>
  <c r="Q304" i="83"/>
  <c r="C304" i="83"/>
  <c r="BI303" i="83"/>
  <c r="BD303" i="83" s="1"/>
  <c r="BC303" i="83"/>
  <c r="BB303" i="83"/>
  <c r="AX303" i="83"/>
  <c r="AW303" i="83"/>
  <c r="AM303" i="83"/>
  <c r="BA303" i="83"/>
  <c r="AK303" i="83"/>
  <c r="AJ303" i="83"/>
  <c r="AI303" i="83"/>
  <c r="AH303" i="83"/>
  <c r="AG303" i="83"/>
  <c r="AF303" i="83"/>
  <c r="AE303" i="83"/>
  <c r="Q303" i="83"/>
  <c r="C303" i="83"/>
  <c r="BK302" i="83"/>
  <c r="BO302" i="83" s="1"/>
  <c r="BJ302" i="83"/>
  <c r="BD302" i="83"/>
  <c r="BC302" i="83"/>
  <c r="AY302" i="83"/>
  <c r="AX302" i="83"/>
  <c r="AW302" i="83"/>
  <c r="AK302" i="83"/>
  <c r="AJ302" i="83"/>
  <c r="AI302" i="83"/>
  <c r="AH302" i="83"/>
  <c r="AG302" i="83"/>
  <c r="AF302" i="83"/>
  <c r="AE302" i="83"/>
  <c r="Q302" i="83"/>
  <c r="O302" i="83"/>
  <c r="C302" i="83"/>
  <c r="BD301" i="83"/>
  <c r="BC301" i="83"/>
  <c r="BB301" i="83" s="1"/>
  <c r="AY301" i="83"/>
  <c r="AX301" i="83"/>
  <c r="AW301" i="83"/>
  <c r="AM301" i="83"/>
  <c r="AK301" i="83"/>
  <c r="AJ301" i="83"/>
  <c r="AI301" i="83"/>
  <c r="AH301" i="83"/>
  <c r="AG301" i="83"/>
  <c r="AF301" i="83"/>
  <c r="AE301" i="83"/>
  <c r="Q301" i="83"/>
  <c r="O301" i="83"/>
  <c r="C301" i="83"/>
  <c r="BD300" i="83"/>
  <c r="BC300" i="83"/>
  <c r="BP300" i="83"/>
  <c r="AY300" i="83"/>
  <c r="AX300" i="83"/>
  <c r="AW300" i="83"/>
  <c r="AK300" i="83"/>
  <c r="AJ300" i="83"/>
  <c r="AI300" i="83"/>
  <c r="AH300" i="83"/>
  <c r="AG300" i="83"/>
  <c r="AF300" i="83"/>
  <c r="AE300" i="83"/>
  <c r="Y300" i="83"/>
  <c r="Z300" i="83" s="1"/>
  <c r="AP300" i="83" s="1"/>
  <c r="AQ300" i="83" s="1"/>
  <c r="BX300" i="83" s="1"/>
  <c r="Q300" i="83"/>
  <c r="C300" i="83"/>
  <c r="BK299" i="83"/>
  <c r="BO299" i="83" s="1"/>
  <c r="BP299" i="83" s="1"/>
  <c r="BJ299" i="83"/>
  <c r="BC299" i="83"/>
  <c r="BB299" i="83" s="1"/>
  <c r="AY299" i="83"/>
  <c r="AX299" i="83"/>
  <c r="AW299" i="83"/>
  <c r="AK299" i="83"/>
  <c r="AJ299" i="83"/>
  <c r="AI299" i="83"/>
  <c r="AH299" i="83"/>
  <c r="AG299" i="83"/>
  <c r="AF299" i="83"/>
  <c r="AE299" i="83"/>
  <c r="Q299" i="83"/>
  <c r="C299" i="83"/>
  <c r="BD298" i="83"/>
  <c r="BC298" i="83"/>
  <c r="BP298" i="83"/>
  <c r="AY298" i="83"/>
  <c r="AX298" i="83"/>
  <c r="AW298" i="83"/>
  <c r="AK298" i="83"/>
  <c r="AJ298" i="83"/>
  <c r="AI298" i="83"/>
  <c r="AH298" i="83"/>
  <c r="AG298" i="83"/>
  <c r="AF298" i="83"/>
  <c r="AE298" i="83"/>
  <c r="Q298" i="83"/>
  <c r="C298" i="83"/>
  <c r="BD297" i="83"/>
  <c r="BC297" i="83"/>
  <c r="BB297" i="83"/>
  <c r="AY297" i="83"/>
  <c r="AX297" i="83"/>
  <c r="AW297" i="83"/>
  <c r="AM297" i="83"/>
  <c r="AK297" i="83"/>
  <c r="AJ297" i="83"/>
  <c r="AI297" i="83"/>
  <c r="AH297" i="83"/>
  <c r="AG297" i="83"/>
  <c r="AF297" i="83"/>
  <c r="AE297" i="83"/>
  <c r="Q297" i="83"/>
  <c r="C297" i="83"/>
  <c r="BC296" i="83"/>
  <c r="BP296" i="83" s="1"/>
  <c r="AY296" i="83"/>
  <c r="AX296" i="83"/>
  <c r="AW296" i="83"/>
  <c r="AM296" i="83"/>
  <c r="AK296" i="83"/>
  <c r="AJ296" i="83"/>
  <c r="AI296" i="83"/>
  <c r="AH296" i="83"/>
  <c r="AG296" i="83"/>
  <c r="AF296" i="83"/>
  <c r="AE296" i="83"/>
  <c r="Y296" i="83"/>
  <c r="Q296" i="83"/>
  <c r="C296" i="83"/>
  <c r="BD295" i="83"/>
  <c r="BC295" i="83"/>
  <c r="AY295" i="83"/>
  <c r="AX295" i="83"/>
  <c r="AW295" i="83"/>
  <c r="AK295" i="83"/>
  <c r="AJ295" i="83"/>
  <c r="AI295" i="83"/>
  <c r="AH295" i="83"/>
  <c r="AG295" i="83"/>
  <c r="AF295" i="83"/>
  <c r="AE295" i="83"/>
  <c r="Y295" i="83"/>
  <c r="Q295" i="83"/>
  <c r="C295" i="83"/>
  <c r="BD294" i="83"/>
  <c r="BC294" i="83"/>
  <c r="BP294" i="83" s="1"/>
  <c r="AY294" i="83"/>
  <c r="AX294" i="83"/>
  <c r="AW294" i="83"/>
  <c r="AM294" i="83"/>
  <c r="AK294" i="83"/>
  <c r="AJ294" i="83"/>
  <c r="AI294" i="83"/>
  <c r="AH294" i="83"/>
  <c r="AG294" i="83"/>
  <c r="AF294" i="83"/>
  <c r="AE294" i="83"/>
  <c r="Q294" i="83"/>
  <c r="C294" i="83"/>
  <c r="BD293" i="83"/>
  <c r="BC293" i="83"/>
  <c r="AY293" i="83"/>
  <c r="AX293" i="83"/>
  <c r="AW293" i="83"/>
  <c r="AM293" i="83"/>
  <c r="AK293" i="83"/>
  <c r="AJ293" i="83"/>
  <c r="AI293" i="83"/>
  <c r="AH293" i="83"/>
  <c r="AG293" i="83"/>
  <c r="AF293" i="83"/>
  <c r="AE293" i="83"/>
  <c r="Y293" i="83"/>
  <c r="Z293" i="83" s="1"/>
  <c r="AP293" i="83" s="1"/>
  <c r="AQ293" i="83" s="1"/>
  <c r="BX293" i="83" s="1"/>
  <c r="Q293" i="83"/>
  <c r="C293" i="83"/>
  <c r="BD292" i="83"/>
  <c r="BC292" i="83"/>
  <c r="BB292" i="83" s="1"/>
  <c r="AY292" i="83"/>
  <c r="AX292" i="83"/>
  <c r="AW292" i="83"/>
  <c r="AM292" i="83"/>
  <c r="AK292" i="83"/>
  <c r="AJ292" i="83"/>
  <c r="AI292" i="83"/>
  <c r="AH292" i="83"/>
  <c r="AG292" i="83"/>
  <c r="AF292" i="83"/>
  <c r="AE292" i="83"/>
  <c r="Q292" i="83"/>
  <c r="C292" i="83"/>
  <c r="BD291" i="83"/>
  <c r="BC291" i="83"/>
  <c r="BB291" i="83" s="1"/>
  <c r="AY291" i="83"/>
  <c r="AX291" i="83"/>
  <c r="AW291" i="83"/>
  <c r="AM291" i="83"/>
  <c r="AK291" i="83"/>
  <c r="AJ291" i="83"/>
  <c r="AI291" i="83"/>
  <c r="AH291" i="83"/>
  <c r="AG291" i="83"/>
  <c r="AF291" i="83"/>
  <c r="AE291" i="83"/>
  <c r="Y291" i="83"/>
  <c r="Z291" i="83" s="1"/>
  <c r="AP291" i="83" s="1"/>
  <c r="AQ291" i="83" s="1"/>
  <c r="BX291" i="83" s="1"/>
  <c r="Q291" i="83"/>
  <c r="C291" i="83"/>
  <c r="BD290" i="83"/>
  <c r="BC290" i="83"/>
  <c r="BP290" i="83"/>
  <c r="AY290" i="83"/>
  <c r="AX290" i="83"/>
  <c r="AW290" i="83"/>
  <c r="AP290" i="83"/>
  <c r="AQ290" i="83"/>
  <c r="BX290" i="83"/>
  <c r="AK290" i="83"/>
  <c r="AJ290" i="83"/>
  <c r="AI290" i="83"/>
  <c r="AH290" i="83"/>
  <c r="AG290" i="83"/>
  <c r="AF290" i="83"/>
  <c r="AE290" i="83"/>
  <c r="Q290" i="83"/>
  <c r="C290" i="83"/>
  <c r="BD289" i="83"/>
  <c r="BC289" i="83"/>
  <c r="BP289" i="83" s="1"/>
  <c r="AY289" i="83"/>
  <c r="AX289" i="83"/>
  <c r="AW289" i="83"/>
  <c r="AK289" i="83"/>
  <c r="AJ289" i="83"/>
  <c r="AI289" i="83"/>
  <c r="AH289" i="83"/>
  <c r="AG289" i="83"/>
  <c r="AF289" i="83"/>
  <c r="AE289" i="83"/>
  <c r="Q289" i="83"/>
  <c r="C289" i="83"/>
  <c r="BD288" i="83"/>
  <c r="BC288" i="83"/>
  <c r="BB288" i="83"/>
  <c r="AY288" i="83"/>
  <c r="AX288" i="83"/>
  <c r="AW288" i="83"/>
  <c r="AM288" i="83"/>
  <c r="AK288" i="83"/>
  <c r="AJ288" i="83"/>
  <c r="AI288" i="83"/>
  <c r="AH288" i="83"/>
  <c r="AG288" i="83"/>
  <c r="AF288" i="83"/>
  <c r="AE288" i="83"/>
  <c r="Q288" i="83"/>
  <c r="C288" i="83"/>
  <c r="BD287" i="83"/>
  <c r="BC287" i="83"/>
  <c r="BP287" i="83"/>
  <c r="AY287" i="83"/>
  <c r="AX287" i="83"/>
  <c r="AW287" i="83"/>
  <c r="AM287" i="83"/>
  <c r="AK287" i="83"/>
  <c r="AJ287" i="83"/>
  <c r="AI287" i="83"/>
  <c r="AH287" i="83"/>
  <c r="AG287" i="83"/>
  <c r="AF287" i="83"/>
  <c r="AE287" i="83"/>
  <c r="Y287" i="83"/>
  <c r="Z287" i="83" s="1"/>
  <c r="AP287" i="83" s="1"/>
  <c r="Q287" i="83"/>
  <c r="C287" i="83"/>
  <c r="BD286" i="83"/>
  <c r="BC286" i="83"/>
  <c r="BB286" i="83"/>
  <c r="AY286" i="83"/>
  <c r="AX286" i="83"/>
  <c r="AW286" i="83"/>
  <c r="AM286" i="83"/>
  <c r="AK286" i="83"/>
  <c r="AJ286" i="83"/>
  <c r="AI286" i="83"/>
  <c r="AH286" i="83"/>
  <c r="AG286" i="83"/>
  <c r="AF286" i="83"/>
  <c r="AE286" i="83"/>
  <c r="Y286" i="83"/>
  <c r="Z286" i="83" s="1"/>
  <c r="AP286" i="83" s="1"/>
  <c r="AQ286" i="83" s="1"/>
  <c r="BX286" i="83" s="1"/>
  <c r="Q286" i="83"/>
  <c r="C286" i="83"/>
  <c r="BD285" i="83"/>
  <c r="BC285" i="83"/>
  <c r="BP285" i="83"/>
  <c r="AY285" i="83"/>
  <c r="AX285" i="83"/>
  <c r="AW285" i="83"/>
  <c r="AM285" i="83"/>
  <c r="AK285" i="83"/>
  <c r="AJ285" i="83"/>
  <c r="AI285" i="83"/>
  <c r="AH285" i="83"/>
  <c r="AG285" i="83"/>
  <c r="AF285" i="83"/>
  <c r="AE285" i="83"/>
  <c r="Q285" i="83"/>
  <c r="C285" i="83"/>
  <c r="BD284" i="83"/>
  <c r="BC284" i="83"/>
  <c r="BP284" i="83"/>
  <c r="AY284" i="83"/>
  <c r="AX284" i="83"/>
  <c r="AW284" i="83"/>
  <c r="AM284" i="83"/>
  <c r="AK284" i="83"/>
  <c r="AJ284" i="83"/>
  <c r="AI284" i="83"/>
  <c r="AH284" i="83"/>
  <c r="AG284" i="83"/>
  <c r="AF284" i="83"/>
  <c r="AE284" i="83"/>
  <c r="Q284" i="83"/>
  <c r="O284" i="83"/>
  <c r="C284" i="83"/>
  <c r="BJ283" i="83"/>
  <c r="BC283" i="83"/>
  <c r="BB283" i="83" s="1"/>
  <c r="AY283" i="83"/>
  <c r="AX283" i="83"/>
  <c r="AW283" i="83"/>
  <c r="AM283" i="83"/>
  <c r="BK283" i="83"/>
  <c r="BO283" i="83" s="1"/>
  <c r="AK283" i="83"/>
  <c r="AJ283" i="83"/>
  <c r="AI283" i="83"/>
  <c r="AH283" i="83"/>
  <c r="AG283" i="83"/>
  <c r="AF283" i="83"/>
  <c r="AE283" i="83"/>
  <c r="Q283" i="83"/>
  <c r="C283" i="83"/>
  <c r="BD282" i="83"/>
  <c r="BC282" i="83"/>
  <c r="BP282" i="83"/>
  <c r="AY282" i="83"/>
  <c r="AX282" i="83"/>
  <c r="AW282" i="83"/>
  <c r="AK282" i="83"/>
  <c r="AJ282" i="83"/>
  <c r="AI282" i="83"/>
  <c r="AH282" i="83"/>
  <c r="AG282" i="83"/>
  <c r="AF282" i="83"/>
  <c r="AE282" i="83"/>
  <c r="Q282" i="83"/>
  <c r="C282" i="83"/>
  <c r="BD281" i="83"/>
  <c r="BC281" i="83"/>
  <c r="BB281" i="83"/>
  <c r="AY281" i="83"/>
  <c r="AX281" i="83"/>
  <c r="AW281" i="83"/>
  <c r="AM281" i="83"/>
  <c r="AK281" i="83"/>
  <c r="AJ281" i="83"/>
  <c r="AI281" i="83"/>
  <c r="AH281" i="83"/>
  <c r="AG281" i="83"/>
  <c r="AF281" i="83"/>
  <c r="AE281" i="83"/>
  <c r="Q281" i="83"/>
  <c r="C281" i="83"/>
  <c r="BK280" i="83"/>
  <c r="BO280" i="83" s="1"/>
  <c r="BJ280" i="83"/>
  <c r="BH280" i="83"/>
  <c r="BD280" i="83" s="1"/>
  <c r="BC280" i="83"/>
  <c r="BB280" i="83"/>
  <c r="AY280" i="83"/>
  <c r="AW280" i="83"/>
  <c r="AK280" i="83"/>
  <c r="AJ280" i="83"/>
  <c r="AI280" i="83"/>
  <c r="AH280" i="83"/>
  <c r="AG280" i="83"/>
  <c r="AF280" i="83"/>
  <c r="AE280" i="83"/>
  <c r="Q280" i="83"/>
  <c r="C280" i="83"/>
  <c r="BC279" i="83"/>
  <c r="BP279" i="83"/>
  <c r="AY279" i="83"/>
  <c r="AW279" i="83"/>
  <c r="AM279" i="83"/>
  <c r="AK279" i="83"/>
  <c r="AJ279" i="83"/>
  <c r="AI279" i="83"/>
  <c r="AH279" i="83"/>
  <c r="AG279" i="83"/>
  <c r="AF279" i="83"/>
  <c r="AE279" i="83"/>
  <c r="Q279" i="83"/>
  <c r="C279" i="83"/>
  <c r="BD278" i="83"/>
  <c r="BC278" i="83"/>
  <c r="AM278" i="83"/>
  <c r="AK278" i="83"/>
  <c r="AJ278" i="83"/>
  <c r="AI278" i="83"/>
  <c r="AH278" i="83"/>
  <c r="AG278" i="83"/>
  <c r="AF278" i="83"/>
  <c r="AE278" i="83"/>
  <c r="Y278" i="83"/>
  <c r="Z278" i="83" s="1"/>
  <c r="Q278" i="83"/>
  <c r="C278" i="83"/>
  <c r="BP277" i="83"/>
  <c r="BH277" i="83"/>
  <c r="BD277" i="83" s="1"/>
  <c r="AY277" i="83"/>
  <c r="AW277" i="83"/>
  <c r="AM277" i="83"/>
  <c r="AK277" i="83"/>
  <c r="AJ277" i="83"/>
  <c r="AI277" i="83"/>
  <c r="AH277" i="83"/>
  <c r="AG277" i="83"/>
  <c r="AF277" i="83"/>
  <c r="AE277" i="83"/>
  <c r="Q277" i="83"/>
  <c r="C277" i="83"/>
  <c r="BD276" i="83"/>
  <c r="BC276" i="83"/>
  <c r="BB276" i="83"/>
  <c r="AY276" i="83"/>
  <c r="AX276" i="83"/>
  <c r="AW276" i="83"/>
  <c r="AM276" i="83"/>
  <c r="AK276" i="83"/>
  <c r="AJ276" i="83"/>
  <c r="AI276" i="83"/>
  <c r="AH276" i="83"/>
  <c r="AG276" i="83"/>
  <c r="AF276" i="83"/>
  <c r="AE276" i="83"/>
  <c r="Q276" i="83"/>
  <c r="C276" i="83"/>
  <c r="BD275" i="83"/>
  <c r="BC275" i="83"/>
  <c r="BP275" i="83"/>
  <c r="AY275" i="83"/>
  <c r="AX275" i="83"/>
  <c r="AW275" i="83"/>
  <c r="AM275" i="83"/>
  <c r="AK275" i="83"/>
  <c r="AJ275" i="83"/>
  <c r="AI275" i="83"/>
  <c r="AH275" i="83"/>
  <c r="AG275" i="83"/>
  <c r="AF275" i="83"/>
  <c r="AE275" i="83"/>
  <c r="Q275" i="83"/>
  <c r="C275" i="83"/>
  <c r="BD274" i="83"/>
  <c r="BC274" i="83"/>
  <c r="BB274" i="83"/>
  <c r="AY274" i="83"/>
  <c r="AX274" i="83"/>
  <c r="AW274" i="83"/>
  <c r="AM274" i="83"/>
  <c r="AK274" i="83"/>
  <c r="AJ274" i="83"/>
  <c r="AI274" i="83"/>
  <c r="AH274" i="83"/>
  <c r="AG274" i="83"/>
  <c r="AF274" i="83"/>
  <c r="AE274" i="83"/>
  <c r="Y274" i="83"/>
  <c r="Z274" i="83" s="1"/>
  <c r="AP274" i="83" s="1"/>
  <c r="AQ274" i="83" s="1"/>
  <c r="BX274" i="83" s="1"/>
  <c r="CA274" i="83" s="1"/>
  <c r="Q274" i="83"/>
  <c r="C274" i="83"/>
  <c r="BJ273" i="83"/>
  <c r="BH273" i="83"/>
  <c r="BD273" i="83" s="1"/>
  <c r="BC273" i="83"/>
  <c r="BB273" i="83" s="1"/>
  <c r="AY273" i="83"/>
  <c r="AW273" i="83"/>
  <c r="AM273" i="83"/>
  <c r="BK273" i="83"/>
  <c r="BO273" i="83"/>
  <c r="AK273" i="83"/>
  <c r="AJ273" i="83"/>
  <c r="AI273" i="83"/>
  <c r="AH273" i="83"/>
  <c r="AG273" i="83"/>
  <c r="AF273" i="83"/>
  <c r="AE273" i="83"/>
  <c r="Q273" i="83"/>
  <c r="O273" i="83"/>
  <c r="C273" i="83"/>
  <c r="BD272" i="83"/>
  <c r="BC272" i="83"/>
  <c r="BP272" i="83"/>
  <c r="AY272" i="83"/>
  <c r="AX272" i="83"/>
  <c r="AW272" i="83"/>
  <c r="AM272" i="83"/>
  <c r="AK272" i="83"/>
  <c r="AJ272" i="83"/>
  <c r="AI272" i="83"/>
  <c r="AH272" i="83"/>
  <c r="AG272" i="83"/>
  <c r="AF272" i="83"/>
  <c r="AE272" i="83"/>
  <c r="Q272" i="83"/>
  <c r="C272" i="83"/>
  <c r="BD271" i="83"/>
  <c r="BC271" i="83"/>
  <c r="BP271" i="83"/>
  <c r="AY271" i="83"/>
  <c r="AX271" i="83"/>
  <c r="AW271" i="83"/>
  <c r="AM271" i="83"/>
  <c r="AK271" i="83"/>
  <c r="AJ271" i="83"/>
  <c r="AI271" i="83"/>
  <c r="AH271" i="83"/>
  <c r="AG271" i="83"/>
  <c r="AF271" i="83"/>
  <c r="AE271" i="83"/>
  <c r="Y271" i="83"/>
  <c r="Z271" i="83" s="1"/>
  <c r="AP271" i="83" s="1"/>
  <c r="AQ271" i="83" s="1"/>
  <c r="BX271" i="83" s="1"/>
  <c r="CA271" i="83" s="1"/>
  <c r="Q271" i="83"/>
  <c r="O271" i="83"/>
  <c r="C271" i="83"/>
  <c r="BJ270" i="83"/>
  <c r="BH270" i="83"/>
  <c r="BD270" i="83"/>
  <c r="BC270" i="83"/>
  <c r="BB270" i="83"/>
  <c r="AY270" i="83"/>
  <c r="AW270" i="83"/>
  <c r="AM270" i="83"/>
  <c r="BK270" i="83"/>
  <c r="BO270" i="83" s="1"/>
  <c r="BP270" i="83" s="1"/>
  <c r="AK270" i="83"/>
  <c r="AJ270" i="83"/>
  <c r="AI270" i="83"/>
  <c r="AH270" i="83"/>
  <c r="AG270" i="83"/>
  <c r="AF270" i="83"/>
  <c r="AE270" i="83"/>
  <c r="Y270" i="83"/>
  <c r="Z270" i="83" s="1"/>
  <c r="AP270" i="83" s="1"/>
  <c r="Q270" i="83"/>
  <c r="C270" i="83"/>
  <c r="BO269" i="83"/>
  <c r="BC269" i="83"/>
  <c r="AY269" i="83"/>
  <c r="AX269" i="83"/>
  <c r="AW269" i="83"/>
  <c r="AM269" i="83"/>
  <c r="AK269" i="83"/>
  <c r="AJ269" i="83"/>
  <c r="AI269" i="83"/>
  <c r="AH269" i="83"/>
  <c r="AG269" i="83"/>
  <c r="AF269" i="83"/>
  <c r="AE269" i="83"/>
  <c r="Y269" i="83"/>
  <c r="Z269" i="83" s="1"/>
  <c r="AP269" i="83" s="1"/>
  <c r="AQ269" i="83" s="1"/>
  <c r="Q269" i="83"/>
  <c r="C269" i="83"/>
  <c r="BD268" i="83"/>
  <c r="BC268" i="83"/>
  <c r="BP268" i="83" s="1"/>
  <c r="AY268" i="83"/>
  <c r="AX268" i="83"/>
  <c r="AW268" i="83"/>
  <c r="AM268" i="83"/>
  <c r="AK268" i="83"/>
  <c r="AJ268" i="83"/>
  <c r="AI268" i="83"/>
  <c r="AH268" i="83"/>
  <c r="AG268" i="83"/>
  <c r="AF268" i="83"/>
  <c r="AE268" i="83"/>
  <c r="Q268" i="83"/>
  <c r="C268" i="83"/>
  <c r="BD267" i="83"/>
  <c r="BC267" i="83"/>
  <c r="BP267" i="83" s="1"/>
  <c r="AY267" i="83"/>
  <c r="AX267" i="83"/>
  <c r="AW267" i="83"/>
  <c r="AM267" i="83"/>
  <c r="AK267" i="83"/>
  <c r="AJ267" i="83"/>
  <c r="AI267" i="83"/>
  <c r="AH267" i="83"/>
  <c r="AG267" i="83"/>
  <c r="AF267" i="83"/>
  <c r="AE267" i="83"/>
  <c r="Q267" i="83"/>
  <c r="C267" i="83"/>
  <c r="BJ266" i="83"/>
  <c r="BC266" i="83"/>
  <c r="BB266" i="83" s="1"/>
  <c r="AY266" i="83"/>
  <c r="AX266" i="83"/>
  <c r="AW266" i="83"/>
  <c r="AM266" i="83"/>
  <c r="BK266" i="83"/>
  <c r="BO266" i="83"/>
  <c r="AK266" i="83"/>
  <c r="AJ266" i="83"/>
  <c r="AI266" i="83"/>
  <c r="AH266" i="83"/>
  <c r="AG266" i="83"/>
  <c r="AF266" i="83"/>
  <c r="AE266" i="83"/>
  <c r="Y266" i="83"/>
  <c r="Z266" i="83" s="1"/>
  <c r="AP266" i="83" s="1"/>
  <c r="AQ266" i="83" s="1"/>
  <c r="BX266" i="83" s="1"/>
  <c r="Q266" i="83"/>
  <c r="C266" i="83"/>
  <c r="BD265" i="83"/>
  <c r="BC265" i="83"/>
  <c r="BP265" i="83" s="1"/>
  <c r="AY265" i="83"/>
  <c r="AX265" i="83"/>
  <c r="AW265" i="83"/>
  <c r="AM265" i="83"/>
  <c r="AK265" i="83"/>
  <c r="AJ265" i="83"/>
  <c r="AI265" i="83"/>
  <c r="AH265" i="83"/>
  <c r="AG265" i="83"/>
  <c r="AF265" i="83"/>
  <c r="AE265" i="83"/>
  <c r="Y265" i="83"/>
  <c r="Z265" i="83" s="1"/>
  <c r="AP265" i="83" s="1"/>
  <c r="AQ265" i="83" s="1"/>
  <c r="BX265" i="83" s="1"/>
  <c r="Q265" i="83"/>
  <c r="C265" i="83"/>
  <c r="BD264" i="83"/>
  <c r="BC264" i="83"/>
  <c r="AY264" i="83"/>
  <c r="AX264" i="83"/>
  <c r="AW264" i="83"/>
  <c r="AK264" i="83"/>
  <c r="AJ264" i="83"/>
  <c r="AI264" i="83"/>
  <c r="AH264" i="83"/>
  <c r="AG264" i="83"/>
  <c r="AF264" i="83"/>
  <c r="AE264" i="83"/>
  <c r="Y264" i="83"/>
  <c r="Z264" i="83" s="1"/>
  <c r="AP264" i="83" s="1"/>
  <c r="AQ264" i="83" s="1"/>
  <c r="BX264" i="83" s="1"/>
  <c r="Q264" i="83"/>
  <c r="C264" i="83"/>
  <c r="BJ263" i="83"/>
  <c r="BH263" i="83"/>
  <c r="BD263" i="83" s="1"/>
  <c r="BC263" i="83"/>
  <c r="BB263" i="83"/>
  <c r="AY263" i="83"/>
  <c r="AW263" i="83"/>
  <c r="AM263" i="83"/>
  <c r="BA263" i="83"/>
  <c r="AK263" i="83"/>
  <c r="AJ263" i="83"/>
  <c r="AI263" i="83"/>
  <c r="AH263" i="83"/>
  <c r="AG263" i="83"/>
  <c r="AF263" i="83"/>
  <c r="AE263" i="83"/>
  <c r="Q263" i="83"/>
  <c r="O263" i="83"/>
  <c r="C263" i="83"/>
  <c r="BD262" i="83"/>
  <c r="BC262" i="83"/>
  <c r="BP262" i="83"/>
  <c r="AY262" i="83"/>
  <c r="AX262" i="83"/>
  <c r="AW262" i="83"/>
  <c r="AM262" i="83"/>
  <c r="AK262" i="83"/>
  <c r="AJ262" i="83"/>
  <c r="AI262" i="83"/>
  <c r="AH262" i="83"/>
  <c r="AG262" i="83"/>
  <c r="AF262" i="83"/>
  <c r="AE262" i="83"/>
  <c r="Y262" i="83"/>
  <c r="Z262" i="83" s="1"/>
  <c r="AP262" i="83" s="1"/>
  <c r="AQ262" i="83" s="1"/>
  <c r="BX262" i="83" s="1"/>
  <c r="Q262" i="83"/>
  <c r="C262" i="83"/>
  <c r="BD261" i="83"/>
  <c r="BC261" i="83"/>
  <c r="BP261" i="83" s="1"/>
  <c r="AY261" i="83"/>
  <c r="AX261" i="83"/>
  <c r="AW261" i="83"/>
  <c r="AK261" i="83"/>
  <c r="AJ261" i="83"/>
  <c r="AI261" i="83"/>
  <c r="AH261" i="83"/>
  <c r="AG261" i="83"/>
  <c r="AF261" i="83"/>
  <c r="AE261" i="83"/>
  <c r="Y261" i="83"/>
  <c r="Z261" i="83" s="1"/>
  <c r="AP261" i="83" s="1"/>
  <c r="AQ261" i="83" s="1"/>
  <c r="BX261" i="83" s="1"/>
  <c r="Q261" i="83"/>
  <c r="C261" i="83"/>
  <c r="BD260" i="83"/>
  <c r="BC260" i="83"/>
  <c r="BB260" i="83" s="1"/>
  <c r="AY260" i="83"/>
  <c r="AX260" i="83"/>
  <c r="AW260" i="83"/>
  <c r="AM260" i="83"/>
  <c r="AK260" i="83"/>
  <c r="AJ260" i="83"/>
  <c r="AI260" i="83"/>
  <c r="AH260" i="83"/>
  <c r="AG260" i="83"/>
  <c r="AF260" i="83"/>
  <c r="AE260" i="83"/>
  <c r="Q260" i="83"/>
  <c r="O260" i="83"/>
  <c r="C260" i="83"/>
  <c r="BD259" i="83"/>
  <c r="BC259" i="83"/>
  <c r="BP259" i="83" s="1"/>
  <c r="AY259" i="83"/>
  <c r="AX259" i="83"/>
  <c r="AW259" i="83"/>
  <c r="AM259" i="83"/>
  <c r="AK259" i="83"/>
  <c r="AJ259" i="83"/>
  <c r="AI259" i="83"/>
  <c r="AH259" i="83"/>
  <c r="AG259" i="83"/>
  <c r="AF259" i="83"/>
  <c r="AE259" i="83"/>
  <c r="Y259" i="83"/>
  <c r="Z259" i="83" s="1"/>
  <c r="AP259" i="83" s="1"/>
  <c r="AQ259" i="83" s="1"/>
  <c r="BX259" i="83" s="1"/>
  <c r="Q259" i="83"/>
  <c r="C259" i="83"/>
  <c r="BD258" i="83"/>
  <c r="BC258" i="83"/>
  <c r="BP258" i="83"/>
  <c r="AY258" i="83"/>
  <c r="AX258" i="83"/>
  <c r="AW258" i="83"/>
  <c r="AM258" i="83"/>
  <c r="AK258" i="83"/>
  <c r="AJ258" i="83"/>
  <c r="AI258" i="83"/>
  <c r="AH258" i="83"/>
  <c r="AG258" i="83"/>
  <c r="AF258" i="83"/>
  <c r="AE258" i="83"/>
  <c r="Y258" i="83"/>
  <c r="Z258" i="83" s="1"/>
  <c r="AP258" i="83" s="1"/>
  <c r="Q258" i="83"/>
  <c r="C258" i="83"/>
  <c r="BD257" i="83"/>
  <c r="BC257" i="83"/>
  <c r="BP257" i="83"/>
  <c r="AY257" i="83"/>
  <c r="AX257" i="83"/>
  <c r="AW257" i="83"/>
  <c r="AM257" i="83"/>
  <c r="AK257" i="83"/>
  <c r="AJ257" i="83"/>
  <c r="AI257" i="83"/>
  <c r="AH257" i="83"/>
  <c r="AG257" i="83"/>
  <c r="AF257" i="83"/>
  <c r="AE257" i="83"/>
  <c r="Q257" i="83"/>
  <c r="C257" i="83"/>
  <c r="BD256" i="83"/>
  <c r="BC256" i="83"/>
  <c r="BP256" i="83"/>
  <c r="AY256" i="83"/>
  <c r="AX256" i="83"/>
  <c r="AW256" i="83"/>
  <c r="AM256" i="83"/>
  <c r="AK256" i="83"/>
  <c r="AJ256" i="83"/>
  <c r="AI256" i="83"/>
  <c r="AH256" i="83"/>
  <c r="AG256" i="83"/>
  <c r="AF256" i="83"/>
  <c r="AE256" i="83"/>
  <c r="Q256" i="83"/>
  <c r="C256" i="83"/>
  <c r="BK255" i="83"/>
  <c r="BO255" i="83"/>
  <c r="BX255" i="83"/>
  <c r="CA255" i="83" s="1"/>
  <c r="BJ255" i="83"/>
  <c r="BD255" i="83"/>
  <c r="BC255" i="83"/>
  <c r="AY255" i="83"/>
  <c r="AX255" i="83"/>
  <c r="AW255" i="83"/>
  <c r="AK255" i="83"/>
  <c r="AJ255" i="83"/>
  <c r="AI255" i="83"/>
  <c r="AH255" i="83"/>
  <c r="AG255" i="83"/>
  <c r="AF255" i="83"/>
  <c r="AE255" i="83"/>
  <c r="Q255" i="83"/>
  <c r="C255" i="83"/>
  <c r="BD254" i="83"/>
  <c r="BC254" i="83"/>
  <c r="BB254" i="83"/>
  <c r="AY254" i="83"/>
  <c r="AX254" i="83"/>
  <c r="AW254" i="83"/>
  <c r="AM254" i="83"/>
  <c r="AK254" i="83"/>
  <c r="AJ254" i="83"/>
  <c r="AI254" i="83"/>
  <c r="AH254" i="83"/>
  <c r="AG254" i="83"/>
  <c r="AF254" i="83"/>
  <c r="AE254" i="83"/>
  <c r="Q254" i="83"/>
  <c r="C254" i="83"/>
  <c r="BD253" i="83"/>
  <c r="BC253" i="83"/>
  <c r="BB253" i="83"/>
  <c r="AY253" i="83"/>
  <c r="AX253" i="83"/>
  <c r="AW253" i="83"/>
  <c r="AM253" i="83"/>
  <c r="AK253" i="83"/>
  <c r="AJ253" i="83"/>
  <c r="AI253" i="83"/>
  <c r="AH253" i="83"/>
  <c r="AG253" i="83"/>
  <c r="AF253" i="83"/>
  <c r="AE253" i="83"/>
  <c r="Q253" i="83"/>
  <c r="C253" i="83"/>
  <c r="BD252" i="83"/>
  <c r="BC252" i="83"/>
  <c r="BB252" i="83"/>
  <c r="AY252" i="83"/>
  <c r="AX252" i="83"/>
  <c r="AW252" i="83"/>
  <c r="AM252" i="83"/>
  <c r="AK252" i="83"/>
  <c r="AJ252" i="83"/>
  <c r="AI252" i="83"/>
  <c r="AH252" i="83"/>
  <c r="AG252" i="83"/>
  <c r="AF252" i="83"/>
  <c r="AE252" i="83"/>
  <c r="Q252" i="83"/>
  <c r="C252" i="83"/>
  <c r="BD251" i="83"/>
  <c r="BC251" i="83"/>
  <c r="BB251" i="83"/>
  <c r="AY251" i="83"/>
  <c r="AX251" i="83"/>
  <c r="AW251" i="83"/>
  <c r="AM251" i="83"/>
  <c r="AK251" i="83"/>
  <c r="AJ251" i="83"/>
  <c r="AI251" i="83"/>
  <c r="AH251" i="83"/>
  <c r="AG251" i="83"/>
  <c r="AF251" i="83"/>
  <c r="AE251" i="83"/>
  <c r="Q251" i="83"/>
  <c r="C251" i="83"/>
  <c r="BD250" i="83"/>
  <c r="BC250" i="83"/>
  <c r="BB250" i="83"/>
  <c r="AY250" i="83"/>
  <c r="AX250" i="83"/>
  <c r="AW250" i="83"/>
  <c r="AK250" i="83"/>
  <c r="AJ250" i="83"/>
  <c r="AI250" i="83"/>
  <c r="AH250" i="83"/>
  <c r="AG250" i="83"/>
  <c r="AF250" i="83"/>
  <c r="AE250" i="83"/>
  <c r="Q250" i="83"/>
  <c r="C250" i="83"/>
  <c r="BD249" i="83"/>
  <c r="BC249" i="83"/>
  <c r="BB249" i="83"/>
  <c r="AY249" i="83"/>
  <c r="AX249" i="83"/>
  <c r="AW249" i="83"/>
  <c r="AP249" i="83"/>
  <c r="AQ249" i="83"/>
  <c r="BX249" i="83"/>
  <c r="AK249" i="83"/>
  <c r="AJ249" i="83"/>
  <c r="AI249" i="83"/>
  <c r="AH249" i="83"/>
  <c r="AG249" i="83"/>
  <c r="AF249" i="83"/>
  <c r="AE249" i="83"/>
  <c r="Q249" i="83"/>
  <c r="C249" i="83"/>
  <c r="BK248" i="83"/>
  <c r="BO248" i="83"/>
  <c r="BJ248" i="83"/>
  <c r="BD248" i="83"/>
  <c r="BC248" i="83"/>
  <c r="AY248" i="83"/>
  <c r="AX248" i="83"/>
  <c r="AW248" i="83"/>
  <c r="AP248" i="83"/>
  <c r="AQ248" i="83"/>
  <c r="AK248" i="83"/>
  <c r="AJ248" i="83"/>
  <c r="AI248" i="83"/>
  <c r="AH248" i="83"/>
  <c r="AG248" i="83"/>
  <c r="AF248" i="83"/>
  <c r="AE248" i="83"/>
  <c r="Q248" i="83"/>
  <c r="C248" i="83"/>
  <c r="BD247" i="83"/>
  <c r="BC247" i="83"/>
  <c r="BB247" i="83"/>
  <c r="AY247" i="83"/>
  <c r="AX247" i="83"/>
  <c r="AW247" i="83"/>
  <c r="AM247" i="83"/>
  <c r="AK247" i="83"/>
  <c r="AJ247" i="83"/>
  <c r="AI247" i="83"/>
  <c r="AH247" i="83"/>
  <c r="AG247" i="83"/>
  <c r="AF247" i="83"/>
  <c r="AE247" i="83"/>
  <c r="Q247" i="83"/>
  <c r="C247" i="83"/>
  <c r="BD246" i="83"/>
  <c r="BC246" i="83"/>
  <c r="BB246" i="83"/>
  <c r="AY246" i="83"/>
  <c r="AX246" i="83"/>
  <c r="AW246" i="83"/>
  <c r="AP246" i="83"/>
  <c r="AQ246" i="83"/>
  <c r="BX246" i="83" s="1"/>
  <c r="AK246" i="83"/>
  <c r="AJ246" i="83"/>
  <c r="AI246" i="83"/>
  <c r="AH246" i="83"/>
  <c r="AG246" i="83"/>
  <c r="AF246" i="83"/>
  <c r="AE246" i="83"/>
  <c r="Y246" i="83"/>
  <c r="Q246" i="83"/>
  <c r="C246" i="83"/>
  <c r="BD245" i="83"/>
  <c r="BC245" i="83"/>
  <c r="AY245" i="83"/>
  <c r="AX245" i="83"/>
  <c r="AW245" i="83"/>
  <c r="AM245" i="83"/>
  <c r="AK245" i="83"/>
  <c r="AJ245" i="83"/>
  <c r="AI245" i="83"/>
  <c r="AH245" i="83"/>
  <c r="AG245" i="83"/>
  <c r="AF245" i="83"/>
  <c r="AE245" i="83"/>
  <c r="Q245" i="83"/>
  <c r="C245" i="83"/>
  <c r="BI244" i="83"/>
  <c r="BD244" i="83" s="1"/>
  <c r="BC244" i="83"/>
  <c r="BB244" i="83"/>
  <c r="BA244" i="83"/>
  <c r="AX244" i="83"/>
  <c r="AW244" i="83"/>
  <c r="AP244" i="83"/>
  <c r="AQ244" i="83"/>
  <c r="BX244" i="83" s="1"/>
  <c r="AK244" i="83"/>
  <c r="AJ244" i="83"/>
  <c r="AI244" i="83"/>
  <c r="AH244" i="83"/>
  <c r="AG244" i="83"/>
  <c r="AF244" i="83"/>
  <c r="AE244" i="83"/>
  <c r="Q244" i="83"/>
  <c r="C244" i="83"/>
  <c r="BI243" i="83"/>
  <c r="BD243" i="83" s="1"/>
  <c r="BC243" i="83"/>
  <c r="AX243" i="83"/>
  <c r="AW243" i="83"/>
  <c r="AM243" i="83"/>
  <c r="BA243" i="83" s="1"/>
  <c r="AK243" i="83"/>
  <c r="AJ243" i="83"/>
  <c r="AI243" i="83"/>
  <c r="AH243" i="83"/>
  <c r="AG243" i="83"/>
  <c r="AF243" i="83"/>
  <c r="AE243" i="83"/>
  <c r="Q243" i="83"/>
  <c r="C243" i="83"/>
  <c r="BD242" i="83"/>
  <c r="BC242" i="83"/>
  <c r="BB242" i="83" s="1"/>
  <c r="AM242" i="83"/>
  <c r="AK242" i="83"/>
  <c r="AJ242" i="83"/>
  <c r="AI242" i="83"/>
  <c r="AH242" i="83"/>
  <c r="AG242" i="83"/>
  <c r="AF242" i="83"/>
  <c r="AE242" i="83"/>
  <c r="Q242" i="83"/>
  <c r="C242" i="83"/>
  <c r="BD241" i="83"/>
  <c r="BC241" i="83"/>
  <c r="AY241" i="83"/>
  <c r="AX241" i="83"/>
  <c r="AW241" i="83"/>
  <c r="AM241" i="83"/>
  <c r="AK241" i="83"/>
  <c r="AJ241" i="83"/>
  <c r="AI241" i="83"/>
  <c r="AH241" i="83"/>
  <c r="AG241" i="83"/>
  <c r="AF241" i="83"/>
  <c r="AE241" i="83"/>
  <c r="Q241" i="83"/>
  <c r="C241" i="83"/>
  <c r="BD240" i="83"/>
  <c r="BC240" i="83"/>
  <c r="BP240" i="83" s="1"/>
  <c r="AY240" i="83"/>
  <c r="AX240" i="83"/>
  <c r="AW240" i="83"/>
  <c r="AM240" i="83"/>
  <c r="AK240" i="83"/>
  <c r="AJ240" i="83"/>
  <c r="AI240" i="83"/>
  <c r="AH240" i="83"/>
  <c r="AG240" i="83"/>
  <c r="AF240" i="83"/>
  <c r="AE240" i="83"/>
  <c r="Q240" i="83"/>
  <c r="C240" i="83"/>
  <c r="BK239" i="83"/>
  <c r="BO239" i="83" s="1"/>
  <c r="BJ239" i="83"/>
  <c r="BD239" i="83"/>
  <c r="BC239" i="83"/>
  <c r="AY239" i="83"/>
  <c r="AX239" i="83"/>
  <c r="AW239" i="83"/>
  <c r="AK239" i="83"/>
  <c r="AJ239" i="83"/>
  <c r="AI239" i="83"/>
  <c r="AH239" i="83"/>
  <c r="AG239" i="83"/>
  <c r="AF239" i="83"/>
  <c r="AE239" i="83"/>
  <c r="Y239" i="83"/>
  <c r="Z239" i="83" s="1"/>
  <c r="AP239" i="83" s="1"/>
  <c r="AQ239" i="83" s="1"/>
  <c r="Q239" i="83"/>
  <c r="C239" i="83"/>
  <c r="BD238" i="83"/>
  <c r="BC238" i="83"/>
  <c r="BP238" i="83"/>
  <c r="AY238" i="83"/>
  <c r="AX238" i="83"/>
  <c r="AW238" i="83"/>
  <c r="AM238" i="83"/>
  <c r="AK238" i="83"/>
  <c r="AJ238" i="83"/>
  <c r="AI238" i="83"/>
  <c r="AH238" i="83"/>
  <c r="AG238" i="83"/>
  <c r="AF238" i="83"/>
  <c r="AE238" i="83"/>
  <c r="Q238" i="83"/>
  <c r="C238" i="83"/>
  <c r="BD237" i="83"/>
  <c r="BC237" i="83"/>
  <c r="BP237" i="83"/>
  <c r="AY237" i="83"/>
  <c r="AX237" i="83"/>
  <c r="AW237" i="83"/>
  <c r="AM237" i="83"/>
  <c r="AK237" i="83"/>
  <c r="AJ237" i="83"/>
  <c r="AI237" i="83"/>
  <c r="AH237" i="83"/>
  <c r="AG237" i="83"/>
  <c r="AF237" i="83"/>
  <c r="AE237" i="83"/>
  <c r="Q237" i="83"/>
  <c r="C237" i="83"/>
  <c r="BI236" i="83"/>
  <c r="BD236" i="83"/>
  <c r="BC236" i="83"/>
  <c r="AX236" i="83"/>
  <c r="AW236" i="83"/>
  <c r="AM236" i="83"/>
  <c r="BA236" i="83"/>
  <c r="AK236" i="83"/>
  <c r="AJ236" i="83"/>
  <c r="AI236" i="83"/>
  <c r="AH236" i="83"/>
  <c r="AG236" i="83"/>
  <c r="AF236" i="83"/>
  <c r="AE236" i="83"/>
  <c r="Q236" i="83"/>
  <c r="C236" i="83"/>
  <c r="BD235" i="83"/>
  <c r="BC235" i="83"/>
  <c r="AY235" i="83"/>
  <c r="AX235" i="83"/>
  <c r="AW235" i="83"/>
  <c r="AM235" i="83"/>
  <c r="AK235" i="83"/>
  <c r="AJ235" i="83"/>
  <c r="AI235" i="83"/>
  <c r="AH235" i="83"/>
  <c r="AG235" i="83"/>
  <c r="AF235" i="83"/>
  <c r="AE235" i="83"/>
  <c r="Q235" i="83"/>
  <c r="C235" i="83"/>
  <c r="BD234" i="83"/>
  <c r="BC234" i="83"/>
  <c r="BB234" i="83"/>
  <c r="AY234" i="83"/>
  <c r="AX234" i="83"/>
  <c r="AW234" i="83"/>
  <c r="AM234" i="83"/>
  <c r="AK234" i="83"/>
  <c r="AJ234" i="83"/>
  <c r="AI234" i="83"/>
  <c r="AH234" i="83"/>
  <c r="AG234" i="83"/>
  <c r="AF234" i="83"/>
  <c r="AE234" i="83"/>
  <c r="Q234" i="83"/>
  <c r="C234" i="83"/>
  <c r="BD233" i="83"/>
  <c r="BC233" i="83"/>
  <c r="BP233" i="83"/>
  <c r="AY233" i="83"/>
  <c r="AX233" i="83"/>
  <c r="AW233" i="83"/>
  <c r="AM233" i="83"/>
  <c r="AK233" i="83"/>
  <c r="AJ233" i="83"/>
  <c r="AI233" i="83"/>
  <c r="AH233" i="83"/>
  <c r="AG233" i="83"/>
  <c r="AF233" i="83"/>
  <c r="AE233" i="83"/>
  <c r="Q233" i="83"/>
  <c r="C233" i="83"/>
  <c r="BD232" i="83"/>
  <c r="BC232" i="83"/>
  <c r="BB232" i="83"/>
  <c r="AY232" i="83"/>
  <c r="AX232" i="83"/>
  <c r="AW232" i="83"/>
  <c r="AP232" i="83"/>
  <c r="AQ232" i="83"/>
  <c r="BX232" i="83" s="1"/>
  <c r="AK232" i="83"/>
  <c r="AJ232" i="83"/>
  <c r="AI232" i="83"/>
  <c r="AH232" i="83"/>
  <c r="AG232" i="83"/>
  <c r="AF232" i="83"/>
  <c r="AE232" i="83"/>
  <c r="Y232" i="83"/>
  <c r="Q232" i="83"/>
  <c r="C232" i="83"/>
  <c r="BD231" i="83"/>
  <c r="BC231" i="83"/>
  <c r="BB231" i="83" s="1"/>
  <c r="AY231" i="83"/>
  <c r="AX231" i="83"/>
  <c r="AW231" i="83"/>
  <c r="AM231" i="83"/>
  <c r="AK231" i="83"/>
  <c r="AJ231" i="83"/>
  <c r="AI231" i="83"/>
  <c r="AH231" i="83"/>
  <c r="AG231" i="83"/>
  <c r="AF231" i="83"/>
  <c r="AE231" i="83"/>
  <c r="Q231" i="83"/>
  <c r="C231" i="83"/>
  <c r="BI230" i="83"/>
  <c r="BD230" i="83" s="1"/>
  <c r="BC230" i="83"/>
  <c r="BB230" i="83" s="1"/>
  <c r="AY230" i="83"/>
  <c r="AX230" i="83"/>
  <c r="AW230" i="83"/>
  <c r="AK230" i="83"/>
  <c r="AJ230" i="83"/>
  <c r="AI230" i="83"/>
  <c r="AH230" i="83"/>
  <c r="AG230" i="83"/>
  <c r="AF230" i="83"/>
  <c r="AE230" i="83"/>
  <c r="Q230" i="83"/>
  <c r="C230" i="83"/>
  <c r="BI229" i="83"/>
  <c r="BD229" i="83" s="1"/>
  <c r="BC229" i="83"/>
  <c r="BB229" i="83" s="1"/>
  <c r="AX229" i="83"/>
  <c r="AW229" i="83"/>
  <c r="AM229" i="83"/>
  <c r="BA229" i="83"/>
  <c r="AK229" i="83"/>
  <c r="AJ229" i="83"/>
  <c r="AI229" i="83"/>
  <c r="AH229" i="83"/>
  <c r="AG229" i="83"/>
  <c r="AF229" i="83"/>
  <c r="AE229" i="83"/>
  <c r="Q229" i="83"/>
  <c r="C229" i="83"/>
  <c r="BD228" i="83"/>
  <c r="BC228" i="83"/>
  <c r="BB228" i="83" s="1"/>
  <c r="AY228" i="83"/>
  <c r="AX228" i="83"/>
  <c r="AW228" i="83"/>
  <c r="AM228" i="83"/>
  <c r="AK228" i="83"/>
  <c r="AJ228" i="83"/>
  <c r="AI228" i="83"/>
  <c r="AH228" i="83"/>
  <c r="AG228" i="83"/>
  <c r="AF228" i="83"/>
  <c r="AE228" i="83"/>
  <c r="Q228" i="83"/>
  <c r="C228" i="83"/>
  <c r="BD227" i="83"/>
  <c r="BC227" i="83"/>
  <c r="BB227" i="83" s="1"/>
  <c r="AY227" i="83"/>
  <c r="AX227" i="83"/>
  <c r="AW227" i="83"/>
  <c r="AM227" i="83"/>
  <c r="AK227" i="83"/>
  <c r="AJ227" i="83"/>
  <c r="AI227" i="83"/>
  <c r="AH227" i="83"/>
  <c r="AG227" i="83"/>
  <c r="AF227" i="83"/>
  <c r="AE227" i="83"/>
  <c r="Q227" i="83"/>
  <c r="C227" i="83"/>
  <c r="BD226" i="83"/>
  <c r="BC226" i="83"/>
  <c r="BB226" i="83" s="1"/>
  <c r="AY226" i="83"/>
  <c r="AX226" i="83"/>
  <c r="AW226" i="83"/>
  <c r="AM226" i="83"/>
  <c r="AK226" i="83"/>
  <c r="AJ226" i="83"/>
  <c r="AI226" i="83"/>
  <c r="AH226" i="83"/>
  <c r="AG226" i="83"/>
  <c r="AF226" i="83"/>
  <c r="AE226" i="83"/>
  <c r="Y226" i="83"/>
  <c r="Z226" i="83" s="1"/>
  <c r="AP226" i="83" s="1"/>
  <c r="AQ226" i="83" s="1"/>
  <c r="BX226" i="83" s="1"/>
  <c r="Q226" i="83"/>
  <c r="C226" i="83"/>
  <c r="BD225" i="83"/>
  <c r="BC225" i="83"/>
  <c r="BP225" i="83"/>
  <c r="AY225" i="83"/>
  <c r="AX225" i="83"/>
  <c r="AW225" i="83"/>
  <c r="AM225" i="83"/>
  <c r="AK225" i="83"/>
  <c r="AJ225" i="83"/>
  <c r="AI225" i="83"/>
  <c r="AH225" i="83"/>
  <c r="AG225" i="83"/>
  <c r="AF225" i="83"/>
  <c r="AE225" i="83"/>
  <c r="Y225" i="83"/>
  <c r="Z225" i="83" s="1"/>
  <c r="AP225" i="83" s="1"/>
  <c r="AQ225" i="83" s="1"/>
  <c r="BX225" i="83" s="1"/>
  <c r="CA225" i="83" s="1"/>
  <c r="Q225" i="83"/>
  <c r="C225" i="83"/>
  <c r="BI224" i="83"/>
  <c r="BD224" i="83"/>
  <c r="BC224" i="83"/>
  <c r="BB224" i="83" s="1"/>
  <c r="AX224" i="83"/>
  <c r="AW224" i="83"/>
  <c r="AM224" i="83"/>
  <c r="BA224" i="83" s="1"/>
  <c r="AK224" i="83"/>
  <c r="AJ224" i="83"/>
  <c r="AI224" i="83"/>
  <c r="AH224" i="83"/>
  <c r="AG224" i="83"/>
  <c r="AF224" i="83"/>
  <c r="AE224" i="83"/>
  <c r="Q224" i="83"/>
  <c r="C224" i="83"/>
  <c r="BD223" i="83"/>
  <c r="BC223" i="83"/>
  <c r="BB223" i="83" s="1"/>
  <c r="AY223" i="83"/>
  <c r="AX223" i="83"/>
  <c r="AW223" i="83"/>
  <c r="AM223" i="83"/>
  <c r="AK223" i="83"/>
  <c r="AJ223" i="83"/>
  <c r="AI223" i="83"/>
  <c r="AH223" i="83"/>
  <c r="AG223" i="83"/>
  <c r="AF223" i="83"/>
  <c r="AE223" i="83"/>
  <c r="Q223" i="83"/>
  <c r="C223" i="83"/>
  <c r="BI222" i="83"/>
  <c r="BD222" i="83" s="1"/>
  <c r="BC222" i="83"/>
  <c r="BB222" i="83"/>
  <c r="AX222" i="83"/>
  <c r="AW222" i="83"/>
  <c r="AM222" i="83"/>
  <c r="BA222" i="83" s="1"/>
  <c r="AK222" i="83"/>
  <c r="AJ222" i="83"/>
  <c r="AI222" i="83"/>
  <c r="AH222" i="83"/>
  <c r="AG222" i="83"/>
  <c r="AF222" i="83"/>
  <c r="AE222" i="83"/>
  <c r="Q222" i="83"/>
  <c r="C222" i="83"/>
  <c r="BD221" i="83"/>
  <c r="BC221" i="83"/>
  <c r="AY221" i="83"/>
  <c r="AX221" i="83"/>
  <c r="AW221" i="83"/>
  <c r="AK221" i="83"/>
  <c r="AJ221" i="83"/>
  <c r="AI221" i="83"/>
  <c r="AH221" i="83"/>
  <c r="AG221" i="83"/>
  <c r="AF221" i="83"/>
  <c r="AE221" i="83"/>
  <c r="Y221" i="83"/>
  <c r="Z221" i="83" s="1"/>
  <c r="AP221" i="83" s="1"/>
  <c r="AQ221" i="83" s="1"/>
  <c r="BX221" i="83" s="1"/>
  <c r="Q221" i="83"/>
  <c r="C221" i="83"/>
  <c r="BD220" i="83"/>
  <c r="BC220" i="83"/>
  <c r="BB220" i="83" s="1"/>
  <c r="AY220" i="83"/>
  <c r="AX220" i="83"/>
  <c r="AW220" i="83"/>
  <c r="AM220" i="83"/>
  <c r="AK220" i="83"/>
  <c r="AJ220" i="83"/>
  <c r="AI220" i="83"/>
  <c r="AH220" i="83"/>
  <c r="AG220" i="83"/>
  <c r="AF220" i="83"/>
  <c r="AE220" i="83"/>
  <c r="Q220" i="83"/>
  <c r="C220" i="83"/>
  <c r="BD219" i="83"/>
  <c r="BC219" i="83"/>
  <c r="BP219" i="83" s="1"/>
  <c r="AY219" i="83"/>
  <c r="AX219" i="83"/>
  <c r="AW219" i="83"/>
  <c r="AM219" i="83"/>
  <c r="AK219" i="83"/>
  <c r="AJ219" i="83"/>
  <c r="AI219" i="83"/>
  <c r="AH219" i="83"/>
  <c r="AG219" i="83"/>
  <c r="AF219" i="83"/>
  <c r="AE219" i="83"/>
  <c r="Q219" i="83"/>
  <c r="C219" i="83"/>
  <c r="BI218" i="83"/>
  <c r="BD218" i="83" s="1"/>
  <c r="BC218" i="83"/>
  <c r="AX218" i="83"/>
  <c r="AW218" i="83"/>
  <c r="AM218" i="83"/>
  <c r="BA218" i="83" s="1"/>
  <c r="AK218" i="83"/>
  <c r="AJ218" i="83"/>
  <c r="AI218" i="83"/>
  <c r="AH218" i="83"/>
  <c r="AG218" i="83"/>
  <c r="AF218" i="83"/>
  <c r="AE218" i="83"/>
  <c r="Q218" i="83"/>
  <c r="C218" i="83"/>
  <c r="BI217" i="83"/>
  <c r="BD217" i="83" s="1"/>
  <c r="BC217" i="83"/>
  <c r="BB217" i="83"/>
  <c r="AX217" i="83"/>
  <c r="AW217" i="83"/>
  <c r="AM217" i="83"/>
  <c r="BA217" i="83" s="1"/>
  <c r="AK217" i="83"/>
  <c r="AJ217" i="83"/>
  <c r="AI217" i="83"/>
  <c r="AH217" i="83"/>
  <c r="AG217" i="83"/>
  <c r="AF217" i="83"/>
  <c r="AE217" i="83"/>
  <c r="Q217" i="83"/>
  <c r="C217" i="83"/>
  <c r="BD216" i="83"/>
  <c r="BC216" i="83"/>
  <c r="BP216" i="83"/>
  <c r="AY216" i="83"/>
  <c r="AX216" i="83"/>
  <c r="AW216" i="83"/>
  <c r="AM216" i="83"/>
  <c r="AK216" i="83"/>
  <c r="AJ216" i="83"/>
  <c r="AI216" i="83"/>
  <c r="AH216" i="83"/>
  <c r="AG216" i="83"/>
  <c r="AF216" i="83"/>
  <c r="AE216" i="83"/>
  <c r="Q216" i="83"/>
  <c r="C216" i="83"/>
  <c r="BD215" i="83"/>
  <c r="BC215" i="83"/>
  <c r="BP215" i="83"/>
  <c r="AM215" i="83"/>
  <c r="AQ215" i="83" s="1"/>
  <c r="BX215" i="83" s="1"/>
  <c r="AK215" i="83"/>
  <c r="AJ215" i="83"/>
  <c r="AI215" i="83"/>
  <c r="AH215" i="83"/>
  <c r="AG215" i="83"/>
  <c r="AF215" i="83"/>
  <c r="AE215" i="83"/>
  <c r="Q215" i="83"/>
  <c r="C215" i="83"/>
  <c r="BD214" i="83"/>
  <c r="BC214" i="83"/>
  <c r="BP214" i="83" s="1"/>
  <c r="AY214" i="83"/>
  <c r="AX214" i="83"/>
  <c r="AW214" i="83"/>
  <c r="AM214" i="83"/>
  <c r="AK214" i="83"/>
  <c r="AJ214" i="83"/>
  <c r="AI214" i="83"/>
  <c r="AH214" i="83"/>
  <c r="AG214" i="83"/>
  <c r="AF214" i="83"/>
  <c r="AE214" i="83"/>
  <c r="Q214" i="83"/>
  <c r="O214" i="83"/>
  <c r="C214" i="83"/>
  <c r="BD213" i="83"/>
  <c r="BC213" i="83"/>
  <c r="BB213" i="83"/>
  <c r="AY213" i="83"/>
  <c r="AX213" i="83"/>
  <c r="AW213" i="83"/>
  <c r="AM213" i="83"/>
  <c r="AK213" i="83"/>
  <c r="AJ213" i="83"/>
  <c r="AI213" i="83"/>
  <c r="AH213" i="83"/>
  <c r="AG213" i="83"/>
  <c r="AF213" i="83"/>
  <c r="AE213" i="83"/>
  <c r="Q213" i="83"/>
  <c r="C213" i="83"/>
  <c r="BD212" i="83"/>
  <c r="BC212" i="83"/>
  <c r="BB212" i="83"/>
  <c r="AY212" i="83"/>
  <c r="AX212" i="83"/>
  <c r="AW212" i="83"/>
  <c r="AM212" i="83"/>
  <c r="AK212" i="83"/>
  <c r="AJ212" i="83"/>
  <c r="AI212" i="83"/>
  <c r="AH212" i="83"/>
  <c r="AG212" i="83"/>
  <c r="AF212" i="83"/>
  <c r="AE212" i="83"/>
  <c r="Y212" i="83"/>
  <c r="Z212" i="83" s="1"/>
  <c r="AP212" i="83" s="1"/>
  <c r="AQ212" i="83" s="1"/>
  <c r="BX212" i="83" s="1"/>
  <c r="Q212" i="83"/>
  <c r="C212" i="83"/>
  <c r="BD211" i="83"/>
  <c r="BC211" i="83"/>
  <c r="BP211" i="83"/>
  <c r="AM211" i="83"/>
  <c r="AQ211" i="83" s="1"/>
  <c r="BX211" i="83" s="1"/>
  <c r="AK211" i="83"/>
  <c r="AJ211" i="83"/>
  <c r="AI211" i="83"/>
  <c r="AH211" i="83"/>
  <c r="AG211" i="83"/>
  <c r="AF211" i="83"/>
  <c r="AE211" i="83"/>
  <c r="Q211" i="83"/>
  <c r="C211" i="83"/>
  <c r="BD210" i="83"/>
  <c r="BC210" i="83"/>
  <c r="AY210" i="83"/>
  <c r="AX210" i="83"/>
  <c r="AW210" i="83"/>
  <c r="AM210" i="83"/>
  <c r="AK210" i="83"/>
  <c r="AJ210" i="83"/>
  <c r="AI210" i="83"/>
  <c r="AH210" i="83"/>
  <c r="AG210" i="83"/>
  <c r="AF210" i="83"/>
  <c r="AE210" i="83"/>
  <c r="Q210" i="83"/>
  <c r="C210" i="83"/>
  <c r="BD209" i="83"/>
  <c r="BC209" i="83"/>
  <c r="AY209" i="83"/>
  <c r="AX209" i="83"/>
  <c r="AW209" i="83"/>
  <c r="AM209" i="83"/>
  <c r="AK209" i="83"/>
  <c r="AJ209" i="83"/>
  <c r="AI209" i="83"/>
  <c r="AH209" i="83"/>
  <c r="AG209" i="83"/>
  <c r="AF209" i="83"/>
  <c r="AE209" i="83"/>
  <c r="Y209" i="83"/>
  <c r="Z209" i="83" s="1"/>
  <c r="AP209" i="83" s="1"/>
  <c r="AQ209" i="83" s="1"/>
  <c r="BX209" i="83" s="1"/>
  <c r="Q209" i="83"/>
  <c r="C209" i="83"/>
  <c r="BD208" i="83"/>
  <c r="BC208" i="83"/>
  <c r="BB208" i="83" s="1"/>
  <c r="AY208" i="83"/>
  <c r="AX208" i="83"/>
  <c r="AW208" i="83"/>
  <c r="AM208" i="83"/>
  <c r="AK208" i="83"/>
  <c r="AJ208" i="83"/>
  <c r="AI208" i="83"/>
  <c r="AH208" i="83"/>
  <c r="AG208" i="83"/>
  <c r="AF208" i="83"/>
  <c r="AE208" i="83"/>
  <c r="Q208" i="83"/>
  <c r="C208" i="83"/>
  <c r="BD207" i="83"/>
  <c r="BC207" i="83"/>
  <c r="BB207" i="83" s="1"/>
  <c r="AY207" i="83"/>
  <c r="AX207" i="83"/>
  <c r="AW207" i="83"/>
  <c r="AM207" i="83"/>
  <c r="AK207" i="83"/>
  <c r="AJ207" i="83"/>
  <c r="AI207" i="83"/>
  <c r="AH207" i="83"/>
  <c r="AG207" i="83"/>
  <c r="AF207" i="83"/>
  <c r="AE207" i="83"/>
  <c r="Y207" i="83"/>
  <c r="Z207" i="83" s="1"/>
  <c r="AP207" i="83" s="1"/>
  <c r="AQ207" i="83" s="1"/>
  <c r="BX207" i="83" s="1"/>
  <c r="Q207" i="83"/>
  <c r="C207" i="83"/>
  <c r="BD206" i="83"/>
  <c r="BC206" i="83"/>
  <c r="BP206" i="83"/>
  <c r="AY206" i="83"/>
  <c r="AX206" i="83"/>
  <c r="AW206" i="83"/>
  <c r="AM206" i="83"/>
  <c r="AK206" i="83"/>
  <c r="AJ206" i="83"/>
  <c r="AI206" i="83"/>
  <c r="AH206" i="83"/>
  <c r="AG206" i="83"/>
  <c r="AF206" i="83"/>
  <c r="AE206" i="83"/>
  <c r="Q206" i="83"/>
  <c r="C206" i="83"/>
  <c r="BI205" i="83"/>
  <c r="BD205" i="83" s="1"/>
  <c r="BC205" i="83"/>
  <c r="BP205" i="83"/>
  <c r="AX205" i="83"/>
  <c r="AW205" i="83"/>
  <c r="AM205" i="83"/>
  <c r="BA205" i="83"/>
  <c r="AK205" i="83"/>
  <c r="AJ205" i="83"/>
  <c r="AI205" i="83"/>
  <c r="AH205" i="83"/>
  <c r="AG205" i="83"/>
  <c r="AF205" i="83"/>
  <c r="AE205" i="83"/>
  <c r="Q205" i="83"/>
  <c r="C205" i="83"/>
  <c r="BK204" i="83"/>
  <c r="BO204" i="83"/>
  <c r="BJ204" i="83"/>
  <c r="BC204" i="83"/>
  <c r="BB204" i="83" s="1"/>
  <c r="AY204" i="83"/>
  <c r="AX204" i="83"/>
  <c r="AW204" i="83"/>
  <c r="AK204" i="83"/>
  <c r="AJ204" i="83"/>
  <c r="AI204" i="83"/>
  <c r="AH204" i="83"/>
  <c r="AG204" i="83"/>
  <c r="AF204" i="83"/>
  <c r="AE204" i="83"/>
  <c r="Y204" i="83"/>
  <c r="Z204" i="83" s="1"/>
  <c r="AP204" i="83" s="1"/>
  <c r="AQ204" i="83" s="1"/>
  <c r="Q204" i="83"/>
  <c r="O204" i="83"/>
  <c r="C204" i="83"/>
  <c r="BD203" i="83"/>
  <c r="BC203" i="83"/>
  <c r="AY203" i="83"/>
  <c r="AX203" i="83"/>
  <c r="AW203" i="83"/>
  <c r="AM203" i="83"/>
  <c r="AK203" i="83"/>
  <c r="AJ203" i="83"/>
  <c r="AI203" i="83"/>
  <c r="AH203" i="83"/>
  <c r="AG203" i="83"/>
  <c r="AF203" i="83"/>
  <c r="AE203" i="83"/>
  <c r="Q203" i="83"/>
  <c r="O203" i="83"/>
  <c r="C203" i="83"/>
  <c r="BI202" i="83"/>
  <c r="BD202" i="83" s="1"/>
  <c r="BC202" i="83"/>
  <c r="BB202" i="83"/>
  <c r="AX202" i="83"/>
  <c r="AW202" i="83"/>
  <c r="AM202" i="83"/>
  <c r="BA202" i="83"/>
  <c r="AK202" i="83"/>
  <c r="AJ202" i="83"/>
  <c r="AI202" i="83"/>
  <c r="AH202" i="83"/>
  <c r="AG202" i="83"/>
  <c r="AF202" i="83"/>
  <c r="AE202" i="83"/>
  <c r="Q202" i="83"/>
  <c r="C202" i="83"/>
  <c r="BD201" i="83"/>
  <c r="BC201" i="83"/>
  <c r="BP201" i="83"/>
  <c r="AY201" i="83"/>
  <c r="AX201" i="83"/>
  <c r="AW201" i="83"/>
  <c r="AM201" i="83"/>
  <c r="AK201" i="83"/>
  <c r="AJ201" i="83"/>
  <c r="AI201" i="83"/>
  <c r="AH201" i="83"/>
  <c r="AG201" i="83"/>
  <c r="AF201" i="83"/>
  <c r="AE201" i="83"/>
  <c r="Y201" i="83"/>
  <c r="Z201" i="83" s="1"/>
  <c r="AP201" i="83" s="1"/>
  <c r="AQ201" i="83" s="1"/>
  <c r="BX201" i="83" s="1"/>
  <c r="CA201" i="83" s="1"/>
  <c r="Q201" i="83"/>
  <c r="C201" i="83"/>
  <c r="BD200" i="83"/>
  <c r="BC200" i="83"/>
  <c r="BP200" i="83" s="1"/>
  <c r="AY200" i="83"/>
  <c r="AX200" i="83"/>
  <c r="AW200" i="83"/>
  <c r="AM200" i="83"/>
  <c r="AK200" i="83"/>
  <c r="AJ200" i="83"/>
  <c r="AI200" i="83"/>
  <c r="AH200" i="83"/>
  <c r="AG200" i="83"/>
  <c r="AF200" i="83"/>
  <c r="AE200" i="83"/>
  <c r="Q200" i="83"/>
  <c r="O200" i="83"/>
  <c r="C200" i="83"/>
  <c r="BD199" i="83"/>
  <c r="BC199" i="83"/>
  <c r="BB199" i="83"/>
  <c r="AY199" i="83"/>
  <c r="AX199" i="83"/>
  <c r="AW199" i="83"/>
  <c r="AM199" i="83"/>
  <c r="AK199" i="83"/>
  <c r="AJ199" i="83"/>
  <c r="AI199" i="83"/>
  <c r="AH199" i="83"/>
  <c r="AG199" i="83"/>
  <c r="AF199" i="83"/>
  <c r="AE199" i="83"/>
  <c r="Q199" i="83"/>
  <c r="O199" i="83"/>
  <c r="C199" i="83"/>
  <c r="BD198" i="83"/>
  <c r="BC198" i="83"/>
  <c r="BP198" i="83"/>
  <c r="AY198" i="83"/>
  <c r="AX198" i="83"/>
  <c r="AW198" i="83"/>
  <c r="AM198" i="83"/>
  <c r="AK198" i="83"/>
  <c r="AJ198" i="83"/>
  <c r="AI198" i="83"/>
  <c r="AH198" i="83"/>
  <c r="AG198" i="83"/>
  <c r="AF198" i="83"/>
  <c r="AE198" i="83"/>
  <c r="Y198" i="83"/>
  <c r="Z198" i="83" s="1"/>
  <c r="AP198" i="83" s="1"/>
  <c r="AQ198" i="83" s="1"/>
  <c r="BX198" i="83" s="1"/>
  <c r="Q198" i="83"/>
  <c r="C198" i="83"/>
  <c r="BK197" i="83"/>
  <c r="BO197" i="83"/>
  <c r="BJ197" i="83"/>
  <c r="BD197" i="83"/>
  <c r="BC197" i="83"/>
  <c r="BB197" i="83"/>
  <c r="AY197" i="83"/>
  <c r="AX197" i="83"/>
  <c r="AW197" i="83"/>
  <c r="AP197" i="83"/>
  <c r="AQ197" i="83"/>
  <c r="AK197" i="83"/>
  <c r="AJ197" i="83"/>
  <c r="AI197" i="83"/>
  <c r="AH197" i="83"/>
  <c r="AG197" i="83"/>
  <c r="AF197" i="83"/>
  <c r="AE197" i="83"/>
  <c r="Y197" i="83"/>
  <c r="Q197" i="83"/>
  <c r="C197" i="83"/>
  <c r="BD196" i="83"/>
  <c r="BC196" i="83"/>
  <c r="BB196" i="83"/>
  <c r="AY196" i="83"/>
  <c r="AX196" i="83"/>
  <c r="AW196" i="83"/>
  <c r="AM196" i="83"/>
  <c r="AK196" i="83"/>
  <c r="AJ196" i="83"/>
  <c r="AI196" i="83"/>
  <c r="AH196" i="83"/>
  <c r="AG196" i="83"/>
  <c r="AF196" i="83"/>
  <c r="AE196" i="83"/>
  <c r="Y196" i="83"/>
  <c r="Z196" i="83" s="1"/>
  <c r="AP196" i="83" s="1"/>
  <c r="AQ196" i="83" s="1"/>
  <c r="BX196" i="83" s="1"/>
  <c r="CA196" i="83" s="1"/>
  <c r="Q196" i="83"/>
  <c r="C196" i="83"/>
  <c r="BJ195" i="83"/>
  <c r="BH195" i="83"/>
  <c r="BC195" i="83"/>
  <c r="BB195" i="83"/>
  <c r="AY195" i="83"/>
  <c r="AW195" i="83"/>
  <c r="AM195" i="83"/>
  <c r="BK195" i="83"/>
  <c r="BO195" i="83" s="1"/>
  <c r="AK195" i="83"/>
  <c r="AJ195" i="83"/>
  <c r="AI195" i="83"/>
  <c r="AH195" i="83"/>
  <c r="AG195" i="83"/>
  <c r="AF195" i="83"/>
  <c r="AE195" i="83"/>
  <c r="Q195" i="83"/>
  <c r="C195" i="83"/>
  <c r="BD194" i="83"/>
  <c r="BC194" i="83"/>
  <c r="BP194" i="83"/>
  <c r="AY194" i="83"/>
  <c r="AX194" i="83"/>
  <c r="AW194" i="83"/>
  <c r="AM194" i="83"/>
  <c r="AK194" i="83"/>
  <c r="AJ194" i="83"/>
  <c r="AI194" i="83"/>
  <c r="AH194" i="83"/>
  <c r="AG194" i="83"/>
  <c r="AF194" i="83"/>
  <c r="AE194" i="83"/>
  <c r="Y194" i="83"/>
  <c r="Z194" i="83" s="1"/>
  <c r="AP194" i="83" s="1"/>
  <c r="AQ194" i="83" s="1"/>
  <c r="BX194" i="83" s="1"/>
  <c r="CA194" i="83" s="1"/>
  <c r="Q194" i="83"/>
  <c r="C194" i="83"/>
  <c r="BD193" i="83"/>
  <c r="BC193" i="83"/>
  <c r="BB193" i="83" s="1"/>
  <c r="AY193" i="83"/>
  <c r="AX193" i="83"/>
  <c r="AW193" i="83"/>
  <c r="AM193" i="83"/>
  <c r="AK193" i="83"/>
  <c r="AJ193" i="83"/>
  <c r="AI193" i="83"/>
  <c r="AH193" i="83"/>
  <c r="AG193" i="83"/>
  <c r="AF193" i="83"/>
  <c r="AE193" i="83"/>
  <c r="Y193" i="83"/>
  <c r="Z193" i="83" s="1"/>
  <c r="AP193" i="83" s="1"/>
  <c r="AQ193" i="83" s="1"/>
  <c r="BX193" i="83" s="1"/>
  <c r="CA193" i="83" s="1"/>
  <c r="Q193" i="83"/>
  <c r="O193" i="83"/>
  <c r="C193" i="83"/>
  <c r="BD192" i="83"/>
  <c r="BC192" i="83"/>
  <c r="AY192" i="83"/>
  <c r="AX192" i="83"/>
  <c r="AW192" i="83"/>
  <c r="AM192" i="83"/>
  <c r="AK192" i="83"/>
  <c r="AJ192" i="83"/>
  <c r="AI192" i="83"/>
  <c r="AH192" i="83"/>
  <c r="AG192" i="83"/>
  <c r="AF192" i="83"/>
  <c r="AE192" i="83"/>
  <c r="Q192" i="83"/>
  <c r="C192" i="83"/>
  <c r="BD191" i="83"/>
  <c r="BC191" i="83"/>
  <c r="BP191" i="83" s="1"/>
  <c r="AY191" i="83"/>
  <c r="AX191" i="83"/>
  <c r="AW191" i="83"/>
  <c r="AM191" i="83"/>
  <c r="AK191" i="83"/>
  <c r="AJ191" i="83"/>
  <c r="AI191" i="83"/>
  <c r="AH191" i="83"/>
  <c r="AG191" i="83"/>
  <c r="AF191" i="83"/>
  <c r="AE191" i="83"/>
  <c r="Q191" i="83"/>
  <c r="C191" i="83"/>
  <c r="BD190" i="83"/>
  <c r="BC190" i="83"/>
  <c r="BB190" i="83" s="1"/>
  <c r="AY190" i="83"/>
  <c r="AX190" i="83"/>
  <c r="AW190" i="83"/>
  <c r="AM190" i="83"/>
  <c r="AK190" i="83"/>
  <c r="AJ190" i="83"/>
  <c r="AI190" i="83"/>
  <c r="AH190" i="83"/>
  <c r="AG190" i="83"/>
  <c r="AF190" i="83"/>
  <c r="AE190" i="83"/>
  <c r="Q190" i="83"/>
  <c r="C190" i="83"/>
  <c r="BJ189" i="83"/>
  <c r="BH189" i="83"/>
  <c r="BD189" i="83" s="1"/>
  <c r="BC189" i="83"/>
  <c r="AY189" i="83"/>
  <c r="AW189" i="83"/>
  <c r="AM189" i="83"/>
  <c r="BK189" i="83" s="1"/>
  <c r="BO189" i="83" s="1"/>
  <c r="BP189" i="83" s="1"/>
  <c r="AK189" i="83"/>
  <c r="AJ189" i="83"/>
  <c r="AI189" i="83"/>
  <c r="AH189" i="83"/>
  <c r="AG189" i="83"/>
  <c r="AF189" i="83"/>
  <c r="AE189" i="83"/>
  <c r="Y189" i="83"/>
  <c r="Z189" i="83" s="1"/>
  <c r="AP189" i="83" s="1"/>
  <c r="AQ189" i="83" s="1"/>
  <c r="Q189" i="83"/>
  <c r="C189" i="83"/>
  <c r="BD188" i="83"/>
  <c r="BC188" i="83"/>
  <c r="BP188" i="83" s="1"/>
  <c r="AY188" i="83"/>
  <c r="AX188" i="83"/>
  <c r="AW188" i="83"/>
  <c r="AM188" i="83"/>
  <c r="AK188" i="83"/>
  <c r="AJ188" i="83"/>
  <c r="AI188" i="83"/>
  <c r="AH188" i="83"/>
  <c r="AG188" i="83"/>
  <c r="AF188" i="83"/>
  <c r="AE188" i="83"/>
  <c r="Q188" i="83"/>
  <c r="C188" i="83"/>
  <c r="BD187" i="83"/>
  <c r="BC187" i="83"/>
  <c r="BB187" i="83" s="1"/>
  <c r="AY187" i="83"/>
  <c r="AX187" i="83"/>
  <c r="AW187" i="83"/>
  <c r="AM187" i="83"/>
  <c r="AK187" i="83"/>
  <c r="AJ187" i="83"/>
  <c r="AI187" i="83"/>
  <c r="AH187" i="83"/>
  <c r="AG187" i="83"/>
  <c r="AF187" i="83"/>
  <c r="AE187" i="83"/>
  <c r="Q187" i="83"/>
  <c r="C187" i="83"/>
  <c r="BJ186" i="83"/>
  <c r="BH186" i="83"/>
  <c r="BD186" i="83" s="1"/>
  <c r="BC186" i="83"/>
  <c r="BB186" i="83" s="1"/>
  <c r="AY186" i="83"/>
  <c r="AW186" i="83"/>
  <c r="AM186" i="83"/>
  <c r="BK186" i="83"/>
  <c r="BO186" i="83"/>
  <c r="AK186" i="83"/>
  <c r="AJ186" i="83"/>
  <c r="AI186" i="83"/>
  <c r="AH186" i="83"/>
  <c r="AG186" i="83"/>
  <c r="AF186" i="83"/>
  <c r="AE186" i="83"/>
  <c r="Q186" i="83"/>
  <c r="C186" i="83"/>
  <c r="BD185" i="83"/>
  <c r="BC185" i="83"/>
  <c r="BB185" i="83"/>
  <c r="AM185" i="83"/>
  <c r="AK185" i="83"/>
  <c r="AJ185" i="83"/>
  <c r="AI185" i="83"/>
  <c r="AH185" i="83"/>
  <c r="AG185" i="83"/>
  <c r="AF185" i="83"/>
  <c r="AE185" i="83"/>
  <c r="Q185" i="83"/>
  <c r="C185" i="83"/>
  <c r="BD184" i="83"/>
  <c r="BC184" i="83"/>
  <c r="BP184" i="83" s="1"/>
  <c r="AY184" i="83"/>
  <c r="AX184" i="83"/>
  <c r="AW184" i="83"/>
  <c r="AM184" i="83"/>
  <c r="AK184" i="83"/>
  <c r="AJ184" i="83"/>
  <c r="AI184" i="83"/>
  <c r="AH184" i="83"/>
  <c r="AG184" i="83"/>
  <c r="AF184" i="83"/>
  <c r="AE184" i="83"/>
  <c r="Q184" i="83"/>
  <c r="C184" i="83"/>
  <c r="BD183" i="83"/>
  <c r="BC183" i="83"/>
  <c r="BB183" i="83" s="1"/>
  <c r="AY183" i="83"/>
  <c r="AX183" i="83"/>
  <c r="AW183" i="83"/>
  <c r="AM183" i="83"/>
  <c r="AK183" i="83"/>
  <c r="AJ183" i="83"/>
  <c r="AI183" i="83"/>
  <c r="AH183" i="83"/>
  <c r="AG183" i="83"/>
  <c r="AF183" i="83"/>
  <c r="AE183" i="83"/>
  <c r="Q183" i="83"/>
  <c r="O183" i="83"/>
  <c r="C183" i="83"/>
  <c r="BD182" i="83"/>
  <c r="BC182" i="83"/>
  <c r="BB182" i="83" s="1"/>
  <c r="AY182" i="83"/>
  <c r="AX182" i="83"/>
  <c r="AW182" i="83"/>
  <c r="AM182" i="83"/>
  <c r="AK182" i="83"/>
  <c r="AJ182" i="83"/>
  <c r="AI182" i="83"/>
  <c r="AH182" i="83"/>
  <c r="AG182" i="83"/>
  <c r="AF182" i="83"/>
  <c r="AE182" i="83"/>
  <c r="Q182" i="83"/>
  <c r="O182" i="83"/>
  <c r="C182" i="83"/>
  <c r="BD181" i="83"/>
  <c r="BC181" i="83"/>
  <c r="BP181" i="83" s="1"/>
  <c r="AY181" i="83"/>
  <c r="AX181" i="83"/>
  <c r="AW181" i="83"/>
  <c r="AM181" i="83"/>
  <c r="AK181" i="83"/>
  <c r="AJ181" i="83"/>
  <c r="AI181" i="83"/>
  <c r="AH181" i="83"/>
  <c r="AG181" i="83"/>
  <c r="AF181" i="83"/>
  <c r="AE181" i="83"/>
  <c r="Q181" i="83"/>
  <c r="C181" i="83"/>
  <c r="BK180" i="83"/>
  <c r="BO180" i="83" s="1"/>
  <c r="BP180" i="83" s="1"/>
  <c r="BJ180" i="83"/>
  <c r="BD180" i="83"/>
  <c r="BC180" i="83"/>
  <c r="BB180" i="83" s="1"/>
  <c r="AY180" i="83"/>
  <c r="AX180" i="83"/>
  <c r="AW180" i="83"/>
  <c r="AP180" i="83"/>
  <c r="AQ180" i="83" s="1"/>
  <c r="AK180" i="83"/>
  <c r="AJ180" i="83"/>
  <c r="AI180" i="83"/>
  <c r="AH180" i="83"/>
  <c r="AG180" i="83"/>
  <c r="AF180" i="83"/>
  <c r="AE180" i="83"/>
  <c r="Q180" i="83"/>
  <c r="C180" i="83"/>
  <c r="BD179" i="83"/>
  <c r="BC179" i="83"/>
  <c r="BP179" i="83"/>
  <c r="AY179" i="83"/>
  <c r="AX179" i="83"/>
  <c r="AW179" i="83"/>
  <c r="AM179" i="83"/>
  <c r="AK179" i="83"/>
  <c r="AJ179" i="83"/>
  <c r="AI179" i="83"/>
  <c r="AH179" i="83"/>
  <c r="AG179" i="83"/>
  <c r="AF179" i="83"/>
  <c r="AE179" i="83"/>
  <c r="Y179" i="83"/>
  <c r="Z179" i="83" s="1"/>
  <c r="AP179" i="83" s="1"/>
  <c r="AQ179" i="83" s="1"/>
  <c r="BX179" i="83" s="1"/>
  <c r="Q179" i="83"/>
  <c r="C179" i="83"/>
  <c r="BJ178" i="83"/>
  <c r="BH178" i="83"/>
  <c r="BC178" i="83"/>
  <c r="BB178" i="83" s="1"/>
  <c r="AY178" i="83"/>
  <c r="AW178" i="83"/>
  <c r="AM178" i="83"/>
  <c r="BA178" i="83" s="1"/>
  <c r="AK178" i="83"/>
  <c r="AJ178" i="83"/>
  <c r="AI178" i="83"/>
  <c r="AH178" i="83"/>
  <c r="AG178" i="83"/>
  <c r="AF178" i="83"/>
  <c r="AE178" i="83"/>
  <c r="Y178" i="83"/>
  <c r="Z178" i="83" s="1"/>
  <c r="AP178" i="83" s="1"/>
  <c r="Q178" i="83"/>
  <c r="C178" i="83"/>
  <c r="BD177" i="83"/>
  <c r="BC177" i="83"/>
  <c r="BB177" i="83" s="1"/>
  <c r="AY177" i="83"/>
  <c r="AX177" i="83"/>
  <c r="AW177" i="83"/>
  <c r="AM177" i="83"/>
  <c r="AK177" i="83"/>
  <c r="AJ177" i="83"/>
  <c r="AI177" i="83"/>
  <c r="AH177" i="83"/>
  <c r="AG177" i="83"/>
  <c r="AF177" i="83"/>
  <c r="AE177" i="83"/>
  <c r="Y177" i="83"/>
  <c r="Z177" i="83" s="1"/>
  <c r="AP177" i="83" s="1"/>
  <c r="AQ177" i="83" s="1"/>
  <c r="BX177" i="83" s="1"/>
  <c r="Q177" i="83"/>
  <c r="C177" i="83"/>
  <c r="BD176" i="83"/>
  <c r="BC176" i="83"/>
  <c r="BP176" i="83" s="1"/>
  <c r="AY176" i="83"/>
  <c r="AX176" i="83"/>
  <c r="AW176" i="83"/>
  <c r="AM176" i="83"/>
  <c r="AK176" i="83"/>
  <c r="AJ176" i="83"/>
  <c r="AI176" i="83"/>
  <c r="AH176" i="83"/>
  <c r="AG176" i="83"/>
  <c r="AF176" i="83"/>
  <c r="AE176" i="83"/>
  <c r="Q176" i="83"/>
  <c r="O176" i="83"/>
  <c r="C176" i="83"/>
  <c r="BD175" i="83"/>
  <c r="BC175" i="83"/>
  <c r="BB175" i="83"/>
  <c r="AY175" i="83"/>
  <c r="AX175" i="83"/>
  <c r="AW175" i="83"/>
  <c r="AM175" i="83"/>
  <c r="AK175" i="83"/>
  <c r="AJ175" i="83"/>
  <c r="AI175" i="83"/>
  <c r="AH175" i="83"/>
  <c r="AG175" i="83"/>
  <c r="AF175" i="83"/>
  <c r="AE175" i="83"/>
  <c r="Y175" i="83"/>
  <c r="Z175" i="83" s="1"/>
  <c r="AP175" i="83" s="1"/>
  <c r="AQ175" i="83" s="1"/>
  <c r="BX175" i="83" s="1"/>
  <c r="CA175" i="83" s="1"/>
  <c r="Q175" i="83"/>
  <c r="C175" i="83"/>
  <c r="BD174" i="83"/>
  <c r="BC174" i="83"/>
  <c r="BB174" i="83" s="1"/>
  <c r="AY174" i="83"/>
  <c r="AX174" i="83"/>
  <c r="AW174" i="83"/>
  <c r="AM174" i="83"/>
  <c r="AK174" i="83"/>
  <c r="AJ174" i="83"/>
  <c r="AI174" i="83"/>
  <c r="AH174" i="83"/>
  <c r="AG174" i="83"/>
  <c r="AF174" i="83"/>
  <c r="AE174" i="83"/>
  <c r="Y174" i="83"/>
  <c r="Z174" i="83" s="1"/>
  <c r="AP174" i="83" s="1"/>
  <c r="AQ174" i="83" s="1"/>
  <c r="BX174" i="83" s="1"/>
  <c r="Q174" i="83"/>
  <c r="C174" i="83"/>
  <c r="BD173" i="83"/>
  <c r="BC173" i="83"/>
  <c r="BP173" i="83" s="1"/>
  <c r="AY173" i="83"/>
  <c r="AX173" i="83"/>
  <c r="AW173" i="83"/>
  <c r="AM173" i="83"/>
  <c r="AK173" i="83"/>
  <c r="AJ173" i="83"/>
  <c r="AI173" i="83"/>
  <c r="AH173" i="83"/>
  <c r="AG173" i="83"/>
  <c r="AF173" i="83"/>
  <c r="AE173" i="83"/>
  <c r="Q173" i="83"/>
  <c r="C173" i="83"/>
  <c r="BJ172" i="83"/>
  <c r="BH172" i="83"/>
  <c r="BD172" i="83" s="1"/>
  <c r="BC172" i="83"/>
  <c r="BB172" i="83"/>
  <c r="AY172" i="83"/>
  <c r="AW172" i="83"/>
  <c r="AM172" i="83"/>
  <c r="BK172" i="83"/>
  <c r="BO172" i="83" s="1"/>
  <c r="AK172" i="83"/>
  <c r="AJ172" i="83"/>
  <c r="AI172" i="83"/>
  <c r="AH172" i="83"/>
  <c r="AG172" i="83"/>
  <c r="AF172" i="83"/>
  <c r="AE172" i="83"/>
  <c r="Y172" i="83"/>
  <c r="Z172" i="83" s="1"/>
  <c r="AP172" i="83" s="1"/>
  <c r="AQ172" i="83" s="1"/>
  <c r="Q172" i="83"/>
  <c r="C172" i="83"/>
  <c r="BD171" i="83"/>
  <c r="BC171" i="83"/>
  <c r="BB171" i="83" s="1"/>
  <c r="AY171" i="83"/>
  <c r="AX171" i="83"/>
  <c r="AW171" i="83"/>
  <c r="AM171" i="83"/>
  <c r="AK171" i="83"/>
  <c r="AJ171" i="83"/>
  <c r="AI171" i="83"/>
  <c r="AH171" i="83"/>
  <c r="AG171" i="83"/>
  <c r="AF171" i="83"/>
  <c r="AE171" i="83"/>
  <c r="Q171" i="83"/>
  <c r="C171" i="83"/>
  <c r="BD170" i="83"/>
  <c r="BC170" i="83"/>
  <c r="BP170" i="83" s="1"/>
  <c r="AY170" i="83"/>
  <c r="AX170" i="83"/>
  <c r="AW170" i="83"/>
  <c r="AM170" i="83"/>
  <c r="AK170" i="83"/>
  <c r="AJ170" i="83"/>
  <c r="AI170" i="83"/>
  <c r="AH170" i="83"/>
  <c r="AG170" i="83"/>
  <c r="AF170" i="83"/>
  <c r="AE170" i="83"/>
  <c r="Q170" i="83"/>
  <c r="C170" i="83"/>
  <c r="BJ169" i="83"/>
  <c r="BH169" i="83"/>
  <c r="BD169" i="83" s="1"/>
  <c r="BC169" i="83"/>
  <c r="BB169" i="83"/>
  <c r="AY169" i="83"/>
  <c r="AW169" i="83"/>
  <c r="AM169" i="83"/>
  <c r="BK169" i="83"/>
  <c r="BO169" i="83" s="1"/>
  <c r="AK169" i="83"/>
  <c r="AJ169" i="83"/>
  <c r="AI169" i="83"/>
  <c r="AH169" i="83"/>
  <c r="AG169" i="83"/>
  <c r="AF169" i="83"/>
  <c r="AE169" i="83"/>
  <c r="Q169" i="83"/>
  <c r="C169" i="83"/>
  <c r="BD168" i="83"/>
  <c r="BC168" i="83"/>
  <c r="AM168" i="83"/>
  <c r="AK168" i="83"/>
  <c r="AJ168" i="83"/>
  <c r="AI168" i="83"/>
  <c r="AH168" i="83"/>
  <c r="AG168" i="83"/>
  <c r="AF168" i="83"/>
  <c r="AE168" i="83"/>
  <c r="Q168" i="83"/>
  <c r="C168" i="83"/>
  <c r="BD167" i="83"/>
  <c r="BC167" i="83"/>
  <c r="BB167" i="83" s="1"/>
  <c r="AY167" i="83"/>
  <c r="AX167" i="83"/>
  <c r="AW167" i="83"/>
  <c r="AM167" i="83"/>
  <c r="AK167" i="83"/>
  <c r="AJ167" i="83"/>
  <c r="AI167" i="83"/>
  <c r="AH167" i="83"/>
  <c r="AG167" i="83"/>
  <c r="AF167" i="83"/>
  <c r="AE167" i="83"/>
  <c r="Y167" i="83"/>
  <c r="Z167" i="83" s="1"/>
  <c r="AP167" i="83" s="1"/>
  <c r="AQ167" i="83" s="1"/>
  <c r="BX167" i="83" s="1"/>
  <c r="Q167" i="83"/>
  <c r="C167" i="83"/>
  <c r="BD166" i="83"/>
  <c r="BC166" i="83"/>
  <c r="BP166" i="83" s="1"/>
  <c r="AY166" i="83"/>
  <c r="AX166" i="83"/>
  <c r="AW166" i="83"/>
  <c r="AM166" i="83"/>
  <c r="AK166" i="83"/>
  <c r="AJ166" i="83"/>
  <c r="AI166" i="83"/>
  <c r="AH166" i="83"/>
  <c r="AG166" i="83"/>
  <c r="AF166" i="83"/>
  <c r="AE166" i="83"/>
  <c r="Q166" i="83"/>
  <c r="C166" i="83"/>
  <c r="BD165" i="83"/>
  <c r="BC165" i="83"/>
  <c r="BP165" i="83" s="1"/>
  <c r="AY165" i="83"/>
  <c r="AX165" i="83"/>
  <c r="AW165" i="83"/>
  <c r="AK165" i="83"/>
  <c r="AJ165" i="83"/>
  <c r="AI165" i="83"/>
  <c r="AH165" i="83"/>
  <c r="AG165" i="83"/>
  <c r="AF165" i="83"/>
  <c r="AE165" i="83"/>
  <c r="Q165" i="83"/>
  <c r="C165" i="83"/>
  <c r="BD164" i="83"/>
  <c r="BC164" i="83"/>
  <c r="BB164" i="83" s="1"/>
  <c r="AY164" i="83"/>
  <c r="AX164" i="83"/>
  <c r="AW164" i="83"/>
  <c r="AM164" i="83"/>
  <c r="AK164" i="83"/>
  <c r="AJ164" i="83"/>
  <c r="AI164" i="83"/>
  <c r="AH164" i="83"/>
  <c r="AG164" i="83"/>
  <c r="AF164" i="83"/>
  <c r="AE164" i="83"/>
  <c r="Q164" i="83"/>
  <c r="C164" i="83"/>
  <c r="BJ163" i="83"/>
  <c r="BG163" i="83"/>
  <c r="BD163" i="83" s="1"/>
  <c r="BC163" i="83"/>
  <c r="BB163" i="83"/>
  <c r="AY163" i="83"/>
  <c r="AX163" i="83"/>
  <c r="AM163" i="83"/>
  <c r="BK163" i="83"/>
  <c r="BO163" i="83" s="1"/>
  <c r="AK163" i="83"/>
  <c r="AJ163" i="83"/>
  <c r="AI163" i="83"/>
  <c r="AH163" i="83"/>
  <c r="AG163" i="83"/>
  <c r="AF163" i="83"/>
  <c r="AE163" i="83"/>
  <c r="Q163" i="83"/>
  <c r="C163" i="83"/>
  <c r="BD162" i="83"/>
  <c r="BC162" i="83"/>
  <c r="AY162" i="83"/>
  <c r="AX162" i="83"/>
  <c r="AW162" i="83"/>
  <c r="AM162" i="83"/>
  <c r="AK162" i="83"/>
  <c r="AJ162" i="83"/>
  <c r="AI162" i="83"/>
  <c r="AH162" i="83"/>
  <c r="AG162" i="83"/>
  <c r="AF162" i="83"/>
  <c r="AE162" i="83"/>
  <c r="Y162" i="83"/>
  <c r="Z162" i="83" s="1"/>
  <c r="AP162" i="83" s="1"/>
  <c r="AQ162" i="83" s="1"/>
  <c r="BX162" i="83" s="1"/>
  <c r="Q162" i="83"/>
  <c r="C162" i="83"/>
  <c r="BD161" i="83"/>
  <c r="BC161" i="83"/>
  <c r="BB161" i="83"/>
  <c r="AY161" i="83"/>
  <c r="AX161" i="83"/>
  <c r="AW161" i="83"/>
  <c r="AM161" i="83"/>
  <c r="AK161" i="83"/>
  <c r="AJ161" i="83"/>
  <c r="AI161" i="83"/>
  <c r="AH161" i="83"/>
  <c r="AG161" i="83"/>
  <c r="AF161" i="83"/>
  <c r="AE161" i="83"/>
  <c r="Y161" i="83"/>
  <c r="Z161" i="83" s="1"/>
  <c r="AP161" i="83" s="1"/>
  <c r="AQ161" i="83" s="1"/>
  <c r="BX161" i="83" s="1"/>
  <c r="Q161" i="83"/>
  <c r="C161" i="83"/>
  <c r="BJ160" i="83"/>
  <c r="BG160" i="83"/>
  <c r="BD160" i="83"/>
  <c r="BC160" i="83"/>
  <c r="BB160" i="83" s="1"/>
  <c r="AY160" i="83"/>
  <c r="AX160" i="83"/>
  <c r="AM160" i="83"/>
  <c r="BK160" i="83" s="1"/>
  <c r="BO160" i="83" s="1"/>
  <c r="AK160" i="83"/>
  <c r="AJ160" i="83"/>
  <c r="AI160" i="83"/>
  <c r="AH160" i="83"/>
  <c r="AG160" i="83"/>
  <c r="AF160" i="83"/>
  <c r="AE160" i="83"/>
  <c r="Q160" i="83"/>
  <c r="C160" i="83"/>
  <c r="BK159" i="83"/>
  <c r="BO159" i="83" s="1"/>
  <c r="BP159" i="83" s="1"/>
  <c r="BJ159" i="83"/>
  <c r="BD159" i="83"/>
  <c r="BC159" i="83"/>
  <c r="BB159" i="83" s="1"/>
  <c r="AY159" i="83"/>
  <c r="AX159" i="83"/>
  <c r="AW159" i="83"/>
  <c r="AP159" i="83"/>
  <c r="AQ159" i="83" s="1"/>
  <c r="AK159" i="83"/>
  <c r="AJ159" i="83"/>
  <c r="AI159" i="83"/>
  <c r="AH159" i="83"/>
  <c r="AG159" i="83"/>
  <c r="AF159" i="83"/>
  <c r="AE159" i="83"/>
  <c r="Q159" i="83"/>
  <c r="O159" i="83"/>
  <c r="C159" i="83"/>
  <c r="BD158" i="83"/>
  <c r="BC158" i="83"/>
  <c r="BB158" i="83"/>
  <c r="AY158" i="83"/>
  <c r="AX158" i="83"/>
  <c r="AW158" i="83"/>
  <c r="AM158" i="83"/>
  <c r="AK158" i="83"/>
  <c r="AJ158" i="83"/>
  <c r="AI158" i="83"/>
  <c r="AH158" i="83"/>
  <c r="AG158" i="83"/>
  <c r="AF158" i="83"/>
  <c r="AE158" i="83"/>
  <c r="Y158" i="83"/>
  <c r="Z158" i="83" s="1"/>
  <c r="AP158" i="83" s="1"/>
  <c r="AQ158" i="83" s="1"/>
  <c r="BX158" i="83" s="1"/>
  <c r="BZ158" i="83" s="1"/>
  <c r="Q158" i="83"/>
  <c r="C158" i="83"/>
  <c r="BD157" i="83"/>
  <c r="BC157" i="83"/>
  <c r="AY157" i="83"/>
  <c r="AX157" i="83"/>
  <c r="AW157" i="83"/>
  <c r="AM157" i="83"/>
  <c r="AK157" i="83"/>
  <c r="AJ157" i="83"/>
  <c r="AI157" i="83"/>
  <c r="AH157" i="83"/>
  <c r="AG157" i="83"/>
  <c r="AF157" i="83"/>
  <c r="AE157" i="83"/>
  <c r="Y157" i="83"/>
  <c r="Z157" i="83" s="1"/>
  <c r="AP157" i="83" s="1"/>
  <c r="AQ157" i="83" s="1"/>
  <c r="BX157" i="83" s="1"/>
  <c r="CA157" i="83" s="1"/>
  <c r="Q157" i="83"/>
  <c r="C157" i="83"/>
  <c r="BD156" i="83"/>
  <c r="BC156" i="83"/>
  <c r="BB156" i="83" s="1"/>
  <c r="AY156" i="83"/>
  <c r="AX156" i="83"/>
  <c r="AW156" i="83"/>
  <c r="AK156" i="83"/>
  <c r="AJ156" i="83"/>
  <c r="AI156" i="83"/>
  <c r="AH156" i="83"/>
  <c r="AG156" i="83"/>
  <c r="AF156" i="83"/>
  <c r="AE156" i="83"/>
  <c r="Y156" i="83"/>
  <c r="Z156" i="83" s="1"/>
  <c r="AP156" i="83" s="1"/>
  <c r="Q156" i="83"/>
  <c r="C156" i="83"/>
  <c r="BD155" i="83"/>
  <c r="BC155" i="83"/>
  <c r="BB155" i="83"/>
  <c r="AY155" i="83"/>
  <c r="AX155" i="83"/>
  <c r="AW155" i="83"/>
  <c r="AM155" i="83"/>
  <c r="AK155" i="83"/>
  <c r="AJ155" i="83"/>
  <c r="AI155" i="83"/>
  <c r="AH155" i="83"/>
  <c r="AG155" i="83"/>
  <c r="AF155" i="83"/>
  <c r="AE155" i="83"/>
  <c r="Q155" i="83"/>
  <c r="C155" i="83"/>
  <c r="BJ154" i="83"/>
  <c r="BG154" i="83"/>
  <c r="BD154" i="83" s="1"/>
  <c r="BC154" i="83"/>
  <c r="BB154" i="83" s="1"/>
  <c r="AY154" i="83"/>
  <c r="AX154" i="83"/>
  <c r="AM154" i="83"/>
  <c r="BK154" i="83"/>
  <c r="BO154" i="83"/>
  <c r="AK154" i="83"/>
  <c r="AJ154" i="83"/>
  <c r="AI154" i="83"/>
  <c r="AH154" i="83"/>
  <c r="AG154" i="83"/>
  <c r="AF154" i="83"/>
  <c r="AE154" i="83"/>
  <c r="Y154" i="83"/>
  <c r="Z154" i="83" s="1"/>
  <c r="AP154" i="83" s="1"/>
  <c r="AQ154" i="83" s="1"/>
  <c r="BX154" i="83" s="1"/>
  <c r="CA154" i="83" s="1"/>
  <c r="Q154" i="83"/>
  <c r="C154" i="83"/>
  <c r="BD153" i="83"/>
  <c r="BC153" i="83"/>
  <c r="BB153" i="83" s="1"/>
  <c r="AY153" i="83"/>
  <c r="AX153" i="83"/>
  <c r="AW153" i="83"/>
  <c r="AM153" i="83"/>
  <c r="AK153" i="83"/>
  <c r="AJ153" i="83"/>
  <c r="AI153" i="83"/>
  <c r="AH153" i="83"/>
  <c r="AG153" i="83"/>
  <c r="AF153" i="83"/>
  <c r="AE153" i="83"/>
  <c r="Q153" i="83"/>
  <c r="C153" i="83"/>
  <c r="BD152" i="83"/>
  <c r="BC152" i="83"/>
  <c r="AY152" i="83"/>
  <c r="AX152" i="83"/>
  <c r="AW152" i="83"/>
  <c r="AM152" i="83"/>
  <c r="AK152" i="83"/>
  <c r="AJ152" i="83"/>
  <c r="AI152" i="83"/>
  <c r="AH152" i="83"/>
  <c r="AG152" i="83"/>
  <c r="AF152" i="83"/>
  <c r="AE152" i="83"/>
  <c r="Q152" i="83"/>
  <c r="C152" i="83"/>
  <c r="BJ151" i="83"/>
  <c r="BG151" i="83"/>
  <c r="BD151" i="83" s="1"/>
  <c r="BC151" i="83"/>
  <c r="BB151" i="83"/>
  <c r="AY151" i="83"/>
  <c r="AX151" i="83"/>
  <c r="AM151" i="83"/>
  <c r="BK151" i="83" s="1"/>
  <c r="BO151" i="83" s="1"/>
  <c r="BP151" i="83" s="1"/>
  <c r="AK151" i="83"/>
  <c r="AJ151" i="83"/>
  <c r="AI151" i="83"/>
  <c r="AH151" i="83"/>
  <c r="AG151" i="83"/>
  <c r="AF151" i="83"/>
  <c r="AE151" i="83"/>
  <c r="Y151" i="83"/>
  <c r="Z151" i="83" s="1"/>
  <c r="AP151" i="83" s="1"/>
  <c r="AQ151" i="83" s="1"/>
  <c r="Q151" i="83"/>
  <c r="C151" i="83"/>
  <c r="BD150" i="83"/>
  <c r="BC150" i="83"/>
  <c r="BB150" i="83" s="1"/>
  <c r="AY150" i="83"/>
  <c r="AX150" i="83"/>
  <c r="AW150" i="83"/>
  <c r="AM150" i="83"/>
  <c r="AK150" i="83"/>
  <c r="AJ150" i="83"/>
  <c r="AI150" i="83"/>
  <c r="AH150" i="83"/>
  <c r="AG150" i="83"/>
  <c r="AF150" i="83"/>
  <c r="AE150" i="83"/>
  <c r="Q150" i="83"/>
  <c r="C150" i="83"/>
  <c r="BD149" i="83"/>
  <c r="BC149" i="83"/>
  <c r="BB149" i="83" s="1"/>
  <c r="AY149" i="83"/>
  <c r="AX149" i="83"/>
  <c r="AW149" i="83"/>
  <c r="AM149" i="83"/>
  <c r="AK149" i="83"/>
  <c r="AJ149" i="83"/>
  <c r="AI149" i="83"/>
  <c r="AH149" i="83"/>
  <c r="AG149" i="83"/>
  <c r="AF149" i="83"/>
  <c r="AE149" i="83"/>
  <c r="Q149" i="83"/>
  <c r="C149" i="83"/>
  <c r="BD148" i="83"/>
  <c r="BC148" i="83"/>
  <c r="BP148" i="83" s="1"/>
  <c r="AY148" i="83"/>
  <c r="AX148" i="83"/>
  <c r="AW148" i="83"/>
  <c r="AM148" i="83"/>
  <c r="AK148" i="83"/>
  <c r="AJ148" i="83"/>
  <c r="AI148" i="83"/>
  <c r="AH148" i="83"/>
  <c r="AG148" i="83"/>
  <c r="AF148" i="83"/>
  <c r="AE148" i="83"/>
  <c r="Y148" i="83"/>
  <c r="Z148" i="83" s="1"/>
  <c r="AP148" i="83" s="1"/>
  <c r="AQ148" i="83" s="1"/>
  <c r="BX148" i="83" s="1"/>
  <c r="Q148" i="83"/>
  <c r="C148" i="83"/>
  <c r="BD147" i="83"/>
  <c r="BC147" i="83"/>
  <c r="BP147" i="83" s="1"/>
  <c r="AY147" i="83"/>
  <c r="AX147" i="83"/>
  <c r="AW147" i="83"/>
  <c r="AM147" i="83"/>
  <c r="AK147" i="83"/>
  <c r="AJ147" i="83"/>
  <c r="AI147" i="83"/>
  <c r="AH147" i="83"/>
  <c r="AG147" i="83"/>
  <c r="AF147" i="83"/>
  <c r="AE147" i="83"/>
  <c r="Q147" i="83"/>
  <c r="C147" i="83"/>
  <c r="BD146" i="83"/>
  <c r="BC146" i="83"/>
  <c r="BB146" i="83" s="1"/>
  <c r="AY146" i="83"/>
  <c r="AX146" i="83"/>
  <c r="AW146" i="83"/>
  <c r="AM146" i="83"/>
  <c r="AK146" i="83"/>
  <c r="AJ146" i="83"/>
  <c r="AI146" i="83"/>
  <c r="AH146" i="83"/>
  <c r="AG146" i="83"/>
  <c r="AF146" i="83"/>
  <c r="AE146" i="83"/>
  <c r="Q146" i="83"/>
  <c r="C146" i="83"/>
  <c r="BD145" i="83"/>
  <c r="BC145" i="83"/>
  <c r="BP145" i="83" s="1"/>
  <c r="AY145" i="83"/>
  <c r="AX145" i="83"/>
  <c r="AW145" i="83"/>
  <c r="AM145" i="83"/>
  <c r="AK145" i="83"/>
  <c r="AJ145" i="83"/>
  <c r="AI145" i="83"/>
  <c r="AH145" i="83"/>
  <c r="AG145" i="83"/>
  <c r="AF145" i="83"/>
  <c r="AE145" i="83"/>
  <c r="Q145" i="83"/>
  <c r="C145" i="83"/>
  <c r="BD144" i="83"/>
  <c r="BC144" i="83"/>
  <c r="BB144" i="83" s="1"/>
  <c r="AY144" i="83"/>
  <c r="AX144" i="83"/>
  <c r="AW144" i="83"/>
  <c r="AM144" i="83"/>
  <c r="AK144" i="83"/>
  <c r="AJ144" i="83"/>
  <c r="AI144" i="83"/>
  <c r="AH144" i="83"/>
  <c r="AG144" i="83"/>
  <c r="AF144" i="83"/>
  <c r="AE144" i="83"/>
  <c r="Y144" i="83"/>
  <c r="Z144" i="83" s="1"/>
  <c r="AP144" i="83" s="1"/>
  <c r="AQ144" i="83" s="1"/>
  <c r="BX144" i="83" s="1"/>
  <c r="Q144" i="83"/>
  <c r="C144" i="83"/>
  <c r="BJ143" i="83"/>
  <c r="BH143" i="83"/>
  <c r="BD143" i="83" s="1"/>
  <c r="BC143" i="83"/>
  <c r="AY143" i="83"/>
  <c r="AW143" i="83"/>
  <c r="AM143" i="83"/>
  <c r="BK143" i="83"/>
  <c r="BO143" i="83" s="1"/>
  <c r="AK143" i="83"/>
  <c r="AJ143" i="83"/>
  <c r="AI143" i="83"/>
  <c r="AH143" i="83"/>
  <c r="AG143" i="83"/>
  <c r="AF143" i="83"/>
  <c r="AE143" i="83"/>
  <c r="Q143" i="83"/>
  <c r="C143" i="83"/>
  <c r="BD142" i="83"/>
  <c r="BC142" i="83"/>
  <c r="AY142" i="83"/>
  <c r="AX142" i="83"/>
  <c r="AW142" i="83"/>
  <c r="AM142" i="83"/>
  <c r="AK142" i="83"/>
  <c r="AJ142" i="83"/>
  <c r="AI142" i="83"/>
  <c r="AH142" i="83"/>
  <c r="AG142" i="83"/>
  <c r="AF142" i="83"/>
  <c r="AE142" i="83"/>
  <c r="Q142" i="83"/>
  <c r="C142" i="83"/>
  <c r="BD141" i="83"/>
  <c r="BC141" i="83"/>
  <c r="BP141" i="83" s="1"/>
  <c r="AY141" i="83"/>
  <c r="AX141" i="83"/>
  <c r="AW141" i="83"/>
  <c r="AM141" i="83"/>
  <c r="AK141" i="83"/>
  <c r="AJ141" i="83"/>
  <c r="AI141" i="83"/>
  <c r="AH141" i="83"/>
  <c r="AG141" i="83"/>
  <c r="AF141" i="83"/>
  <c r="AE141" i="83"/>
  <c r="Y141" i="83"/>
  <c r="Z141" i="83" s="1"/>
  <c r="AP141" i="83" s="1"/>
  <c r="AQ141" i="83" s="1"/>
  <c r="BX141" i="83" s="1"/>
  <c r="CA141" i="83" s="1"/>
  <c r="Q141" i="83"/>
  <c r="C141" i="83"/>
  <c r="BD140" i="83"/>
  <c r="BC140" i="83"/>
  <c r="BB140" i="83" s="1"/>
  <c r="AY140" i="83"/>
  <c r="AX140" i="83"/>
  <c r="AW140" i="83"/>
  <c r="AM140" i="83"/>
  <c r="AK140" i="83"/>
  <c r="AJ140" i="83"/>
  <c r="AI140" i="83"/>
  <c r="AH140" i="83"/>
  <c r="AG140" i="83"/>
  <c r="AF140" i="83"/>
  <c r="AE140" i="83"/>
  <c r="Y140" i="83"/>
  <c r="Z140" i="83" s="1"/>
  <c r="AP140" i="83" s="1"/>
  <c r="AQ140" i="83" s="1"/>
  <c r="BX140" i="83" s="1"/>
  <c r="CA140" i="83" s="1"/>
  <c r="Q140" i="83"/>
  <c r="C140" i="83"/>
  <c r="BC139" i="83"/>
  <c r="BP139" i="83" s="1"/>
  <c r="AY139" i="83"/>
  <c r="AX139" i="83"/>
  <c r="AW139" i="83"/>
  <c r="AM139" i="83"/>
  <c r="AK139" i="83"/>
  <c r="AJ139" i="83"/>
  <c r="AI139" i="83"/>
  <c r="AH139" i="83"/>
  <c r="AG139" i="83"/>
  <c r="AF139" i="83"/>
  <c r="AE139" i="83"/>
  <c r="Q139" i="83"/>
  <c r="C139" i="83"/>
  <c r="BK138" i="83"/>
  <c r="BO138" i="83" s="1"/>
  <c r="BJ138" i="83"/>
  <c r="BD138" i="83"/>
  <c r="BC138" i="83"/>
  <c r="BB138" i="83" s="1"/>
  <c r="AY138" i="83"/>
  <c r="AX138" i="83"/>
  <c r="AW138" i="83"/>
  <c r="AP138" i="83"/>
  <c r="AQ138" i="83" s="1"/>
  <c r="AK138" i="83"/>
  <c r="AJ138" i="83"/>
  <c r="AI138" i="83"/>
  <c r="AH138" i="83"/>
  <c r="AG138" i="83"/>
  <c r="AF138" i="83"/>
  <c r="AE138" i="83"/>
  <c r="Y138" i="83"/>
  <c r="Q138" i="83"/>
  <c r="C138" i="83"/>
  <c r="BD137" i="83"/>
  <c r="BC137" i="83"/>
  <c r="BP137" i="83" s="1"/>
  <c r="AY137" i="83"/>
  <c r="AX137" i="83"/>
  <c r="AW137" i="83"/>
  <c r="AM137" i="83"/>
  <c r="AK137" i="83"/>
  <c r="AJ137" i="83"/>
  <c r="AI137" i="83"/>
  <c r="AH137" i="83"/>
  <c r="AG137" i="83"/>
  <c r="AF137" i="83"/>
  <c r="AE137" i="83"/>
  <c r="Q137" i="83"/>
  <c r="C137" i="83"/>
  <c r="BD136" i="83"/>
  <c r="BC136" i="83"/>
  <c r="BB136" i="83" s="1"/>
  <c r="BB131" i="83"/>
  <c r="AY136" i="83"/>
  <c r="AX136" i="83"/>
  <c r="AW136" i="83"/>
  <c r="AM136" i="83"/>
  <c r="AK136" i="83"/>
  <c r="AJ136" i="83"/>
  <c r="AI136" i="83"/>
  <c r="AH136" i="83"/>
  <c r="AG136" i="83"/>
  <c r="AF136" i="83"/>
  <c r="AE136" i="83"/>
  <c r="Q136" i="83"/>
  <c r="C136" i="83"/>
  <c r="BD135" i="83"/>
  <c r="BC135" i="83"/>
  <c r="BB135" i="83"/>
  <c r="AY135" i="83"/>
  <c r="AX135" i="83"/>
  <c r="AW135" i="83"/>
  <c r="AM135" i="83"/>
  <c r="AK135" i="83"/>
  <c r="AJ135" i="83"/>
  <c r="AI135" i="83"/>
  <c r="AH135" i="83"/>
  <c r="AG135" i="83"/>
  <c r="AF135" i="83"/>
  <c r="AE135" i="83"/>
  <c r="Y135" i="83"/>
  <c r="Z135" i="83" s="1"/>
  <c r="AP135" i="83" s="1"/>
  <c r="AQ135" i="83" s="1"/>
  <c r="BX135" i="83" s="1"/>
  <c r="Q135" i="83"/>
  <c r="C135" i="83"/>
  <c r="BJ134" i="83"/>
  <c r="BH134" i="83"/>
  <c r="BD134" i="83" s="1"/>
  <c r="BC134" i="83"/>
  <c r="BB134" i="83"/>
  <c r="AY134" i="83"/>
  <c r="AW134" i="83"/>
  <c r="AM134" i="83"/>
  <c r="BK134" i="83" s="1"/>
  <c r="BO134" i="83"/>
  <c r="AK134" i="83"/>
  <c r="AJ134" i="83"/>
  <c r="AI134" i="83"/>
  <c r="AH134" i="83"/>
  <c r="AG134" i="83"/>
  <c r="AF134" i="83"/>
  <c r="AE134" i="83"/>
  <c r="Q134" i="83"/>
  <c r="C134" i="83"/>
  <c r="BD133" i="83"/>
  <c r="BC133" i="83"/>
  <c r="BP133" i="83" s="1"/>
  <c r="AY133" i="83"/>
  <c r="AX133" i="83"/>
  <c r="AW133" i="83"/>
  <c r="AM133" i="83"/>
  <c r="AK133" i="83"/>
  <c r="AJ133" i="83"/>
  <c r="AI133" i="83"/>
  <c r="AH133" i="83"/>
  <c r="AG133" i="83"/>
  <c r="AF133" i="83"/>
  <c r="AE133" i="83"/>
  <c r="Q133" i="83"/>
  <c r="C133" i="83"/>
  <c r="BD132" i="83"/>
  <c r="BC132" i="83"/>
  <c r="BB132" i="83" s="1"/>
  <c r="AY132" i="83"/>
  <c r="AX132" i="83"/>
  <c r="AW132" i="83"/>
  <c r="AM132" i="83"/>
  <c r="AK132" i="83"/>
  <c r="AJ132" i="83"/>
  <c r="AI132" i="83"/>
  <c r="AH132" i="83"/>
  <c r="AG132" i="83"/>
  <c r="AF132" i="83"/>
  <c r="AE132" i="83"/>
  <c r="Q132" i="83"/>
  <c r="C132" i="83"/>
  <c r="BX131" i="83"/>
  <c r="CA131" i="83"/>
  <c r="BD131" i="83"/>
  <c r="BC131" i="83"/>
  <c r="BP131" i="83" s="1"/>
  <c r="AY131" i="83"/>
  <c r="AX131" i="83"/>
  <c r="AW131" i="83"/>
  <c r="AM131" i="83"/>
  <c r="AK131" i="83"/>
  <c r="AJ131" i="83"/>
  <c r="AI131" i="83"/>
  <c r="AH131" i="83"/>
  <c r="AG131" i="83"/>
  <c r="AF131" i="83"/>
  <c r="AE131" i="83"/>
  <c r="Y131" i="83"/>
  <c r="Z131" i="83" s="1"/>
  <c r="AP131" i="83" s="1"/>
  <c r="Q131" i="83"/>
  <c r="C131" i="83"/>
  <c r="BD130" i="83"/>
  <c r="BC130" i="83"/>
  <c r="BP130" i="83" s="1"/>
  <c r="AY130" i="83"/>
  <c r="AX130" i="83"/>
  <c r="AW130" i="83"/>
  <c r="AM130" i="83"/>
  <c r="AK130" i="83"/>
  <c r="AJ130" i="83"/>
  <c r="AI130" i="83"/>
  <c r="AH130" i="83"/>
  <c r="AG130" i="83"/>
  <c r="AF130" i="83"/>
  <c r="AE130" i="83"/>
  <c r="Q130" i="83"/>
  <c r="C130" i="83"/>
  <c r="BJ129" i="83"/>
  <c r="BC129" i="83"/>
  <c r="BB129" i="83" s="1"/>
  <c r="AY129" i="83"/>
  <c r="AX129" i="83"/>
  <c r="AW129" i="83"/>
  <c r="AM129" i="83"/>
  <c r="BK129" i="83" s="1"/>
  <c r="BO129" i="83" s="1"/>
  <c r="AK129" i="83"/>
  <c r="AJ129" i="83"/>
  <c r="AI129" i="83"/>
  <c r="AH129" i="83"/>
  <c r="AG129" i="83"/>
  <c r="AF129" i="83"/>
  <c r="AE129" i="83"/>
  <c r="Y129" i="83"/>
  <c r="Z129" i="83" s="1"/>
  <c r="AP129" i="83" s="1"/>
  <c r="Q129" i="83"/>
  <c r="C129" i="83"/>
  <c r="BD128" i="83"/>
  <c r="BC128" i="83"/>
  <c r="AY128" i="83"/>
  <c r="AX128" i="83"/>
  <c r="AW128" i="83"/>
  <c r="AM128" i="83"/>
  <c r="AK128" i="83"/>
  <c r="AJ128" i="83"/>
  <c r="AI128" i="83"/>
  <c r="AH128" i="83"/>
  <c r="AG128" i="83"/>
  <c r="AF128" i="83"/>
  <c r="AE128" i="83"/>
  <c r="Q128" i="83"/>
  <c r="C128" i="83"/>
  <c r="BD127" i="83"/>
  <c r="BC127" i="83"/>
  <c r="AY127" i="83"/>
  <c r="AX127" i="83"/>
  <c r="AW127" i="83"/>
  <c r="AM127" i="83"/>
  <c r="AK127" i="83"/>
  <c r="AJ127" i="83"/>
  <c r="AI127" i="83"/>
  <c r="AH127" i="83"/>
  <c r="AG127" i="83"/>
  <c r="AF127" i="83"/>
  <c r="AE127" i="83"/>
  <c r="Q127" i="83"/>
  <c r="C127" i="83"/>
  <c r="BD126" i="83"/>
  <c r="BC126" i="83"/>
  <c r="AY126" i="83"/>
  <c r="AX126" i="83"/>
  <c r="AW126" i="83"/>
  <c r="AM126" i="83"/>
  <c r="AK126" i="83"/>
  <c r="AJ126" i="83"/>
  <c r="AI126" i="83"/>
  <c r="AH126" i="83"/>
  <c r="AG126" i="83"/>
  <c r="AF126" i="83"/>
  <c r="AE126" i="83"/>
  <c r="Q126" i="83"/>
  <c r="C126" i="83"/>
  <c r="BD125" i="83"/>
  <c r="BC125" i="83"/>
  <c r="AY125" i="83"/>
  <c r="AX125" i="83"/>
  <c r="AW125" i="83"/>
  <c r="AK125" i="83"/>
  <c r="AJ125" i="83"/>
  <c r="AI125" i="83"/>
  <c r="AH125" i="83"/>
  <c r="AG125" i="83"/>
  <c r="AF125" i="83"/>
  <c r="AE125" i="83"/>
  <c r="Q125" i="83"/>
  <c r="C125" i="83"/>
  <c r="BJ124" i="83"/>
  <c r="BH124" i="83"/>
  <c r="BD124" i="83" s="1"/>
  <c r="BC124" i="83"/>
  <c r="BB124" i="83"/>
  <c r="AY124" i="83"/>
  <c r="AW124" i="83"/>
  <c r="AM124" i="83"/>
  <c r="AK124" i="83"/>
  <c r="AJ124" i="83"/>
  <c r="AI124" i="83"/>
  <c r="AH124" i="83"/>
  <c r="AG124" i="83"/>
  <c r="AF124" i="83"/>
  <c r="AE124" i="83"/>
  <c r="Y124" i="83"/>
  <c r="Z124" i="83" s="1"/>
  <c r="AP124" i="83" s="1"/>
  <c r="AQ124" i="83" s="1"/>
  <c r="BX124" i="83" s="1"/>
  <c r="CA124" i="83" s="1"/>
  <c r="Q124" i="83"/>
  <c r="C124" i="83"/>
  <c r="BD123" i="83"/>
  <c r="BC123" i="83"/>
  <c r="BP123" i="83"/>
  <c r="AY123" i="83"/>
  <c r="AX123" i="83"/>
  <c r="AW123" i="83"/>
  <c r="AM123" i="83"/>
  <c r="AK123" i="83"/>
  <c r="AJ123" i="83"/>
  <c r="AI123" i="83"/>
  <c r="AH123" i="83"/>
  <c r="AG123" i="83"/>
  <c r="AF123" i="83"/>
  <c r="AE123" i="83"/>
  <c r="Q123" i="83"/>
  <c r="C123" i="83"/>
  <c r="BD122" i="83"/>
  <c r="BC122" i="83"/>
  <c r="BB122" i="83"/>
  <c r="AY122" i="83"/>
  <c r="AX122" i="83"/>
  <c r="AW122" i="83"/>
  <c r="AM122" i="83"/>
  <c r="AK122" i="83"/>
  <c r="AJ122" i="83"/>
  <c r="AI122" i="83"/>
  <c r="AH122" i="83"/>
  <c r="AG122" i="83"/>
  <c r="AF122" i="83"/>
  <c r="AE122" i="83"/>
  <c r="Q122" i="83"/>
  <c r="C122" i="83"/>
  <c r="BK121" i="83"/>
  <c r="BO121" i="83" s="1"/>
  <c r="BJ121" i="83"/>
  <c r="BD121" i="83"/>
  <c r="BC121" i="83"/>
  <c r="AY121" i="83"/>
  <c r="AX121" i="83"/>
  <c r="AW121" i="83"/>
  <c r="AP121" i="83"/>
  <c r="AQ121" i="83" s="1"/>
  <c r="AK121" i="83"/>
  <c r="AJ121" i="83"/>
  <c r="AI121" i="83"/>
  <c r="AH121" i="83"/>
  <c r="AG121" i="83"/>
  <c r="AF121" i="83"/>
  <c r="AE121" i="83"/>
  <c r="Y121" i="83"/>
  <c r="Q121" i="83"/>
  <c r="C121" i="83"/>
  <c r="BD120" i="83"/>
  <c r="BC120" i="83"/>
  <c r="BP120" i="83" s="1"/>
  <c r="AY120" i="83"/>
  <c r="AX120" i="83"/>
  <c r="AW120" i="83"/>
  <c r="AM120" i="83"/>
  <c r="AK120" i="83"/>
  <c r="AJ120" i="83"/>
  <c r="AI120" i="83"/>
  <c r="AH120" i="83"/>
  <c r="AG120" i="83"/>
  <c r="AF120" i="83"/>
  <c r="AE120" i="83"/>
  <c r="Q120" i="83"/>
  <c r="C120" i="83"/>
  <c r="BD119" i="83"/>
  <c r="BC119" i="83"/>
  <c r="BB119" i="83" s="1"/>
  <c r="AY119" i="83"/>
  <c r="AX119" i="83"/>
  <c r="AW119" i="83"/>
  <c r="AM119" i="83"/>
  <c r="AK119" i="83"/>
  <c r="AJ119" i="83"/>
  <c r="AI119" i="83"/>
  <c r="AH119" i="83"/>
  <c r="AG119" i="83"/>
  <c r="AF119" i="83"/>
  <c r="AE119" i="83"/>
  <c r="Q119" i="83"/>
  <c r="C119" i="83"/>
  <c r="BD118" i="83"/>
  <c r="BC118" i="83"/>
  <c r="BP118" i="83" s="1"/>
  <c r="AY118" i="83"/>
  <c r="AX118" i="83"/>
  <c r="AW118" i="83"/>
  <c r="AM118" i="83"/>
  <c r="AK118" i="83"/>
  <c r="AJ118" i="83"/>
  <c r="AI118" i="83"/>
  <c r="AH118" i="83"/>
  <c r="AG118" i="83"/>
  <c r="AF118" i="83"/>
  <c r="AE118" i="83"/>
  <c r="Y118" i="83"/>
  <c r="Z118" i="83" s="1"/>
  <c r="AP118" i="83" s="1"/>
  <c r="AQ118" i="83" s="1"/>
  <c r="BX118" i="83" s="1"/>
  <c r="Q118" i="83"/>
  <c r="C118" i="83"/>
  <c r="BD117" i="83"/>
  <c r="BC117" i="83"/>
  <c r="BB117" i="83" s="1"/>
  <c r="AY117" i="83"/>
  <c r="AX117" i="83"/>
  <c r="AW117" i="83"/>
  <c r="AM117" i="83"/>
  <c r="AK117" i="83"/>
  <c r="AJ117" i="83"/>
  <c r="AI117" i="83"/>
  <c r="AH117" i="83"/>
  <c r="AG117" i="83"/>
  <c r="AF117" i="83"/>
  <c r="AE117" i="83"/>
  <c r="Y117" i="83"/>
  <c r="Z117" i="83" s="1"/>
  <c r="AP117" i="83" s="1"/>
  <c r="AQ117" i="83" s="1"/>
  <c r="BX117" i="83" s="1"/>
  <c r="CA117" i="83" s="1"/>
  <c r="Q117" i="83"/>
  <c r="C117" i="83"/>
  <c r="BJ116" i="83"/>
  <c r="BH116" i="83"/>
  <c r="BD116" i="83" s="1"/>
  <c r="BC116" i="83"/>
  <c r="BB116" i="83"/>
  <c r="AY116" i="83"/>
  <c r="AW116" i="83"/>
  <c r="AM116" i="83"/>
  <c r="BA116" i="83" s="1"/>
  <c r="AK116" i="83"/>
  <c r="AJ116" i="83"/>
  <c r="AI116" i="83"/>
  <c r="AH116" i="83"/>
  <c r="AG116" i="83"/>
  <c r="AF116" i="83"/>
  <c r="AE116" i="83"/>
  <c r="Q116" i="83"/>
  <c r="C116" i="83"/>
  <c r="BD115" i="83"/>
  <c r="BC115" i="83"/>
  <c r="BB115" i="83"/>
  <c r="AY115" i="83"/>
  <c r="AX115" i="83"/>
  <c r="AW115" i="83"/>
  <c r="AM115" i="83"/>
  <c r="AK115" i="83"/>
  <c r="AJ115" i="83"/>
  <c r="AI115" i="83"/>
  <c r="AH115" i="83"/>
  <c r="AG115" i="83"/>
  <c r="AF115" i="83"/>
  <c r="AE115" i="83"/>
  <c r="Y115" i="83"/>
  <c r="Z115" i="83" s="1"/>
  <c r="AP115" i="83" s="1"/>
  <c r="AQ115" i="83" s="1"/>
  <c r="BX115" i="83" s="1"/>
  <c r="Q115" i="83"/>
  <c r="C115" i="83"/>
  <c r="BC114" i="83"/>
  <c r="BP114" i="83"/>
  <c r="AY114" i="83"/>
  <c r="AX114" i="83"/>
  <c r="AW114" i="83"/>
  <c r="AM114" i="83"/>
  <c r="AK114" i="83"/>
  <c r="AJ114" i="83"/>
  <c r="AI114" i="83"/>
  <c r="AH114" i="83"/>
  <c r="AG114" i="83"/>
  <c r="AF114" i="83"/>
  <c r="AE114" i="83"/>
  <c r="Y114" i="83"/>
  <c r="Z114" i="83" s="1"/>
  <c r="AP114" i="83" s="1"/>
  <c r="AQ114" i="83" s="1"/>
  <c r="BX114" i="83" s="1"/>
  <c r="Q114" i="83"/>
  <c r="C114" i="83"/>
  <c r="BJ113" i="83"/>
  <c r="BH113" i="83"/>
  <c r="BD113" i="83" s="1"/>
  <c r="BC113" i="83"/>
  <c r="BB113" i="83"/>
  <c r="AY113" i="83"/>
  <c r="AW113" i="83"/>
  <c r="AM113" i="83"/>
  <c r="BK113" i="83" s="1"/>
  <c r="BO113" i="83"/>
  <c r="BP113" i="83" s="1"/>
  <c r="AK113" i="83"/>
  <c r="AJ113" i="83"/>
  <c r="AI113" i="83"/>
  <c r="AH113" i="83"/>
  <c r="AG113" i="83"/>
  <c r="AF113" i="83"/>
  <c r="AE113" i="83"/>
  <c r="Q113" i="83"/>
  <c r="C113" i="83"/>
  <c r="BD112" i="83"/>
  <c r="BC112" i="83"/>
  <c r="BB112" i="83" s="1"/>
  <c r="AY112" i="83"/>
  <c r="AX112" i="83"/>
  <c r="AW112" i="83"/>
  <c r="AM112" i="83"/>
  <c r="AK112" i="83"/>
  <c r="AJ112" i="83"/>
  <c r="AI112" i="83"/>
  <c r="AH112" i="83"/>
  <c r="AG112" i="83"/>
  <c r="AF112" i="83"/>
  <c r="AE112" i="83"/>
  <c r="Y112" i="83"/>
  <c r="Z112" i="83" s="1"/>
  <c r="AP112" i="83" s="1"/>
  <c r="AQ112" i="83" s="1"/>
  <c r="BX112" i="83" s="1"/>
  <c r="Q112" i="83"/>
  <c r="C112" i="83"/>
  <c r="BD111" i="83"/>
  <c r="BC111" i="83"/>
  <c r="BP111" i="83" s="1"/>
  <c r="AY111" i="83"/>
  <c r="AX111" i="83"/>
  <c r="AW111" i="83"/>
  <c r="AM111" i="83"/>
  <c r="AK111" i="83"/>
  <c r="AJ111" i="83"/>
  <c r="AI111" i="83"/>
  <c r="AH111" i="83"/>
  <c r="AG111" i="83"/>
  <c r="AF111" i="83"/>
  <c r="AE111" i="83"/>
  <c r="Y111" i="83"/>
  <c r="Z111" i="83" s="1"/>
  <c r="AP111" i="83" s="1"/>
  <c r="AQ111" i="83" s="1"/>
  <c r="BX111" i="83" s="1"/>
  <c r="Q111" i="83"/>
  <c r="C111" i="83"/>
  <c r="BD110" i="83"/>
  <c r="BC110" i="83"/>
  <c r="AY110" i="83"/>
  <c r="AX110" i="83"/>
  <c r="AW110" i="83"/>
  <c r="AP110" i="83"/>
  <c r="AQ110" i="83"/>
  <c r="BX110" i="83"/>
  <c r="AK110" i="83"/>
  <c r="AJ110" i="83"/>
  <c r="AI110" i="83"/>
  <c r="AH110" i="83"/>
  <c r="AG110" i="83"/>
  <c r="AF110" i="83"/>
  <c r="AE110" i="83"/>
  <c r="Q110" i="83"/>
  <c r="C110" i="83"/>
  <c r="BD109" i="83"/>
  <c r="BC109" i="83"/>
  <c r="AY109" i="83"/>
  <c r="AX109" i="83"/>
  <c r="AW109" i="83"/>
  <c r="AM109" i="83"/>
  <c r="AK109" i="83"/>
  <c r="AJ109" i="83"/>
  <c r="AI109" i="83"/>
  <c r="AH109" i="83"/>
  <c r="AG109" i="83"/>
  <c r="AF109" i="83"/>
  <c r="AE109" i="83"/>
  <c r="Q109" i="83"/>
  <c r="C109" i="83"/>
  <c r="BD108" i="83"/>
  <c r="BC108" i="83"/>
  <c r="AY108" i="83"/>
  <c r="AX108" i="83"/>
  <c r="AW108" i="83"/>
  <c r="AK108" i="83"/>
  <c r="AJ108" i="83"/>
  <c r="AI108" i="83"/>
  <c r="AH108" i="83"/>
  <c r="AG108" i="83"/>
  <c r="AF108" i="83"/>
  <c r="AE108" i="83"/>
  <c r="Q108" i="83"/>
  <c r="O108" i="83"/>
  <c r="C108" i="83"/>
  <c r="BK107" i="83"/>
  <c r="BO107" i="83" s="1"/>
  <c r="BP107" i="83" s="1"/>
  <c r="BJ107" i="83"/>
  <c r="BC107" i="83"/>
  <c r="BB107" i="83" s="1"/>
  <c r="AY107" i="83"/>
  <c r="AX107" i="83"/>
  <c r="AW107" i="83"/>
  <c r="AK107" i="83"/>
  <c r="AJ107" i="83"/>
  <c r="AI107" i="83"/>
  <c r="AH107" i="83"/>
  <c r="AG107" i="83"/>
  <c r="AF107" i="83"/>
  <c r="AE107" i="83"/>
  <c r="Q107" i="83"/>
  <c r="C107" i="83"/>
  <c r="BD106" i="83"/>
  <c r="BC106" i="83"/>
  <c r="BP106" i="83"/>
  <c r="AY106" i="83"/>
  <c r="AX106" i="83"/>
  <c r="AW106" i="83"/>
  <c r="AM106" i="83"/>
  <c r="AK106" i="83"/>
  <c r="AJ106" i="83"/>
  <c r="AI106" i="83"/>
  <c r="AH106" i="83"/>
  <c r="AG106" i="83"/>
  <c r="AF106" i="83"/>
  <c r="AE106" i="83"/>
  <c r="Y106" i="83"/>
  <c r="Z106" i="83" s="1"/>
  <c r="AP106" i="83" s="1"/>
  <c r="AQ106" i="83" s="1"/>
  <c r="BX106" i="83" s="1"/>
  <c r="Q106" i="83"/>
  <c r="C106" i="83"/>
  <c r="BD105" i="83"/>
  <c r="BC105" i="83"/>
  <c r="BP105" i="83" s="1"/>
  <c r="AM105" i="83"/>
  <c r="AK105" i="83"/>
  <c r="AJ105" i="83"/>
  <c r="AI105" i="83"/>
  <c r="AH105" i="83"/>
  <c r="AG105" i="83"/>
  <c r="AF105" i="83"/>
  <c r="AE105" i="83"/>
  <c r="Q105" i="83"/>
  <c r="C105" i="83"/>
  <c r="BI104" i="83"/>
  <c r="BD104" i="83"/>
  <c r="BC104" i="83"/>
  <c r="BB104" i="83" s="1"/>
  <c r="AX104" i="83"/>
  <c r="AW104" i="83"/>
  <c r="AM104" i="83"/>
  <c r="BA104" i="83" s="1"/>
  <c r="AK104" i="83"/>
  <c r="AJ104" i="83"/>
  <c r="AI104" i="83"/>
  <c r="AH104" i="83"/>
  <c r="AG104" i="83"/>
  <c r="AF104" i="83"/>
  <c r="AE104" i="83"/>
  <c r="Y104" i="83"/>
  <c r="Z104" i="83" s="1"/>
  <c r="AP104" i="83" s="1"/>
  <c r="Q104" i="83"/>
  <c r="C104" i="83"/>
  <c r="BD103" i="83"/>
  <c r="BC103" i="83"/>
  <c r="BB103" i="83"/>
  <c r="AY103" i="83"/>
  <c r="AX103" i="83"/>
  <c r="AW103" i="83"/>
  <c r="AM103" i="83"/>
  <c r="AK103" i="83"/>
  <c r="AJ103" i="83"/>
  <c r="AI103" i="83"/>
  <c r="AH103" i="83"/>
  <c r="AG103" i="83"/>
  <c r="AF103" i="83"/>
  <c r="AE103" i="83"/>
  <c r="Y103" i="83"/>
  <c r="Z103" i="83" s="1"/>
  <c r="AP103" i="83" s="1"/>
  <c r="AQ103" i="83" s="1"/>
  <c r="BX103" i="83" s="1"/>
  <c r="CA103" i="83" s="1"/>
  <c r="Q103" i="83"/>
  <c r="C103" i="83"/>
  <c r="BD102" i="83"/>
  <c r="BC102" i="83"/>
  <c r="BP102" i="83" s="1"/>
  <c r="AY102" i="83"/>
  <c r="AX102" i="83"/>
  <c r="AW102" i="83"/>
  <c r="AM102" i="83"/>
  <c r="AK102" i="83"/>
  <c r="AJ102" i="83"/>
  <c r="AI102" i="83"/>
  <c r="AH102" i="83"/>
  <c r="AG102" i="83"/>
  <c r="AF102" i="83"/>
  <c r="AE102" i="83"/>
  <c r="Y102" i="83"/>
  <c r="Z102" i="83" s="1"/>
  <c r="AP102" i="83" s="1"/>
  <c r="AQ102" i="83" s="1"/>
  <c r="BX102" i="83" s="1"/>
  <c r="Q102" i="83"/>
  <c r="C102" i="83"/>
  <c r="BD101" i="83"/>
  <c r="BC101" i="83"/>
  <c r="BB101" i="83"/>
  <c r="AY101" i="83"/>
  <c r="AX101" i="83"/>
  <c r="AW101" i="83"/>
  <c r="AM101" i="83"/>
  <c r="AK101" i="83"/>
  <c r="AJ101" i="83"/>
  <c r="AI101" i="83"/>
  <c r="AH101" i="83"/>
  <c r="AG101" i="83"/>
  <c r="AF101" i="83"/>
  <c r="AE101" i="83"/>
  <c r="Q101" i="83"/>
  <c r="C101" i="83"/>
  <c r="BI100" i="83"/>
  <c r="BD100" i="83" s="1"/>
  <c r="BC100" i="83"/>
  <c r="BB100" i="83" s="1"/>
  <c r="AX100" i="83"/>
  <c r="AW100" i="83"/>
  <c r="AM100" i="83"/>
  <c r="BA100" i="83" s="1"/>
  <c r="AK100" i="83"/>
  <c r="AJ100" i="83"/>
  <c r="AI100" i="83"/>
  <c r="AH100" i="83"/>
  <c r="AG100" i="83"/>
  <c r="AF100" i="83"/>
  <c r="AE100" i="83"/>
  <c r="Q100" i="83"/>
  <c r="C100" i="83"/>
  <c r="BD99" i="83"/>
  <c r="BC99" i="83"/>
  <c r="AY99" i="83"/>
  <c r="AX99" i="83"/>
  <c r="AW99" i="83"/>
  <c r="AM99" i="83"/>
  <c r="AK99" i="83"/>
  <c r="AJ99" i="83"/>
  <c r="AI99" i="83"/>
  <c r="AH99" i="83"/>
  <c r="AG99" i="83"/>
  <c r="AF99" i="83"/>
  <c r="AE99" i="83"/>
  <c r="Q99" i="83"/>
  <c r="C99" i="83"/>
  <c r="BD98" i="83"/>
  <c r="BC98" i="83"/>
  <c r="AY98" i="83"/>
  <c r="AX98" i="83"/>
  <c r="AW98" i="83"/>
  <c r="AM98" i="83"/>
  <c r="AK98" i="83"/>
  <c r="AJ98" i="83"/>
  <c r="AI98" i="83"/>
  <c r="AH98" i="83"/>
  <c r="AG98" i="83"/>
  <c r="AF98" i="83"/>
  <c r="AE98" i="83"/>
  <c r="Y98" i="83"/>
  <c r="Z98" i="83" s="1"/>
  <c r="AP98" i="83" s="1"/>
  <c r="AQ98" i="83" s="1"/>
  <c r="BX98" i="83" s="1"/>
  <c r="Q98" i="83"/>
  <c r="C98" i="83"/>
  <c r="BI97" i="83"/>
  <c r="BD97" i="83" s="1"/>
  <c r="BC97" i="83"/>
  <c r="AX97" i="83"/>
  <c r="AW97" i="83"/>
  <c r="AM97" i="83"/>
  <c r="BA97" i="83" s="1"/>
  <c r="AK97" i="83"/>
  <c r="AJ97" i="83"/>
  <c r="AI97" i="83"/>
  <c r="AH97" i="83"/>
  <c r="AG97" i="83"/>
  <c r="AF97" i="83"/>
  <c r="AE97" i="83"/>
  <c r="Q97" i="83"/>
  <c r="C97" i="83"/>
  <c r="BD96" i="83"/>
  <c r="BC96" i="83"/>
  <c r="BB96" i="83"/>
  <c r="AY96" i="83"/>
  <c r="AX96" i="83"/>
  <c r="AW96" i="83"/>
  <c r="AM96" i="83"/>
  <c r="AK96" i="83"/>
  <c r="AJ96" i="83"/>
  <c r="AI96" i="83"/>
  <c r="AH96" i="83"/>
  <c r="AG96" i="83"/>
  <c r="AF96" i="83"/>
  <c r="AE96" i="83"/>
  <c r="Q96" i="83"/>
  <c r="C96" i="83"/>
  <c r="BD95" i="83"/>
  <c r="BC95" i="83"/>
  <c r="BB95" i="83"/>
  <c r="AY95" i="83"/>
  <c r="AX95" i="83"/>
  <c r="AW95" i="83"/>
  <c r="AP95" i="83"/>
  <c r="AQ95" i="83" s="1"/>
  <c r="BX95" i="83"/>
  <c r="AK95" i="83"/>
  <c r="AJ95" i="83"/>
  <c r="AI95" i="83"/>
  <c r="AH95" i="83"/>
  <c r="AG95" i="83"/>
  <c r="AF95" i="83"/>
  <c r="AE95" i="83"/>
  <c r="Y95" i="83"/>
  <c r="Q95" i="83"/>
  <c r="C95" i="83"/>
  <c r="BJ94" i="83"/>
  <c r="BC94" i="83"/>
  <c r="BB94" i="83" s="1"/>
  <c r="AY94" i="83"/>
  <c r="AX94" i="83"/>
  <c r="AW94" i="83"/>
  <c r="AM94" i="83"/>
  <c r="BK94" i="83" s="1"/>
  <c r="BO94" i="83" s="1"/>
  <c r="AK94" i="83"/>
  <c r="AJ94" i="83"/>
  <c r="AI94" i="83"/>
  <c r="AH94" i="83"/>
  <c r="AG94" i="83"/>
  <c r="AF94" i="83"/>
  <c r="AE94" i="83"/>
  <c r="Q94" i="83"/>
  <c r="C94" i="83"/>
  <c r="BI93" i="83"/>
  <c r="BD93" i="83" s="1"/>
  <c r="BC93" i="83"/>
  <c r="BP93" i="83"/>
  <c r="AX93" i="83"/>
  <c r="AW93" i="83"/>
  <c r="AM93" i="83"/>
  <c r="BA93" i="83" s="1"/>
  <c r="AK93" i="83"/>
  <c r="AJ93" i="83"/>
  <c r="AI93" i="83"/>
  <c r="AH93" i="83"/>
  <c r="AG93" i="83"/>
  <c r="AF93" i="83"/>
  <c r="AE93" i="83"/>
  <c r="Q93" i="83"/>
  <c r="O93" i="83"/>
  <c r="C93" i="83"/>
  <c r="BD92" i="83"/>
  <c r="BC92" i="83"/>
  <c r="BB92" i="83" s="1"/>
  <c r="AY92" i="83"/>
  <c r="AX92" i="83"/>
  <c r="AW92" i="83"/>
  <c r="AM92" i="83"/>
  <c r="AK92" i="83"/>
  <c r="AJ92" i="83"/>
  <c r="AI92" i="83"/>
  <c r="AH92" i="83"/>
  <c r="AG92" i="83"/>
  <c r="AF92" i="83"/>
  <c r="AE92" i="83"/>
  <c r="Q92" i="83"/>
  <c r="C92" i="83"/>
  <c r="BD91" i="83"/>
  <c r="BC91" i="83"/>
  <c r="BP91" i="83" s="1"/>
  <c r="AY91" i="83"/>
  <c r="AX91" i="83"/>
  <c r="AW91" i="83"/>
  <c r="AM91" i="83"/>
  <c r="AK91" i="83"/>
  <c r="AJ91" i="83"/>
  <c r="AI91" i="83"/>
  <c r="AH91" i="83"/>
  <c r="AG91" i="83"/>
  <c r="AF91" i="83"/>
  <c r="AE91" i="83"/>
  <c r="Q91" i="83"/>
  <c r="C91" i="83"/>
  <c r="BI90" i="83"/>
  <c r="BD90" i="83"/>
  <c r="BC90" i="83"/>
  <c r="BP90" i="83"/>
  <c r="AX90" i="83"/>
  <c r="AW90" i="83"/>
  <c r="AM90" i="83"/>
  <c r="BA90" i="83" s="1"/>
  <c r="AK90" i="83"/>
  <c r="AJ90" i="83"/>
  <c r="AI90" i="83"/>
  <c r="AH90" i="83"/>
  <c r="AG90" i="83"/>
  <c r="AF90" i="83"/>
  <c r="AE90" i="83"/>
  <c r="Y90" i="83"/>
  <c r="Z90" i="83" s="1"/>
  <c r="AP90" i="83" s="1"/>
  <c r="Q90" i="83"/>
  <c r="C90" i="83"/>
  <c r="BD89" i="83"/>
  <c r="BC89" i="83"/>
  <c r="BB89" i="83"/>
  <c r="AY89" i="83"/>
  <c r="AX89" i="83"/>
  <c r="AW89" i="83"/>
  <c r="AM89" i="83"/>
  <c r="AK89" i="83"/>
  <c r="AJ89" i="83"/>
  <c r="AI89" i="83"/>
  <c r="AH89" i="83"/>
  <c r="AG89" i="83"/>
  <c r="AF89" i="83"/>
  <c r="AE89" i="83"/>
  <c r="Q89" i="83"/>
  <c r="C89" i="83"/>
  <c r="BD88" i="83"/>
  <c r="BC88" i="83"/>
  <c r="BB88" i="83"/>
  <c r="AY88" i="83"/>
  <c r="AX88" i="83"/>
  <c r="AW88" i="83"/>
  <c r="AM88" i="83"/>
  <c r="AK88" i="83"/>
  <c r="AJ88" i="83"/>
  <c r="AI88" i="83"/>
  <c r="AH88" i="83"/>
  <c r="AG88" i="83"/>
  <c r="AF88" i="83"/>
  <c r="AE88" i="83"/>
  <c r="Y88" i="83"/>
  <c r="Z88" i="83" s="1"/>
  <c r="AP88" i="83" s="1"/>
  <c r="AQ88" i="83" s="1"/>
  <c r="BX88" i="83" s="1"/>
  <c r="Q88" i="83"/>
  <c r="C88" i="83"/>
  <c r="BD87" i="83"/>
  <c r="BC87" i="83"/>
  <c r="BP87" i="83" s="1"/>
  <c r="AY87" i="83"/>
  <c r="AX87" i="83"/>
  <c r="AW87" i="83"/>
  <c r="AM87" i="83"/>
  <c r="AK87" i="83"/>
  <c r="AJ87" i="83"/>
  <c r="AI87" i="83"/>
  <c r="AH87" i="83"/>
  <c r="AG87" i="83"/>
  <c r="AF87" i="83"/>
  <c r="AE87" i="83"/>
  <c r="Y87" i="83"/>
  <c r="Z87" i="83" s="1"/>
  <c r="AP87" i="83" s="1"/>
  <c r="AQ87" i="83" s="1"/>
  <c r="BX87" i="83" s="1"/>
  <c r="Q87" i="83"/>
  <c r="C87" i="83"/>
  <c r="BI86" i="83"/>
  <c r="BD86" i="83" s="1"/>
  <c r="BC86" i="83"/>
  <c r="BB86" i="83" s="1"/>
  <c r="AX86" i="83"/>
  <c r="AW86" i="83"/>
  <c r="AM86" i="83"/>
  <c r="BA86" i="83"/>
  <c r="AK86" i="83"/>
  <c r="AJ86" i="83"/>
  <c r="AI86" i="83"/>
  <c r="AH86" i="83"/>
  <c r="AG86" i="83"/>
  <c r="AF86" i="83"/>
  <c r="AE86" i="83"/>
  <c r="Q86" i="83"/>
  <c r="C86" i="83"/>
  <c r="BD85" i="83"/>
  <c r="BC85" i="83"/>
  <c r="BB85" i="83" s="1"/>
  <c r="AY85" i="83"/>
  <c r="AX85" i="83"/>
  <c r="AW85" i="83"/>
  <c r="AM85" i="83"/>
  <c r="AK85" i="83"/>
  <c r="AJ85" i="83"/>
  <c r="AI85" i="83"/>
  <c r="AH85" i="83"/>
  <c r="AG85" i="83"/>
  <c r="AF85" i="83"/>
  <c r="AE85" i="83"/>
  <c r="Q85" i="83"/>
  <c r="O85" i="83"/>
  <c r="C85" i="83"/>
  <c r="BI84" i="83"/>
  <c r="BD84" i="83" s="1"/>
  <c r="BC84" i="83"/>
  <c r="BP84" i="83"/>
  <c r="AX84" i="83"/>
  <c r="AW84" i="83"/>
  <c r="AM84" i="83"/>
  <c r="BA84" i="83" s="1"/>
  <c r="AK84" i="83"/>
  <c r="AJ84" i="83"/>
  <c r="AI84" i="83"/>
  <c r="AH84" i="83"/>
  <c r="AG84" i="83"/>
  <c r="AF84" i="83"/>
  <c r="AE84" i="83"/>
  <c r="Y84" i="83"/>
  <c r="Z84" i="83" s="1"/>
  <c r="AP84" i="83" s="1"/>
  <c r="Q84" i="83"/>
  <c r="C84" i="83"/>
  <c r="BI83" i="83"/>
  <c r="BD83" i="83"/>
  <c r="BC83" i="83"/>
  <c r="BB83" i="83"/>
  <c r="BA83" i="83"/>
  <c r="AX83" i="83"/>
  <c r="AW83" i="83"/>
  <c r="AK83" i="83"/>
  <c r="AJ83" i="83"/>
  <c r="AI83" i="83"/>
  <c r="AH83" i="83"/>
  <c r="AG83" i="83"/>
  <c r="AF83" i="83"/>
  <c r="AE83" i="83"/>
  <c r="Q83" i="83"/>
  <c r="C83" i="83"/>
  <c r="BD82" i="83"/>
  <c r="BC82" i="83"/>
  <c r="BB82" i="83" s="1"/>
  <c r="AY82" i="83"/>
  <c r="AX82" i="83"/>
  <c r="AW82" i="83"/>
  <c r="AM82" i="83"/>
  <c r="AK82" i="83"/>
  <c r="AJ82" i="83"/>
  <c r="AI82" i="83"/>
  <c r="AH82" i="83"/>
  <c r="AG82" i="83"/>
  <c r="AF82" i="83"/>
  <c r="AE82" i="83"/>
  <c r="Q82" i="83"/>
  <c r="C82" i="83"/>
  <c r="BD81" i="83"/>
  <c r="BC81" i="83"/>
  <c r="BP81" i="83" s="1"/>
  <c r="AY81" i="83"/>
  <c r="AX81" i="83"/>
  <c r="AW81" i="83"/>
  <c r="AM81" i="83"/>
  <c r="AK81" i="83"/>
  <c r="AJ81" i="83"/>
  <c r="AI81" i="83"/>
  <c r="AH81" i="83"/>
  <c r="AG81" i="83"/>
  <c r="AF81" i="83"/>
  <c r="AE81" i="83"/>
  <c r="Q81" i="83"/>
  <c r="C81" i="83"/>
  <c r="BD80" i="83"/>
  <c r="BC80" i="83"/>
  <c r="AY80" i="83"/>
  <c r="AX80" i="83"/>
  <c r="AW80" i="83"/>
  <c r="AM80" i="83"/>
  <c r="AK80" i="83"/>
  <c r="AJ80" i="83"/>
  <c r="AI80" i="83"/>
  <c r="AH80" i="83"/>
  <c r="AG80" i="83"/>
  <c r="AF80" i="83"/>
  <c r="AE80" i="83"/>
  <c r="Y80" i="83"/>
  <c r="Z80" i="83" s="1"/>
  <c r="AP80" i="83" s="1"/>
  <c r="AQ80" i="83" s="1"/>
  <c r="BX80" i="83" s="1"/>
  <c r="Q80" i="83"/>
  <c r="C80" i="83"/>
  <c r="BD79" i="83"/>
  <c r="BC79" i="83"/>
  <c r="BB79" i="83"/>
  <c r="AY79" i="83"/>
  <c r="AX79" i="83"/>
  <c r="AW79" i="83"/>
  <c r="AK79" i="83"/>
  <c r="AJ79" i="83"/>
  <c r="AI79" i="83"/>
  <c r="AH79" i="83"/>
  <c r="AG79" i="83"/>
  <c r="AF79" i="83"/>
  <c r="AE79" i="83"/>
  <c r="Y79" i="83"/>
  <c r="Z79" i="83" s="1"/>
  <c r="Q79" i="83"/>
  <c r="C79" i="83"/>
  <c r="BD78" i="83"/>
  <c r="BC78" i="83"/>
  <c r="BB78" i="83"/>
  <c r="AY78" i="83"/>
  <c r="AX78" i="83"/>
  <c r="AW78" i="83"/>
  <c r="AM78" i="83"/>
  <c r="AK78" i="83"/>
  <c r="AJ78" i="83"/>
  <c r="AI78" i="83"/>
  <c r="AH78" i="83"/>
  <c r="AG78" i="83"/>
  <c r="AF78" i="83"/>
  <c r="AE78" i="83"/>
  <c r="Q78" i="83"/>
  <c r="C78" i="83"/>
  <c r="BI77" i="83"/>
  <c r="BD77" i="83" s="1"/>
  <c r="BC77" i="83"/>
  <c r="BB77" i="83"/>
  <c r="AX77" i="83"/>
  <c r="AW77" i="83"/>
  <c r="AM77" i="83"/>
  <c r="BA77" i="83" s="1"/>
  <c r="AK77" i="83"/>
  <c r="AJ77" i="83"/>
  <c r="AI77" i="83"/>
  <c r="AH77" i="83"/>
  <c r="AG77" i="83"/>
  <c r="AF77" i="83"/>
  <c r="AE77" i="83"/>
  <c r="Q77" i="83"/>
  <c r="C77" i="83"/>
  <c r="BD76" i="83"/>
  <c r="BC76" i="83"/>
  <c r="BB76" i="83"/>
  <c r="AY76" i="83"/>
  <c r="AX76" i="83"/>
  <c r="AW76" i="83"/>
  <c r="AM76" i="83"/>
  <c r="AK76" i="83"/>
  <c r="AJ76" i="83"/>
  <c r="AI76" i="83"/>
  <c r="AH76" i="83"/>
  <c r="AG76" i="83"/>
  <c r="AF76" i="83"/>
  <c r="AE76" i="83"/>
  <c r="Y76" i="83"/>
  <c r="Q76" i="83"/>
  <c r="C76" i="83"/>
  <c r="BD75" i="83"/>
  <c r="BC75" i="83"/>
  <c r="BB75" i="83" s="1"/>
  <c r="AM75" i="83"/>
  <c r="AK75" i="83"/>
  <c r="AJ75" i="83"/>
  <c r="AI75" i="83"/>
  <c r="AH75" i="83"/>
  <c r="AG75" i="83"/>
  <c r="AF75" i="83"/>
  <c r="AE75" i="83"/>
  <c r="Y75" i="83"/>
  <c r="Z75" i="83" s="1"/>
  <c r="AP75" i="83" s="1"/>
  <c r="AQ75" i="83" s="1"/>
  <c r="BX75" i="83" s="1"/>
  <c r="CA75" i="83" s="1"/>
  <c r="Q75" i="83"/>
  <c r="C75" i="83"/>
  <c r="BD74" i="83"/>
  <c r="BC74" i="83"/>
  <c r="BP74" i="83"/>
  <c r="AY74" i="83"/>
  <c r="AX74" i="83"/>
  <c r="AW74" i="83"/>
  <c r="AM74" i="83"/>
  <c r="AK74" i="83"/>
  <c r="AJ74" i="83"/>
  <c r="AI74" i="83"/>
  <c r="AH74" i="83"/>
  <c r="AG74" i="83"/>
  <c r="AF74" i="83"/>
  <c r="AE74" i="83"/>
  <c r="Y74" i="83"/>
  <c r="Q74" i="83"/>
  <c r="C74" i="83"/>
  <c r="BX73" i="83"/>
  <c r="CA73" i="83"/>
  <c r="BI73" i="83"/>
  <c r="BD73" i="83" s="1"/>
  <c r="BC73" i="83"/>
  <c r="BB73" i="83" s="1"/>
  <c r="AY73" i="83"/>
  <c r="AX73" i="83"/>
  <c r="AW73" i="83"/>
  <c r="AM73" i="83"/>
  <c r="AK73" i="83"/>
  <c r="AJ73" i="83"/>
  <c r="AI73" i="83"/>
  <c r="AH73" i="83"/>
  <c r="AG73" i="83"/>
  <c r="AF73" i="83"/>
  <c r="AE73" i="83"/>
  <c r="Q73" i="83"/>
  <c r="C73" i="83"/>
  <c r="BI72" i="83"/>
  <c r="BD72" i="83" s="1"/>
  <c r="BC72" i="83"/>
  <c r="BB72" i="83" s="1"/>
  <c r="AY72" i="83"/>
  <c r="AX72" i="83"/>
  <c r="AW72" i="83"/>
  <c r="AK72" i="83"/>
  <c r="AJ72" i="83"/>
  <c r="AI72" i="83"/>
  <c r="AH72" i="83"/>
  <c r="AG72" i="83"/>
  <c r="AF72" i="83"/>
  <c r="AE72" i="83"/>
  <c r="Y72" i="83"/>
  <c r="Z72" i="83" s="1"/>
  <c r="AP72" i="83" s="1"/>
  <c r="AQ72" i="83" s="1"/>
  <c r="BX72" i="83" s="1"/>
  <c r="Q72" i="83"/>
  <c r="C72" i="83"/>
  <c r="BI71" i="83"/>
  <c r="BD71" i="83" s="1"/>
  <c r="BC71" i="83"/>
  <c r="BB71" i="83"/>
  <c r="AX71" i="83"/>
  <c r="AW71" i="83"/>
  <c r="AM71" i="83"/>
  <c r="BA71" i="83" s="1"/>
  <c r="AK71" i="83"/>
  <c r="AJ71" i="83"/>
  <c r="AI71" i="83"/>
  <c r="AH71" i="83"/>
  <c r="AG71" i="83"/>
  <c r="AF71" i="83"/>
  <c r="AE71" i="83"/>
  <c r="Q71" i="83"/>
  <c r="C71" i="83"/>
  <c r="BD70" i="83"/>
  <c r="BC70" i="83"/>
  <c r="BB70" i="83"/>
  <c r="AY70" i="83"/>
  <c r="AX70" i="83"/>
  <c r="AW70" i="83"/>
  <c r="AM70" i="83"/>
  <c r="AK70" i="83"/>
  <c r="AJ70" i="83"/>
  <c r="AI70" i="83"/>
  <c r="AH70" i="83"/>
  <c r="AG70" i="83"/>
  <c r="AF70" i="83"/>
  <c r="AE70" i="83"/>
  <c r="Q70" i="83"/>
  <c r="C70" i="83"/>
  <c r="BD69" i="83"/>
  <c r="BC69" i="83"/>
  <c r="BB69" i="83"/>
  <c r="AY69" i="83"/>
  <c r="AX69" i="83"/>
  <c r="AW69" i="83"/>
  <c r="AM69" i="83"/>
  <c r="AK69" i="83"/>
  <c r="AJ69" i="83"/>
  <c r="AI69" i="83"/>
  <c r="AH69" i="83"/>
  <c r="AG69" i="83"/>
  <c r="AF69" i="83"/>
  <c r="AE69" i="83"/>
  <c r="Y69" i="83"/>
  <c r="Z69" i="83" s="1"/>
  <c r="AP69" i="83" s="1"/>
  <c r="AQ69" i="83" s="1"/>
  <c r="BX69" i="83" s="1"/>
  <c r="Q69" i="83"/>
  <c r="C69" i="83"/>
  <c r="BD68" i="83"/>
  <c r="BC68" i="83"/>
  <c r="BP68" i="83" s="1"/>
  <c r="AY68" i="83"/>
  <c r="AX68" i="83"/>
  <c r="AW68" i="83"/>
  <c r="AK68" i="83"/>
  <c r="AJ68" i="83"/>
  <c r="AI68" i="83"/>
  <c r="AH68" i="83"/>
  <c r="AG68" i="83"/>
  <c r="AF68" i="83"/>
  <c r="AE68" i="83"/>
  <c r="Q68" i="83"/>
  <c r="C68" i="83"/>
  <c r="BD67" i="83"/>
  <c r="BC67" i="83"/>
  <c r="BB67" i="83"/>
  <c r="AY67" i="83"/>
  <c r="AX67" i="83"/>
  <c r="AW67" i="83"/>
  <c r="AM67" i="83"/>
  <c r="AK67" i="83"/>
  <c r="AJ67" i="83"/>
  <c r="AI67" i="83"/>
  <c r="AH67" i="83"/>
  <c r="AG67" i="83"/>
  <c r="AF67" i="83"/>
  <c r="AE67" i="83"/>
  <c r="Q67" i="83"/>
  <c r="C67" i="83"/>
  <c r="BD66" i="83"/>
  <c r="BC66" i="83"/>
  <c r="BP66" i="83"/>
  <c r="AY66" i="83"/>
  <c r="AX66" i="83"/>
  <c r="AW66" i="83"/>
  <c r="AM66" i="83"/>
  <c r="AK66" i="83"/>
  <c r="AJ66" i="83"/>
  <c r="AI66" i="83"/>
  <c r="AH66" i="83"/>
  <c r="AG66" i="83"/>
  <c r="AF66" i="83"/>
  <c r="AE66" i="83"/>
  <c r="Q66" i="83"/>
  <c r="C66" i="83"/>
  <c r="BD65" i="83"/>
  <c r="BC65" i="83"/>
  <c r="BB65" i="83"/>
  <c r="AY65" i="83"/>
  <c r="AX65" i="83"/>
  <c r="AW65" i="83"/>
  <c r="AM65" i="83"/>
  <c r="AK65" i="83"/>
  <c r="AJ65" i="83"/>
  <c r="AI65" i="83"/>
  <c r="AH65" i="83"/>
  <c r="AG65" i="83"/>
  <c r="AF65" i="83"/>
  <c r="AE65" i="83"/>
  <c r="Q65" i="83"/>
  <c r="C65" i="83"/>
  <c r="BD64" i="83"/>
  <c r="BC64" i="83"/>
  <c r="BB64" i="83"/>
  <c r="AY64" i="83"/>
  <c r="AX64" i="83"/>
  <c r="AW64" i="83"/>
  <c r="AM64" i="83"/>
  <c r="AK64" i="83"/>
  <c r="AJ64" i="83"/>
  <c r="AI64" i="83"/>
  <c r="AH64" i="83"/>
  <c r="AG64" i="83"/>
  <c r="AF64" i="83"/>
  <c r="AE64" i="83"/>
  <c r="Y64" i="83"/>
  <c r="Z64" i="83" s="1"/>
  <c r="AP64" i="83" s="1"/>
  <c r="AQ64" i="83" s="1"/>
  <c r="BX64" i="83" s="1"/>
  <c r="CA64" i="83" s="1"/>
  <c r="Q64" i="83"/>
  <c r="C64" i="83"/>
  <c r="BD63" i="83"/>
  <c r="BC63" i="83"/>
  <c r="AY63" i="83"/>
  <c r="AX63" i="83"/>
  <c r="AW63" i="83"/>
  <c r="AM63" i="83"/>
  <c r="AK63" i="83"/>
  <c r="AJ63" i="83"/>
  <c r="AI63" i="83"/>
  <c r="AH63" i="83"/>
  <c r="AG63" i="83"/>
  <c r="AF63" i="83"/>
  <c r="AE63" i="83"/>
  <c r="Q63" i="83"/>
  <c r="C63" i="83"/>
  <c r="BI62" i="83"/>
  <c r="BD62" i="83"/>
  <c r="BC62" i="83"/>
  <c r="BB62" i="83"/>
  <c r="AY62" i="83"/>
  <c r="AX62" i="83"/>
  <c r="AW62" i="83"/>
  <c r="AK62" i="83"/>
  <c r="AJ62" i="83"/>
  <c r="AI62" i="83"/>
  <c r="AH62" i="83"/>
  <c r="AG62" i="83"/>
  <c r="AF62" i="83"/>
  <c r="AE62" i="83"/>
  <c r="Q62" i="83"/>
  <c r="C62" i="83"/>
  <c r="BI61" i="83"/>
  <c r="BD61" i="83"/>
  <c r="BC61" i="83"/>
  <c r="BB61" i="83"/>
  <c r="AX61" i="83"/>
  <c r="AW61" i="83"/>
  <c r="AM61" i="83"/>
  <c r="BA61" i="83" s="1"/>
  <c r="AK61" i="83"/>
  <c r="AJ61" i="83"/>
  <c r="AI61" i="83"/>
  <c r="AH61" i="83"/>
  <c r="AG61" i="83"/>
  <c r="AF61" i="83"/>
  <c r="AE61" i="83"/>
  <c r="Y61" i="83"/>
  <c r="Z61" i="83" s="1"/>
  <c r="AP61" i="83" s="1"/>
  <c r="Q61" i="83"/>
  <c r="C61" i="83"/>
  <c r="BD60" i="83"/>
  <c r="BC60" i="83"/>
  <c r="BP60" i="83"/>
  <c r="AY60" i="83"/>
  <c r="AX60" i="83"/>
  <c r="AW60" i="83"/>
  <c r="AM60" i="83"/>
  <c r="AK60" i="83"/>
  <c r="AJ60" i="83"/>
  <c r="AI60" i="83"/>
  <c r="AH60" i="83"/>
  <c r="AG60" i="83"/>
  <c r="AF60" i="83"/>
  <c r="AE60" i="83"/>
  <c r="Y60" i="83"/>
  <c r="Z60" i="83" s="1"/>
  <c r="AP60" i="83" s="1"/>
  <c r="AQ60" i="83" s="1"/>
  <c r="BX60" i="83" s="1"/>
  <c r="Q60" i="83"/>
  <c r="C60" i="83"/>
  <c r="BD59" i="83"/>
  <c r="BC59" i="83"/>
  <c r="BB59" i="83" s="1"/>
  <c r="AM59" i="83"/>
  <c r="AK59" i="83"/>
  <c r="AJ59" i="83"/>
  <c r="AI59" i="83"/>
  <c r="AH59" i="83"/>
  <c r="AG59" i="83"/>
  <c r="AF59" i="83"/>
  <c r="AE59" i="83"/>
  <c r="Y59" i="83"/>
  <c r="Z59" i="83" s="1"/>
  <c r="AP59" i="83" s="1"/>
  <c r="AQ59" i="83" s="1"/>
  <c r="BX59" i="83" s="1"/>
  <c r="CA59" i="83" s="1"/>
  <c r="Q59" i="83"/>
  <c r="C59" i="83"/>
  <c r="BD58" i="83"/>
  <c r="BC58" i="83"/>
  <c r="BP58" i="83"/>
  <c r="AY58" i="83"/>
  <c r="AX58" i="83"/>
  <c r="AW58" i="83"/>
  <c r="AM58" i="83"/>
  <c r="AK58" i="83"/>
  <c r="AJ58" i="83"/>
  <c r="AI58" i="83"/>
  <c r="AH58" i="83"/>
  <c r="AG58" i="83"/>
  <c r="AF58" i="83"/>
  <c r="AE58" i="83"/>
  <c r="Q58" i="83"/>
  <c r="C58" i="83"/>
  <c r="BD57" i="83"/>
  <c r="BC57" i="83"/>
  <c r="BP57" i="83"/>
  <c r="AY57" i="83"/>
  <c r="AX57" i="83"/>
  <c r="AW57" i="83"/>
  <c r="AM57" i="83"/>
  <c r="AK57" i="83"/>
  <c r="AJ57" i="83"/>
  <c r="AI57" i="83"/>
  <c r="AH57" i="83"/>
  <c r="AG57" i="83"/>
  <c r="AF57" i="83"/>
  <c r="AE57" i="83"/>
  <c r="Q57" i="83"/>
  <c r="C57" i="83"/>
  <c r="BD56" i="83"/>
  <c r="BC56" i="83"/>
  <c r="BB56" i="83"/>
  <c r="AY56" i="83"/>
  <c r="AX56" i="83"/>
  <c r="AW56" i="83"/>
  <c r="AM56" i="83"/>
  <c r="AK56" i="83"/>
  <c r="AJ56" i="83"/>
  <c r="AI56" i="83"/>
  <c r="AH56" i="83"/>
  <c r="AG56" i="83"/>
  <c r="AF56" i="83"/>
  <c r="AE56" i="83"/>
  <c r="Q56" i="83"/>
  <c r="O56" i="83"/>
  <c r="C56" i="83"/>
  <c r="BD55" i="83"/>
  <c r="BC55" i="83"/>
  <c r="BP55" i="83"/>
  <c r="AY55" i="83"/>
  <c r="AX55" i="83"/>
  <c r="AW55" i="83"/>
  <c r="AM55" i="83"/>
  <c r="AK55" i="83"/>
  <c r="AJ55" i="83"/>
  <c r="AI55" i="83"/>
  <c r="AH55" i="83"/>
  <c r="AG55" i="83"/>
  <c r="AF55" i="83"/>
  <c r="AE55" i="83"/>
  <c r="Y55" i="83"/>
  <c r="Z55" i="83" s="1"/>
  <c r="AP55" i="83" s="1"/>
  <c r="AQ55" i="83" s="1"/>
  <c r="Q55" i="83"/>
  <c r="C55" i="83"/>
  <c r="BH54" i="83"/>
  <c r="BD54" i="83"/>
  <c r="BC54" i="83"/>
  <c r="BP54" i="83" s="1"/>
  <c r="AM54" i="83"/>
  <c r="AK54" i="83"/>
  <c r="AJ54" i="83"/>
  <c r="AI54" i="83"/>
  <c r="AH54" i="83"/>
  <c r="AG54" i="83"/>
  <c r="AF54" i="83"/>
  <c r="AE54" i="83"/>
  <c r="Y54" i="83"/>
  <c r="Z54" i="83" s="1"/>
  <c r="AP54" i="83" s="1"/>
  <c r="AQ54" i="83" s="1"/>
  <c r="BX54" i="83" s="1"/>
  <c r="Q54" i="83"/>
  <c r="C54" i="83"/>
  <c r="BD53" i="83"/>
  <c r="BC53" i="83"/>
  <c r="BB53" i="83"/>
  <c r="AY53" i="83"/>
  <c r="AX53" i="83"/>
  <c r="AW53" i="83"/>
  <c r="AM53" i="83"/>
  <c r="AK53" i="83"/>
  <c r="AJ53" i="83"/>
  <c r="AI53" i="83"/>
  <c r="AH53" i="83"/>
  <c r="AG53" i="83"/>
  <c r="AF53" i="83"/>
  <c r="AE53" i="83"/>
  <c r="Q53" i="83"/>
  <c r="C53" i="83"/>
  <c r="BD52" i="83"/>
  <c r="BC52" i="83"/>
  <c r="BB52" i="83"/>
  <c r="AY52" i="83"/>
  <c r="AX52" i="83"/>
  <c r="AW52" i="83"/>
  <c r="AM52" i="83"/>
  <c r="AK52" i="83"/>
  <c r="AJ52" i="83"/>
  <c r="AI52" i="83"/>
  <c r="AH52" i="83"/>
  <c r="AG52" i="83"/>
  <c r="AF52" i="83"/>
  <c r="AE52" i="83"/>
  <c r="Q52" i="83"/>
  <c r="C52" i="83"/>
  <c r="BI51" i="83"/>
  <c r="BD51" i="83"/>
  <c r="BC51" i="83"/>
  <c r="BP51" i="83" s="1"/>
  <c r="AX51" i="83"/>
  <c r="AW51" i="83"/>
  <c r="AM51" i="83"/>
  <c r="BA51" i="83"/>
  <c r="AK51" i="83"/>
  <c r="AJ51" i="83"/>
  <c r="AI51" i="83"/>
  <c r="AH51" i="83"/>
  <c r="AG51" i="83"/>
  <c r="AF51" i="83"/>
  <c r="AE51" i="83"/>
  <c r="Q51" i="83"/>
  <c r="C51" i="83"/>
  <c r="BD50" i="83"/>
  <c r="BC50" i="83"/>
  <c r="BP50" i="83" s="1"/>
  <c r="AY50" i="83"/>
  <c r="AX50" i="83"/>
  <c r="AW50" i="83"/>
  <c r="AM50" i="83"/>
  <c r="AK50" i="83"/>
  <c r="AJ50" i="83"/>
  <c r="AI50" i="83"/>
  <c r="AH50" i="83"/>
  <c r="AG50" i="83"/>
  <c r="AF50" i="83"/>
  <c r="AE50" i="83"/>
  <c r="Q50" i="83"/>
  <c r="C50" i="83"/>
  <c r="BD49" i="83"/>
  <c r="BC49" i="83"/>
  <c r="BP49" i="83" s="1"/>
  <c r="AY49" i="83"/>
  <c r="AX49" i="83"/>
  <c r="AW49" i="83"/>
  <c r="AM49" i="83"/>
  <c r="AK49" i="83"/>
  <c r="AJ49" i="83"/>
  <c r="AI49" i="83"/>
  <c r="AH49" i="83"/>
  <c r="AG49" i="83"/>
  <c r="AF49" i="83"/>
  <c r="AE49" i="83"/>
  <c r="Q49" i="83"/>
  <c r="C49" i="83"/>
  <c r="BD48" i="83"/>
  <c r="BC48" i="83"/>
  <c r="BB48" i="83" s="1"/>
  <c r="AY48" i="83"/>
  <c r="AX48" i="83"/>
  <c r="AW48" i="83"/>
  <c r="AP48" i="83"/>
  <c r="AQ48" i="83" s="1"/>
  <c r="BX48" i="83" s="1"/>
  <c r="AK48" i="83"/>
  <c r="AJ48" i="83"/>
  <c r="AI48" i="83"/>
  <c r="AH48" i="83"/>
  <c r="AG48" i="83"/>
  <c r="AF48" i="83"/>
  <c r="AE48" i="83"/>
  <c r="Y48" i="83"/>
  <c r="Q48" i="83"/>
  <c r="C48" i="83"/>
  <c r="BD47" i="83"/>
  <c r="BC47" i="83"/>
  <c r="BB47" i="83" s="1"/>
  <c r="AY47" i="83"/>
  <c r="AX47" i="83"/>
  <c r="AW47" i="83"/>
  <c r="AM47" i="83"/>
  <c r="AK47" i="83"/>
  <c r="AJ47" i="83"/>
  <c r="AI47" i="83"/>
  <c r="AH47" i="83"/>
  <c r="AG47" i="83"/>
  <c r="AF47" i="83"/>
  <c r="AE47" i="83"/>
  <c r="Q47" i="83"/>
  <c r="C47" i="83"/>
  <c r="BD46" i="83"/>
  <c r="BC46" i="83"/>
  <c r="BB46" i="83" s="1"/>
  <c r="AY46" i="83"/>
  <c r="AX46" i="83"/>
  <c r="AW46" i="83"/>
  <c r="AM46" i="83"/>
  <c r="AK46" i="83"/>
  <c r="AJ46" i="83"/>
  <c r="AI46" i="83"/>
  <c r="AH46" i="83"/>
  <c r="AG46" i="83"/>
  <c r="AF46" i="83"/>
  <c r="AE46" i="83"/>
  <c r="Q46" i="83"/>
  <c r="C46" i="83"/>
  <c r="BD45" i="83"/>
  <c r="BC45" i="83"/>
  <c r="BP45" i="83" s="1"/>
  <c r="AY45" i="83"/>
  <c r="AX45" i="83"/>
  <c r="AW45" i="83"/>
  <c r="AM45" i="83"/>
  <c r="AK45" i="83"/>
  <c r="AJ45" i="83"/>
  <c r="AI45" i="83"/>
  <c r="AH45" i="83"/>
  <c r="AG45" i="83"/>
  <c r="AF45" i="83"/>
  <c r="AE45" i="83"/>
  <c r="Q45" i="83"/>
  <c r="C45" i="83"/>
  <c r="BD44" i="83"/>
  <c r="BC44" i="83"/>
  <c r="BB44" i="83" s="1"/>
  <c r="AY44" i="83"/>
  <c r="AX44" i="83"/>
  <c r="AW44" i="83"/>
  <c r="AM44" i="83"/>
  <c r="AK44" i="83"/>
  <c r="AJ44" i="83"/>
  <c r="AI44" i="83"/>
  <c r="AH44" i="83"/>
  <c r="AG44" i="83"/>
  <c r="AF44" i="83"/>
  <c r="AE44" i="83"/>
  <c r="Y44" i="83"/>
  <c r="Z44" i="83" s="1"/>
  <c r="AP44" i="83" s="1"/>
  <c r="AQ44" i="83" s="1"/>
  <c r="BX44" i="83" s="1"/>
  <c r="Q44" i="83"/>
  <c r="O44" i="83"/>
  <c r="C44" i="83"/>
  <c r="BP43" i="83"/>
  <c r="AY43" i="83"/>
  <c r="AX43" i="83"/>
  <c r="AW43" i="83"/>
  <c r="AM43" i="83"/>
  <c r="AQ43" i="83" s="1"/>
  <c r="BX43" i="83" s="1"/>
  <c r="AK43" i="83"/>
  <c r="AJ43" i="83"/>
  <c r="AI43" i="83"/>
  <c r="AH43" i="83"/>
  <c r="AG43" i="83"/>
  <c r="AF43" i="83"/>
  <c r="AE43" i="83"/>
  <c r="Q43" i="83"/>
  <c r="C43" i="83"/>
  <c r="BK42" i="83"/>
  <c r="BO42" i="83"/>
  <c r="BJ42" i="83"/>
  <c r="BH42" i="83"/>
  <c r="BD42" i="83"/>
  <c r="BC42" i="83"/>
  <c r="BB42" i="83" s="1"/>
  <c r="AY42" i="83"/>
  <c r="AX42" i="83"/>
  <c r="AW42" i="83"/>
  <c r="AP42" i="83"/>
  <c r="AQ42" i="83"/>
  <c r="AK42" i="83"/>
  <c r="AJ42" i="83"/>
  <c r="AI42" i="83"/>
  <c r="AH42" i="83"/>
  <c r="AG42" i="83"/>
  <c r="AF42" i="83"/>
  <c r="AE42" i="83"/>
  <c r="Q42" i="83"/>
  <c r="C42" i="83"/>
  <c r="BK41" i="83"/>
  <c r="BO41" i="83" s="1"/>
  <c r="BJ41" i="83"/>
  <c r="BH41" i="83"/>
  <c r="BD41" i="83"/>
  <c r="BC41" i="83"/>
  <c r="BB41" i="83"/>
  <c r="AY41" i="83"/>
  <c r="AX41" i="83"/>
  <c r="AW41" i="83"/>
  <c r="AP41" i="83"/>
  <c r="AQ41" i="83" s="1"/>
  <c r="AK41" i="83"/>
  <c r="AJ41" i="83"/>
  <c r="AI41" i="83"/>
  <c r="AH41" i="83"/>
  <c r="AG41" i="83"/>
  <c r="AF41" i="83"/>
  <c r="AE41" i="83"/>
  <c r="Q41" i="83"/>
  <c r="C41" i="83"/>
  <c r="BJ40" i="83"/>
  <c r="BH40" i="83"/>
  <c r="BD40" i="83"/>
  <c r="BC40" i="83"/>
  <c r="BB40" i="83" s="1"/>
  <c r="AY40" i="83"/>
  <c r="AW40" i="83"/>
  <c r="AM40" i="83"/>
  <c r="BA40" i="83" s="1"/>
  <c r="AK40" i="83"/>
  <c r="AJ40" i="83"/>
  <c r="AI40" i="83"/>
  <c r="AH40" i="83"/>
  <c r="AG40" i="83"/>
  <c r="AF40" i="83"/>
  <c r="AE40" i="83"/>
  <c r="Q40" i="83"/>
  <c r="C40" i="83"/>
  <c r="BD39" i="83"/>
  <c r="BC39" i="83"/>
  <c r="BP39" i="83" s="1"/>
  <c r="AY39" i="83"/>
  <c r="AX39" i="83"/>
  <c r="AW39" i="83"/>
  <c r="AM39" i="83"/>
  <c r="AK39" i="83"/>
  <c r="AJ39" i="83"/>
  <c r="AI39" i="83"/>
  <c r="AH39" i="83"/>
  <c r="AG39" i="83"/>
  <c r="AF39" i="83"/>
  <c r="AE39" i="83"/>
  <c r="Q39" i="83"/>
  <c r="C39" i="83"/>
  <c r="BD38" i="83"/>
  <c r="BC38" i="83"/>
  <c r="BP38" i="83" s="1"/>
  <c r="AY38" i="83"/>
  <c r="AX38" i="83"/>
  <c r="AW38" i="83"/>
  <c r="AM38" i="83"/>
  <c r="AK38" i="83"/>
  <c r="AJ38" i="83"/>
  <c r="AI38" i="83"/>
  <c r="AH38" i="83"/>
  <c r="AG38" i="83"/>
  <c r="AF38" i="83"/>
  <c r="AE38" i="83"/>
  <c r="Q38" i="83"/>
  <c r="C38" i="83"/>
  <c r="BD37" i="83"/>
  <c r="BC37" i="83"/>
  <c r="BB37" i="83"/>
  <c r="AY37" i="83"/>
  <c r="AX37" i="83"/>
  <c r="AW37" i="83"/>
  <c r="AK37" i="83"/>
  <c r="AJ37" i="83"/>
  <c r="AI37" i="83"/>
  <c r="AH37" i="83"/>
  <c r="AG37" i="83"/>
  <c r="AF37" i="83"/>
  <c r="AE37" i="83"/>
  <c r="Q37" i="83"/>
  <c r="C37" i="83"/>
  <c r="BC36" i="83"/>
  <c r="BB36" i="83"/>
  <c r="AY36" i="83"/>
  <c r="AX36" i="83"/>
  <c r="AW36" i="83"/>
  <c r="AM36" i="83"/>
  <c r="AK36" i="83"/>
  <c r="AJ36" i="83"/>
  <c r="AI36" i="83"/>
  <c r="AH36" i="83"/>
  <c r="AG36" i="83"/>
  <c r="AF36" i="83"/>
  <c r="AE36" i="83"/>
  <c r="Q36" i="83"/>
  <c r="C36" i="83"/>
  <c r="BD35" i="83"/>
  <c r="BC35" i="83"/>
  <c r="BB35" i="83"/>
  <c r="AY35" i="83"/>
  <c r="AX35" i="83"/>
  <c r="AW35" i="83"/>
  <c r="AM35" i="83"/>
  <c r="AK35" i="83"/>
  <c r="AJ35" i="83"/>
  <c r="AI35" i="83"/>
  <c r="AH35" i="83"/>
  <c r="AG35" i="83"/>
  <c r="AF35" i="83"/>
  <c r="AE35" i="83"/>
  <c r="Q35" i="83"/>
  <c r="C35" i="83"/>
  <c r="BJ34" i="83"/>
  <c r="BH34" i="83"/>
  <c r="BD34" i="83"/>
  <c r="BC34" i="83"/>
  <c r="BB34" i="83"/>
  <c r="AY34" i="83"/>
  <c r="AW34" i="83"/>
  <c r="AM34" i="83"/>
  <c r="BK34" i="83" s="1"/>
  <c r="BO34" i="83" s="1"/>
  <c r="AK34" i="83"/>
  <c r="AJ34" i="83"/>
  <c r="AI34" i="83"/>
  <c r="AH34" i="83"/>
  <c r="AG34" i="83"/>
  <c r="AF34" i="83"/>
  <c r="AE34" i="83"/>
  <c r="Y34" i="83"/>
  <c r="Z34" i="83" s="1"/>
  <c r="AP34" i="83" s="1"/>
  <c r="Q34" i="83"/>
  <c r="C34" i="83"/>
  <c r="BD33" i="83"/>
  <c r="BC33" i="83"/>
  <c r="BB33" i="83" s="1"/>
  <c r="AM33" i="83"/>
  <c r="AK33" i="83"/>
  <c r="AJ33" i="83"/>
  <c r="AI33" i="83"/>
  <c r="AH33" i="83"/>
  <c r="AG33" i="83"/>
  <c r="AF33" i="83"/>
  <c r="AE33" i="83"/>
  <c r="Q33" i="83"/>
  <c r="C33" i="83"/>
  <c r="BD32" i="83"/>
  <c r="BC32" i="83"/>
  <c r="BB32" i="83" s="1"/>
  <c r="AY32" i="83"/>
  <c r="AX32" i="83"/>
  <c r="AW32" i="83"/>
  <c r="AM32" i="83"/>
  <c r="AK32" i="83"/>
  <c r="AJ32" i="83"/>
  <c r="AI32" i="83"/>
  <c r="AH32" i="83"/>
  <c r="AG32" i="83"/>
  <c r="AF32" i="83"/>
  <c r="AE32" i="83"/>
  <c r="Q32" i="83"/>
  <c r="C32" i="83"/>
  <c r="BD31" i="83"/>
  <c r="BC31" i="83"/>
  <c r="BB31" i="83" s="1"/>
  <c r="AY31" i="83"/>
  <c r="AX31" i="83"/>
  <c r="AW31" i="83"/>
  <c r="AM31" i="83"/>
  <c r="AK31" i="83"/>
  <c r="AJ31" i="83"/>
  <c r="AI31" i="83"/>
  <c r="AH31" i="83"/>
  <c r="AG31" i="83"/>
  <c r="AF31" i="83"/>
  <c r="AE31" i="83"/>
  <c r="Q31" i="83"/>
  <c r="C31" i="83"/>
  <c r="BJ30" i="83"/>
  <c r="BC30" i="83"/>
  <c r="BB30" i="83" s="1"/>
  <c r="AY30" i="83"/>
  <c r="AX30" i="83"/>
  <c r="AW30" i="83"/>
  <c r="AM30" i="83"/>
  <c r="BK30" i="83" s="1"/>
  <c r="BO30" i="83" s="1"/>
  <c r="AK30" i="83"/>
  <c r="AJ30" i="83"/>
  <c r="AI30" i="83"/>
  <c r="AH30" i="83"/>
  <c r="AG30" i="83"/>
  <c r="AF30" i="83"/>
  <c r="AE30" i="83"/>
  <c r="Q30" i="83"/>
  <c r="C30" i="83"/>
  <c r="BD29" i="83"/>
  <c r="BC29" i="83"/>
  <c r="BB29" i="83" s="1"/>
  <c r="AY29" i="83"/>
  <c r="AX29" i="83"/>
  <c r="AW29" i="83"/>
  <c r="AM29" i="83"/>
  <c r="AK29" i="83"/>
  <c r="AJ29" i="83"/>
  <c r="AI29" i="83"/>
  <c r="AH29" i="83"/>
  <c r="AG29" i="83"/>
  <c r="AF29" i="83"/>
  <c r="AE29" i="83"/>
  <c r="Q29" i="83"/>
  <c r="C29" i="83"/>
  <c r="BD28" i="83"/>
  <c r="BC28" i="83"/>
  <c r="BB28" i="83" s="1"/>
  <c r="AY28" i="83"/>
  <c r="AX28" i="83"/>
  <c r="AW28" i="83"/>
  <c r="AM28" i="83"/>
  <c r="AK28" i="83"/>
  <c r="AJ28" i="83"/>
  <c r="AI28" i="83"/>
  <c r="AH28" i="83"/>
  <c r="AG28" i="83"/>
  <c r="AF28" i="83"/>
  <c r="AE28" i="83"/>
  <c r="Q28" i="83"/>
  <c r="C28" i="83"/>
  <c r="BD27" i="83"/>
  <c r="BC27" i="83"/>
  <c r="BP27" i="83" s="1"/>
  <c r="AY27" i="83"/>
  <c r="AX27" i="83"/>
  <c r="AW27" i="83"/>
  <c r="AK27" i="83"/>
  <c r="AJ27" i="83"/>
  <c r="AI27" i="83"/>
  <c r="AH27" i="83"/>
  <c r="AG27" i="83"/>
  <c r="AF27" i="83"/>
  <c r="AE27" i="83"/>
  <c r="Q27" i="83"/>
  <c r="C27" i="83"/>
  <c r="BD26" i="83"/>
  <c r="BC26" i="83"/>
  <c r="BB26" i="83" s="1"/>
  <c r="AY26" i="83"/>
  <c r="AX26" i="83"/>
  <c r="AW26" i="83"/>
  <c r="AM26" i="83"/>
  <c r="AK26" i="83"/>
  <c r="AJ26" i="83"/>
  <c r="AI26" i="83"/>
  <c r="AH26" i="83"/>
  <c r="AG26" i="83"/>
  <c r="AF26" i="83"/>
  <c r="AE26" i="83"/>
  <c r="Y26" i="83"/>
  <c r="Z26" i="83" s="1"/>
  <c r="AP26" i="83" s="1"/>
  <c r="AQ26" i="83" s="1"/>
  <c r="BX26" i="83" s="1"/>
  <c r="Q26" i="83"/>
  <c r="C26" i="83"/>
  <c r="BD25" i="83"/>
  <c r="BC25" i="83"/>
  <c r="BP25" i="83" s="1"/>
  <c r="AY25" i="83"/>
  <c r="AX25" i="83"/>
  <c r="AW25" i="83"/>
  <c r="AM25" i="83"/>
  <c r="AK25" i="83"/>
  <c r="AJ25" i="83"/>
  <c r="AI25" i="83"/>
  <c r="AH25" i="83"/>
  <c r="AG25" i="83"/>
  <c r="AF25" i="83"/>
  <c r="AE25" i="83"/>
  <c r="Q25" i="83"/>
  <c r="C25" i="83"/>
  <c r="BJ24" i="83"/>
  <c r="BH24" i="83"/>
  <c r="BD24" i="83" s="1"/>
  <c r="BC24" i="83"/>
  <c r="BB24" i="83"/>
  <c r="AY24" i="83"/>
  <c r="AW24" i="83"/>
  <c r="AM24" i="83"/>
  <c r="BK24" i="83" s="1"/>
  <c r="BO24" i="83" s="1"/>
  <c r="BP24" i="83" s="1"/>
  <c r="AK24" i="83"/>
  <c r="AJ24" i="83"/>
  <c r="AI24" i="83"/>
  <c r="AH24" i="83"/>
  <c r="AG24" i="83"/>
  <c r="AF24" i="83"/>
  <c r="AE24" i="83"/>
  <c r="Q24" i="83"/>
  <c r="C24" i="83"/>
  <c r="BD23" i="83"/>
  <c r="BC23" i="83"/>
  <c r="BP23" i="83" s="1"/>
  <c r="AY23" i="83"/>
  <c r="AX23" i="83"/>
  <c r="AW23" i="83"/>
  <c r="AK23" i="83"/>
  <c r="AJ23" i="83"/>
  <c r="AI23" i="83"/>
  <c r="AH23" i="83"/>
  <c r="AG23" i="83"/>
  <c r="AF23" i="83"/>
  <c r="AE23" i="83"/>
  <c r="Y23" i="83"/>
  <c r="Z23" i="83" s="1"/>
  <c r="AP23" i="83" s="1"/>
  <c r="AQ23" i="83" s="1"/>
  <c r="Q23" i="83"/>
  <c r="C23" i="83"/>
  <c r="BO22" i="83"/>
  <c r="BC22" i="83"/>
  <c r="BP22" i="83" s="1"/>
  <c r="AY22" i="83"/>
  <c r="AX22" i="83"/>
  <c r="AW22" i="83"/>
  <c r="AM22" i="83"/>
  <c r="AK22" i="83"/>
  <c r="AJ22" i="83"/>
  <c r="AI22" i="83"/>
  <c r="AH22" i="83"/>
  <c r="AG22" i="83"/>
  <c r="AF22" i="83"/>
  <c r="AE22" i="83"/>
  <c r="Q22" i="83"/>
  <c r="C22" i="83"/>
  <c r="BJ21" i="83"/>
  <c r="BC21" i="83"/>
  <c r="BB21" i="83"/>
  <c r="AY21" i="83"/>
  <c r="AX21" i="83"/>
  <c r="AW21" i="83"/>
  <c r="AM21" i="83"/>
  <c r="BK21" i="83" s="1"/>
  <c r="BO21" i="83" s="1"/>
  <c r="BP21" i="83" s="1"/>
  <c r="AK21" i="83"/>
  <c r="AJ21" i="83"/>
  <c r="AI21" i="83"/>
  <c r="AH21" i="83"/>
  <c r="AG21" i="83"/>
  <c r="AF21" i="83"/>
  <c r="AE21" i="83"/>
  <c r="Q21" i="83"/>
  <c r="C21" i="83"/>
  <c r="BJ20" i="83"/>
  <c r="BH20" i="83"/>
  <c r="BD20" i="83"/>
  <c r="BC20" i="83"/>
  <c r="BB20" i="83" s="1"/>
  <c r="AY20" i="83"/>
  <c r="AW20" i="83"/>
  <c r="AM20" i="83"/>
  <c r="BK20" i="83"/>
  <c r="BO20" i="83" s="1"/>
  <c r="AK20" i="83"/>
  <c r="AJ20" i="83"/>
  <c r="AI20" i="83"/>
  <c r="AH20" i="83"/>
  <c r="AG20" i="83"/>
  <c r="AF20" i="83"/>
  <c r="AE20" i="83"/>
  <c r="Q20" i="83"/>
  <c r="C20" i="83"/>
  <c r="BD19" i="83"/>
  <c r="BC19" i="83"/>
  <c r="BP19" i="83" s="1"/>
  <c r="AY19" i="83"/>
  <c r="AX19" i="83"/>
  <c r="AW19" i="83"/>
  <c r="AM19" i="83"/>
  <c r="AK19" i="83"/>
  <c r="AJ19" i="83"/>
  <c r="AI19" i="83"/>
  <c r="AH19" i="83"/>
  <c r="AG19" i="83"/>
  <c r="AF19" i="83"/>
  <c r="AE19" i="83"/>
  <c r="Y19" i="83"/>
  <c r="Z19" i="83" s="1"/>
  <c r="AP19" i="83" s="1"/>
  <c r="AQ19" i="83" s="1"/>
  <c r="BX19" i="83" s="1"/>
  <c r="Q19" i="83"/>
  <c r="C19" i="83"/>
  <c r="BD18" i="83"/>
  <c r="BC18" i="83"/>
  <c r="BP18" i="83" s="1"/>
  <c r="AY18" i="83"/>
  <c r="AX18" i="83"/>
  <c r="AW18" i="83"/>
  <c r="AM18" i="83"/>
  <c r="AK18" i="83"/>
  <c r="AJ18" i="83"/>
  <c r="AI18" i="83"/>
  <c r="AH18" i="83"/>
  <c r="AG18" i="83"/>
  <c r="AF18" i="83"/>
  <c r="AE18" i="83"/>
  <c r="Q18" i="83"/>
  <c r="C18" i="83"/>
  <c r="BD17" i="83"/>
  <c r="BC17" i="83"/>
  <c r="BP17" i="83" s="1"/>
  <c r="AY17" i="83"/>
  <c r="AX17" i="83"/>
  <c r="AW17" i="83"/>
  <c r="AM17" i="83"/>
  <c r="AK17" i="83"/>
  <c r="AJ17" i="83"/>
  <c r="AI17" i="83"/>
  <c r="AH17" i="83"/>
  <c r="AG17" i="83"/>
  <c r="AF17" i="83"/>
  <c r="AE17" i="83"/>
  <c r="Y17" i="83"/>
  <c r="Z17" i="83" s="1"/>
  <c r="AP17" i="83" s="1"/>
  <c r="AQ17" i="83" s="1"/>
  <c r="BX17" i="83" s="1"/>
  <c r="Q17" i="83"/>
  <c r="C17" i="83"/>
  <c r="BD16" i="83"/>
  <c r="BC16" i="83"/>
  <c r="BB16" i="83" s="1"/>
  <c r="AY16" i="83"/>
  <c r="AX16" i="83"/>
  <c r="AW16" i="83"/>
  <c r="AM16" i="83"/>
  <c r="AK16" i="83"/>
  <c r="AJ16" i="83"/>
  <c r="AI16" i="83"/>
  <c r="AH16" i="83"/>
  <c r="AG16" i="83"/>
  <c r="AF16" i="83"/>
  <c r="AE16" i="83"/>
  <c r="Q16" i="83"/>
  <c r="O16" i="83"/>
  <c r="C16" i="83"/>
  <c r="BD15" i="83"/>
  <c r="BC15" i="83"/>
  <c r="BB15" i="83"/>
  <c r="AY15" i="83"/>
  <c r="AX15" i="83"/>
  <c r="AW15" i="83"/>
  <c r="AM15" i="83"/>
  <c r="AK15" i="83"/>
  <c r="AJ15" i="83"/>
  <c r="AI15" i="83"/>
  <c r="AH15" i="83"/>
  <c r="AG15" i="83"/>
  <c r="AF15" i="83"/>
  <c r="AE15" i="83"/>
  <c r="Q15" i="83"/>
  <c r="C15" i="83"/>
  <c r="BD14" i="83"/>
  <c r="BC14" i="83"/>
  <c r="BB14" i="83"/>
  <c r="AY14" i="83"/>
  <c r="AX14" i="83"/>
  <c r="AW14" i="83"/>
  <c r="AM14" i="83"/>
  <c r="AK14" i="83"/>
  <c r="AJ14" i="83"/>
  <c r="AI14" i="83"/>
  <c r="AH14" i="83"/>
  <c r="AG14" i="83"/>
  <c r="AF14" i="83"/>
  <c r="AE14" i="83"/>
  <c r="Q14" i="83"/>
  <c r="C14" i="83"/>
  <c r="BJ13" i="83"/>
  <c r="BH13" i="83"/>
  <c r="BD13" i="83"/>
  <c r="BC13" i="83"/>
  <c r="BB13" i="83"/>
  <c r="AY13" i="83"/>
  <c r="AW13" i="83"/>
  <c r="AM13" i="83"/>
  <c r="BK13" i="83" s="1"/>
  <c r="BO13" i="83" s="1"/>
  <c r="AK13" i="83"/>
  <c r="AJ13" i="83"/>
  <c r="AI13" i="83"/>
  <c r="AH13" i="83"/>
  <c r="AG13" i="83"/>
  <c r="AF13" i="83"/>
  <c r="AE13" i="83"/>
  <c r="Q13" i="83"/>
  <c r="C13" i="83"/>
  <c r="BD12" i="83"/>
  <c r="BC12" i="83"/>
  <c r="BP12" i="83"/>
  <c r="AY12" i="83"/>
  <c r="AX12" i="83"/>
  <c r="AW12" i="83"/>
  <c r="AM12" i="83"/>
  <c r="AK12" i="83"/>
  <c r="AJ12" i="83"/>
  <c r="AI12" i="83"/>
  <c r="AH12" i="83"/>
  <c r="AG12" i="83"/>
  <c r="AF12" i="83"/>
  <c r="AE12" i="83"/>
  <c r="Q12" i="83"/>
  <c r="C12" i="83"/>
  <c r="BD11" i="83"/>
  <c r="BC11" i="83"/>
  <c r="BP11" i="83"/>
  <c r="AY11" i="83"/>
  <c r="AX11" i="83"/>
  <c r="AW11" i="83"/>
  <c r="AM11" i="83"/>
  <c r="AK11" i="83"/>
  <c r="AJ11" i="83"/>
  <c r="AI11" i="83"/>
  <c r="AH11" i="83"/>
  <c r="AG11" i="83"/>
  <c r="AF11" i="83"/>
  <c r="AE11" i="83"/>
  <c r="Q11" i="83"/>
  <c r="C11" i="83"/>
  <c r="BD10" i="83"/>
  <c r="BC10" i="83"/>
  <c r="BB10" i="83"/>
  <c r="AY10" i="83"/>
  <c r="AX10" i="83"/>
  <c r="AW10" i="83"/>
  <c r="AM10" i="83"/>
  <c r="AK10" i="83"/>
  <c r="AJ10" i="83"/>
  <c r="AI10" i="83"/>
  <c r="AH10" i="83"/>
  <c r="AG10" i="83"/>
  <c r="AF10" i="83"/>
  <c r="AE10" i="83"/>
  <c r="Y10" i="83"/>
  <c r="Z10" i="83" s="1"/>
  <c r="AP10" i="83" s="1"/>
  <c r="AQ10" i="83" s="1"/>
  <c r="BX10" i="83" s="1"/>
  <c r="CA10" i="83" s="1"/>
  <c r="Q10" i="83"/>
  <c r="C10" i="83"/>
  <c r="BD9" i="83"/>
  <c r="BC9" i="83"/>
  <c r="BB9" i="83" s="1"/>
  <c r="AY9" i="83"/>
  <c r="AX9" i="83"/>
  <c r="AW9" i="83"/>
  <c r="AM9" i="83"/>
  <c r="AK9" i="83"/>
  <c r="AJ9" i="83"/>
  <c r="AI9" i="83"/>
  <c r="AH9" i="83"/>
  <c r="AG9" i="83"/>
  <c r="AF9" i="83"/>
  <c r="AE9" i="83"/>
  <c r="Q9" i="83"/>
  <c r="C9" i="83"/>
  <c r="BJ8" i="83"/>
  <c r="BH8" i="83"/>
  <c r="BD8" i="83" s="1"/>
  <c r="BC8" i="83"/>
  <c r="BB8" i="83" s="1"/>
  <c r="AY8" i="83"/>
  <c r="AW8" i="83"/>
  <c r="AM8" i="83"/>
  <c r="BK8" i="83"/>
  <c r="AK8" i="83"/>
  <c r="AJ8" i="83"/>
  <c r="AI8" i="83"/>
  <c r="AH8" i="83"/>
  <c r="AG8" i="83"/>
  <c r="AF8" i="83"/>
  <c r="AE8" i="83"/>
  <c r="Y8" i="83"/>
  <c r="Z8" i="83" s="1"/>
  <c r="AP8" i="83" s="1"/>
  <c r="AQ8" i="83" s="1"/>
  <c r="Q8" i="83"/>
  <c r="C8" i="83"/>
  <c r="BO7" i="83"/>
  <c r="BD7" i="83"/>
  <c r="BC7" i="83"/>
  <c r="BB7" i="83"/>
  <c r="AY7" i="83"/>
  <c r="AX7" i="83"/>
  <c r="AW7" i="83"/>
  <c r="AM7" i="83"/>
  <c r="AK7" i="83"/>
  <c r="AJ7" i="83"/>
  <c r="AI7" i="83"/>
  <c r="AH7" i="83"/>
  <c r="AG7" i="83"/>
  <c r="AF7" i="83"/>
  <c r="AE7" i="83"/>
  <c r="Y7" i="83"/>
  <c r="Z7" i="83" s="1"/>
  <c r="AP7" i="83" s="1"/>
  <c r="AQ7" i="83" s="1"/>
  <c r="BX7" i="83" s="1"/>
  <c r="Q7" i="83"/>
  <c r="O7" i="83"/>
  <c r="C7" i="83"/>
  <c r="BO6" i="83"/>
  <c r="BP6" i="83" s="1"/>
  <c r="BD6" i="83"/>
  <c r="BC6" i="83"/>
  <c r="BB6" i="83"/>
  <c r="AY6" i="83"/>
  <c r="AX6" i="83"/>
  <c r="AW6" i="83"/>
  <c r="AM6" i="83"/>
  <c r="AK6" i="83"/>
  <c r="AJ6" i="83"/>
  <c r="AI6" i="83"/>
  <c r="AH6" i="83"/>
  <c r="AG6" i="83"/>
  <c r="AF6" i="83"/>
  <c r="AE6" i="83"/>
  <c r="Q6" i="83"/>
  <c r="C6" i="83"/>
  <c r="BO5" i="83"/>
  <c r="BD5" i="83"/>
  <c r="BC5" i="83"/>
  <c r="BB5" i="83" s="1"/>
  <c r="AY5" i="83"/>
  <c r="AX5" i="83"/>
  <c r="AW5" i="83"/>
  <c r="AM5" i="83"/>
  <c r="AK5" i="83"/>
  <c r="AJ5" i="83"/>
  <c r="AI5" i="83"/>
  <c r="AH5" i="83"/>
  <c r="AG5" i="83"/>
  <c r="AF5" i="83"/>
  <c r="AE5" i="83"/>
  <c r="Q5" i="83"/>
  <c r="O5" i="83"/>
  <c r="C5" i="83"/>
  <c r="BO4" i="83"/>
  <c r="BD4" i="83"/>
  <c r="BC4" i="83"/>
  <c r="BB4" i="83" s="1"/>
  <c r="AY4" i="83"/>
  <c r="AX4" i="83"/>
  <c r="AW4" i="83"/>
  <c r="AM4" i="83"/>
  <c r="AK4" i="83"/>
  <c r="AJ4" i="83"/>
  <c r="AI4" i="83"/>
  <c r="AH4" i="83"/>
  <c r="AG4" i="83"/>
  <c r="AF4" i="83"/>
  <c r="AE4" i="83"/>
  <c r="Q4" i="83"/>
  <c r="O4" i="83"/>
  <c r="C4" i="83"/>
  <c r="BO3" i="83"/>
  <c r="BC3" i="83"/>
  <c r="BB3" i="83" s="1"/>
  <c r="AM3" i="83"/>
  <c r="AK3" i="83"/>
  <c r="AJ3" i="83"/>
  <c r="AI3" i="83"/>
  <c r="AH3" i="83"/>
  <c r="AG3" i="83"/>
  <c r="AF3" i="83"/>
  <c r="AE3" i="83"/>
  <c r="Q3" i="83"/>
  <c r="BO2" i="83"/>
  <c r="BC2" i="83"/>
  <c r="BB2" i="83"/>
  <c r="AM2" i="83"/>
  <c r="AK2" i="83"/>
  <c r="AJ2" i="83"/>
  <c r="AI2" i="83"/>
  <c r="AH2" i="83"/>
  <c r="AG2" i="83"/>
  <c r="AF2" i="83"/>
  <c r="AE2" i="83"/>
  <c r="Q2" i="83"/>
  <c r="Y340" i="83"/>
  <c r="Z340" i="83" s="1"/>
  <c r="AP340" i="83" s="1"/>
  <c r="AQ340" i="83" s="1"/>
  <c r="BX340" i="83" s="1"/>
  <c r="Y825" i="83"/>
  <c r="Z825" i="83" s="1"/>
  <c r="AP825" i="83" s="1"/>
  <c r="AQ825" i="83" s="1"/>
  <c r="BX825" i="83" s="1"/>
  <c r="CA825" i="83" s="1"/>
  <c r="Y788" i="83"/>
  <c r="Z788" i="83" s="1"/>
  <c r="AP788" i="83" s="1"/>
  <c r="AQ788" i="83" s="1"/>
  <c r="BX788" i="83" s="1"/>
  <c r="BZ788" i="83" s="1"/>
  <c r="Y794" i="83"/>
  <c r="Z794" i="83" s="1"/>
  <c r="AP794" i="83" s="1"/>
  <c r="AQ794" i="83" s="1"/>
  <c r="BX794" i="83" s="1"/>
  <c r="CA794" i="83" s="1"/>
  <c r="Y843" i="83"/>
  <c r="Z843" i="83" s="1"/>
  <c r="AP843" i="83" s="1"/>
  <c r="AQ843" i="83" s="1"/>
  <c r="BX843" i="83" s="1"/>
  <c r="CA843" i="83" s="1"/>
  <c r="BP683" i="83"/>
  <c r="Y720" i="83"/>
  <c r="Z720" i="83" s="1"/>
  <c r="AP720" i="83" s="1"/>
  <c r="AQ720" i="83" s="1"/>
  <c r="BX720" i="83" s="1"/>
  <c r="CA720" i="83" s="1"/>
  <c r="Y761" i="83"/>
  <c r="Z761" i="83" s="1"/>
  <c r="AP761" i="83" s="1"/>
  <c r="AQ761" i="83" s="1"/>
  <c r="BX761" i="83" s="1"/>
  <c r="BB819" i="83"/>
  <c r="BB493" i="83"/>
  <c r="BB259" i="83"/>
  <c r="BB527" i="83"/>
  <c r="BP584" i="83"/>
  <c r="Z612" i="83"/>
  <c r="AP612" i="83" s="1"/>
  <c r="AQ612" i="83" s="1"/>
  <c r="BX612" i="83" s="1"/>
  <c r="BZ612" i="83" s="1"/>
  <c r="Z734" i="83"/>
  <c r="AP734" i="83" s="1"/>
  <c r="AQ734" i="83" s="1"/>
  <c r="BX734" i="83" s="1"/>
  <c r="Y853" i="83"/>
  <c r="Z853" i="83" s="1"/>
  <c r="AP853" i="83" s="1"/>
  <c r="AQ853" i="83" s="1"/>
  <c r="BX853" i="83" s="1"/>
  <c r="BP864" i="83"/>
  <c r="BP533" i="83"/>
  <c r="BB680" i="83"/>
  <c r="BP732" i="83"/>
  <c r="BB742" i="83"/>
  <c r="BP430" i="83"/>
  <c r="Y516" i="83"/>
  <c r="Z516" i="83" s="1"/>
  <c r="AP516" i="83" s="1"/>
  <c r="AQ516" i="83" s="1"/>
  <c r="BX516" i="83" s="1"/>
  <c r="CA516" i="83" s="1"/>
  <c r="BP743" i="83"/>
  <c r="BB137" i="83"/>
  <c r="BP370" i="83"/>
  <c r="BP378" i="83"/>
  <c r="BB200" i="83"/>
  <c r="BP521" i="83"/>
  <c r="Y658" i="83"/>
  <c r="Z658" i="83" s="1"/>
  <c r="AP658" i="83" s="1"/>
  <c r="AQ658" i="83" s="1"/>
  <c r="BX658" i="83" s="1"/>
  <c r="CA658" i="83" s="1"/>
  <c r="BP705" i="83"/>
  <c r="BB615" i="83"/>
  <c r="Y826" i="83"/>
  <c r="Z826" i="83" s="1"/>
  <c r="AP826" i="83" s="1"/>
  <c r="AQ826" i="83" s="1"/>
  <c r="BX826" i="83" s="1"/>
  <c r="BB19" i="83"/>
  <c r="BB170" i="83"/>
  <c r="BX319" i="83"/>
  <c r="CA319" i="83"/>
  <c r="Y600" i="83"/>
  <c r="Z600" i="83" s="1"/>
  <c r="AP600" i="83" s="1"/>
  <c r="AQ600" i="83" s="1"/>
  <c r="BB622" i="83"/>
  <c r="BB211" i="83"/>
  <c r="BB284" i="83"/>
  <c r="BX438" i="83"/>
  <c r="CA438" i="83" s="1"/>
  <c r="AQ455" i="83"/>
  <c r="BX455" i="83"/>
  <c r="CA455" i="83"/>
  <c r="Y506" i="83"/>
  <c r="Z506" i="83" s="1"/>
  <c r="AP506" i="83" s="1"/>
  <c r="AQ506" i="83" s="1"/>
  <c r="BX506" i="83" s="1"/>
  <c r="BB531" i="83"/>
  <c r="BB553" i="83"/>
  <c r="Y772" i="83"/>
  <c r="Z772" i="83" s="1"/>
  <c r="AP772" i="83" s="1"/>
  <c r="AQ772" i="83" s="1"/>
  <c r="BX772" i="83" s="1"/>
  <c r="CA772" i="83" s="1"/>
  <c r="BP846" i="83"/>
  <c r="BP135" i="83"/>
  <c r="BP177" i="83"/>
  <c r="Y512" i="83"/>
  <c r="Z512" i="83" s="1"/>
  <c r="AP512" i="83" s="1"/>
  <c r="AQ512" i="83" s="1"/>
  <c r="BX512" i="83" s="1"/>
  <c r="CA512" i="83" s="1"/>
  <c r="BP752" i="83"/>
  <c r="BP303" i="83"/>
  <c r="BP629" i="83"/>
  <c r="Y819" i="83"/>
  <c r="Z819" i="83" s="1"/>
  <c r="AP819" i="83" s="1"/>
  <c r="AQ819" i="83" s="1"/>
  <c r="BX819" i="83" s="1"/>
  <c r="BZ819" i="83" s="1"/>
  <c r="BB350" i="83"/>
  <c r="Y582" i="83"/>
  <c r="Z582" i="83" s="1"/>
  <c r="AP582" i="83" s="1"/>
  <c r="AQ582" i="83" s="1"/>
  <c r="BX582" i="83" s="1"/>
  <c r="CA582" i="83" s="1"/>
  <c r="BB585" i="83"/>
  <c r="BP651" i="83"/>
  <c r="BP312" i="83"/>
  <c r="BP843" i="83"/>
  <c r="BB233" i="83"/>
  <c r="BX248" i="83"/>
  <c r="BB257" i="83"/>
  <c r="BB568" i="83"/>
  <c r="BB609" i="83"/>
  <c r="BP652" i="83"/>
  <c r="BP707" i="83"/>
  <c r="BB733" i="83"/>
  <c r="Y833" i="83"/>
  <c r="Z833" i="83" s="1"/>
  <c r="AP833" i="83" s="1"/>
  <c r="AQ833" i="83" s="1"/>
  <c r="BX833" i="83" s="1"/>
  <c r="CA833" i="83" s="1"/>
  <c r="BB396" i="83"/>
  <c r="BB550" i="83"/>
  <c r="Y554" i="83"/>
  <c r="Z554" i="83" s="1"/>
  <c r="AP554" i="83" s="1"/>
  <c r="AQ554" i="83" s="1"/>
  <c r="BX554" i="83" s="1"/>
  <c r="BB654" i="83"/>
  <c r="BP660" i="83"/>
  <c r="Y674" i="83"/>
  <c r="Z674" i="83" s="1"/>
  <c r="AP674" i="83" s="1"/>
  <c r="AQ674" i="83" s="1"/>
  <c r="BX674" i="83" s="1"/>
  <c r="CA674" i="83" s="1"/>
  <c r="BP754" i="83"/>
  <c r="BP758" i="83"/>
  <c r="BP872" i="83"/>
  <c r="BP356" i="83"/>
  <c r="BP392" i="83"/>
  <c r="BP481" i="83"/>
  <c r="BP158" i="83"/>
  <c r="BP186" i="83"/>
  <c r="Y362" i="83"/>
  <c r="Z362" i="83" s="1"/>
  <c r="AP362" i="83" s="1"/>
  <c r="AQ362" i="83" s="1"/>
  <c r="BX362" i="83" s="1"/>
  <c r="CA362" i="83" s="1"/>
  <c r="BX425" i="83"/>
  <c r="CA431" i="83"/>
  <c r="BX444" i="83"/>
  <c r="Y513" i="83"/>
  <c r="Z513" i="83" s="1"/>
  <c r="AP513" i="83" s="1"/>
  <c r="AQ513" i="83" s="1"/>
  <c r="BX513" i="83" s="1"/>
  <c r="CA513" i="83" s="1"/>
  <c r="Z549" i="83"/>
  <c r="AP549" i="83" s="1"/>
  <c r="AQ549" i="83" s="1"/>
  <c r="BX549" i="83" s="1"/>
  <c r="CA549" i="83" s="1"/>
  <c r="Y787" i="83"/>
  <c r="Z787" i="83" s="1"/>
  <c r="AP787" i="83" s="1"/>
  <c r="Y835" i="83"/>
  <c r="Z835" i="83" s="1"/>
  <c r="AP835" i="83" s="1"/>
  <c r="AQ835" i="83" s="1"/>
  <c r="BX835" i="83" s="1"/>
  <c r="Y889" i="83"/>
  <c r="Z889" i="83" s="1"/>
  <c r="AP889" i="83" s="1"/>
  <c r="AQ889" i="83" s="1"/>
  <c r="BX889" i="83" s="1"/>
  <c r="BP167" i="83"/>
  <c r="BB57" i="83"/>
  <c r="BB84" i="83"/>
  <c r="BP132" i="83"/>
  <c r="BB176" i="83"/>
  <c r="BP288" i="83"/>
  <c r="BP353" i="83"/>
  <c r="Y626" i="83"/>
  <c r="Z626" i="83" s="1"/>
  <c r="AP626" i="83" s="1"/>
  <c r="AQ626" i="83" s="1"/>
  <c r="BX626" i="83" s="1"/>
  <c r="CA626" i="83" s="1"/>
  <c r="Y755" i="83"/>
  <c r="Z755" i="83" s="1"/>
  <c r="AP755" i="83" s="1"/>
  <c r="AQ755" i="83" s="1"/>
  <c r="BX755" i="83" s="1"/>
  <c r="CA755" i="83" s="1"/>
  <c r="Y768" i="83"/>
  <c r="Z768" i="83" s="1"/>
  <c r="AP768" i="83" s="1"/>
  <c r="AQ768" i="83" s="1"/>
  <c r="BX768" i="83" s="1"/>
  <c r="CA768" i="83" s="1"/>
  <c r="Y775" i="83"/>
  <c r="Z775" i="83" s="1"/>
  <c r="AP775" i="83" s="1"/>
  <c r="AQ775" i="83" s="1"/>
  <c r="BX775" i="83" s="1"/>
  <c r="Y800" i="83"/>
  <c r="Z800" i="83" s="1"/>
  <c r="AP800" i="83" s="1"/>
  <c r="AQ800" i="83" s="1"/>
  <c r="Y891" i="83"/>
  <c r="Z891" i="83" s="1"/>
  <c r="AP891" i="83" s="1"/>
  <c r="AQ891" i="83" s="1"/>
  <c r="BX891" i="83" s="1"/>
  <c r="CA891" i="83" s="1"/>
  <c r="BP161" i="83"/>
  <c r="BP276" i="83"/>
  <c r="BP69" i="83"/>
  <c r="BP154" i="83"/>
  <c r="BB206" i="83"/>
  <c r="BP213" i="83"/>
  <c r="BP227" i="83"/>
  <c r="BP341" i="83"/>
  <c r="BB342" i="83"/>
  <c r="BP347" i="83"/>
  <c r="BP474" i="83"/>
  <c r="BP790" i="83"/>
  <c r="BP827" i="83"/>
  <c r="Y830" i="83"/>
  <c r="Z830" i="83" s="1"/>
  <c r="AP830" i="83" s="1"/>
  <c r="AQ830" i="83" s="1"/>
  <c r="BX830" i="83" s="1"/>
  <c r="Y393" i="83"/>
  <c r="Z393" i="83" s="1"/>
  <c r="AP393" i="83" s="1"/>
  <c r="AQ393" i="83" s="1"/>
  <c r="BX393" i="83" s="1"/>
  <c r="CA393" i="83" s="1"/>
  <c r="Y434" i="83"/>
  <c r="Z434" i="83" s="1"/>
  <c r="AP434" i="83" s="1"/>
  <c r="AQ434" i="83" s="1"/>
  <c r="BX434" i="83" s="1"/>
  <c r="BA439" i="83"/>
  <c r="AQ452" i="83"/>
  <c r="BX452" i="83" s="1"/>
  <c r="BP519" i="83"/>
  <c r="BB612" i="83"/>
  <c r="BB625" i="83"/>
  <c r="BP628" i="83"/>
  <c r="BP281" i="83"/>
  <c r="BB11" i="83"/>
  <c r="BB17" i="83"/>
  <c r="BP171" i="83"/>
  <c r="BP266" i="83"/>
  <c r="BB488" i="83"/>
  <c r="AP337" i="83"/>
  <c r="AQ337" i="83" s="1"/>
  <c r="Y520" i="83"/>
  <c r="Z520" i="83" s="1"/>
  <c r="AP520" i="83" s="1"/>
  <c r="AQ520" i="83" s="1"/>
  <c r="BX520" i="83" s="1"/>
  <c r="CA520" i="83" s="1"/>
  <c r="Y532" i="83"/>
  <c r="Z532" i="83" s="1"/>
  <c r="AP532" i="83" s="1"/>
  <c r="AQ532" i="83" s="1"/>
  <c r="BX532" i="83" s="1"/>
  <c r="CA532" i="83" s="1"/>
  <c r="AQ691" i="83"/>
  <c r="BX691" i="83" s="1"/>
  <c r="BP76" i="83"/>
  <c r="BP117" i="83"/>
  <c r="BP202" i="83"/>
  <c r="BP246" i="83"/>
  <c r="BP249" i="83"/>
  <c r="Y288" i="83"/>
  <c r="Z288" i="83" s="1"/>
  <c r="AP288" i="83" s="1"/>
  <c r="AQ288" i="83" s="1"/>
  <c r="BX288" i="83" s="1"/>
  <c r="CA288" i="83" s="1"/>
  <c r="BP386" i="83"/>
  <c r="Z474" i="83"/>
  <c r="AP474" i="83" s="1"/>
  <c r="AQ474" i="83" s="1"/>
  <c r="BX474" i="83" s="1"/>
  <c r="CA474" i="83" s="1"/>
  <c r="BP505" i="83"/>
  <c r="BP545" i="83"/>
  <c r="BP567" i="83"/>
  <c r="BP809" i="83"/>
  <c r="BP31" i="83"/>
  <c r="BB49" i="83"/>
  <c r="BB105" i="83"/>
  <c r="BP220" i="83"/>
  <c r="BP231" i="83"/>
  <c r="BP291" i="83"/>
  <c r="BP319" i="83"/>
  <c r="BK411" i="83"/>
  <c r="BO411" i="83"/>
  <c r="AQ450" i="83"/>
  <c r="BX450" i="83" s="1"/>
  <c r="BP477" i="83"/>
  <c r="Y504" i="83"/>
  <c r="Z504" i="83" s="1"/>
  <c r="AP504" i="83" s="1"/>
  <c r="AQ504" i="83" s="1"/>
  <c r="BX504" i="83" s="1"/>
  <c r="CA504" i="83" s="1"/>
  <c r="BP524" i="83"/>
  <c r="BB547" i="83"/>
  <c r="Y558" i="83"/>
  <c r="Z558" i="83" s="1"/>
  <c r="AP558" i="83" s="1"/>
  <c r="AQ558" i="83" s="1"/>
  <c r="BP558" i="83"/>
  <c r="BP643" i="83"/>
  <c r="BB675" i="83"/>
  <c r="AQ680" i="83"/>
  <c r="BX680" i="83" s="1"/>
  <c r="BA705" i="83"/>
  <c r="BP711" i="83"/>
  <c r="BP717" i="83"/>
  <c r="BP739" i="83"/>
  <c r="Y771" i="83"/>
  <c r="Z771" i="83" s="1"/>
  <c r="AP771" i="83" s="1"/>
  <c r="AQ771" i="83" s="1"/>
  <c r="BX771" i="83" s="1"/>
  <c r="BP793" i="83"/>
  <c r="BP805" i="83"/>
  <c r="BP824" i="83"/>
  <c r="BP884" i="83"/>
  <c r="BP59" i="83"/>
  <c r="BP124" i="83"/>
  <c r="BP149" i="83"/>
  <c r="BP247" i="83"/>
  <c r="BK263" i="83"/>
  <c r="BO263" i="83" s="1"/>
  <c r="BB272" i="83"/>
  <c r="BB340" i="83"/>
  <c r="BB399" i="83"/>
  <c r="Y485" i="83"/>
  <c r="Z485" i="83" s="1"/>
  <c r="AP485" i="83" s="1"/>
  <c r="AQ485" i="83" s="1"/>
  <c r="BX485" i="83" s="1"/>
  <c r="CA485" i="83" s="1"/>
  <c r="Y486" i="83"/>
  <c r="Z486" i="83" s="1"/>
  <c r="AP486" i="83" s="1"/>
  <c r="AQ486" i="83" s="1"/>
  <c r="BX486" i="83" s="1"/>
  <c r="BB496" i="83"/>
  <c r="Z559" i="83"/>
  <c r="AP559" i="83" s="1"/>
  <c r="AQ559" i="83" s="1"/>
  <c r="BX559" i="83" s="1"/>
  <c r="CA559" i="83" s="1"/>
  <c r="BB604" i="83"/>
  <c r="BB626" i="83"/>
  <c r="BB713" i="83"/>
  <c r="BB768" i="83"/>
  <c r="BB795" i="83"/>
  <c r="BB813" i="83"/>
  <c r="BP836" i="83"/>
  <c r="BB106" i="83"/>
  <c r="AQ451" i="83"/>
  <c r="BX451" i="83"/>
  <c r="CA451" i="83" s="1"/>
  <c r="BB532" i="83"/>
  <c r="BB557" i="83"/>
  <c r="BB656" i="83"/>
  <c r="BB831" i="83"/>
  <c r="BP845" i="83"/>
  <c r="BP735" i="83"/>
  <c r="BB777" i="83"/>
  <c r="BB840" i="83"/>
  <c r="BP71" i="83"/>
  <c r="BB139" i="83"/>
  <c r="BB191" i="83"/>
  <c r="BB306" i="83"/>
  <c r="Y448" i="83"/>
  <c r="Z448" i="83" s="1"/>
  <c r="AP448" i="83" s="1"/>
  <c r="AQ448" i="83" s="1"/>
  <c r="BX448" i="83" s="1"/>
  <c r="Y519" i="83"/>
  <c r="Z519" i="83" s="1"/>
  <c r="AP519" i="83" s="1"/>
  <c r="AQ519" i="83" s="1"/>
  <c r="BX519" i="83" s="1"/>
  <c r="CA519" i="83" s="1"/>
  <c r="BP583" i="83"/>
  <c r="BB599" i="83"/>
  <c r="BB642" i="83"/>
  <c r="BB657" i="83"/>
  <c r="Y660" i="83"/>
  <c r="Z660" i="83" s="1"/>
  <c r="AP660" i="83" s="1"/>
  <c r="AQ660" i="83" s="1"/>
  <c r="BX660" i="83" s="1"/>
  <c r="CA660" i="83" s="1"/>
  <c r="Y667" i="83"/>
  <c r="Z667" i="83" s="1"/>
  <c r="AP667" i="83" s="1"/>
  <c r="AQ667" i="83" s="1"/>
  <c r="BX667" i="83" s="1"/>
  <c r="CA667" i="83" s="1"/>
  <c r="Y656" i="83"/>
  <c r="Z656" i="83" s="1"/>
  <c r="AP656" i="83" s="1"/>
  <c r="AQ656" i="83" s="1"/>
  <c r="BX656" i="83" s="1"/>
  <c r="BZ656" i="83"/>
  <c r="Y721" i="83"/>
  <c r="Z721" i="83" s="1"/>
  <c r="AP721" i="83" s="1"/>
  <c r="AQ721" i="83" s="1"/>
  <c r="BX721" i="83" s="1"/>
  <c r="CA721" i="83" s="1"/>
  <c r="Y847" i="83"/>
  <c r="Z847" i="83" s="1"/>
  <c r="AP847" i="83" s="1"/>
  <c r="AQ847" i="83" s="1"/>
  <c r="BX847" i="83" s="1"/>
  <c r="Y881" i="83"/>
  <c r="Z881" i="83" s="1"/>
  <c r="AP881" i="83" s="1"/>
  <c r="AQ881" i="83" s="1"/>
  <c r="BX881" i="83" s="1"/>
  <c r="CA881" i="83" s="1"/>
  <c r="Y575" i="83"/>
  <c r="Z575" i="83" s="1"/>
  <c r="AP575" i="83" s="1"/>
  <c r="AQ575" i="83" s="1"/>
  <c r="Z349" i="83"/>
  <c r="AP349" i="83" s="1"/>
  <c r="AQ349" i="83" s="1"/>
  <c r="BX349" i="83" s="1"/>
  <c r="Y507" i="83"/>
  <c r="Z507" i="83" s="1"/>
  <c r="AP507" i="83" s="1"/>
  <c r="AQ507" i="83" s="1"/>
  <c r="BX507" i="83" s="1"/>
  <c r="CA507" i="83" s="1"/>
  <c r="Y576" i="83"/>
  <c r="Z576" i="83" s="1"/>
  <c r="AP576" i="83" s="1"/>
  <c r="AQ576" i="83" s="1"/>
  <c r="BX576" i="83" s="1"/>
  <c r="CA576" i="83" s="1"/>
  <c r="Y650" i="83"/>
  <c r="Z650" i="83" s="1"/>
  <c r="AP650" i="83" s="1"/>
  <c r="AQ650" i="83" s="1"/>
  <c r="BX650" i="83"/>
  <c r="CA650" i="83" s="1"/>
  <c r="Y663" i="83"/>
  <c r="Z663" i="83" s="1"/>
  <c r="AP663" i="83" s="1"/>
  <c r="AQ663" i="83" s="1"/>
  <c r="BX663" i="83" s="1"/>
  <c r="Z715" i="83"/>
  <c r="AP715" i="83" s="1"/>
  <c r="AQ715" i="83" s="1"/>
  <c r="BX715" i="83" s="1"/>
  <c r="CA715" i="83" s="1"/>
  <c r="Y774" i="83"/>
  <c r="Z774" i="83" s="1"/>
  <c r="AP774" i="83" s="1"/>
  <c r="AQ774" i="83" s="1"/>
  <c r="BX774" i="83" s="1"/>
  <c r="Y786" i="83"/>
  <c r="Z786" i="83" s="1"/>
  <c r="AP786" i="83" s="1"/>
  <c r="AQ786" i="83" s="1"/>
  <c r="BX786" i="83" s="1"/>
  <c r="CA786" i="83" s="1"/>
  <c r="Y796" i="83"/>
  <c r="Z796" i="83" s="1"/>
  <c r="AP796" i="83" s="1"/>
  <c r="AQ796" i="83" s="1"/>
  <c r="BX796" i="83" s="1"/>
  <c r="CA796" i="83" s="1"/>
  <c r="Y809" i="83"/>
  <c r="Z809" i="83" s="1"/>
  <c r="AP809" i="83" s="1"/>
  <c r="AQ809" i="83" s="1"/>
  <c r="BX809" i="83" s="1"/>
  <c r="BZ809" i="83" s="1"/>
  <c r="Y822" i="83"/>
  <c r="Z822" i="83" s="1"/>
  <c r="AP822" i="83" s="1"/>
  <c r="AQ822" i="83"/>
  <c r="BX822" i="83" s="1"/>
  <c r="CA822" i="83" s="1"/>
  <c r="Y878" i="83"/>
  <c r="Z878" i="83" s="1"/>
  <c r="AP878" i="83" s="1"/>
  <c r="AQ878" i="83" s="1"/>
  <c r="Z400" i="83"/>
  <c r="AP400" i="83" s="1"/>
  <c r="AQ400" i="83" s="1"/>
  <c r="BX400" i="83" s="1"/>
  <c r="Y748" i="83"/>
  <c r="Z748" i="83" s="1"/>
  <c r="AP748" i="83" s="1"/>
  <c r="AQ748" i="83" s="1"/>
  <c r="BX748" i="83" s="1"/>
  <c r="Y791" i="83"/>
  <c r="Z791" i="83"/>
  <c r="AP791" i="83" s="1"/>
  <c r="AQ791" i="83" s="1"/>
  <c r="BX791" i="83" s="1"/>
  <c r="AQ287" i="83"/>
  <c r="BX287" i="83" s="1"/>
  <c r="BZ287" i="83" s="1"/>
  <c r="Y311" i="83"/>
  <c r="Z311" i="83" s="1"/>
  <c r="AP311" i="83" s="1"/>
  <c r="AQ311" i="83" s="1"/>
  <c r="Y610" i="83"/>
  <c r="Z610" i="83" s="1"/>
  <c r="AP610" i="83" s="1"/>
  <c r="AQ610" i="83" s="1"/>
  <c r="Z427" i="83"/>
  <c r="AP427" i="83" s="1"/>
  <c r="AQ427" i="83" s="1"/>
  <c r="BX427" i="83" s="1"/>
  <c r="CA427" i="83" s="1"/>
  <c r="Y484" i="83"/>
  <c r="Z484" i="83" s="1"/>
  <c r="AP484" i="83" s="1"/>
  <c r="AQ484" i="83" s="1"/>
  <c r="BX484" i="83" s="1"/>
  <c r="Y617" i="83"/>
  <c r="Z617" i="83" s="1"/>
  <c r="AP617" i="83" s="1"/>
  <c r="AQ617" i="83" s="1"/>
  <c r="Y728" i="83"/>
  <c r="Z728" i="83" s="1"/>
  <c r="AP728" i="83" s="1"/>
  <c r="AQ728" i="83" s="1"/>
  <c r="BX728" i="83" s="1"/>
  <c r="CA728" i="83" s="1"/>
  <c r="Y730" i="83"/>
  <c r="Z730" i="83" s="1"/>
  <c r="AP730" i="83" s="1"/>
  <c r="AQ730" i="83" s="1"/>
  <c r="BX730" i="83" s="1"/>
  <c r="CA730" i="83" s="1"/>
  <c r="Y818" i="83"/>
  <c r="Z818" i="83" s="1"/>
  <c r="AP818" i="83" s="1"/>
  <c r="AQ818" i="83" s="1"/>
  <c r="BX818" i="83" s="1"/>
  <c r="Y859" i="83"/>
  <c r="Z859" i="83" s="1"/>
  <c r="AP859" i="83" s="1"/>
  <c r="AQ859" i="83" s="1"/>
  <c r="BX859" i="83" s="1"/>
  <c r="Y860" i="83"/>
  <c r="Z860" i="83" s="1"/>
  <c r="AP860" i="83" s="1"/>
  <c r="AQ860" i="83" s="1"/>
  <c r="BX860" i="83" s="1"/>
  <c r="Y883" i="83"/>
  <c r="Z883" i="83" s="1"/>
  <c r="AP883" i="83" s="1"/>
  <c r="AQ883" i="83" s="1"/>
  <c r="BX883" i="83" s="1"/>
  <c r="CA883" i="83" s="1"/>
  <c r="Y99" i="83"/>
  <c r="Z99" i="83" s="1"/>
  <c r="AP99" i="83" s="1"/>
  <c r="AQ99" i="83" s="1"/>
  <c r="BX99" i="83" s="1"/>
  <c r="CA99" i="83" s="1"/>
  <c r="Y866" i="83"/>
  <c r="Z866" i="83" s="1"/>
  <c r="AP866" i="83" s="1"/>
  <c r="AQ866" i="83" s="1"/>
  <c r="BX866" i="83" s="1"/>
  <c r="CA866" i="83" s="1"/>
  <c r="Y213" i="83"/>
  <c r="Z213" i="83" s="1"/>
  <c r="AP213" i="83" s="1"/>
  <c r="AQ213" i="83" s="1"/>
  <c r="BX213" i="83" s="1"/>
  <c r="CA213" i="83" s="1"/>
  <c r="Y846" i="83"/>
  <c r="Z846" i="83" s="1"/>
  <c r="AP846" i="83" s="1"/>
  <c r="AQ846" i="83" s="1"/>
  <c r="BX846" i="83" s="1"/>
  <c r="Y570" i="83"/>
  <c r="Z570" i="83" s="1"/>
  <c r="AP570" i="83" s="1"/>
  <c r="AQ570" i="83" s="1"/>
  <c r="BX570" i="83" s="1"/>
  <c r="Y633" i="83"/>
  <c r="Z633" i="83" s="1"/>
  <c r="AP633" i="83" s="1"/>
  <c r="AQ633" i="83" s="1"/>
  <c r="BX633" i="83" s="1"/>
  <c r="CA633" i="83" s="1"/>
  <c r="Y654" i="83"/>
  <c r="Z654" i="83" s="1"/>
  <c r="AP654" i="83" s="1"/>
  <c r="AQ654" i="83" s="1"/>
  <c r="BX654" i="83" s="1"/>
  <c r="Y731" i="83"/>
  <c r="Y869" i="83"/>
  <c r="Z869" i="83" s="1"/>
  <c r="AP869" i="83" s="1"/>
  <c r="AQ869" i="83" s="1"/>
  <c r="BX869" i="83" s="1"/>
  <c r="CA869" i="83" s="1"/>
  <c r="Y608" i="83"/>
  <c r="Z608" i="83" s="1"/>
  <c r="AP608" i="83" s="1"/>
  <c r="AQ608" i="83" s="1"/>
  <c r="BX608" i="83" s="1"/>
  <c r="Z399" i="83"/>
  <c r="AP399" i="83" s="1"/>
  <c r="AQ399" i="83" s="1"/>
  <c r="BX399" i="83" s="1"/>
  <c r="AQ406" i="83"/>
  <c r="BX406" i="83" s="1"/>
  <c r="CA406" i="83" s="1"/>
  <c r="BB501" i="83"/>
  <c r="BP501" i="83"/>
  <c r="BP616" i="83"/>
  <c r="BB616" i="83"/>
  <c r="BP776" i="83"/>
  <c r="BB776" i="83"/>
  <c r="BA880" i="83"/>
  <c r="BK880" i="83"/>
  <c r="BO880" i="83"/>
  <c r="BP880" i="83"/>
  <c r="CA207" i="83"/>
  <c r="Z296" i="83"/>
  <c r="AP296" i="83" s="1"/>
  <c r="AQ296" i="83" s="1"/>
  <c r="BX296" i="83" s="1"/>
  <c r="Y346" i="83"/>
  <c r="Z346" i="83" s="1"/>
  <c r="AP346" i="83" s="1"/>
  <c r="AQ346" i="83" s="1"/>
  <c r="BX346" i="83" s="1"/>
  <c r="BZ346" i="83" s="1"/>
  <c r="BP380" i="83"/>
  <c r="BB459" i="83"/>
  <c r="BP459" i="83"/>
  <c r="Y461" i="83"/>
  <c r="Z461" i="83" s="1"/>
  <c r="AP461" i="83" s="1"/>
  <c r="AQ461" i="83" s="1"/>
  <c r="BX461" i="83" s="1"/>
  <c r="BB595" i="83"/>
  <c r="BP595" i="83"/>
  <c r="BB602" i="83"/>
  <c r="BP602" i="83"/>
  <c r="BB603" i="83"/>
  <c r="BP603" i="83"/>
  <c r="BP701" i="83"/>
  <c r="BB701" i="83"/>
  <c r="BP264" i="83"/>
  <c r="BB264" i="83"/>
  <c r="BP286" i="83"/>
  <c r="BB287" i="83"/>
  <c r="BP316" i="83"/>
  <c r="BB368" i="83"/>
  <c r="BP368" i="83"/>
  <c r="AQ424" i="83"/>
  <c r="BX424" i="83" s="1"/>
  <c r="CA424" i="83" s="1"/>
  <c r="BB520" i="83"/>
  <c r="BP520" i="83"/>
  <c r="Y523" i="83"/>
  <c r="BP850" i="83"/>
  <c r="BB850" i="83"/>
  <c r="BP61" i="83"/>
  <c r="BB23" i="83"/>
  <c r="BP67" i="83"/>
  <c r="BP150" i="83"/>
  <c r="Y169" i="83"/>
  <c r="Z169" i="83" s="1"/>
  <c r="AP169" i="83" s="1"/>
  <c r="AQ169" i="83" s="1"/>
  <c r="BP174" i="83"/>
  <c r="BP217" i="83"/>
  <c r="BP228" i="83"/>
  <c r="BP244" i="83"/>
  <c r="BP252" i="83"/>
  <c r="BB293" i="83"/>
  <c r="BP293" i="83"/>
  <c r="BX339" i="83"/>
  <c r="BB344" i="83"/>
  <c r="BP344" i="83"/>
  <c r="Z365" i="83"/>
  <c r="AP365" i="83" s="1"/>
  <c r="AQ365" i="83" s="1"/>
  <c r="BX365" i="83" s="1"/>
  <c r="Y591" i="83"/>
  <c r="Z591" i="83" s="1"/>
  <c r="AP591" i="83" s="1"/>
  <c r="AQ591" i="83" s="1"/>
  <c r="BK610" i="83"/>
  <c r="BO610" i="83"/>
  <c r="BA610" i="83"/>
  <c r="BP41" i="83"/>
  <c r="BB50" i="83"/>
  <c r="BB93" i="83"/>
  <c r="BB123" i="83"/>
  <c r="BP146" i="83"/>
  <c r="BB147" i="83"/>
  <c r="BP182" i="83"/>
  <c r="BP212" i="83"/>
  <c r="BP224" i="83"/>
  <c r="BP234" i="83"/>
  <c r="BB261" i="83"/>
  <c r="Y277" i="83"/>
  <c r="Z277" i="83" s="1"/>
  <c r="AP277" i="83" s="1"/>
  <c r="AQ277" i="83" s="1"/>
  <c r="BX277" i="83" s="1"/>
  <c r="CA277" i="83" s="1"/>
  <c r="AP278" i="83"/>
  <c r="AQ278" i="83" s="1"/>
  <c r="BX278" i="83" s="1"/>
  <c r="CA278" i="83" s="1"/>
  <c r="BB363" i="83"/>
  <c r="Y378" i="83"/>
  <c r="Z378" i="83" s="1"/>
  <c r="AP378" i="83" s="1"/>
  <c r="AQ378" i="83" s="1"/>
  <c r="BX378" i="83" s="1"/>
  <c r="CA378" i="83" s="1"/>
  <c r="BB454" i="83"/>
  <c r="BP454" i="83"/>
  <c r="BB515" i="83"/>
  <c r="BP515" i="83"/>
  <c r="BB542" i="83"/>
  <c r="BX556" i="83"/>
  <c r="Y578" i="83"/>
  <c r="Z578" i="83" s="1"/>
  <c r="AP578" i="83" s="1"/>
  <c r="AQ578" i="83" s="1"/>
  <c r="BB720" i="83"/>
  <c r="BP720" i="83"/>
  <c r="BB820" i="83"/>
  <c r="BP820" i="83"/>
  <c r="BP72" i="83"/>
  <c r="AQ156" i="83"/>
  <c r="BX156" i="83" s="1"/>
  <c r="CA156" i="83" s="1"/>
  <c r="BA195" i="83"/>
  <c r="BP253" i="83"/>
  <c r="BP260" i="83"/>
  <c r="BB278" i="83"/>
  <c r="BP278" i="83"/>
  <c r="BB375" i="83"/>
  <c r="BP375" i="83"/>
  <c r="BB385" i="83"/>
  <c r="BP385" i="83"/>
  <c r="BB448" i="83"/>
  <c r="BP448" i="83"/>
  <c r="BB801" i="83"/>
  <c r="BP801" i="83"/>
  <c r="Y51" i="83"/>
  <c r="Z51" i="83" s="1"/>
  <c r="AP51" i="83" s="1"/>
  <c r="AQ51" i="83" s="1"/>
  <c r="BX51" i="83" s="1"/>
  <c r="Y11" i="83"/>
  <c r="Z11" i="83" s="1"/>
  <c r="AP11" i="83" s="1"/>
  <c r="AQ11" i="83" s="1"/>
  <c r="BX11" i="83" s="1"/>
  <c r="CA11" i="83" s="1"/>
  <c r="BB51" i="83"/>
  <c r="BX55" i="83"/>
  <c r="BP103" i="83"/>
  <c r="BB130" i="83"/>
  <c r="BP155" i="83"/>
  <c r="BX159" i="83"/>
  <c r="BB173" i="83"/>
  <c r="BP242" i="83"/>
  <c r="BB258" i="83"/>
  <c r="BB262" i="83"/>
  <c r="BB267" i="83"/>
  <c r="BP322" i="83"/>
  <c r="BB357" i="83"/>
  <c r="BP357" i="83"/>
  <c r="BK374" i="83"/>
  <c r="BO374" i="83" s="1"/>
  <c r="BP374" i="83" s="1"/>
  <c r="Y417" i="83"/>
  <c r="Z417" i="83" s="1"/>
  <c r="AP417" i="83" s="1"/>
  <c r="AQ417" i="83" s="1"/>
  <c r="BX417" i="83" s="1"/>
  <c r="BB418" i="83"/>
  <c r="BB537" i="83"/>
  <c r="Y573" i="83"/>
  <c r="Z573" i="83" s="1"/>
  <c r="AP573" i="83" s="1"/>
  <c r="AQ573" i="83" s="1"/>
  <c r="BX573" i="83" s="1"/>
  <c r="BB641" i="83"/>
  <c r="BP641" i="83"/>
  <c r="BB786" i="83"/>
  <c r="BP786" i="83"/>
  <c r="BP28" i="83"/>
  <c r="BB38" i="83"/>
  <c r="BP44" i="83"/>
  <c r="BB54" i="83"/>
  <c r="BB58" i="83"/>
  <c r="BP64" i="83"/>
  <c r="BB181" i="83"/>
  <c r="BB214" i="83"/>
  <c r="BB215" i="83"/>
  <c r="Y235" i="83"/>
  <c r="Z235" i="83" s="1"/>
  <c r="AP235" i="83" s="1"/>
  <c r="AQ235" i="83" s="1"/>
  <c r="BX235" i="83" s="1"/>
  <c r="CA235" i="83" s="1"/>
  <c r="BB238" i="83"/>
  <c r="BB300" i="83"/>
  <c r="BP415" i="83"/>
  <c r="BB415" i="83"/>
  <c r="BP500" i="83"/>
  <c r="BB500" i="83"/>
  <c r="BP673" i="83"/>
  <c r="BB673" i="83"/>
  <c r="BB882" i="83"/>
  <c r="BP882" i="83"/>
  <c r="Y689" i="83"/>
  <c r="Y693" i="83"/>
  <c r="Z693" i="83" s="1"/>
  <c r="AP693" i="83" s="1"/>
  <c r="AQ693" i="83" s="1"/>
  <c r="BX693" i="83" s="1"/>
  <c r="BB702" i="83"/>
  <c r="Y723" i="83"/>
  <c r="Z723" i="83" s="1"/>
  <c r="AP723" i="83" s="1"/>
  <c r="AQ723" i="83" s="1"/>
  <c r="BX723" i="83" s="1"/>
  <c r="Y744" i="83"/>
  <c r="Z744" i="83" s="1"/>
  <c r="AP744" i="83" s="1"/>
  <c r="AQ744" i="83" s="1"/>
  <c r="BX744" i="83" s="1"/>
  <c r="CA744" i="83" s="1"/>
  <c r="BB751" i="83"/>
  <c r="Y753" i="83"/>
  <c r="Z753" i="83" s="1"/>
  <c r="AP753" i="83" s="1"/>
  <c r="AQ753" i="83" s="1"/>
  <c r="BX753" i="83" s="1"/>
  <c r="CA753" i="83" s="1"/>
  <c r="Y754" i="83"/>
  <c r="Z754" i="83" s="1"/>
  <c r="AP754" i="83" s="1"/>
  <c r="AQ754" i="83" s="1"/>
  <c r="BX754" i="83" s="1"/>
  <c r="CA754" i="83" s="1"/>
  <c r="Y757" i="83"/>
  <c r="Z757" i="83" s="1"/>
  <c r="AP757" i="83" s="1"/>
  <c r="AQ757" i="83" s="1"/>
  <c r="BX757" i="83" s="1"/>
  <c r="BB815" i="83"/>
  <c r="Y816" i="83"/>
  <c r="Z816" i="83" s="1"/>
  <c r="AP816" i="83" s="1"/>
  <c r="AQ816" i="83" s="1"/>
  <c r="BX816" i="83" s="1"/>
  <c r="CA816" i="83" s="1"/>
  <c r="Y839" i="83"/>
  <c r="Z839" i="83" s="1"/>
  <c r="AP839" i="83" s="1"/>
  <c r="AQ839" i="83" s="1"/>
  <c r="BX839" i="83" s="1"/>
  <c r="CA839" i="83" s="1"/>
  <c r="BB852" i="83"/>
  <c r="Y862" i="83"/>
  <c r="Z862" i="83" s="1"/>
  <c r="AP862" i="83" s="1"/>
  <c r="AQ862" i="83" s="1"/>
  <c r="BX862" i="83" s="1"/>
  <c r="CA862" i="83" s="1"/>
  <c r="BB876" i="83"/>
  <c r="Y884" i="83"/>
  <c r="Z884" i="83" s="1"/>
  <c r="AP884" i="83" s="1"/>
  <c r="AQ884" i="83" s="1"/>
  <c r="BX884" i="83" s="1"/>
  <c r="BZ884" i="83" s="1"/>
  <c r="BP891" i="83"/>
  <c r="Y411" i="83"/>
  <c r="Z411" i="83" s="1"/>
  <c r="AP411" i="83" s="1"/>
  <c r="AQ411" i="83" s="1"/>
  <c r="Y429" i="83"/>
  <c r="Z429" i="83" s="1"/>
  <c r="AP429" i="83" s="1"/>
  <c r="AQ429" i="83" s="1"/>
  <c r="BX429" i="83" s="1"/>
  <c r="CA429" i="83" s="1"/>
  <c r="AQ453" i="83"/>
  <c r="BX453" i="83"/>
  <c r="Z458" i="83"/>
  <c r="AP458" i="83" s="1"/>
  <c r="AQ458" i="83" s="1"/>
  <c r="BX458" i="83" s="1"/>
  <c r="BZ458" i="83" s="1"/>
  <c r="Y505" i="83"/>
  <c r="Z505" i="83" s="1"/>
  <c r="AP505" i="83" s="1"/>
  <c r="AQ505" i="83" s="1"/>
  <c r="BX505" i="83" s="1"/>
  <c r="Y550" i="83"/>
  <c r="Y634" i="83"/>
  <c r="Z634" i="83" s="1"/>
  <c r="AP634" i="83" s="1"/>
  <c r="AQ634" i="83" s="1"/>
  <c r="BX634" i="83" s="1"/>
  <c r="Y676" i="83"/>
  <c r="Z676" i="83" s="1"/>
  <c r="AP676" i="83" s="1"/>
  <c r="AQ676" i="83" s="1"/>
  <c r="BX676" i="83" s="1"/>
  <c r="AQ682" i="83"/>
  <c r="BX682" i="83" s="1"/>
  <c r="Y686" i="83"/>
  <c r="AQ689" i="83"/>
  <c r="BX689" i="83" s="1"/>
  <c r="CA689" i="83" s="1"/>
  <c r="Y695" i="83"/>
  <c r="Z695" i="83" s="1"/>
  <c r="AP695" i="83" s="1"/>
  <c r="AQ695" i="83" s="1"/>
  <c r="BX695" i="83" s="1"/>
  <c r="Y697" i="83"/>
  <c r="Z697" i="83" s="1"/>
  <c r="AP697" i="83" s="1"/>
  <c r="AQ697" i="83" s="1"/>
  <c r="BX697" i="83" s="1"/>
  <c r="CA697" i="83" s="1"/>
  <c r="Y314" i="83"/>
  <c r="BX316" i="83"/>
  <c r="CA316" i="83" s="1"/>
  <c r="AQ375" i="83"/>
  <c r="BX375" i="83" s="1"/>
  <c r="CA375" i="83" s="1"/>
  <c r="BB377" i="83"/>
  <c r="Y459" i="83"/>
  <c r="Z459" i="83" s="1"/>
  <c r="AP459" i="83" s="1"/>
  <c r="AQ459" i="83" s="1"/>
  <c r="BX459" i="83" s="1"/>
  <c r="Y470" i="83"/>
  <c r="Z470" i="83" s="1"/>
  <c r="AP470" i="83" s="1"/>
  <c r="AQ470" i="83" s="1"/>
  <c r="BX470" i="83" s="1"/>
  <c r="CA470" i="83" s="1"/>
  <c r="BB495" i="83"/>
  <c r="Z500" i="83"/>
  <c r="AP500" i="83" s="1"/>
  <c r="AQ500" i="83" s="1"/>
  <c r="BX500" i="83" s="1"/>
  <c r="CA500" i="83" s="1"/>
  <c r="BB543" i="83"/>
  <c r="Y561" i="83"/>
  <c r="Z561" i="83" s="1"/>
  <c r="AP561" i="83" s="1"/>
  <c r="AQ561" i="83" s="1"/>
  <c r="BX561" i="83" s="1"/>
  <c r="Y574" i="83"/>
  <c r="Z574" i="83"/>
  <c r="AP574" i="83" s="1"/>
  <c r="AQ574" i="83" s="1"/>
  <c r="BX574" i="83" s="1"/>
  <c r="Y584" i="83"/>
  <c r="Z584" i="83" s="1"/>
  <c r="AP584" i="83" s="1"/>
  <c r="AQ584" i="83" s="1"/>
  <c r="BX584" i="83" s="1"/>
  <c r="Y592" i="83"/>
  <c r="Z592" i="83" s="1"/>
  <c r="AP592" i="83" s="1"/>
  <c r="AQ592" i="83" s="1"/>
  <c r="Y598" i="83"/>
  <c r="Z598" i="83" s="1"/>
  <c r="AP598" i="83" s="1"/>
  <c r="AQ598" i="83" s="1"/>
  <c r="BX598" i="83" s="1"/>
  <c r="Y616" i="83"/>
  <c r="Z616" i="83" s="1"/>
  <c r="AP616" i="83" s="1"/>
  <c r="AQ616" i="83" s="1"/>
  <c r="BX616" i="83" s="1"/>
  <c r="CA616" i="83" s="1"/>
  <c r="Y647" i="83"/>
  <c r="Z647" i="83" s="1"/>
  <c r="AP647" i="83"/>
  <c r="AQ647" i="83" s="1"/>
  <c r="Y665" i="83"/>
  <c r="Z665" i="83" s="1"/>
  <c r="AP665" i="83" s="1"/>
  <c r="AQ665" i="83" s="1"/>
  <c r="BX665" i="83" s="1"/>
  <c r="CA665" i="83" s="1"/>
  <c r="AQ683" i="83"/>
  <c r="BX683" i="83" s="1"/>
  <c r="AQ686" i="83"/>
  <c r="BX686" i="83" s="1"/>
  <c r="CA686" i="83" s="1"/>
  <c r="Y687" i="83"/>
  <c r="BB704" i="83"/>
  <c r="Y719" i="83"/>
  <c r="Z719" i="83" s="1"/>
  <c r="AP719" i="83" s="1"/>
  <c r="AQ719" i="83" s="1"/>
  <c r="BX719" i="83" s="1"/>
  <c r="Y726" i="83"/>
  <c r="Z726" i="83" s="1"/>
  <c r="AP726" i="83" s="1"/>
  <c r="AQ726" i="83" s="1"/>
  <c r="BX726" i="83" s="1"/>
  <c r="BZ726" i="83" s="1"/>
  <c r="BB734" i="83"/>
  <c r="Y745" i="83"/>
  <c r="Z745" i="83" s="1"/>
  <c r="Y778" i="83"/>
  <c r="Z778" i="83" s="1"/>
  <c r="AP778" i="83" s="1"/>
  <c r="AQ778" i="83" s="1"/>
  <c r="BX778" i="83" s="1"/>
  <c r="CA778" i="83" s="1"/>
  <c r="Y784" i="83"/>
  <c r="Z784" i="83" s="1"/>
  <c r="AP784" i="83" s="1"/>
  <c r="AQ784" i="83" s="1"/>
  <c r="BX784" i="83" s="1"/>
  <c r="CA784" i="83" s="1"/>
  <c r="Y810" i="83"/>
  <c r="Z810" i="83" s="1"/>
  <c r="AP810" i="83" s="1"/>
  <c r="AQ810" i="83" s="1"/>
  <c r="BX810" i="83" s="1"/>
  <c r="Y820" i="83"/>
  <c r="Z820" i="83" s="1"/>
  <c r="AP820" i="83" s="1"/>
  <c r="AQ820" i="83" s="1"/>
  <c r="BX820" i="83" s="1"/>
  <c r="CA820" i="83" s="1"/>
  <c r="Y850" i="83"/>
  <c r="Z850" i="83" s="1"/>
  <c r="AP850" i="83" s="1"/>
  <c r="AQ850" i="83" s="1"/>
  <c r="BX850" i="83" s="1"/>
  <c r="CA850" i="83" s="1"/>
  <c r="Y867" i="83"/>
  <c r="Z867" i="83" s="1"/>
  <c r="AP867" i="83" s="1"/>
  <c r="AQ867" i="83" s="1"/>
  <c r="BX867" i="83" s="1"/>
  <c r="BB877" i="83"/>
  <c r="Y879" i="83"/>
  <c r="Z879" i="83" s="1"/>
  <c r="AP879" i="83" s="1"/>
  <c r="AQ879" i="83" s="1"/>
  <c r="BX879" i="83" s="1"/>
  <c r="BP684" i="83"/>
  <c r="AQ690" i="83"/>
  <c r="BX690" i="83" s="1"/>
  <c r="BP709" i="83"/>
  <c r="BP710" i="83"/>
  <c r="BP792" i="83"/>
  <c r="BP808" i="83"/>
  <c r="BP821" i="83"/>
  <c r="Y885" i="83"/>
  <c r="Z885" i="83" s="1"/>
  <c r="AP885" i="83" s="1"/>
  <c r="AQ885" i="83" s="1"/>
  <c r="BX885" i="83" s="1"/>
  <c r="CA885" i="83" s="1"/>
  <c r="BP887" i="83"/>
  <c r="BB315" i="83"/>
  <c r="BB346" i="83"/>
  <c r="BP364" i="83"/>
  <c r="BB365" i="83"/>
  <c r="Y372" i="83"/>
  <c r="Z372" i="83" s="1"/>
  <c r="AP372" i="83" s="1"/>
  <c r="AQ372" i="83" s="1"/>
  <c r="BX372" i="83" s="1"/>
  <c r="BP419" i="83"/>
  <c r="BB445" i="83"/>
  <c r="BB450" i="83"/>
  <c r="BB457" i="83"/>
  <c r="BB461" i="83"/>
  <c r="Y464" i="83"/>
  <c r="Z464" i="83" s="1"/>
  <c r="AP464" i="83" s="1"/>
  <c r="AQ464" i="83" s="1"/>
  <c r="BX464" i="83" s="1"/>
  <c r="Y465" i="83"/>
  <c r="Z465" i="83" s="1"/>
  <c r="AP465" i="83" s="1"/>
  <c r="AQ465" i="83" s="1"/>
  <c r="BX465" i="83" s="1"/>
  <c r="BP507" i="83"/>
  <c r="Y515" i="83"/>
  <c r="Z515" i="83" s="1"/>
  <c r="AP515" i="83" s="1"/>
  <c r="AQ515" i="83" s="1"/>
  <c r="BX515" i="83" s="1"/>
  <c r="CA515" i="83" s="1"/>
  <c r="AQ551" i="83"/>
  <c r="BX551" i="83" s="1"/>
  <c r="Y552" i="83"/>
  <c r="Z552" i="83" s="1"/>
  <c r="AP552" i="83" s="1"/>
  <c r="AQ552" i="83" s="1"/>
  <c r="BX552" i="83" s="1"/>
  <c r="BZ552" i="83"/>
  <c r="Y553" i="83"/>
  <c r="Z553" i="83" s="1"/>
  <c r="AP553" i="83" s="1"/>
  <c r="AQ553" i="83" s="1"/>
  <c r="BX553" i="83" s="1"/>
  <c r="Y580" i="83"/>
  <c r="Z580" i="83" s="1"/>
  <c r="AP580" i="83" s="1"/>
  <c r="AQ580" i="83" s="1"/>
  <c r="BX580" i="83" s="1"/>
  <c r="BP587" i="83"/>
  <c r="Y593" i="83"/>
  <c r="Z593" i="83" s="1"/>
  <c r="AP593" i="83" s="1"/>
  <c r="AQ593" i="83" s="1"/>
  <c r="BX593" i="83" s="1"/>
  <c r="CA593" i="83" s="1"/>
  <c r="Y599" i="83"/>
  <c r="Z599" i="83" s="1"/>
  <c r="AP599" i="83" s="1"/>
  <c r="AQ599" i="83" s="1"/>
  <c r="BX599" i="83" s="1"/>
  <c r="Y609" i="83"/>
  <c r="Z609" i="83" s="1"/>
  <c r="AP609" i="83" s="1"/>
  <c r="AQ609" i="83" s="1"/>
  <c r="BX609" i="83" s="1"/>
  <c r="BP653" i="83"/>
  <c r="Y659" i="83"/>
  <c r="Z659" i="83" s="1"/>
  <c r="AP659" i="83" s="1"/>
  <c r="AQ659" i="83" s="1"/>
  <c r="BX659" i="83" s="1"/>
  <c r="CA659" i="83" s="1"/>
  <c r="Y727" i="83"/>
  <c r="Z727" i="83" s="1"/>
  <c r="BB766" i="83"/>
  <c r="BP770" i="83"/>
  <c r="Y777" i="83"/>
  <c r="Z777" i="83" s="1"/>
  <c r="AP777" i="83" s="1"/>
  <c r="AQ777" i="83" s="1"/>
  <c r="BX777" i="83" s="1"/>
  <c r="CA777" i="83" s="1"/>
  <c r="Y779" i="83"/>
  <c r="Z779" i="83" s="1"/>
  <c r="AP779" i="83" s="1"/>
  <c r="AQ779" i="83" s="1"/>
  <c r="BX779" i="83" s="1"/>
  <c r="CA779" i="83" s="1"/>
  <c r="BB783" i="83"/>
  <c r="Y797" i="83"/>
  <c r="Z797" i="83" s="1"/>
  <c r="AP797" i="83" s="1"/>
  <c r="AQ797" i="83" s="1"/>
  <c r="BX797" i="83" s="1"/>
  <c r="BP834" i="83"/>
  <c r="Y864" i="83"/>
  <c r="Z864" i="83"/>
  <c r="AP864" i="83" s="1"/>
  <c r="AQ864" i="83" s="1"/>
  <c r="BX864" i="83" s="1"/>
  <c r="CA864" i="83" s="1"/>
  <c r="Y871" i="83"/>
  <c r="Z871" i="83" s="1"/>
  <c r="AP871" i="83" s="1"/>
  <c r="AQ871" i="83" s="1"/>
  <c r="BX871" i="83" s="1"/>
  <c r="CA871" i="83" s="1"/>
  <c r="BB873" i="83"/>
  <c r="Y876" i="83"/>
  <c r="Z876" i="83" s="1"/>
  <c r="AP876" i="83" s="1"/>
  <c r="AQ876" i="83" s="1"/>
  <c r="BX876" i="83" s="1"/>
  <c r="BP351" i="83"/>
  <c r="BP428" i="83"/>
  <c r="BP848" i="83"/>
  <c r="AQ258" i="83"/>
  <c r="BX258" i="83" s="1"/>
  <c r="BP334" i="83"/>
  <c r="BP360" i="83"/>
  <c r="BP384" i="83"/>
  <c r="Y409" i="83"/>
  <c r="Z409" i="83" s="1"/>
  <c r="AP409" i="83" s="1"/>
  <c r="AQ409" i="83" s="1"/>
  <c r="BX409" i="83" s="1"/>
  <c r="Y428" i="83"/>
  <c r="Z428" i="83" s="1"/>
  <c r="AP428" i="83" s="1"/>
  <c r="AQ428" i="83" s="1"/>
  <c r="BX428" i="83" s="1"/>
  <c r="CA428" i="83" s="1"/>
  <c r="BP469" i="83"/>
  <c r="Y494" i="83"/>
  <c r="Z494" i="83" s="1"/>
  <c r="AP494" i="83" s="1"/>
  <c r="AQ494" i="83" s="1"/>
  <c r="BX494" i="83" s="1"/>
  <c r="CA494" i="83" s="1"/>
  <c r="Y495" i="83"/>
  <c r="Z495" i="83" s="1"/>
  <c r="AP495" i="83" s="1"/>
  <c r="AQ495" i="83" s="1"/>
  <c r="BX495" i="83" s="1"/>
  <c r="Y502" i="83"/>
  <c r="Z502" i="83" s="1"/>
  <c r="AP502" i="83" s="1"/>
  <c r="AQ502" i="83" s="1"/>
  <c r="BX502" i="83" s="1"/>
  <c r="BP512" i="83"/>
  <c r="Y528" i="83"/>
  <c r="Z528" i="83" s="1"/>
  <c r="AP528" i="83" s="1"/>
  <c r="AQ528" i="83" s="1"/>
  <c r="BX528" i="83" s="1"/>
  <c r="BP539" i="83"/>
  <c r="BP548" i="83"/>
  <c r="BP554" i="83"/>
  <c r="Y569" i="83"/>
  <c r="Z569" i="83" s="1"/>
  <c r="AP569" i="83" s="1"/>
  <c r="AQ569" i="83" s="1"/>
  <c r="BX569" i="83" s="1"/>
  <c r="CA569" i="83" s="1"/>
  <c r="BP573" i="83"/>
  <c r="Y583" i="83"/>
  <c r="Z583" i="83" s="1"/>
  <c r="AP583" i="83" s="1"/>
  <c r="AQ583" i="83" s="1"/>
  <c r="BX583" i="83" s="1"/>
  <c r="CA583" i="83" s="1"/>
  <c r="Y596" i="83"/>
  <c r="Z596" i="83" s="1"/>
  <c r="AP596" i="83" s="1"/>
  <c r="AQ596" i="83" s="1"/>
  <c r="BX596" i="83" s="1"/>
  <c r="Y614" i="83"/>
  <c r="Z614" i="83" s="1"/>
  <c r="AP614" i="83" s="1"/>
  <c r="AQ614" i="83" s="1"/>
  <c r="BX614" i="83" s="1"/>
  <c r="Y661" i="83"/>
  <c r="Z661" i="83" s="1"/>
  <c r="AP661" i="83" s="1"/>
  <c r="AQ661" i="83" s="1"/>
  <c r="BX661" i="83" s="1"/>
  <c r="BZ661" i="83" s="1"/>
  <c r="Y681" i="83"/>
  <c r="AQ688" i="83"/>
  <c r="BX688" i="83" s="1"/>
  <c r="Y703" i="83"/>
  <c r="Z703" i="83" s="1"/>
  <c r="AP703" i="83" s="1"/>
  <c r="AQ703" i="83" s="1"/>
  <c r="BX703" i="83" s="1"/>
  <c r="Y704" i="83"/>
  <c r="Z704" i="83" s="1"/>
  <c r="AP704" i="83" s="1"/>
  <c r="AQ704" i="83" s="1"/>
  <c r="BX704" i="83" s="1"/>
  <c r="CA704" i="83" s="1"/>
  <c r="BP724" i="83"/>
  <c r="BP745" i="83"/>
  <c r="Y799" i="83"/>
  <c r="Z799" i="83" s="1"/>
  <c r="AP799" i="83" s="1"/>
  <c r="AQ799" i="83" s="1"/>
  <c r="BX799" i="83" s="1"/>
  <c r="Y803" i="83"/>
  <c r="Z803" i="83" s="1"/>
  <c r="AP803" i="83" s="1"/>
  <c r="AQ803" i="83" s="1"/>
  <c r="BX803" i="83" s="1"/>
  <c r="CA803" i="83" s="1"/>
  <c r="Y827" i="83"/>
  <c r="Z827" i="83" s="1"/>
  <c r="AP827" i="83" s="1"/>
  <c r="AQ827" i="83" s="1"/>
  <c r="BX827" i="83" s="1"/>
  <c r="Y877" i="83"/>
  <c r="Z877" i="83" s="1"/>
  <c r="AP877" i="83" s="1"/>
  <c r="AQ877" i="83" s="1"/>
  <c r="BX877" i="83" s="1"/>
  <c r="BX180" i="83"/>
  <c r="BZ180" i="83" s="1"/>
  <c r="BX138" i="83"/>
  <c r="CA138" i="83" s="1"/>
  <c r="Y317" i="83"/>
  <c r="Z317" i="83" s="1"/>
  <c r="AP317" i="83" s="1"/>
  <c r="AQ317" i="83" s="1"/>
  <c r="BB466" i="83"/>
  <c r="BP466" i="83"/>
  <c r="BP53" i="83"/>
  <c r="BP77" i="83"/>
  <c r="BP88" i="83"/>
  <c r="BP104" i="83"/>
  <c r="Y107" i="83"/>
  <c r="Z107" i="83" s="1"/>
  <c r="AP107" i="83" s="1"/>
  <c r="AQ107" i="83" s="1"/>
  <c r="BX107" i="83" s="1"/>
  <c r="CA107" i="83" s="1"/>
  <c r="BP112" i="83"/>
  <c r="BP122" i="83"/>
  <c r="BP128" i="83"/>
  <c r="BB128" i="83"/>
  <c r="BP269" i="83"/>
  <c r="BB269" i="83"/>
  <c r="BB352" i="83"/>
  <c r="BP352" i="83"/>
  <c r="BB436" i="83"/>
  <c r="BP436" i="83"/>
  <c r="BB456" i="83"/>
  <c r="BP456" i="83"/>
  <c r="BX23" i="83"/>
  <c r="CA23" i="83" s="1"/>
  <c r="BP26" i="83"/>
  <c r="BB27" i="83"/>
  <c r="BP30" i="83"/>
  <c r="BP35" i="83"/>
  <c r="BP42" i="83"/>
  <c r="BB66" i="83"/>
  <c r="Y68" i="83"/>
  <c r="Z68" i="83" s="1"/>
  <c r="AP68" i="83" s="1"/>
  <c r="AQ68" i="83" s="1"/>
  <c r="BX68" i="83" s="1"/>
  <c r="BP73" i="83"/>
  <c r="BZ73" i="83" s="1"/>
  <c r="BP92" i="83"/>
  <c r="BP94" i="83"/>
  <c r="Y97" i="83"/>
  <c r="Z97" i="83" s="1"/>
  <c r="AP97" i="83" s="1"/>
  <c r="AQ97" i="83" s="1"/>
  <c r="BX97" i="83" s="1"/>
  <c r="BZ97" i="83" s="1"/>
  <c r="BB108" i="83"/>
  <c r="BP108" i="83"/>
  <c r="BP115" i="83"/>
  <c r="BP121" i="83"/>
  <c r="BB133" i="83"/>
  <c r="BB148" i="83"/>
  <c r="BP163" i="83"/>
  <c r="BB192" i="83"/>
  <c r="BP192" i="83"/>
  <c r="Y228" i="83"/>
  <c r="Z228" i="83" s="1"/>
  <c r="AP228" i="83" s="1"/>
  <c r="AQ228" i="83" s="1"/>
  <c r="BX228" i="83" s="1"/>
  <c r="BB235" i="83"/>
  <c r="BP235" i="83"/>
  <c r="BB245" i="83"/>
  <c r="BP245" i="83"/>
  <c r="BB304" i="83"/>
  <c r="BP304" i="83"/>
  <c r="BB324" i="83"/>
  <c r="BB343" i="83"/>
  <c r="BB581" i="83"/>
  <c r="BP581" i="83"/>
  <c r="AP79" i="83"/>
  <c r="AQ79" i="83" s="1"/>
  <c r="BX79" i="83" s="1"/>
  <c r="Y357" i="83"/>
  <c r="Z357" i="83" s="1"/>
  <c r="AP357" i="83" s="1"/>
  <c r="AQ357" i="83" s="1"/>
  <c r="BX357" i="83" s="1"/>
  <c r="BP402" i="83"/>
  <c r="BB402" i="83"/>
  <c r="BP528" i="83"/>
  <c r="BB528" i="83"/>
  <c r="BP82" i="83"/>
  <c r="BP85" i="83"/>
  <c r="BP157" i="83"/>
  <c r="BB157" i="83"/>
  <c r="BP160" i="83"/>
  <c r="BB203" i="83"/>
  <c r="BP203" i="83"/>
  <c r="BP241" i="83"/>
  <c r="BB241" i="83"/>
  <c r="BP295" i="83"/>
  <c r="BB295" i="83"/>
  <c r="BB361" i="83"/>
  <c r="BP361" i="83"/>
  <c r="BB662" i="83"/>
  <c r="BP662" i="83"/>
  <c r="Z76" i="83"/>
  <c r="AP76" i="83" s="1"/>
  <c r="AQ76" i="83" s="1"/>
  <c r="BX76" i="83" s="1"/>
  <c r="BP9" i="83"/>
  <c r="BP14" i="83"/>
  <c r="BP46" i="83"/>
  <c r="BP7" i="83"/>
  <c r="BP15" i="83"/>
  <c r="BB22" i="83"/>
  <c r="Y33" i="83"/>
  <c r="Z33" i="83" s="1"/>
  <c r="AP33" i="83" s="1"/>
  <c r="AQ33" i="83" s="1"/>
  <c r="BX33" i="83" s="1"/>
  <c r="CA33" i="83" s="1"/>
  <c r="BX41" i="83"/>
  <c r="CA41" i="83" s="1"/>
  <c r="BB74" i="83"/>
  <c r="BB90" i="83"/>
  <c r="BP95" i="83"/>
  <c r="BZ95" i="83"/>
  <c r="Y132" i="83"/>
  <c r="Z132" i="83" s="1"/>
  <c r="AP132" i="83" s="1"/>
  <c r="AQ132" i="83" s="1"/>
  <c r="BX132" i="83" s="1"/>
  <c r="BZ132" i="83" s="1"/>
  <c r="BP144" i="83"/>
  <c r="BB145" i="83"/>
  <c r="BB165" i="83"/>
  <c r="BB189" i="83"/>
  <c r="BP209" i="83"/>
  <c r="BB209" i="83"/>
  <c r="Y252" i="83"/>
  <c r="Z252" i="83" s="1"/>
  <c r="AP252" i="83" s="1"/>
  <c r="AQ252" i="83" s="1"/>
  <c r="BX252" i="83" s="1"/>
  <c r="BB256" i="83"/>
  <c r="BB296" i="83"/>
  <c r="BB338" i="83"/>
  <c r="BB390" i="83"/>
  <c r="BP390" i="83"/>
  <c r="BB593" i="83"/>
  <c r="BP593" i="83"/>
  <c r="Z74" i="83"/>
  <c r="AP74" i="83" s="1"/>
  <c r="AQ74" i="83" s="1"/>
  <c r="BX74" i="83" s="1"/>
  <c r="CA74" i="83" s="1"/>
  <c r="BB336" i="83"/>
  <c r="BP336" i="83"/>
  <c r="BP125" i="83"/>
  <c r="BB125" i="83"/>
  <c r="BB210" i="83"/>
  <c r="BP210" i="83"/>
  <c r="BB221" i="83"/>
  <c r="BP221" i="83"/>
  <c r="BB243" i="83"/>
  <c r="BP243" i="83"/>
  <c r="BP326" i="83"/>
  <c r="BB326" i="83"/>
  <c r="BP348" i="83"/>
  <c r="Y360" i="83"/>
  <c r="Z360" i="83" s="1"/>
  <c r="AP360" i="83" s="1"/>
  <c r="AQ360" i="83" s="1"/>
  <c r="BX360" i="83" s="1"/>
  <c r="CA360" i="83" s="1"/>
  <c r="BP381" i="83"/>
  <c r="BB381" i="83"/>
  <c r="BB412" i="83"/>
  <c r="BP412" i="83"/>
  <c r="BA124" i="83"/>
  <c r="BK124" i="83"/>
  <c r="BB308" i="83"/>
  <c r="BP308" i="83"/>
  <c r="Y149" i="83"/>
  <c r="Z149" i="83" s="1"/>
  <c r="AP149" i="83" s="1"/>
  <c r="AQ149" i="83" s="1"/>
  <c r="BX149" i="83" s="1"/>
  <c r="BB218" i="83"/>
  <c r="BP218" i="83"/>
  <c r="BP2" i="83"/>
  <c r="BB25" i="83"/>
  <c r="Y71" i="83"/>
  <c r="Z71" i="83" s="1"/>
  <c r="AP71" i="83" s="1"/>
  <c r="AQ71" i="83" s="1"/>
  <c r="BX71" i="83" s="1"/>
  <c r="BZ71" i="83" s="1"/>
  <c r="BP97" i="83"/>
  <c r="BB97" i="83"/>
  <c r="BB114" i="83"/>
  <c r="BX121" i="83"/>
  <c r="BZ121" i="83"/>
  <c r="BP126" i="83"/>
  <c r="BB126" i="83"/>
  <c r="BB143" i="83"/>
  <c r="BB166" i="83"/>
  <c r="BB179" i="83"/>
  <c r="BB194" i="83"/>
  <c r="Y220" i="83"/>
  <c r="Z220" i="83" s="1"/>
  <c r="AP220" i="83" s="1"/>
  <c r="AQ220" i="83" s="1"/>
  <c r="BX220" i="83" s="1"/>
  <c r="Y240" i="83"/>
  <c r="Z240" i="83" s="1"/>
  <c r="AP240" i="83" s="1"/>
  <c r="AQ240" i="83" s="1"/>
  <c r="BX240" i="83" s="1"/>
  <c r="BP274" i="83"/>
  <c r="BB318" i="83"/>
  <c r="BP321" i="83"/>
  <c r="BB327" i="83"/>
  <c r="BB358" i="83"/>
  <c r="BP480" i="83"/>
  <c r="BB480" i="83"/>
  <c r="BP589" i="83"/>
  <c r="BB589" i="83"/>
  <c r="BB374" i="83"/>
  <c r="BB431" i="83"/>
  <c r="BP431" i="83"/>
  <c r="BB525" i="83"/>
  <c r="BP525" i="83"/>
  <c r="Y537" i="83"/>
  <c r="Z537" i="83" s="1"/>
  <c r="AP537" i="83" s="1"/>
  <c r="AQ537" i="83" s="1"/>
  <c r="BX537" i="83" s="1"/>
  <c r="CA537" i="83" s="1"/>
  <c r="BB549" i="83"/>
  <c r="BP549" i="83"/>
  <c r="Y572" i="83"/>
  <c r="Z572" i="83" s="1"/>
  <c r="AP572" i="83" s="1"/>
  <c r="AQ572" i="83" s="1"/>
  <c r="BX572" i="83" s="1"/>
  <c r="CA572" i="83" s="1"/>
  <c r="BB858" i="83"/>
  <c r="BP858" i="83"/>
  <c r="Y367" i="83"/>
  <c r="Z367" i="83" s="1"/>
  <c r="AP367" i="83" s="1"/>
  <c r="AQ367" i="83" s="1"/>
  <c r="BX367" i="83" s="1"/>
  <c r="Y371" i="83"/>
  <c r="Z371" i="83" s="1"/>
  <c r="AP371" i="83" s="1"/>
  <c r="AQ371" i="83" s="1"/>
  <c r="BX371" i="83" s="1"/>
  <c r="CA371" i="83" s="1"/>
  <c r="AQ426" i="83"/>
  <c r="BK426" i="83"/>
  <c r="BO426" i="83" s="1"/>
  <c r="BB446" i="83"/>
  <c r="BP446" i="83"/>
  <c r="BB453" i="83"/>
  <c r="BP453" i="83"/>
  <c r="Y478" i="83"/>
  <c r="Z478" i="83" s="1"/>
  <c r="AP478" i="83" s="1"/>
  <c r="AQ478" i="83" s="1"/>
  <c r="BX478" i="83" s="1"/>
  <c r="Y521" i="83"/>
  <c r="Z521" i="83" s="1"/>
  <c r="AP521" i="83" s="1"/>
  <c r="AQ521" i="83" s="1"/>
  <c r="BX521" i="83" s="1"/>
  <c r="Y542" i="83"/>
  <c r="Z542" i="83" s="1"/>
  <c r="AP542" i="83" s="1"/>
  <c r="AQ542" i="83" s="1"/>
  <c r="BX542" i="83" s="1"/>
  <c r="BB577" i="83"/>
  <c r="BP577" i="83"/>
  <c r="Y579" i="83"/>
  <c r="Z579" i="83" s="1"/>
  <c r="AP579" i="83" s="1"/>
  <c r="AQ579" i="83" s="1"/>
  <c r="BX579" i="83" s="1"/>
  <c r="Y615" i="83"/>
  <c r="Z615" i="83" s="1"/>
  <c r="AP615" i="83" s="1"/>
  <c r="AQ615" i="83" s="1"/>
  <c r="BX615" i="83" s="1"/>
  <c r="Y168" i="83"/>
  <c r="Z168" i="83" s="1"/>
  <c r="AP168" i="83" s="1"/>
  <c r="AQ168" i="83" s="1"/>
  <c r="BX168" i="83" s="1"/>
  <c r="BX197" i="83"/>
  <c r="CA197" i="83"/>
  <c r="Y217" i="83"/>
  <c r="Z217" i="83" s="1"/>
  <c r="AP217" i="83" s="1"/>
  <c r="AQ217" i="83" s="1"/>
  <c r="BX217" i="83" s="1"/>
  <c r="BZ217" i="83" s="1"/>
  <c r="BB275" i="83"/>
  <c r="Y289" i="83"/>
  <c r="Z289" i="83" s="1"/>
  <c r="AP289" i="83" s="1"/>
  <c r="AQ289" i="83" s="1"/>
  <c r="BX289" i="83" s="1"/>
  <c r="BZ289" i="83" s="1"/>
  <c r="Z295" i="83"/>
  <c r="AP295" i="83" s="1"/>
  <c r="AQ295" i="83" s="1"/>
  <c r="BX295" i="83" s="1"/>
  <c r="BP302" i="83"/>
  <c r="Y303" i="83"/>
  <c r="Z303" i="83" s="1"/>
  <c r="AP303" i="83" s="1"/>
  <c r="AQ303" i="83" s="1"/>
  <c r="BX303" i="83" s="1"/>
  <c r="CA303" i="83" s="1"/>
  <c r="Y326" i="83"/>
  <c r="Z326" i="83" s="1"/>
  <c r="AP326" i="83" s="1"/>
  <c r="AQ326" i="83" s="1"/>
  <c r="BX326" i="83" s="1"/>
  <c r="CA326" i="83" s="1"/>
  <c r="BP333" i="83"/>
  <c r="Y348" i="83"/>
  <c r="Z348" i="83" s="1"/>
  <c r="AP348" i="83" s="1"/>
  <c r="AQ348" i="83" s="1"/>
  <c r="BX348" i="83" s="1"/>
  <c r="CA348" i="83" s="1"/>
  <c r="Y352" i="83"/>
  <c r="Z352" i="83" s="1"/>
  <c r="AP352" i="83" s="1"/>
  <c r="AQ352" i="83" s="1"/>
  <c r="BX352" i="83" s="1"/>
  <c r="CA352" i="83" s="1"/>
  <c r="Y355" i="83"/>
  <c r="BB359" i="83"/>
  <c r="Y361" i="83"/>
  <c r="Z361" i="83" s="1"/>
  <c r="AP361" i="83" s="1"/>
  <c r="AQ361" i="83" s="1"/>
  <c r="BX361" i="83" s="1"/>
  <c r="BB410" i="83"/>
  <c r="BP429" i="83"/>
  <c r="Y435" i="83"/>
  <c r="Z435" i="83" s="1"/>
  <c r="AP435" i="83" s="1"/>
  <c r="AQ435" i="83" s="1"/>
  <c r="BX435" i="83" s="1"/>
  <c r="BB462" i="83"/>
  <c r="BP476" i="83"/>
  <c r="BB476" i="83"/>
  <c r="BB482" i="83"/>
  <c r="BB506" i="83"/>
  <c r="Y568" i="83"/>
  <c r="Z568" i="83" s="1"/>
  <c r="AP568" i="83" s="1"/>
  <c r="AQ568" i="83" s="1"/>
  <c r="BX568" i="83" s="1"/>
  <c r="CA568" i="83" s="1"/>
  <c r="BB570" i="83"/>
  <c r="BP570" i="83"/>
  <c r="BB832" i="83"/>
  <c r="BP832" i="83"/>
  <c r="Y93" i="83"/>
  <c r="Z93" i="83" s="1"/>
  <c r="AP93" i="83" s="1"/>
  <c r="AQ93" i="83" s="1"/>
  <c r="BX93" i="83" s="1"/>
  <c r="Y147" i="83"/>
  <c r="Z147" i="83" s="1"/>
  <c r="AP147" i="83" s="1"/>
  <c r="AQ147" i="83" s="1"/>
  <c r="BX147" i="83" s="1"/>
  <c r="BB219" i="83"/>
  <c r="BB265" i="83"/>
  <c r="BB268" i="83"/>
  <c r="BP273" i="83"/>
  <c r="BB298" i="83"/>
  <c r="BB325" i="83"/>
  <c r="BP339" i="83"/>
  <c r="BZ339" i="83" s="1"/>
  <c r="BP362" i="83"/>
  <c r="Y408" i="83"/>
  <c r="Z408" i="83" s="1"/>
  <c r="AP408" i="83" s="1"/>
  <c r="AQ408" i="83" s="1"/>
  <c r="BX408" i="83" s="1"/>
  <c r="BB442" i="83"/>
  <c r="BP442" i="83"/>
  <c r="Y481" i="83"/>
  <c r="Z481" i="83" s="1"/>
  <c r="AP481" i="83" s="1"/>
  <c r="AQ481" i="83" s="1"/>
  <c r="BX481" i="83" s="1"/>
  <c r="Y491" i="83"/>
  <c r="Z491" i="83" s="1"/>
  <c r="AP491" i="83" s="1"/>
  <c r="AQ491" i="83" s="1"/>
  <c r="BX491" i="83" s="1"/>
  <c r="BB540" i="83"/>
  <c r="BP540" i="83"/>
  <c r="BP555" i="83"/>
  <c r="BB555" i="83"/>
  <c r="BP183" i="83"/>
  <c r="BB184" i="83"/>
  <c r="BP207" i="83"/>
  <c r="BB216" i="83"/>
  <c r="BB237" i="83"/>
  <c r="BB240" i="83"/>
  <c r="BP251" i="83"/>
  <c r="BB271" i="83"/>
  <c r="BB285" i="83"/>
  <c r="AP336" i="83"/>
  <c r="AQ336" i="83" s="1"/>
  <c r="BX336" i="83" s="1"/>
  <c r="BB354" i="83"/>
  <c r="BB406" i="83"/>
  <c r="BB489" i="83"/>
  <c r="BP574" i="83"/>
  <c r="BB574" i="83"/>
  <c r="BB596" i="83"/>
  <c r="BP596" i="83"/>
  <c r="BB606" i="83"/>
  <c r="BZ606" i="83"/>
  <c r="BP138" i="83"/>
  <c r="BB188" i="83"/>
  <c r="BP195" i="83"/>
  <c r="BP204" i="83"/>
  <c r="BB205" i="83"/>
  <c r="Y236" i="83"/>
  <c r="Z236" i="83" s="1"/>
  <c r="AP236" i="83" s="1"/>
  <c r="AQ236" i="83" s="1"/>
  <c r="BX236" i="83" s="1"/>
  <c r="CA236" i="83" s="1"/>
  <c r="BP313" i="83"/>
  <c r="BB485" i="83"/>
  <c r="BP485" i="83"/>
  <c r="BB562" i="83"/>
  <c r="BP562" i="83"/>
  <c r="BA678" i="83"/>
  <c r="BK678" i="83"/>
  <c r="BO678" i="83" s="1"/>
  <c r="BP678" i="83"/>
  <c r="BB769" i="83"/>
  <c r="BP769" i="83"/>
  <c r="BP280" i="83"/>
  <c r="BP311" i="83"/>
  <c r="Y339" i="83"/>
  <c r="Y344" i="83"/>
  <c r="Z344" i="83" s="1"/>
  <c r="AP344" i="83" s="1"/>
  <c r="AQ344" i="83" s="1"/>
  <c r="BX344" i="83" s="1"/>
  <c r="BB372" i="83"/>
  <c r="BP372" i="83"/>
  <c r="BP376" i="83"/>
  <c r="BB376" i="83"/>
  <c r="BB473" i="83"/>
  <c r="BP473" i="83"/>
  <c r="Y545" i="83"/>
  <c r="Z545" i="83" s="1"/>
  <c r="AP545" i="83" s="1"/>
  <c r="AQ545" i="83" s="1"/>
  <c r="BX545" i="83" s="1"/>
  <c r="BP580" i="83"/>
  <c r="BB580" i="83"/>
  <c r="BB723" i="83"/>
  <c r="BP723" i="83"/>
  <c r="Y374" i="83"/>
  <c r="Z374" i="83" s="1"/>
  <c r="AP374" i="83" s="1"/>
  <c r="AQ374" i="83" s="1"/>
  <c r="BX374" i="83" s="1"/>
  <c r="Z376" i="83"/>
  <c r="AP376" i="83" s="1"/>
  <c r="AQ376" i="83" s="1"/>
  <c r="BX376" i="83" s="1"/>
  <c r="BB388" i="83"/>
  <c r="Y390" i="83"/>
  <c r="Z390" i="83" s="1"/>
  <c r="AP390" i="83" s="1"/>
  <c r="AQ390" i="83" s="1"/>
  <c r="BX390" i="83" s="1"/>
  <c r="BZ390" i="83" s="1"/>
  <c r="BX422" i="83"/>
  <c r="BK433" i="83"/>
  <c r="BO433" i="83"/>
  <c r="BP433" i="83" s="1"/>
  <c r="Z441" i="83"/>
  <c r="AP441" i="83" s="1"/>
  <c r="AQ441" i="83" s="1"/>
  <c r="BX441" i="83" s="1"/>
  <c r="BZ441" i="83" s="1"/>
  <c r="AQ449" i="83"/>
  <c r="BX449" i="83" s="1"/>
  <c r="Y455" i="83"/>
  <c r="BB467" i="83"/>
  <c r="Z469" i="83"/>
  <c r="AP469" i="83" s="1"/>
  <c r="AQ469" i="83" s="1"/>
  <c r="BX469" i="83" s="1"/>
  <c r="CA469" i="83" s="1"/>
  <c r="Z473" i="83"/>
  <c r="AP473" i="83" s="1"/>
  <c r="AQ473" i="83" s="1"/>
  <c r="BX473" i="83" s="1"/>
  <c r="Y476" i="83"/>
  <c r="Y479" i="83"/>
  <c r="Z479" i="83" s="1"/>
  <c r="AP479" i="83" s="1"/>
  <c r="AQ479" i="83" s="1"/>
  <c r="BX479" i="83" s="1"/>
  <c r="BZ479" i="83" s="1"/>
  <c r="BB483" i="83"/>
  <c r="Y492" i="83"/>
  <c r="Z492" i="83" s="1"/>
  <c r="AP492" i="83" s="1"/>
  <c r="AQ492" i="83" s="1"/>
  <c r="BX492" i="83" s="1"/>
  <c r="CA492" i="83" s="1"/>
  <c r="Y498" i="83"/>
  <c r="BP498" i="83"/>
  <c r="Y501" i="83"/>
  <c r="Z501" i="83" s="1"/>
  <c r="AP501" i="83" s="1"/>
  <c r="AQ501" i="83" s="1"/>
  <c r="BX501" i="83" s="1"/>
  <c r="Y511" i="83"/>
  <c r="Z511" i="83" s="1"/>
  <c r="AP511" i="83" s="1"/>
  <c r="AQ511" i="83" s="1"/>
  <c r="BX511" i="83" s="1"/>
  <c r="BP514" i="83"/>
  <c r="BB517" i="83"/>
  <c r="BB536" i="83"/>
  <c r="BB541" i="83"/>
  <c r="Y551" i="83"/>
  <c r="BP559" i="83"/>
  <c r="Y562" i="83"/>
  <c r="Z562" i="83" s="1"/>
  <c r="AP562" i="83" s="1"/>
  <c r="AQ562" i="83" s="1"/>
  <c r="BX562" i="83" s="1"/>
  <c r="Z565" i="83"/>
  <c r="AP565" i="83" s="1"/>
  <c r="AQ565" i="83" s="1"/>
  <c r="BX565" i="83" s="1"/>
  <c r="CA565" i="83" s="1"/>
  <c r="Y587" i="83"/>
  <c r="Z587" i="83" s="1"/>
  <c r="AP587" i="83" s="1"/>
  <c r="AQ587" i="83" s="1"/>
  <c r="BX587" i="83" s="1"/>
  <c r="CA587" i="83" s="1"/>
  <c r="Y590" i="83"/>
  <c r="Z590" i="83" s="1"/>
  <c r="AP590" i="83" s="1"/>
  <c r="AQ590" i="83" s="1"/>
  <c r="Y605" i="83"/>
  <c r="BP634" i="83"/>
  <c r="BB634" i="83"/>
  <c r="BP685" i="83"/>
  <c r="BB685" i="83"/>
  <c r="CA731" i="83"/>
  <c r="BZ731" i="83"/>
  <c r="BB434" i="83"/>
  <c r="Y439" i="83"/>
  <c r="Z439" i="83" s="1"/>
  <c r="AP439" i="83" s="1"/>
  <c r="AQ439" i="83" s="1"/>
  <c r="BX439" i="83" s="1"/>
  <c r="BP530" i="83"/>
  <c r="Y555" i="83"/>
  <c r="Z555" i="83" s="1"/>
  <c r="AP555" i="83" s="1"/>
  <c r="AQ555" i="83" s="1"/>
  <c r="BX555" i="83" s="1"/>
  <c r="CA555" i="83" s="1"/>
  <c r="BB571" i="83"/>
  <c r="BK590" i="83"/>
  <c r="BO590" i="83" s="1"/>
  <c r="BP590" i="83" s="1"/>
  <c r="Y603" i="83"/>
  <c r="Z603" i="83" s="1"/>
  <c r="AP603" i="83" s="1"/>
  <c r="AQ603" i="83" s="1"/>
  <c r="BX603" i="83" s="1"/>
  <c r="Y611" i="83"/>
  <c r="Z611" i="83" s="1"/>
  <c r="AP611" i="83" s="1"/>
  <c r="AQ611" i="83" s="1"/>
  <c r="BX611" i="83" s="1"/>
  <c r="Y618" i="83"/>
  <c r="Z618" i="83" s="1"/>
  <c r="AP618" i="83"/>
  <c r="AQ618" i="83" s="1"/>
  <c r="BX618" i="83" s="1"/>
  <c r="Y619" i="83"/>
  <c r="Z619" i="83" s="1"/>
  <c r="AP619" i="83" s="1"/>
  <c r="AQ619" i="83" s="1"/>
  <c r="BX619" i="83" s="1"/>
  <c r="BP647" i="83"/>
  <c r="BB706" i="83"/>
  <c r="BP706" i="83"/>
  <c r="BB753" i="83"/>
  <c r="BP753" i="83"/>
  <c r="BB757" i="83"/>
  <c r="BP757" i="83"/>
  <c r="BB782" i="83"/>
  <c r="BP782" i="83"/>
  <c r="BB857" i="83"/>
  <c r="BP857" i="83"/>
  <c r="Y377" i="83"/>
  <c r="Z377" i="83" s="1"/>
  <c r="AP377" i="83" s="1"/>
  <c r="AQ377" i="83" s="1"/>
  <c r="BX377" i="83" s="1"/>
  <c r="BZ377" i="83" s="1"/>
  <c r="Z410" i="83"/>
  <c r="AP410" i="83" s="1"/>
  <c r="AQ410" i="83" s="1"/>
  <c r="BX410" i="83" s="1"/>
  <c r="Y450" i="83"/>
  <c r="Y452" i="83"/>
  <c r="BP452" i="83"/>
  <c r="BZ452" i="83" s="1"/>
  <c r="BB464" i="83"/>
  <c r="BB468" i="83"/>
  <c r="BB472" i="83"/>
  <c r="Y480" i="83"/>
  <c r="Z480" i="83" s="1"/>
  <c r="AP480" i="83" s="1"/>
  <c r="AQ480" i="83" s="1"/>
  <c r="BX480" i="83"/>
  <c r="Y489" i="83"/>
  <c r="Z489" i="83" s="1"/>
  <c r="AP489" i="83" s="1"/>
  <c r="AQ489" i="83" s="1"/>
  <c r="BX489" i="83" s="1"/>
  <c r="Y496" i="83"/>
  <c r="Z496" i="83" s="1"/>
  <c r="AP496" i="83" s="1"/>
  <c r="AQ496" i="83" s="1"/>
  <c r="BX496" i="83" s="1"/>
  <c r="BB518" i="83"/>
  <c r="BB529" i="83"/>
  <c r="Y543" i="83"/>
  <c r="Z543" i="83" s="1"/>
  <c r="AP543" i="83" s="1"/>
  <c r="AQ543" i="83" s="1"/>
  <c r="BX543" i="83" s="1"/>
  <c r="BP560" i="83"/>
  <c r="BB561" i="83"/>
  <c r="BP610" i="83"/>
  <c r="Y620" i="83"/>
  <c r="Z620" i="83" s="1"/>
  <c r="AP620" i="83" s="1"/>
  <c r="AQ620" i="83"/>
  <c r="BX620" i="83" s="1"/>
  <c r="CA620" i="83" s="1"/>
  <c r="BP659" i="83"/>
  <c r="BB659" i="83"/>
  <c r="BB728" i="83"/>
  <c r="BP728" i="83"/>
  <c r="BB889" i="83"/>
  <c r="BP889" i="83"/>
  <c r="BP404" i="83"/>
  <c r="Y423" i="83"/>
  <c r="Z423" i="83" s="1"/>
  <c r="AP423" i="83" s="1"/>
  <c r="AQ423" i="83" s="1"/>
  <c r="BX423" i="83" s="1"/>
  <c r="BP423" i="83"/>
  <c r="BB435" i="83"/>
  <c r="BZ450" i="83"/>
  <c r="BP544" i="83"/>
  <c r="BB750" i="83"/>
  <c r="BP750" i="83"/>
  <c r="BP826" i="83"/>
  <c r="BB826" i="83"/>
  <c r="BP382" i="83"/>
  <c r="BP408" i="83"/>
  <c r="BP413" i="83"/>
  <c r="BB451" i="83"/>
  <c r="Y467" i="83"/>
  <c r="Z467" i="83" s="1"/>
  <c r="AP467" i="83" s="1"/>
  <c r="AQ467" i="83" s="1"/>
  <c r="BX467" i="83" s="1"/>
  <c r="Y483" i="83"/>
  <c r="Z483" i="83" s="1"/>
  <c r="AP483" i="83" s="1"/>
  <c r="AQ483" i="83" s="1"/>
  <c r="BX483" i="83" s="1"/>
  <c r="BB492" i="83"/>
  <c r="Y503" i="83"/>
  <c r="Z503" i="83" s="1"/>
  <c r="AP503" i="83" s="1"/>
  <c r="AQ503" i="83" s="1"/>
  <c r="BX503" i="83" s="1"/>
  <c r="Y509" i="83"/>
  <c r="Z509" i="83" s="1"/>
  <c r="AP509" i="83" s="1"/>
  <c r="AQ509" i="83" s="1"/>
  <c r="BX509" i="83" s="1"/>
  <c r="Y510" i="83"/>
  <c r="Z510" i="83" s="1"/>
  <c r="AP510" i="83" s="1"/>
  <c r="AQ510" i="83" s="1"/>
  <c r="BX510" i="83" s="1"/>
  <c r="BZ510" i="83" s="1"/>
  <c r="BP511" i="83"/>
  <c r="Y514" i="83"/>
  <c r="Z514" i="83" s="1"/>
  <c r="AP514" i="83" s="1"/>
  <c r="AQ514" i="83" s="1"/>
  <c r="BX514" i="83" s="1"/>
  <c r="Y541" i="83"/>
  <c r="Z541" i="83" s="1"/>
  <c r="AP541" i="83" s="1"/>
  <c r="AQ541" i="83" s="1"/>
  <c r="BX541" i="83" s="1"/>
  <c r="Y544" i="83"/>
  <c r="Z544" i="83" s="1"/>
  <c r="AP544" i="83" s="1"/>
  <c r="AQ544" i="83" s="1"/>
  <c r="BX544" i="83" s="1"/>
  <c r="Y560" i="83"/>
  <c r="Z560" i="83" s="1"/>
  <c r="AP560" i="83" s="1"/>
  <c r="AQ560" i="83" s="1"/>
  <c r="BX560" i="83" s="1"/>
  <c r="BP564" i="83"/>
  <c r="Y567" i="83"/>
  <c r="Z567" i="83" s="1"/>
  <c r="AP567" i="83" s="1"/>
  <c r="AQ567" i="83" s="1"/>
  <c r="BX567" i="83" s="1"/>
  <c r="CA567" i="83" s="1"/>
  <c r="BP586" i="83"/>
  <c r="BP597" i="83"/>
  <c r="Y601" i="83"/>
  <c r="Z601" i="83" s="1"/>
  <c r="AP601" i="83" s="1"/>
  <c r="AQ601" i="83" s="1"/>
  <c r="BX601" i="83" s="1"/>
  <c r="Y604" i="83"/>
  <c r="Z604" i="83" s="1"/>
  <c r="AP604" i="83" s="1"/>
  <c r="AQ604" i="83" s="1"/>
  <c r="BX604" i="83" s="1"/>
  <c r="BB623" i="83"/>
  <c r="BP623" i="83"/>
  <c r="BZ623" i="83" s="1"/>
  <c r="BP639" i="83"/>
  <c r="BP655" i="83"/>
  <c r="BB655" i="83"/>
  <c r="BB812" i="83"/>
  <c r="BP812" i="83"/>
  <c r="AQ454" i="83"/>
  <c r="BX454" i="83"/>
  <c r="Y564" i="83"/>
  <c r="Z564" i="83" s="1"/>
  <c r="AP564" i="83" s="1"/>
  <c r="AQ564" i="83" s="1"/>
  <c r="BX564" i="83" s="1"/>
  <c r="CA564" i="83" s="1"/>
  <c r="Y586" i="83"/>
  <c r="Z586" i="83" s="1"/>
  <c r="AP586" i="83" s="1"/>
  <c r="AQ586" i="83" s="1"/>
  <c r="BX586" i="83" s="1"/>
  <c r="BP598" i="83"/>
  <c r="BP618" i="83"/>
  <c r="BB618" i="83"/>
  <c r="BB646" i="83"/>
  <c r="BP646" i="83"/>
  <c r="BB703" i="83"/>
  <c r="BP703" i="83"/>
  <c r="BB838" i="83"/>
  <c r="BP838" i="83"/>
  <c r="BB855" i="83"/>
  <c r="BP855" i="83"/>
  <c r="BP861" i="83"/>
  <c r="BB885" i="83"/>
  <c r="BP885" i="83"/>
  <c r="Y628" i="83"/>
  <c r="Z628" i="83" s="1"/>
  <c r="AP628" i="83" s="1"/>
  <c r="AQ628" i="83" s="1"/>
  <c r="BX628" i="83" s="1"/>
  <c r="Y636" i="83"/>
  <c r="Z636" i="83" s="1"/>
  <c r="AP636" i="83" s="1"/>
  <c r="AQ636" i="83" s="1"/>
  <c r="BX636" i="83" s="1"/>
  <c r="CA636" i="83" s="1"/>
  <c r="BP658" i="83"/>
  <c r="Y678" i="83"/>
  <c r="Z678" i="83" s="1"/>
  <c r="AP678" i="83" s="1"/>
  <c r="AQ678" i="83" s="1"/>
  <c r="AQ681" i="83"/>
  <c r="BX681" i="83"/>
  <c r="CA681" i="83" s="1"/>
  <c r="Y682" i="83"/>
  <c r="AQ687" i="83"/>
  <c r="BX687" i="83"/>
  <c r="BZ687" i="83" s="1"/>
  <c r="BB691" i="83"/>
  <c r="BP694" i="83"/>
  <c r="BB697" i="83"/>
  <c r="Y699" i="83"/>
  <c r="Z699" i="83" s="1"/>
  <c r="AP699" i="83" s="1"/>
  <c r="AQ699" i="83" s="1"/>
  <c r="BX699" i="83" s="1"/>
  <c r="BP699" i="83"/>
  <c r="BB700" i="83"/>
  <c r="Y702" i="83"/>
  <c r="Z702" i="83" s="1"/>
  <c r="AP702" i="83" s="1"/>
  <c r="AQ702" i="83" s="1"/>
  <c r="BX702" i="83" s="1"/>
  <c r="Y708" i="83"/>
  <c r="Z708" i="83" s="1"/>
  <c r="AP708" i="83" s="1"/>
  <c r="AQ708" i="83" s="1"/>
  <c r="BX708" i="83" s="1"/>
  <c r="Y713" i="83"/>
  <c r="Z713" i="83" s="1"/>
  <c r="AP713" i="83" s="1"/>
  <c r="AQ713" i="83" s="1"/>
  <c r="BX713" i="83" s="1"/>
  <c r="Y717" i="83"/>
  <c r="Z717" i="83" s="1"/>
  <c r="AP717" i="83" s="1"/>
  <c r="AQ717" i="83" s="1"/>
  <c r="BX717" i="83" s="1"/>
  <c r="BB718" i="83"/>
  <c r="BB731" i="83"/>
  <c r="Y732" i="83"/>
  <c r="Z732" i="83" s="1"/>
  <c r="AP732" i="83" s="1"/>
  <c r="AQ732" i="83" s="1"/>
  <c r="BX732" i="83" s="1"/>
  <c r="CA732" i="83" s="1"/>
  <c r="Y735" i="83"/>
  <c r="Z735" i="83" s="1"/>
  <c r="AP735" i="83" s="1"/>
  <c r="AQ735" i="83" s="1"/>
  <c r="BX735" i="83" s="1"/>
  <c r="BB736" i="83"/>
  <c r="BP744" i="83"/>
  <c r="Y752" i="83"/>
  <c r="Z752" i="83" s="1"/>
  <c r="AP752" i="83" s="1"/>
  <c r="AQ752" i="83" s="1"/>
  <c r="BX752" i="83" s="1"/>
  <c r="BB760" i="83"/>
  <c r="BP761" i="83"/>
  <c r="BP787" i="83"/>
  <c r="BB788" i="83"/>
  <c r="Y790" i="83"/>
  <c r="Z790" i="83" s="1"/>
  <c r="AP790" i="83" s="1"/>
  <c r="Y793" i="83"/>
  <c r="Y798" i="83"/>
  <c r="Z798" i="83" s="1"/>
  <c r="AP798" i="83" s="1"/>
  <c r="AQ798" i="83" s="1"/>
  <c r="BX798" i="83" s="1"/>
  <c r="BB803" i="83"/>
  <c r="BB822" i="83"/>
  <c r="Y823" i="83"/>
  <c r="Z823" i="83" s="1"/>
  <c r="AP823" i="83" s="1"/>
  <c r="AQ823" i="83" s="1"/>
  <c r="BX823" i="83" s="1"/>
  <c r="Y837" i="83"/>
  <c r="Z837" i="83" s="1"/>
  <c r="AP837" i="83" s="1"/>
  <c r="AQ837" i="83" s="1"/>
  <c r="BX837" i="83" s="1"/>
  <c r="Y852" i="83"/>
  <c r="Z852" i="83" s="1"/>
  <c r="AP852" i="83" s="1"/>
  <c r="AQ852" i="83" s="1"/>
  <c r="BX852" i="83" s="1"/>
  <c r="Y863" i="83"/>
  <c r="Z863" i="83" s="1"/>
  <c r="AP863" i="83" s="1"/>
  <c r="AQ863" i="83" s="1"/>
  <c r="BX863" i="83" s="1"/>
  <c r="Y872" i="83"/>
  <c r="Z872" i="83" s="1"/>
  <c r="AP872" i="83" s="1"/>
  <c r="AQ872" i="83" s="1"/>
  <c r="BX872" i="83" s="1"/>
  <c r="Y694" i="83"/>
  <c r="Z694" i="83" s="1"/>
  <c r="AP694" i="83" s="1"/>
  <c r="AQ694" i="83" s="1"/>
  <c r="BX694" i="83" s="1"/>
  <c r="BB696" i="83"/>
  <c r="BB763" i="83"/>
  <c r="Y875" i="83"/>
  <c r="Z875" i="83" s="1"/>
  <c r="AP875" i="83" s="1"/>
  <c r="AQ875" i="83" s="1"/>
  <c r="Y880" i="83"/>
  <c r="Z880" i="83" s="1"/>
  <c r="AP880" i="83" s="1"/>
  <c r="AQ880" i="83" s="1"/>
  <c r="BX880" i="83" s="1"/>
  <c r="Y882" i="83"/>
  <c r="Z882" i="83" s="1"/>
  <c r="AP882" i="83" s="1"/>
  <c r="AQ882" i="83" s="1"/>
  <c r="BX882" i="83" s="1"/>
  <c r="Y888" i="83"/>
  <c r="Z888" i="83" s="1"/>
  <c r="AP888" i="83" s="1"/>
  <c r="AQ888" i="83" s="1"/>
  <c r="BX888" i="83" s="1"/>
  <c r="BP781" i="83"/>
  <c r="Y836" i="83"/>
  <c r="Z836" i="83" s="1"/>
  <c r="AP836" i="83" s="1"/>
  <c r="AQ836" i="83" s="1"/>
  <c r="BX836" i="83" s="1"/>
  <c r="Y841" i="83"/>
  <c r="Z841" i="83" s="1"/>
  <c r="AP841" i="83" s="1"/>
  <c r="AQ841" i="83" s="1"/>
  <c r="BX841" i="83" s="1"/>
  <c r="Y857" i="83"/>
  <c r="Z857" i="83" s="1"/>
  <c r="AP857" i="83" s="1"/>
  <c r="AQ857" i="83" s="1"/>
  <c r="BX857" i="83" s="1"/>
  <c r="BP860" i="83"/>
  <c r="Y868" i="83"/>
  <c r="Z868" i="83" s="1"/>
  <c r="AP868" i="83" s="1"/>
  <c r="AQ868" i="83" s="1"/>
  <c r="BX868" i="83" s="1"/>
  <c r="Y625" i="83"/>
  <c r="Z625" i="83" s="1"/>
  <c r="AP625" i="83"/>
  <c r="AQ625" i="83" s="1"/>
  <c r="BX625" i="83" s="1"/>
  <c r="BP633" i="83"/>
  <c r="Y649" i="83"/>
  <c r="Z649" i="83" s="1"/>
  <c r="AP649" i="83" s="1"/>
  <c r="AQ649" i="83" s="1"/>
  <c r="BX649" i="83" s="1"/>
  <c r="Y655" i="83"/>
  <c r="Z655" i="83" s="1"/>
  <c r="AP655" i="83" s="1"/>
  <c r="AQ655" i="83" s="1"/>
  <c r="BX655" i="83" s="1"/>
  <c r="CA655" i="83" s="1"/>
  <c r="BB676" i="83"/>
  <c r="Y679" i="83"/>
  <c r="Z679" i="83" s="1"/>
  <c r="AP679" i="83" s="1"/>
  <c r="AQ679" i="83" s="1"/>
  <c r="BX679" i="83" s="1"/>
  <c r="Y680" i="83"/>
  <c r="Y683" i="83"/>
  <c r="AQ685" i="83"/>
  <c r="BX685" i="83" s="1"/>
  <c r="Y688" i="83"/>
  <c r="BB692" i="83"/>
  <c r="Y710" i="83"/>
  <c r="Z710" i="83" s="1"/>
  <c r="AP710" i="83" s="1"/>
  <c r="AQ710" i="83" s="1"/>
  <c r="BX710" i="83" s="1"/>
  <c r="BZ710" i="83" s="1"/>
  <c r="BP715" i="83"/>
  <c r="BP730" i="83"/>
  <c r="BX733" i="83"/>
  <c r="Y736" i="83"/>
  <c r="Z736" i="83" s="1"/>
  <c r="AP736" i="83" s="1"/>
  <c r="AQ736" i="83" s="1"/>
  <c r="BX736" i="83" s="1"/>
  <c r="CA736" i="83" s="1"/>
  <c r="Y739" i="83"/>
  <c r="Z739" i="83" s="1"/>
  <c r="AP739" i="83" s="1"/>
  <c r="AQ739" i="83" s="1"/>
  <c r="BX739" i="83" s="1"/>
  <c r="BB749" i="83"/>
  <c r="BB756" i="83"/>
  <c r="Y760" i="83"/>
  <c r="Z760" i="83" s="1"/>
  <c r="AP760" i="83" s="1"/>
  <c r="AQ760" i="83" s="1"/>
  <c r="BX760" i="83" s="1"/>
  <c r="BB764" i="83"/>
  <c r="Y766" i="83"/>
  <c r="Z766" i="83" s="1"/>
  <c r="AP766" i="83" s="1"/>
  <c r="AQ766" i="83" s="1"/>
  <c r="BX766" i="83" s="1"/>
  <c r="BP796" i="83"/>
  <c r="Y802" i="83"/>
  <c r="Z802" i="83"/>
  <c r="AP802" i="83" s="1"/>
  <c r="AQ802" i="83" s="1"/>
  <c r="BX802" i="83" s="1"/>
  <c r="BB807" i="83"/>
  <c r="BB811" i="83"/>
  <c r="BB816" i="83"/>
  <c r="BB825" i="83"/>
  <c r="Y832" i="83"/>
  <c r="Z832" i="83" s="1"/>
  <c r="AP832" i="83" s="1"/>
  <c r="AQ832" i="83" s="1"/>
  <c r="BX832" i="83" s="1"/>
  <c r="BB835" i="83"/>
  <c r="BB837" i="83"/>
  <c r="BP851" i="83"/>
  <c r="BP859" i="83"/>
  <c r="BB862" i="83"/>
  <c r="BP866" i="83"/>
  <c r="BB868" i="83"/>
  <c r="BP870" i="83"/>
  <c r="BB874" i="83"/>
  <c r="BP669" i="83"/>
  <c r="Y613" i="83"/>
  <c r="Z613" i="83" s="1"/>
  <c r="AP613" i="83" s="1"/>
  <c r="AQ613" i="83" s="1"/>
  <c r="BX613" i="83" s="1"/>
  <c r="Y621" i="83"/>
  <c r="Z621" i="83" s="1"/>
  <c r="AP621" i="83" s="1"/>
  <c r="AQ621" i="83" s="1"/>
  <c r="BX621" i="83" s="1"/>
  <c r="Y640" i="83"/>
  <c r="Z640" i="83" s="1"/>
  <c r="AP640" i="83" s="1"/>
  <c r="AQ640" i="83" s="1"/>
  <c r="BX640" i="83" s="1"/>
  <c r="Y646" i="83"/>
  <c r="Z646" i="83" s="1"/>
  <c r="AP646" i="83" s="1"/>
  <c r="AQ646" i="83" s="1"/>
  <c r="BX646" i="83" s="1"/>
  <c r="BZ646" i="83" s="1"/>
  <c r="BB648" i="83"/>
  <c r="Y673" i="83"/>
  <c r="Z673" i="83" s="1"/>
  <c r="AP673" i="83" s="1"/>
  <c r="AQ673" i="83" s="1"/>
  <c r="BX673" i="83" s="1"/>
  <c r="BB687" i="83"/>
  <c r="BP689" i="83"/>
  <c r="Y698" i="83"/>
  <c r="Z698" i="83" s="1"/>
  <c r="AP698" i="83" s="1"/>
  <c r="AQ698" i="83" s="1"/>
  <c r="BX698" i="83" s="1"/>
  <c r="Y707" i="83"/>
  <c r="Z707" i="83" s="1"/>
  <c r="AP707" i="83" s="1"/>
  <c r="AQ707" i="83" s="1"/>
  <c r="BX707" i="83" s="1"/>
  <c r="Y724" i="83"/>
  <c r="Z724" i="83" s="1"/>
  <c r="AP724" i="83" s="1"/>
  <c r="AQ724" i="83" s="1"/>
  <c r="BX724" i="83" s="1"/>
  <c r="Y729" i="83"/>
  <c r="Z729" i="83" s="1"/>
  <c r="AP729" i="83" s="1"/>
  <c r="AQ729" i="83" s="1"/>
  <c r="BX729" i="83" s="1"/>
  <c r="BB738" i="83"/>
  <c r="BP740" i="83"/>
  <c r="Y743" i="83"/>
  <c r="Z743" i="83" s="1"/>
  <c r="AP743" i="83" s="1"/>
  <c r="AQ743" i="83" s="1"/>
  <c r="BX743" i="83" s="1"/>
  <c r="BP746" i="83"/>
  <c r="Y758" i="83"/>
  <c r="Z758" i="83" s="1"/>
  <c r="AP758" i="83" s="1"/>
  <c r="AQ758" i="83" s="1"/>
  <c r="BX758" i="83" s="1"/>
  <c r="Y770" i="83"/>
  <c r="Z770" i="83" s="1"/>
  <c r="AP770" i="83" s="1"/>
  <c r="AQ770" i="83" s="1"/>
  <c r="BX770" i="83" s="1"/>
  <c r="Y773" i="83"/>
  <c r="Z773" i="83" s="1"/>
  <c r="AP773" i="83" s="1"/>
  <c r="AQ773" i="83" s="1"/>
  <c r="Z781" i="83"/>
  <c r="AP781" i="83" s="1"/>
  <c r="AQ781" i="83" s="1"/>
  <c r="BX781" i="83" s="1"/>
  <c r="Y783" i="83"/>
  <c r="Z783" i="83" s="1"/>
  <c r="AP783" i="83" s="1"/>
  <c r="AQ783" i="83" s="1"/>
  <c r="BX783" i="83" s="1"/>
  <c r="BZ783" i="83" s="1"/>
  <c r="BB784" i="83"/>
  <c r="Y806" i="83"/>
  <c r="Z806" i="83" s="1"/>
  <c r="AP806" i="83" s="1"/>
  <c r="AQ806" i="83" s="1"/>
  <c r="BX806" i="83" s="1"/>
  <c r="Y811" i="83"/>
  <c r="Z811" i="83" s="1"/>
  <c r="AP811" i="83" s="1"/>
  <c r="AQ811" i="83" s="1"/>
  <c r="BX811" i="83" s="1"/>
  <c r="BZ811" i="83" s="1"/>
  <c r="Y848" i="83"/>
  <c r="Z848" i="83" s="1"/>
  <c r="AP848" i="83" s="1"/>
  <c r="AQ848" i="83" s="1"/>
  <c r="BX848" i="83" s="1"/>
  <c r="CA848" i="83" s="1"/>
  <c r="Y851" i="83"/>
  <c r="Z851" i="83" s="1"/>
  <c r="AP851" i="83" s="1"/>
  <c r="AQ851" i="83" s="1"/>
  <c r="BX851" i="83" s="1"/>
  <c r="Y664" i="83"/>
  <c r="Z664" i="83" s="1"/>
  <c r="AP664" i="83" s="1"/>
  <c r="AQ664" i="83" s="1"/>
  <c r="BX664" i="83" s="1"/>
  <c r="BP665" i="83"/>
  <c r="AQ692" i="83"/>
  <c r="BX692" i="83" s="1"/>
  <c r="Y722" i="83"/>
  <c r="Z722" i="83" s="1"/>
  <c r="AP722" i="83" s="1"/>
  <c r="AQ722" i="83" s="1"/>
  <c r="BX722" i="83" s="1"/>
  <c r="BP755" i="83"/>
  <c r="BP773" i="83"/>
  <c r="BP778" i="83"/>
  <c r="BP804" i="83"/>
  <c r="Y814" i="83"/>
  <c r="Z814" i="83" s="1"/>
  <c r="AP814" i="83" s="1"/>
  <c r="AQ814" i="83" s="1"/>
  <c r="Y845" i="83"/>
  <c r="Z845" i="83"/>
  <c r="AP845" i="83" s="1"/>
  <c r="AQ845" i="83" s="1"/>
  <c r="BX845" i="83" s="1"/>
  <c r="Y854" i="83"/>
  <c r="Z854" i="83" s="1"/>
  <c r="AP854" i="83" s="1"/>
  <c r="AQ854" i="83" s="1"/>
  <c r="BX854" i="83" s="1"/>
  <c r="Y887" i="83"/>
  <c r="Z887" i="83" s="1"/>
  <c r="AP887" i="83" s="1"/>
  <c r="AQ887" i="83" s="1"/>
  <c r="BX887" i="83" s="1"/>
  <c r="CA43" i="83"/>
  <c r="BZ43" i="83"/>
  <c r="CA95" i="83"/>
  <c r="CA48" i="83"/>
  <c r="BO8" i="83"/>
  <c r="BP8" i="83"/>
  <c r="BX42" i="83"/>
  <c r="BP33" i="83"/>
  <c r="BP36" i="83"/>
  <c r="BP48" i="83"/>
  <c r="BZ48" i="83"/>
  <c r="BP56" i="83"/>
  <c r="BP65" i="83"/>
  <c r="BP78" i="83"/>
  <c r="BP89" i="83"/>
  <c r="CA232" i="83"/>
  <c r="BP5" i="83"/>
  <c r="BP10" i="83"/>
  <c r="BP16" i="83"/>
  <c r="BP29" i="83"/>
  <c r="BP32" i="83"/>
  <c r="BP37" i="83"/>
  <c r="BK40" i="83"/>
  <c r="BO40" i="83" s="1"/>
  <c r="BP47" i="83"/>
  <c r="BP52" i="83"/>
  <c r="BP70" i="83"/>
  <c r="BP75" i="83"/>
  <c r="BP79" i="83"/>
  <c r="BP83" i="83"/>
  <c r="BB87" i="83"/>
  <c r="BP96" i="83"/>
  <c r="BP100" i="83"/>
  <c r="BP101" i="83"/>
  <c r="CA248" i="83"/>
  <c r="BP3" i="83"/>
  <c r="BC892" i="83"/>
  <c r="BB12" i="83"/>
  <c r="BP13" i="83"/>
  <c r="BB18" i="83"/>
  <c r="BB39" i="83"/>
  <c r="BB45" i="83"/>
  <c r="BB55" i="83"/>
  <c r="BB60" i="83"/>
  <c r="BP62" i="83"/>
  <c r="BB68" i="83"/>
  <c r="BB81" i="83"/>
  <c r="BP86" i="83"/>
  <c r="BB91" i="83"/>
  <c r="BB109" i="83"/>
  <c r="BP109" i="83"/>
  <c r="AM892" i="83"/>
  <c r="BB110" i="83"/>
  <c r="BP110" i="83"/>
  <c r="BZ110" i="83" s="1"/>
  <c r="CA110" i="83"/>
  <c r="BP20" i="83"/>
  <c r="BB102" i="83"/>
  <c r="BP129" i="83"/>
  <c r="BP4" i="83"/>
  <c r="BP34" i="83"/>
  <c r="CA159" i="83"/>
  <c r="CA211" i="83"/>
  <c r="BZ211" i="83"/>
  <c r="CA215" i="83"/>
  <c r="BZ215" i="83"/>
  <c r="BZ249" i="83"/>
  <c r="CA249" i="83"/>
  <c r="BB111" i="83"/>
  <c r="BB120" i="83"/>
  <c r="BB121" i="83"/>
  <c r="BB141" i="83"/>
  <c r="BP187" i="83"/>
  <c r="BP193" i="83"/>
  <c r="BZ193" i="83" s="1"/>
  <c r="BP222" i="83"/>
  <c r="BP229" i="83"/>
  <c r="BP236" i="83"/>
  <c r="BB236" i="83"/>
  <c r="BZ290" i="83"/>
  <c r="CA290" i="83"/>
  <c r="BZ320" i="83"/>
  <c r="CA320" i="83"/>
  <c r="CA386" i="83"/>
  <c r="BZ386" i="83"/>
  <c r="BK116" i="83"/>
  <c r="BO116" i="83" s="1"/>
  <c r="BP116" i="83" s="1"/>
  <c r="BP119" i="83"/>
  <c r="BP136" i="83"/>
  <c r="BP140" i="83"/>
  <c r="BP153" i="83"/>
  <c r="BP156" i="83"/>
  <c r="BP164" i="83"/>
  <c r="BP175" i="83"/>
  <c r="BZ175" i="83" s="1"/>
  <c r="BK178" i="83"/>
  <c r="BO178" i="83" s="1"/>
  <c r="BP178" i="83" s="1"/>
  <c r="BP185" i="83"/>
  <c r="BP190" i="83"/>
  <c r="BP196" i="83"/>
  <c r="BP199" i="83"/>
  <c r="BP208" i="83"/>
  <c r="BP226" i="83"/>
  <c r="BX321" i="83"/>
  <c r="CA355" i="83"/>
  <c r="BZ355" i="83"/>
  <c r="BP169" i="83"/>
  <c r="BP223" i="83"/>
  <c r="BP230" i="83"/>
  <c r="BP232" i="83"/>
  <c r="BZ232" i="83" s="1"/>
  <c r="BP254" i="83"/>
  <c r="BP337" i="83"/>
  <c r="BP172" i="83"/>
  <c r="BB198" i="83"/>
  <c r="BB201" i="83"/>
  <c r="BP239" i="83"/>
  <c r="BB239" i="83"/>
  <c r="BB255" i="83"/>
  <c r="BP255" i="83"/>
  <c r="BZ255" i="83" s="1"/>
  <c r="BB118" i="83"/>
  <c r="BP197" i="83"/>
  <c r="BB225" i="83"/>
  <c r="BP263" i="83"/>
  <c r="BP134" i="83"/>
  <c r="CA314" i="83"/>
  <c r="CA339" i="83"/>
  <c r="CA385" i="83"/>
  <c r="BZ385" i="83"/>
  <c r="BZ131" i="83"/>
  <c r="BP250" i="83"/>
  <c r="CA328" i="83"/>
  <c r="BZ328" i="83"/>
  <c r="BB248" i="83"/>
  <c r="BP248" i="83"/>
  <c r="BZ248" i="83" s="1"/>
  <c r="BB302" i="83"/>
  <c r="BB339" i="83"/>
  <c r="Y382" i="83"/>
  <c r="Z382" i="83" s="1"/>
  <c r="AP382" i="83" s="1"/>
  <c r="AQ382" i="83" s="1"/>
  <c r="BX382" i="83" s="1"/>
  <c r="CA382" i="83" s="1"/>
  <c r="CA395" i="83"/>
  <c r="CA425" i="83"/>
  <c r="BP283" i="83"/>
  <c r="BP292" i="83"/>
  <c r="BP297" i="83"/>
  <c r="BP301" i="83"/>
  <c r="BP307" i="83"/>
  <c r="BP310" i="83"/>
  <c r="BP323" i="83"/>
  <c r="BP332" i="83"/>
  <c r="BP335" i="83"/>
  <c r="BP367" i="83"/>
  <c r="BP371" i="83"/>
  <c r="BB282" i="83"/>
  <c r="BB289" i="83"/>
  <c r="BB290" i="83"/>
  <c r="BB294" i="83"/>
  <c r="BB305" i="83"/>
  <c r="BB309" i="83"/>
  <c r="BB329" i="83"/>
  <c r="BB369" i="83"/>
  <c r="BB373" i="83"/>
  <c r="Y388" i="83"/>
  <c r="Z388" i="83" s="1"/>
  <c r="AP388" i="83" s="1"/>
  <c r="AQ388" i="83" s="1"/>
  <c r="BX388" i="83" s="1"/>
  <c r="BP389" i="83"/>
  <c r="BB389" i="83"/>
  <c r="CA413" i="83"/>
  <c r="BP314" i="83"/>
  <c r="BZ314" i="83" s="1"/>
  <c r="BK317" i="83"/>
  <c r="BO317" i="83"/>
  <c r="BP317" i="83" s="1"/>
  <c r="BZ319" i="83"/>
  <c r="BK345" i="83"/>
  <c r="BO345" i="83" s="1"/>
  <c r="BP345" i="83" s="1"/>
  <c r="Y380" i="83"/>
  <c r="Z380" i="83" s="1"/>
  <c r="AP380" i="83" s="1"/>
  <c r="AQ380" i="83" s="1"/>
  <c r="BX380" i="83" s="1"/>
  <c r="BB387" i="83"/>
  <c r="BP387" i="83"/>
  <c r="BB379" i="83"/>
  <c r="BP379" i="83"/>
  <c r="BP395" i="83"/>
  <c r="BZ395" i="83"/>
  <c r="BP401" i="83"/>
  <c r="BP414" i="83"/>
  <c r="BP420" i="83"/>
  <c r="BP424" i="83"/>
  <c r="Y426" i="83"/>
  <c r="Z426" i="83" s="1"/>
  <c r="BP432" i="83"/>
  <c r="BP437" i="83"/>
  <c r="BP438" i="83"/>
  <c r="BP439" i="83"/>
  <c r="BB470" i="83"/>
  <c r="BP470" i="83"/>
  <c r="BB383" i="83"/>
  <c r="BP398" i="83"/>
  <c r="BB403" i="83"/>
  <c r="BP405" i="83"/>
  <c r="BP409" i="83"/>
  <c r="BP411" i="83"/>
  <c r="BP427" i="83"/>
  <c r="BB490" i="83"/>
  <c r="BP490" i="83"/>
  <c r="BX498" i="83"/>
  <c r="BB502" i="83"/>
  <c r="BP502" i="83"/>
  <c r="BB394" i="83"/>
  <c r="BB400" i="83"/>
  <c r="BB407" i="83"/>
  <c r="BB416" i="83"/>
  <c r="BP417" i="83"/>
  <c r="BP422" i="83"/>
  <c r="CA450" i="83"/>
  <c r="CA453" i="83"/>
  <c r="BZ453" i="83"/>
  <c r="BZ476" i="83"/>
  <c r="BB494" i="83"/>
  <c r="BP494" i="83"/>
  <c r="BP391" i="83"/>
  <c r="BP443" i="83"/>
  <c r="CA452" i="83"/>
  <c r="Y487" i="83"/>
  <c r="Z487" i="83" s="1"/>
  <c r="AP487" i="83" s="1"/>
  <c r="AQ487" i="83" s="1"/>
  <c r="BX487" i="83" s="1"/>
  <c r="BB421" i="83"/>
  <c r="BP425" i="83"/>
  <c r="BZ425" i="83" s="1"/>
  <c r="BB440" i="83"/>
  <c r="Y442" i="83"/>
  <c r="Z442" i="83" s="1"/>
  <c r="AP442" i="83" s="1"/>
  <c r="AQ442" i="83" s="1"/>
  <c r="BX442" i="83" s="1"/>
  <c r="BZ442" i="83" s="1"/>
  <c r="BB463" i="83"/>
  <c r="BP463" i="83"/>
  <c r="CA454" i="83"/>
  <c r="BZ454" i="83"/>
  <c r="BB455" i="83"/>
  <c r="BP455" i="83"/>
  <c r="CA530" i="83"/>
  <c r="BP444" i="83"/>
  <c r="BB444" i="83"/>
  <c r="BZ451" i="83"/>
  <c r="CA460" i="83"/>
  <c r="BB478" i="83"/>
  <c r="BP478" i="83"/>
  <c r="BB486" i="83"/>
  <c r="BP486" i="83"/>
  <c r="BP447" i="83"/>
  <c r="BB449" i="83"/>
  <c r="BB471" i="83"/>
  <c r="BB475" i="83"/>
  <c r="BB479" i="83"/>
  <c r="BB487" i="83"/>
  <c r="BB491" i="83"/>
  <c r="BB499" i="83"/>
  <c r="BB503" i="83"/>
  <c r="BB509" i="83"/>
  <c r="BB514" i="83"/>
  <c r="BP523" i="83"/>
  <c r="BZ523" i="83"/>
  <c r="BB523" i="83"/>
  <c r="Y535" i="83"/>
  <c r="Z535" i="83" s="1"/>
  <c r="BB572" i="83"/>
  <c r="BP572" i="83"/>
  <c r="CA551" i="83"/>
  <c r="BZ551" i="83"/>
  <c r="BB556" i="83"/>
  <c r="BP556" i="83"/>
  <c r="BZ556" i="83" s="1"/>
  <c r="BB504" i="83"/>
  <c r="Y527" i="83"/>
  <c r="Z527" i="83" s="1"/>
  <c r="Y529" i="83"/>
  <c r="Z529" i="83" s="1"/>
  <c r="AP529" i="83" s="1"/>
  <c r="AQ529" i="83" s="1"/>
  <c r="BX529" i="83" s="1"/>
  <c r="CA535" i="83"/>
  <c r="BZ535" i="83"/>
  <c r="BB458" i="83"/>
  <c r="BP460" i="83"/>
  <c r="BZ460" i="83" s="1"/>
  <c r="BB465" i="83"/>
  <c r="BB484" i="83"/>
  <c r="BB497" i="83"/>
  <c r="BP508" i="83"/>
  <c r="CA527" i="83"/>
  <c r="BZ527" i="83"/>
  <c r="BB534" i="83"/>
  <c r="BP534" i="83"/>
  <c r="BP516" i="83"/>
  <c r="BB526" i="83"/>
  <c r="BP526" i="83"/>
  <c r="Y531" i="83"/>
  <c r="Z531" i="83" s="1"/>
  <c r="AP531" i="83" s="1"/>
  <c r="AQ531" i="83" s="1"/>
  <c r="BX531" i="83" s="1"/>
  <c r="BZ531" i="83" s="1"/>
  <c r="Y556" i="83"/>
  <c r="BB566" i="83"/>
  <c r="BP566" i="83"/>
  <c r="BP513" i="83"/>
  <c r="BP522" i="83"/>
  <c r="BB522" i="83"/>
  <c r="CA550" i="83"/>
  <c r="BZ550" i="83"/>
  <c r="CA556" i="83"/>
  <c r="BB563" i="83"/>
  <c r="BP563" i="83"/>
  <c r="BB582" i="83"/>
  <c r="BP582" i="83"/>
  <c r="BZ582" i="83" s="1"/>
  <c r="BP510" i="83"/>
  <c r="Y524" i="83"/>
  <c r="Z524" i="83" s="1"/>
  <c r="AP524" i="83" s="1"/>
  <c r="AQ524" i="83" s="1"/>
  <c r="BX524" i="83" s="1"/>
  <c r="CA524" i="83" s="1"/>
  <c r="Y557" i="83"/>
  <c r="Z557" i="83" s="1"/>
  <c r="AP557" i="83" s="1"/>
  <c r="AQ557" i="83" s="1"/>
  <c r="BX557" i="83" s="1"/>
  <c r="Y595" i="83"/>
  <c r="Z595" i="83" s="1"/>
  <c r="AP595" i="83" s="1"/>
  <c r="AQ595" i="83" s="1"/>
  <c r="BX595" i="83" s="1"/>
  <c r="CA595" i="83" s="1"/>
  <c r="BP621" i="83"/>
  <c r="BB538" i="83"/>
  <c r="BB546" i="83"/>
  <c r="BB551" i="83"/>
  <c r="BB552" i="83"/>
  <c r="BB576" i="83"/>
  <c r="BB579" i="83"/>
  <c r="BB592" i="83"/>
  <c r="BP592" i="83"/>
  <c r="CA606" i="83"/>
  <c r="BP630" i="83"/>
  <c r="BP594" i="83"/>
  <c r="BB594" i="83"/>
  <c r="BP600" i="83"/>
  <c r="CA623" i="83"/>
  <c r="CA682" i="83"/>
  <c r="BZ682" i="83"/>
  <c r="BB535" i="83"/>
  <c r="BB569" i="83"/>
  <c r="BP591" i="83"/>
  <c r="BB591" i="83"/>
  <c r="CA605" i="83"/>
  <c r="BZ605" i="83"/>
  <c r="BP645" i="83"/>
  <c r="BB600" i="83"/>
  <c r="BP601" i="83"/>
  <c r="BB610" i="83"/>
  <c r="BP613" i="83"/>
  <c r="BP619" i="83"/>
  <c r="BB621" i="83"/>
  <c r="BP627" i="83"/>
  <c r="BP632" i="83"/>
  <c r="BP635" i="83"/>
  <c r="BZ680" i="83"/>
  <c r="CA680" i="83"/>
  <c r="BK637" i="83"/>
  <c r="BO637" i="83" s="1"/>
  <c r="BB607" i="83"/>
  <c r="BP614" i="83"/>
  <c r="BP620" i="83"/>
  <c r="BP624" i="83"/>
  <c r="BP636" i="83"/>
  <c r="BP644" i="83"/>
  <c r="Z648" i="83"/>
  <c r="AP648" i="83" s="1"/>
  <c r="AQ648" i="83" s="1"/>
  <c r="BX648" i="83" s="1"/>
  <c r="CA690" i="83"/>
  <c r="CA683" i="83"/>
  <c r="BZ683" i="83"/>
  <c r="BB695" i="83"/>
  <c r="BP695" i="83"/>
  <c r="BB605" i="83"/>
  <c r="Y643" i="83"/>
  <c r="Z643" i="83" s="1"/>
  <c r="AP643" i="83" s="1"/>
  <c r="AQ643" i="83" s="1"/>
  <c r="BX643" i="83" s="1"/>
  <c r="CA643" i="83" s="1"/>
  <c r="BB666" i="83"/>
  <c r="BP666" i="83"/>
  <c r="BB670" i="83"/>
  <c r="BP670" i="83"/>
  <c r="CA691" i="83"/>
  <c r="BZ691" i="83"/>
  <c r="BB608" i="83"/>
  <c r="BB663" i="83"/>
  <c r="BP663" i="83"/>
  <c r="BP672" i="83"/>
  <c r="CA675" i="83"/>
  <c r="BZ675" i="83"/>
  <c r="BA684" i="83"/>
  <c r="AQ684" i="83"/>
  <c r="BX684" i="83" s="1"/>
  <c r="BB690" i="83"/>
  <c r="BP690" i="83"/>
  <c r="BZ690" i="83"/>
  <c r="CA727" i="83"/>
  <c r="BZ727" i="83"/>
  <c r="BP649" i="83"/>
  <c r="BB653" i="83"/>
  <c r="BB674" i="83"/>
  <c r="BP674" i="83"/>
  <c r="BB667" i="83"/>
  <c r="BB686" i="83"/>
  <c r="BB771" i="83"/>
  <c r="BP771" i="83"/>
  <c r="BB797" i="83"/>
  <c r="BP797" i="83"/>
  <c r="BB747" i="83"/>
  <c r="BP747" i="83"/>
  <c r="CA808" i="83"/>
  <c r="BB661" i="83"/>
  <c r="BB664" i="83"/>
  <c r="BB668" i="83"/>
  <c r="BB677" i="83"/>
  <c r="BB681" i="83"/>
  <c r="BB682" i="83"/>
  <c r="BB688" i="83"/>
  <c r="BB693" i="83"/>
  <c r="BB698" i="83"/>
  <c r="Y711" i="83"/>
  <c r="Z711" i="83" s="1"/>
  <c r="AP711" i="83" s="1"/>
  <c r="AQ711" i="83" s="1"/>
  <c r="BX711" i="83" s="1"/>
  <c r="BB716" i="83"/>
  <c r="BP716" i="83"/>
  <c r="BB737" i="83"/>
  <c r="BP737" i="83"/>
  <c r="BZ745" i="83"/>
  <c r="Y751" i="83"/>
  <c r="Z751" i="83" s="1"/>
  <c r="AP751" i="83" s="1"/>
  <c r="AQ751" i="83" s="1"/>
  <c r="BX751" i="83" s="1"/>
  <c r="BP791" i="83"/>
  <c r="BB791" i="83"/>
  <c r="BB708" i="83"/>
  <c r="BP708" i="83"/>
  <c r="BB712" i="83"/>
  <c r="BP712" i="83"/>
  <c r="BB741" i="83"/>
  <c r="BP741" i="83"/>
  <c r="BP719" i="83"/>
  <c r="BK762" i="83"/>
  <c r="BO762" i="83"/>
  <c r="BP762" i="83"/>
  <c r="Y764" i="83"/>
  <c r="Z764" i="83" s="1"/>
  <c r="AP764" i="83" s="1"/>
  <c r="AQ764" i="83" s="1"/>
  <c r="BX764" i="83" s="1"/>
  <c r="BP772" i="83"/>
  <c r="BB772" i="83"/>
  <c r="BB817" i="83"/>
  <c r="BP817" i="83"/>
  <c r="BB881" i="83"/>
  <c r="BP881" i="83"/>
  <c r="BB714" i="83"/>
  <c r="BB721" i="83"/>
  <c r="BB725" i="83"/>
  <c r="BB727" i="83"/>
  <c r="BB748" i="83"/>
  <c r="BB759" i="83"/>
  <c r="BP800" i="83"/>
  <c r="Y807" i="83"/>
  <c r="Z807" i="83" s="1"/>
  <c r="AP807" i="83" s="1"/>
  <c r="AQ807" i="83" s="1"/>
  <c r="BX807" i="83" s="1"/>
  <c r="BP767" i="83"/>
  <c r="BB767" i="83"/>
  <c r="CA793" i="83"/>
  <c r="BZ793" i="83"/>
  <c r="BP798" i="83"/>
  <c r="BB798" i="83"/>
  <c r="BB722" i="83"/>
  <c r="BB726" i="83"/>
  <c r="BB729" i="83"/>
  <c r="BP765" i="83"/>
  <c r="Y776" i="83"/>
  <c r="Z776" i="83" s="1"/>
  <c r="AP776" i="83" s="1"/>
  <c r="AQ776" i="83" s="1"/>
  <c r="BX776" i="83" s="1"/>
  <c r="BP794" i="83"/>
  <c r="BB794" i="83"/>
  <c r="BP799" i="83"/>
  <c r="BP774" i="83"/>
  <c r="BP779" i="83"/>
  <c r="Y792" i="83"/>
  <c r="Z792" i="83" s="1"/>
  <c r="AP792" i="83" s="1"/>
  <c r="AQ792" i="83" s="1"/>
  <c r="BX792" i="83" s="1"/>
  <c r="BP806" i="83"/>
  <c r="BB806" i="83"/>
  <c r="BX817" i="83"/>
  <c r="BZ817" i="83" s="1"/>
  <c r="BP780" i="83"/>
  <c r="BB780" i="83"/>
  <c r="BP802" i="83"/>
  <c r="BB802" i="83"/>
  <c r="BP775" i="83"/>
  <c r="BB775" i="83"/>
  <c r="BZ858" i="83"/>
  <c r="CA858" i="83"/>
  <c r="BB869" i="83"/>
  <c r="BP869" i="83"/>
  <c r="BK814" i="83"/>
  <c r="BO814" i="83"/>
  <c r="BP814" i="83"/>
  <c r="BP823" i="83"/>
  <c r="BP829" i="83"/>
  <c r="Y831" i="83"/>
  <c r="Z831" i="83" s="1"/>
  <c r="AP831" i="83" s="1"/>
  <c r="AQ831" i="83" s="1"/>
  <c r="BX831" i="83" s="1"/>
  <c r="BA856" i="83"/>
  <c r="BK856" i="83"/>
  <c r="BO856" i="83" s="1"/>
  <c r="BP856" i="83" s="1"/>
  <c r="Y873" i="83"/>
  <c r="Z873" i="83" s="1"/>
  <c r="AP873" i="83" s="1"/>
  <c r="AQ873" i="83" s="1"/>
  <c r="BX873" i="83" s="1"/>
  <c r="CA873" i="83" s="1"/>
  <c r="BB890" i="83"/>
  <c r="BP890" i="83"/>
  <c r="BA823" i="83"/>
  <c r="Y834" i="83"/>
  <c r="Z834" i="83" s="1"/>
  <c r="AP834" i="83" s="1"/>
  <c r="AQ834" i="83" s="1"/>
  <c r="BX834" i="83" s="1"/>
  <c r="BB844" i="83"/>
  <c r="BP844" i="83"/>
  <c r="BB785" i="83"/>
  <c r="BB789" i="83"/>
  <c r="BB810" i="83"/>
  <c r="BB818" i="83"/>
  <c r="BP828" i="83"/>
  <c r="BB828" i="83"/>
  <c r="BB847" i="83"/>
  <c r="BP847" i="83"/>
  <c r="BB849" i="83"/>
  <c r="BP849" i="83"/>
  <c r="BB878" i="83"/>
  <c r="BB833" i="83"/>
  <c r="BP833" i="83"/>
  <c r="BB886" i="83"/>
  <c r="BP886" i="83"/>
  <c r="BP839" i="83"/>
  <c r="BP853" i="83"/>
  <c r="BP867" i="83"/>
  <c r="BK875" i="83"/>
  <c r="BO875" i="83" s="1"/>
  <c r="BP875" i="83" s="1"/>
  <c r="BB879" i="83"/>
  <c r="BP842" i="83"/>
  <c r="BB871" i="83"/>
  <c r="BK878" i="83"/>
  <c r="BO878" i="83"/>
  <c r="BP865" i="83"/>
  <c r="BP883" i="83"/>
  <c r="BZ10" i="83"/>
  <c r="BZ201" i="83"/>
  <c r="BZ424" i="83"/>
  <c r="CA726" i="83"/>
  <c r="BZ513" i="83"/>
  <c r="BZ737" i="83"/>
  <c r="CA396" i="83"/>
  <c r="BZ622" i="83"/>
  <c r="BZ597" i="83"/>
  <c r="BZ429" i="83"/>
  <c r="BZ549" i="83"/>
  <c r="BZ375" i="83"/>
  <c r="BZ825" i="83"/>
  <c r="BZ822" i="83"/>
  <c r="BZ720" i="83"/>
  <c r="BZ721" i="83"/>
  <c r="BZ430" i="83"/>
  <c r="BZ356" i="83"/>
  <c r="BZ474" i="83"/>
  <c r="BZ755" i="83"/>
  <c r="CA835" i="83"/>
  <c r="BZ674" i="83"/>
  <c r="BZ364" i="83"/>
  <c r="BZ512" i="83"/>
  <c r="BZ660" i="83"/>
  <c r="BZ446" i="83"/>
  <c r="BZ866" i="83"/>
  <c r="BZ518" i="83"/>
  <c r="BZ820" i="83"/>
  <c r="BZ704" i="83"/>
  <c r="BZ697" i="83"/>
  <c r="BZ271" i="83"/>
  <c r="BZ768" i="83"/>
  <c r="BZ747" i="83"/>
  <c r="CA718" i="83"/>
  <c r="BZ431" i="83"/>
  <c r="BZ730" i="83"/>
  <c r="BZ667" i="83"/>
  <c r="BZ650" i="83"/>
  <c r="BZ288" i="83"/>
  <c r="BZ850" i="83"/>
  <c r="BZ468" i="83"/>
  <c r="BZ532" i="83"/>
  <c r="CA748" i="83"/>
  <c r="CA656" i="83"/>
  <c r="BZ537" i="83"/>
  <c r="BZ599" i="83"/>
  <c r="CA599" i="83"/>
  <c r="BZ616" i="83"/>
  <c r="BZ540" i="83"/>
  <c r="CA540" i="83"/>
  <c r="BZ225" i="83"/>
  <c r="CA612" i="83"/>
  <c r="BZ440" i="83"/>
  <c r="CA440" i="83"/>
  <c r="BZ329" i="83"/>
  <c r="CA373" i="83"/>
  <c r="BZ373" i="83"/>
  <c r="BZ371" i="83"/>
  <c r="BZ196" i="83"/>
  <c r="BZ140" i="83"/>
  <c r="BZ515" i="83"/>
  <c r="CA121" i="83"/>
  <c r="BZ862" i="83"/>
  <c r="CA458" i="83"/>
  <c r="CA687" i="83"/>
  <c r="BZ117" i="83"/>
  <c r="CA180" i="83"/>
  <c r="BZ485" i="83"/>
  <c r="BZ701" i="83"/>
  <c r="BZ333" i="83"/>
  <c r="BZ41" i="83"/>
  <c r="BZ393" i="83"/>
  <c r="BZ316" i="83"/>
  <c r="BZ157" i="83"/>
  <c r="BZ307" i="83"/>
  <c r="BZ455" i="83"/>
  <c r="BP878" i="83"/>
  <c r="CA552" i="83"/>
  <c r="BZ266" i="83"/>
  <c r="BZ686" i="83"/>
  <c r="BZ378" i="83"/>
  <c r="BZ33" i="83"/>
  <c r="CA710" i="83"/>
  <c r="BZ633" i="83"/>
  <c r="CA266" i="83"/>
  <c r="BZ689" i="83"/>
  <c r="BZ413" i="83"/>
  <c r="BZ353" i="83"/>
  <c r="BX610" i="83"/>
  <c r="CA610" i="83" s="1"/>
  <c r="BZ715" i="83"/>
  <c r="BZ732" i="83"/>
  <c r="BZ572" i="83"/>
  <c r="BZ194" i="83"/>
  <c r="CA809" i="83"/>
  <c r="BZ159" i="83"/>
  <c r="BZ569" i="83"/>
  <c r="BZ407" i="83"/>
  <c r="BZ507" i="83"/>
  <c r="BZ428" i="83"/>
  <c r="BZ659" i="83"/>
  <c r="BZ235" i="83"/>
  <c r="BZ870" i="83"/>
  <c r="BZ883" i="83"/>
  <c r="BZ778" i="83"/>
  <c r="BZ197" i="83"/>
  <c r="CA353" i="83"/>
  <c r="BZ64" i="83"/>
  <c r="BZ492" i="83"/>
  <c r="BZ59" i="83"/>
  <c r="BZ816" i="83"/>
  <c r="BZ470" i="83"/>
  <c r="BZ681" i="83"/>
  <c r="BZ138" i="83"/>
  <c r="BX433" i="83"/>
  <c r="CA217" i="83"/>
  <c r="BZ348" i="83"/>
  <c r="BZ881" i="83"/>
  <c r="BA892" i="83"/>
  <c r="BZ567" i="83"/>
  <c r="CA531" i="83"/>
  <c r="CA321" i="83"/>
  <c r="BZ321" i="83"/>
  <c r="CA705" i="83"/>
  <c r="BK892" i="83"/>
  <c r="CA42" i="83"/>
  <c r="BZ42" i="83"/>
  <c r="CA498" i="83"/>
  <c r="BZ498" i="83"/>
  <c r="BZ524" i="83"/>
  <c r="CA817" i="83"/>
  <c r="BZ595" i="83"/>
  <c r="BZ382" i="83"/>
  <c r="AH90" i="48"/>
  <c r="AZ62" i="48"/>
  <c r="BD62" i="48" s="1"/>
  <c r="AZ63" i="48"/>
  <c r="BD63" i="48"/>
  <c r="AY76" i="48"/>
  <c r="AR80" i="48"/>
  <c r="AS80" i="48"/>
  <c r="AB80" i="48"/>
  <c r="W80" i="48"/>
  <c r="X80" i="48" s="1"/>
  <c r="N80" i="48"/>
  <c r="AR78" i="48"/>
  <c r="AS78" i="48"/>
  <c r="AB78" i="48"/>
  <c r="W78" i="48"/>
  <c r="X78" i="48" s="1"/>
  <c r="AE78" i="48" s="1"/>
  <c r="AF78" i="48" s="1"/>
  <c r="AZ78" i="48" s="1"/>
  <c r="N78" i="48"/>
  <c r="AR77" i="48"/>
  <c r="AS77" i="48" s="1"/>
  <c r="AB77" i="48"/>
  <c r="W77" i="48"/>
  <c r="X77" i="48" s="1"/>
  <c r="AE77" i="48" s="1"/>
  <c r="N77" i="48"/>
  <c r="AR76" i="48"/>
  <c r="Z76" i="48"/>
  <c r="AB76" i="48"/>
  <c r="N76" i="48"/>
  <c r="AR75" i="48"/>
  <c r="AS75" i="48" s="1"/>
  <c r="AB75" i="48"/>
  <c r="N75" i="48"/>
  <c r="AR74" i="48"/>
  <c r="AS74" i="48"/>
  <c r="AB74" i="48"/>
  <c r="N74" i="48"/>
  <c r="AR73" i="48"/>
  <c r="AS73" i="48" s="1"/>
  <c r="AB73" i="48"/>
  <c r="N73" i="48"/>
  <c r="AR72" i="48"/>
  <c r="AB72" i="48"/>
  <c r="N72" i="48"/>
  <c r="AR71" i="48"/>
  <c r="AS71" i="48" s="1"/>
  <c r="AB71" i="48"/>
  <c r="N71" i="48"/>
  <c r="AR70" i="48"/>
  <c r="AS70" i="48" s="1"/>
  <c r="AB70" i="48"/>
  <c r="N70" i="48"/>
  <c r="AT90" i="48"/>
  <c r="AU90" i="48"/>
  <c r="AV90" i="48"/>
  <c r="AW90" i="48"/>
  <c r="AX90" i="48"/>
  <c r="AK13" i="48"/>
  <c r="BE63" i="48"/>
  <c r="BG63" i="48"/>
  <c r="AF80" i="48"/>
  <c r="AZ80" i="48" s="1"/>
  <c r="AS76" i="48"/>
  <c r="AS72" i="48"/>
  <c r="BH63" i="48"/>
  <c r="AK55" i="48"/>
  <c r="AK57" i="48"/>
  <c r="AK58" i="48"/>
  <c r="AR62" i="48"/>
  <c r="AR63" i="48"/>
  <c r="AK67" i="48"/>
  <c r="AQ69" i="48"/>
  <c r="AZ69" i="48"/>
  <c r="BD69" i="48" s="1"/>
  <c r="AQ68" i="48"/>
  <c r="AZ68" i="48" s="1"/>
  <c r="AQ67" i="48"/>
  <c r="AZ67" i="48" s="1"/>
  <c r="AQ66" i="48"/>
  <c r="AQ65" i="48"/>
  <c r="AQ64" i="48"/>
  <c r="AQ61" i="48"/>
  <c r="AZ61" i="48" s="1"/>
  <c r="AQ60" i="48"/>
  <c r="AQ59" i="48"/>
  <c r="AZ59" i="48"/>
  <c r="BD59" i="48" s="1"/>
  <c r="AQ58" i="48"/>
  <c r="AZ58" i="48" s="1"/>
  <c r="AQ57" i="48"/>
  <c r="AZ57" i="48" s="1"/>
  <c r="AQ56" i="48"/>
  <c r="AQ55" i="48"/>
  <c r="AZ55" i="48" s="1"/>
  <c r="AQ54" i="48"/>
  <c r="AQ51" i="48"/>
  <c r="AQ50" i="48"/>
  <c r="AQ49" i="48"/>
  <c r="AQ47" i="48"/>
  <c r="AQ44" i="48"/>
  <c r="AQ43" i="48"/>
  <c r="AY43" i="48" s="1"/>
  <c r="AQ42" i="48"/>
  <c r="AQ40" i="48"/>
  <c r="AQ39" i="48"/>
  <c r="AQ35" i="48"/>
  <c r="AQ28" i="48"/>
  <c r="AQ27" i="48"/>
  <c r="AQ26" i="48"/>
  <c r="AQ25" i="48"/>
  <c r="AQ24" i="48"/>
  <c r="AQ21" i="48"/>
  <c r="AQ17" i="48"/>
  <c r="AQ13" i="48"/>
  <c r="AQ7" i="48"/>
  <c r="AQ6" i="48"/>
  <c r="AQ5" i="48"/>
  <c r="AQ4" i="48"/>
  <c r="AQ3" i="48"/>
  <c r="AQ2" i="48"/>
  <c r="AP90" i="48"/>
  <c r="AJ90" i="48"/>
  <c r="AG90" i="48"/>
  <c r="AO15" i="48"/>
  <c r="AQ15" i="48" s="1"/>
  <c r="AS63" i="48"/>
  <c r="BA63" i="48"/>
  <c r="BA62" i="48"/>
  <c r="AK59" i="48"/>
  <c r="AS62" i="48"/>
  <c r="AR59" i="48"/>
  <c r="AS59" i="48" s="1"/>
  <c r="AK63" i="48"/>
  <c r="AR57" i="48"/>
  <c r="AS57" i="48" s="1"/>
  <c r="AK62" i="48"/>
  <c r="AR67" i="48"/>
  <c r="AS67" i="48" s="1"/>
  <c r="AR68" i="48"/>
  <c r="AS68" i="48" s="1"/>
  <c r="AR58" i="48"/>
  <c r="AS58" i="48"/>
  <c r="AK61" i="48"/>
  <c r="AK69" i="48"/>
  <c r="AK68" i="48"/>
  <c r="AR69" i="48"/>
  <c r="AS69" i="48" s="1"/>
  <c r="AR61" i="48"/>
  <c r="AS61" i="48" s="1"/>
  <c r="AB2" i="48"/>
  <c r="X36" i="48"/>
  <c r="AB198" i="48"/>
  <c r="W198" i="48"/>
  <c r="X198" i="48" s="1"/>
  <c r="AE198" i="48" s="1"/>
  <c r="AF198" i="48" s="1"/>
  <c r="N198" i="48"/>
  <c r="AB197" i="48"/>
  <c r="N197" i="48"/>
  <c r="AB196" i="48"/>
  <c r="W196" i="48"/>
  <c r="X196" i="48" s="1"/>
  <c r="AE196" i="48" s="1"/>
  <c r="AF196" i="48" s="1"/>
  <c r="N196" i="48"/>
  <c r="AB195" i="48"/>
  <c r="N195" i="48"/>
  <c r="AB56" i="48"/>
  <c r="W56" i="48"/>
  <c r="N56" i="48"/>
  <c r="AB65" i="48"/>
  <c r="N65" i="48"/>
  <c r="AB60" i="48"/>
  <c r="W60" i="48"/>
  <c r="X60" i="48" s="1"/>
  <c r="AE60" i="48" s="1"/>
  <c r="AF60" i="48" s="1"/>
  <c r="AZ60" i="48" s="1"/>
  <c r="N60" i="48"/>
  <c r="AB66" i="48"/>
  <c r="W66" i="48"/>
  <c r="X66" i="48" s="1"/>
  <c r="AE66" i="48" s="1"/>
  <c r="N66" i="48"/>
  <c r="AB64" i="48"/>
  <c r="N64" i="48"/>
  <c r="AB54" i="48"/>
  <c r="W54" i="48"/>
  <c r="X54" i="48" s="1"/>
  <c r="N54" i="48"/>
  <c r="W61" i="48"/>
  <c r="X61" i="48" s="1"/>
  <c r="N61" i="48"/>
  <c r="W62" i="48"/>
  <c r="X62" i="48" s="1"/>
  <c r="N62" i="48"/>
  <c r="N69" i="48"/>
  <c r="N68" i="48"/>
  <c r="N67" i="48"/>
  <c r="N63" i="48"/>
  <c r="N58" i="48"/>
  <c r="W57" i="48"/>
  <c r="X57" i="48" s="1"/>
  <c r="N57" i="48"/>
  <c r="W59" i="48"/>
  <c r="X59" i="48" s="1"/>
  <c r="N59" i="48"/>
  <c r="N55" i="48"/>
  <c r="AB53" i="48"/>
  <c r="N53" i="48"/>
  <c r="C53" i="48"/>
  <c r="AB52" i="48"/>
  <c r="N52" i="48"/>
  <c r="C52" i="48"/>
  <c r="AB51" i="48"/>
  <c r="W51" i="48"/>
  <c r="X51" i="48" s="1"/>
  <c r="AE51" i="48" s="1"/>
  <c r="N51" i="48"/>
  <c r="AB50" i="48"/>
  <c r="N50" i="48"/>
  <c r="AB49" i="48"/>
  <c r="W49" i="48"/>
  <c r="X49" i="48" s="1"/>
  <c r="AE49" i="48" s="1"/>
  <c r="N49" i="48"/>
  <c r="K49" i="48"/>
  <c r="AB48" i="48"/>
  <c r="N48" i="48"/>
  <c r="Z47" i="48"/>
  <c r="AB47" i="48" s="1"/>
  <c r="N47" i="48"/>
  <c r="AB46" i="48"/>
  <c r="N46" i="48"/>
  <c r="AB45" i="48"/>
  <c r="N45" i="48"/>
  <c r="N44" i="48"/>
  <c r="C44" i="48"/>
  <c r="AB43" i="48"/>
  <c r="N43" i="48"/>
  <c r="AB42" i="48"/>
  <c r="N42" i="48"/>
  <c r="C42" i="48"/>
  <c r="AB41" i="48"/>
  <c r="N41" i="48"/>
  <c r="Z40" i="48"/>
  <c r="AB40" i="48" s="1"/>
  <c r="N40" i="48"/>
  <c r="AB39" i="48"/>
  <c r="W39" i="48"/>
  <c r="X39" i="48" s="1"/>
  <c r="AE39" i="48" s="1"/>
  <c r="N39" i="48"/>
  <c r="K39" i="48"/>
  <c r="AB37" i="48"/>
  <c r="N37" i="48"/>
  <c r="AB36" i="48"/>
  <c r="AE36" i="48"/>
  <c r="N36" i="48"/>
  <c r="AB35" i="48"/>
  <c r="W35" i="48"/>
  <c r="X35" i="48" s="1"/>
  <c r="AE35" i="48" s="1"/>
  <c r="AF35" i="48" s="1"/>
  <c r="N35" i="48"/>
  <c r="AB34" i="48"/>
  <c r="AF34" i="48"/>
  <c r="AZ34" i="48" s="1"/>
  <c r="W34" i="48"/>
  <c r="X34" i="48" s="1"/>
  <c r="N34" i="48"/>
  <c r="AB31" i="48"/>
  <c r="W31" i="48"/>
  <c r="X31" i="48" s="1"/>
  <c r="AE31" i="48" s="1"/>
  <c r="N31" i="48"/>
  <c r="AB30" i="48"/>
  <c r="W30" i="48"/>
  <c r="X30" i="48" s="1"/>
  <c r="AE30" i="48" s="1"/>
  <c r="AF30" i="48" s="1"/>
  <c r="AZ30" i="48" s="1"/>
  <c r="N30" i="48"/>
  <c r="AB29" i="48"/>
  <c r="N29" i="48"/>
  <c r="AB28" i="48"/>
  <c r="N28" i="48"/>
  <c r="AB27" i="48"/>
  <c r="N27" i="48"/>
  <c r="AB26" i="48"/>
  <c r="W26" i="48"/>
  <c r="X26" i="48" s="1"/>
  <c r="AE26" i="48" s="1"/>
  <c r="AF26" i="48" s="1"/>
  <c r="AZ26" i="48" s="1"/>
  <c r="N26" i="48"/>
  <c r="C26" i="48"/>
  <c r="AB25" i="48"/>
  <c r="W25" i="48"/>
  <c r="X25" i="48" s="1"/>
  <c r="AE25" i="48" s="1"/>
  <c r="N25" i="48"/>
  <c r="C25" i="48"/>
  <c r="AB24" i="48"/>
  <c r="N24" i="48"/>
  <c r="AB23" i="48"/>
  <c r="N23" i="48"/>
  <c r="Z22" i="48"/>
  <c r="AB22" i="48" s="1"/>
  <c r="AB90" i="48" s="1"/>
  <c r="N22" i="48"/>
  <c r="K22" i="48"/>
  <c r="AB21" i="48"/>
  <c r="W21" i="48"/>
  <c r="X21" i="48" s="1"/>
  <c r="AE21" i="48" s="1"/>
  <c r="AF21" i="48" s="1"/>
  <c r="AZ21" i="48" s="1"/>
  <c r="N21" i="48"/>
  <c r="AB20" i="48"/>
  <c r="N20" i="48"/>
  <c r="C20" i="48"/>
  <c r="AB19" i="48"/>
  <c r="N19" i="48"/>
  <c r="C19" i="48"/>
  <c r="AB18" i="48"/>
  <c r="N18" i="48"/>
  <c r="AB17" i="48"/>
  <c r="N17" i="48"/>
  <c r="AB15" i="48"/>
  <c r="N15" i="48"/>
  <c r="AB14" i="48"/>
  <c r="N14" i="48"/>
  <c r="AB13" i="48"/>
  <c r="W13" i="48"/>
  <c r="X13" i="48" s="1"/>
  <c r="AE13" i="48" s="1"/>
  <c r="N13" i="48"/>
  <c r="C13" i="48"/>
  <c r="AB9" i="48"/>
  <c r="N9" i="48"/>
  <c r="C9" i="48"/>
  <c r="AB7" i="48"/>
  <c r="N7" i="48"/>
  <c r="AB6" i="48"/>
  <c r="N6" i="48"/>
  <c r="AB5" i="48"/>
  <c r="N5" i="48"/>
  <c r="AB4" i="48"/>
  <c r="W4" i="48"/>
  <c r="X4" i="48" s="1"/>
  <c r="AE4" i="48" s="1"/>
  <c r="AF4" i="48" s="1"/>
  <c r="AZ4" i="48" s="1"/>
  <c r="N4" i="48"/>
  <c r="AB3" i="48"/>
  <c r="N3" i="48"/>
  <c r="N2" i="48"/>
  <c r="K2" i="48"/>
  <c r="B7" i="93"/>
  <c r="BJ34" i="48"/>
  <c r="BL34" i="48" s="1"/>
  <c r="BN34" i="48" s="1"/>
  <c r="B5" i="93"/>
  <c r="AR34" i="48"/>
  <c r="AS34" i="48"/>
  <c r="AK34" i="48"/>
  <c r="AO90" i="48"/>
  <c r="W47" i="48"/>
  <c r="X47" i="48" s="1"/>
  <c r="AE47" i="48" s="1"/>
  <c r="W43" i="48"/>
  <c r="X43" i="48" s="1"/>
  <c r="AE43" i="48" s="1"/>
  <c r="AF43" i="48" s="1"/>
  <c r="AZ36" i="48"/>
  <c r="BD36" i="48" s="1"/>
  <c r="W50" i="48"/>
  <c r="X50" i="48" s="1"/>
  <c r="AE50" i="48" s="1"/>
  <c r="AF50" i="48" s="1"/>
  <c r="AZ50" i="48" s="1"/>
  <c r="B9" i="93"/>
  <c r="AK36" i="48"/>
  <c r="AR36" i="48"/>
  <c r="BA36" i="48" s="1"/>
  <c r="AS36" i="48"/>
  <c r="AE56" i="48"/>
  <c r="AF56" i="48"/>
  <c r="BJ56" i="48" s="1"/>
  <c r="BL56" i="48" s="1"/>
  <c r="BN56" i="48" s="1"/>
  <c r="AF42" i="48"/>
  <c r="BJ42" i="48" s="1"/>
  <c r="BL42" i="48" s="1"/>
  <c r="BN42" i="48" s="1"/>
  <c r="AE54" i="48"/>
  <c r="AF54" i="48" s="1"/>
  <c r="BJ54" i="48" s="1"/>
  <c r="BL54" i="48" s="1"/>
  <c r="BN54" i="48" s="1"/>
  <c r="AZ42" i="48"/>
  <c r="BD42" i="48" s="1"/>
  <c r="AZ41" i="48"/>
  <c r="BA41" i="48" s="1"/>
  <c r="BJ41" i="48"/>
  <c r="BL41" i="48" s="1"/>
  <c r="BN41" i="48" s="1"/>
  <c r="AK66" i="48"/>
  <c r="AR66" i="48"/>
  <c r="AS66" i="48"/>
  <c r="AR21" i="48"/>
  <c r="AS21" i="48" s="1"/>
  <c r="AK21" i="48"/>
  <c r="AR30" i="48"/>
  <c r="AK30" i="48"/>
  <c r="AR19" i="48"/>
  <c r="AS19" i="48" s="1"/>
  <c r="AK19" i="48"/>
  <c r="AK39" i="48"/>
  <c r="AR39" i="48"/>
  <c r="AS39" i="48" s="1"/>
  <c r="AK41" i="48"/>
  <c r="AR41" i="48"/>
  <c r="AS41" i="48" s="1"/>
  <c r="AR53" i="48"/>
  <c r="AS53" i="48" s="1"/>
  <c r="AK53" i="48"/>
  <c r="AK45" i="48"/>
  <c r="AR45" i="48"/>
  <c r="AS45" i="48"/>
  <c r="AR26" i="48"/>
  <c r="AS26" i="48" s="1"/>
  <c r="AK26" i="48"/>
  <c r="AK42" i="48"/>
  <c r="AR42" i="48"/>
  <c r="AK56" i="48"/>
  <c r="AR56" i="48"/>
  <c r="AK50" i="48"/>
  <c r="AR50" i="48"/>
  <c r="AS50" i="48" s="1"/>
  <c r="AR17" i="48"/>
  <c r="AS17" i="48" s="1"/>
  <c r="AK17" i="48"/>
  <c r="AR25" i="48"/>
  <c r="AS25" i="48" s="1"/>
  <c r="AK25" i="48"/>
  <c r="AR51" i="48"/>
  <c r="AS51" i="48" s="1"/>
  <c r="AK51" i="48"/>
  <c r="AR4" i="48"/>
  <c r="AS4" i="48"/>
  <c r="AK4" i="48"/>
  <c r="AR43" i="48"/>
  <c r="AS43" i="48"/>
  <c r="AK43" i="48"/>
  <c r="AR13" i="48"/>
  <c r="AS13" i="48"/>
  <c r="AK14" i="48"/>
  <c r="AR14" i="48"/>
  <c r="AS14" i="48" s="1"/>
  <c r="AK6" i="48"/>
  <c r="AR6" i="48"/>
  <c r="AS6" i="48"/>
  <c r="AR18" i="48"/>
  <c r="AS18" i="48"/>
  <c r="AK18" i="48"/>
  <c r="AK64" i="48"/>
  <c r="AR64" i="48"/>
  <c r="AS64" i="48" s="1"/>
  <c r="AR27" i="48"/>
  <c r="AS27" i="48"/>
  <c r="AK27" i="48"/>
  <c r="AR5" i="48"/>
  <c r="AS5" i="48" s="1"/>
  <c r="AK5" i="48"/>
  <c r="AK90" i="48" s="1"/>
  <c r="AR44" i="48"/>
  <c r="AS44" i="48" s="1"/>
  <c r="AK44" i="48"/>
  <c r="AR2" i="48"/>
  <c r="AK2" i="48"/>
  <c r="AR29" i="48"/>
  <c r="AS29" i="48" s="1"/>
  <c r="AK29" i="48"/>
  <c r="AR22" i="48"/>
  <c r="AS22" i="48" s="1"/>
  <c r="AK22" i="48"/>
  <c r="AK35" i="48"/>
  <c r="AR35" i="48"/>
  <c r="AS35" i="48"/>
  <c r="AK40" i="48"/>
  <c r="AR40" i="48"/>
  <c r="AS40" i="48" s="1"/>
  <c r="AR24" i="48"/>
  <c r="AS24" i="48"/>
  <c r="AK24" i="48"/>
  <c r="AK65" i="48"/>
  <c r="AR65" i="48"/>
  <c r="AS65" i="48" s="1"/>
  <c r="AR3" i="48"/>
  <c r="AS3" i="48" s="1"/>
  <c r="AK3" i="48"/>
  <c r="AR28" i="48"/>
  <c r="AS28" i="48"/>
  <c r="AK28" i="48"/>
  <c r="AK49" i="48"/>
  <c r="AR49" i="48"/>
  <c r="AK20" i="48"/>
  <c r="AR20" i="48"/>
  <c r="AS20" i="48" s="1"/>
  <c r="AK37" i="48"/>
  <c r="AR37" i="48"/>
  <c r="AS37" i="48" s="1"/>
  <c r="AK46" i="48"/>
  <c r="AR46" i="48"/>
  <c r="AK31" i="48"/>
  <c r="AR31" i="48"/>
  <c r="AS31" i="48" s="1"/>
  <c r="AK7" i="48"/>
  <c r="AR7" i="48"/>
  <c r="AS7" i="48" s="1"/>
  <c r="AK23" i="48"/>
  <c r="AR23" i="48"/>
  <c r="AS23" i="48"/>
  <c r="AK47" i="48"/>
  <c r="AR47" i="48"/>
  <c r="AS47" i="48"/>
  <c r="AK15" i="48"/>
  <c r="AR52" i="48"/>
  <c r="AS52" i="48"/>
  <c r="AK52" i="48"/>
  <c r="AK48" i="48"/>
  <c r="AR48" i="48"/>
  <c r="AS48" i="48"/>
  <c r="BA42" i="48"/>
  <c r="AS2" i="48"/>
  <c r="AS30" i="48"/>
  <c r="AS46" i="48"/>
  <c r="AS42" i="48"/>
  <c r="AS56" i="48"/>
  <c r="AS49" i="48"/>
  <c r="AK54" i="48"/>
  <c r="AR54" i="48"/>
  <c r="AS54" i="48" s="1"/>
  <c r="AR60" i="48"/>
  <c r="AS60" i="48" s="1"/>
  <c r="AK60" i="48"/>
  <c r="AK9" i="48"/>
  <c r="AR9" i="48"/>
  <c r="AS9" i="48" s="1"/>
  <c r="AI90" i="48"/>
  <c r="D8" i="88"/>
  <c r="D25" i="88"/>
  <c r="D57" i="88"/>
  <c r="D14" i="88"/>
  <c r="D46" i="88"/>
  <c r="D78" i="88"/>
  <c r="D39" i="88"/>
  <c r="D71" i="88"/>
  <c r="D32" i="88"/>
  <c r="D68" i="88"/>
  <c r="D7" i="88"/>
  <c r="D29" i="88"/>
  <c r="D61" i="88"/>
  <c r="D18" i="88"/>
  <c r="D50" i="88"/>
  <c r="D11" i="88"/>
  <c r="D43" i="88"/>
  <c r="D75" i="88"/>
  <c r="D36" i="88"/>
  <c r="D72" i="88"/>
  <c r="D9" i="88"/>
  <c r="D33" i="88"/>
  <c r="D65" i="88"/>
  <c r="D22" i="88"/>
  <c r="D54" i="88"/>
  <c r="D15" i="88"/>
  <c r="D47" i="88"/>
  <c r="D79" i="88"/>
  <c r="D40" i="88"/>
  <c r="D76" i="88"/>
  <c r="D5" i="88"/>
  <c r="D37" i="88"/>
  <c r="D69" i="88"/>
  <c r="D26" i="88"/>
  <c r="D58" i="88"/>
  <c r="D19" i="88"/>
  <c r="D51" i="88"/>
  <c r="D12" i="88"/>
  <c r="D44" i="88"/>
  <c r="D80" i="88"/>
  <c r="D4" i="88"/>
  <c r="D41" i="88"/>
  <c r="D73" i="88"/>
  <c r="D30" i="88"/>
  <c r="D62" i="88"/>
  <c r="D23" i="88"/>
  <c r="D55" i="88"/>
  <c r="D16" i="88"/>
  <c r="D48" i="88"/>
  <c r="D13" i="88"/>
  <c r="D45" i="88"/>
  <c r="D77" i="88"/>
  <c r="D34" i="88"/>
  <c r="D66" i="88"/>
  <c r="D27" i="88"/>
  <c r="D59" i="88"/>
  <c r="D20" i="88"/>
  <c r="D52" i="88"/>
  <c r="D21" i="88"/>
  <c r="D74" i="88"/>
  <c r="D64" i="88"/>
  <c r="D49" i="88"/>
  <c r="D31" i="88"/>
  <c r="D53" i="88"/>
  <c r="D35" i="88"/>
  <c r="D81" i="88"/>
  <c r="D63" i="88"/>
  <c r="D60" i="88"/>
  <c r="D67" i="88"/>
  <c r="D6" i="88"/>
  <c r="D38" i="88"/>
  <c r="D24" i="88"/>
  <c r="D10" i="88"/>
  <c r="D42" i="88"/>
  <c r="D28" i="88"/>
  <c r="D17" i="88"/>
  <c r="D70" i="88"/>
  <c r="D56" i="88"/>
  <c r="BE59" i="48" l="1"/>
  <c r="BG59" i="48"/>
  <c r="BI59" i="48" s="1"/>
  <c r="BD34" i="48"/>
  <c r="BA34" i="48"/>
  <c r="BA61" i="48"/>
  <c r="BD61" i="48"/>
  <c r="BD55" i="48"/>
  <c r="BA80" i="48"/>
  <c r="BD80" i="48"/>
  <c r="BX637" i="83"/>
  <c r="BP637" i="83"/>
  <c r="BP426" i="83"/>
  <c r="BX426" i="83"/>
  <c r="BA68" i="48"/>
  <c r="BD68" i="48"/>
  <c r="BE42" i="48"/>
  <c r="BG42" i="48"/>
  <c r="BH42" i="48"/>
  <c r="BE62" i="48"/>
  <c r="BG62" i="48"/>
  <c r="BH62" i="48" s="1"/>
  <c r="BP40" i="83"/>
  <c r="BO892" i="83"/>
  <c r="CA688" i="83"/>
  <c r="BZ688" i="83"/>
  <c r="BD57" i="48"/>
  <c r="BA57" i="48"/>
  <c r="BZ692" i="83"/>
  <c r="CA692" i="83"/>
  <c r="CA449" i="83"/>
  <c r="BZ449" i="83"/>
  <c r="BD58" i="48"/>
  <c r="BA58" i="48"/>
  <c r="BD67" i="48"/>
  <c r="BA67" i="48"/>
  <c r="CA684" i="83"/>
  <c r="BZ684" i="83"/>
  <c r="BH36" i="48"/>
  <c r="BE36" i="48"/>
  <c r="BG36" i="48"/>
  <c r="BE69" i="48"/>
  <c r="BG69" i="48"/>
  <c r="BH69" i="48" s="1"/>
  <c r="AR15" i="48"/>
  <c r="AY15" i="48"/>
  <c r="AY90" i="48" s="1"/>
  <c r="AQ90" i="48"/>
  <c r="CA685" i="83"/>
  <c r="BZ685" i="83"/>
  <c r="BX590" i="83"/>
  <c r="BZ860" i="83"/>
  <c r="BB152" i="83"/>
  <c r="BP152" i="83"/>
  <c r="AZ56" i="48"/>
  <c r="AF25" i="48"/>
  <c r="AZ25" i="48" s="1"/>
  <c r="AF31" i="48"/>
  <c r="AZ31" i="48" s="1"/>
  <c r="AF39" i="48"/>
  <c r="AR55" i="48"/>
  <c r="AS55" i="48" s="1"/>
  <c r="AF77" i="48"/>
  <c r="AZ77" i="48" s="1"/>
  <c r="AF49" i="48"/>
  <c r="BA69" i="48"/>
  <c r="BA59" i="48"/>
  <c r="BB80" i="83"/>
  <c r="BP80" i="83"/>
  <c r="AZ43" i="48"/>
  <c r="AF66" i="48"/>
  <c r="AZ66" i="48" s="1"/>
  <c r="BX317" i="83"/>
  <c r="BZ87" i="83"/>
  <c r="BP143" i="83"/>
  <c r="BX151" i="83"/>
  <c r="BD41" i="48"/>
  <c r="AF47" i="48"/>
  <c r="AF13" i="48"/>
  <c r="AZ13" i="48" s="1"/>
  <c r="BX875" i="83"/>
  <c r="BZ502" i="83"/>
  <c r="BB142" i="83"/>
  <c r="BP142" i="83"/>
  <c r="BP162" i="83"/>
  <c r="BB162" i="83"/>
  <c r="BP63" i="83"/>
  <c r="BB63" i="83"/>
  <c r="BB99" i="83"/>
  <c r="BP99" i="83"/>
  <c r="BP168" i="83"/>
  <c r="BB168" i="83"/>
  <c r="BA60" i="48"/>
  <c r="BX678" i="83"/>
  <c r="BZ678" i="83" s="1"/>
  <c r="BP98" i="83"/>
  <c r="BB98" i="83"/>
  <c r="BP127" i="83"/>
  <c r="BB127" i="83"/>
  <c r="BX189" i="83"/>
  <c r="CA244" i="83"/>
  <c r="BZ244" i="83"/>
  <c r="AF51" i="48"/>
  <c r="AZ51" i="48" s="1"/>
  <c r="BX814" i="83"/>
  <c r="CA246" i="83"/>
  <c r="BZ246" i="83"/>
  <c r="BZ530" i="83"/>
  <c r="BX591" i="83"/>
  <c r="CA591" i="83" s="1"/>
  <c r="BX878" i="83"/>
  <c r="CA878" i="83" s="1"/>
  <c r="BX800" i="83"/>
  <c r="AQ787" i="83"/>
  <c r="BX787" i="83" s="1"/>
  <c r="BZ506" i="83"/>
  <c r="BX600" i="83"/>
  <c r="AQ84" i="83"/>
  <c r="BX84" i="83" s="1"/>
  <c r="BZ135" i="83"/>
  <c r="BX397" i="83"/>
  <c r="DF83" i="106"/>
  <c r="DI83" i="106" s="1"/>
  <c r="DD83" i="106"/>
  <c r="CS6" i="104"/>
  <c r="CU6" i="104"/>
  <c r="CX6" i="104" s="1"/>
  <c r="CZ6" i="104" s="1"/>
  <c r="BZ102" i="83"/>
  <c r="BX239" i="83"/>
  <c r="BX323" i="83"/>
  <c r="BZ705" i="83"/>
  <c r="BH16" i="48"/>
  <c r="BE16" i="48"/>
  <c r="CZ39" i="106"/>
  <c r="DC39" i="106"/>
  <c r="BZ810" i="83"/>
  <c r="BX647" i="83"/>
  <c r="BX311" i="83"/>
  <c r="CA311" i="83" s="1"/>
  <c r="BX558" i="83"/>
  <c r="BX8" i="83"/>
  <c r="BZ8" i="83" s="1"/>
  <c r="AQ34" i="83"/>
  <c r="BX34" i="83" s="1"/>
  <c r="CA34" i="83" s="1"/>
  <c r="BZ207" i="83"/>
  <c r="BF90" i="48"/>
  <c r="CZ4" i="106"/>
  <c r="DC4" i="106"/>
  <c r="CU19" i="104"/>
  <c r="CX19" i="104" s="1"/>
  <c r="CZ19" i="104" s="1"/>
  <c r="CS19" i="104"/>
  <c r="DF70" i="106"/>
  <c r="DI70" i="106" s="1"/>
  <c r="DD70" i="106"/>
  <c r="DD90" i="106"/>
  <c r="DF90" i="106"/>
  <c r="DI90" i="106" s="1"/>
  <c r="BX337" i="83"/>
  <c r="AQ104" i="83"/>
  <c r="BX104" i="83" s="1"/>
  <c r="CA104" i="83" s="1"/>
  <c r="BX172" i="83"/>
  <c r="CA172" i="83" s="1"/>
  <c r="AQ178" i="83"/>
  <c r="BX178" i="83" s="1"/>
  <c r="BZ178" i="83" s="1"/>
  <c r="AQ334" i="83"/>
  <c r="BX334" i="83" s="1"/>
  <c r="BZ750" i="83"/>
  <c r="CS8" i="104"/>
  <c r="CU8" i="104"/>
  <c r="CX8" i="104" s="1"/>
  <c r="CZ8" i="104" s="1"/>
  <c r="DM46" i="103"/>
  <c r="DP46" i="103" s="1"/>
  <c r="DR46" i="103" s="1"/>
  <c r="DT46" i="103" s="1"/>
  <c r="DJ46" i="103"/>
  <c r="BB330" i="83"/>
  <c r="AQ345" i="83"/>
  <c r="BX345" i="83" s="1"/>
  <c r="BZ653" i="83"/>
  <c r="BZ785" i="83"/>
  <c r="BX844" i="83"/>
  <c r="CA844" i="83" s="1"/>
  <c r="DC12" i="106"/>
  <c r="CZ12" i="106"/>
  <c r="DF106" i="106"/>
  <c r="DI106" i="106" s="1"/>
  <c r="DD106" i="106"/>
  <c r="BX773" i="83"/>
  <c r="AQ790" i="83"/>
  <c r="BX790" i="83" s="1"/>
  <c r="BX411" i="83"/>
  <c r="BX169" i="83"/>
  <c r="BX588" i="83"/>
  <c r="BZ662" i="83"/>
  <c r="BE10" i="48"/>
  <c r="BG10" i="48"/>
  <c r="BJ10" i="48" s="1"/>
  <c r="BH12" i="48"/>
  <c r="BL12" i="48" s="1"/>
  <c r="BN12" i="48" s="1"/>
  <c r="BJ12" i="48"/>
  <c r="DI18" i="106"/>
  <c r="BX617" i="83"/>
  <c r="BZ748" i="83"/>
  <c r="BX575" i="83"/>
  <c r="BZ835" i="83"/>
  <c r="AQ61" i="83"/>
  <c r="BX61" i="83" s="1"/>
  <c r="AQ90" i="83"/>
  <c r="BX90" i="83" s="1"/>
  <c r="CA90" i="83" s="1"/>
  <c r="BB355" i="83"/>
  <c r="BX548" i="83"/>
  <c r="BZ669" i="83"/>
  <c r="CY19" i="106"/>
  <c r="BX592" i="83"/>
  <c r="BX578" i="83"/>
  <c r="CA578" i="83" s="1"/>
  <c r="BZ400" i="83"/>
  <c r="BZ80" i="83"/>
  <c r="AQ129" i="83"/>
  <c r="BX129" i="83" s="1"/>
  <c r="BX204" i="83"/>
  <c r="BX269" i="83"/>
  <c r="AQ270" i="83"/>
  <c r="BX270" i="83" s="1"/>
  <c r="BZ808" i="83"/>
  <c r="BX856" i="83"/>
  <c r="DC2" i="106"/>
  <c r="CZ2" i="106"/>
  <c r="CU20" i="104"/>
  <c r="CX20" i="104" s="1"/>
  <c r="CZ20" i="104" s="1"/>
  <c r="CS20" i="104"/>
  <c r="DF93" i="106"/>
  <c r="DI93" i="106" s="1"/>
  <c r="DD93" i="106"/>
  <c r="DD63" i="106"/>
  <c r="DF63" i="106"/>
  <c r="DI63" i="106" s="1"/>
  <c r="DF123" i="106"/>
  <c r="DI123" i="106" s="1"/>
  <c r="DD60" i="106"/>
  <c r="DD7" i="106"/>
  <c r="DF126" i="106"/>
  <c r="DI126" i="106" s="1"/>
  <c r="DD27" i="106"/>
  <c r="CP8" i="104"/>
  <c r="DF131" i="106"/>
  <c r="DI131" i="106" s="1"/>
  <c r="CZ70" i="106"/>
  <c r="DC118" i="106"/>
  <c r="DC58" i="106"/>
  <c r="DC13" i="106"/>
  <c r="CS61" i="106"/>
  <c r="CV61" i="106"/>
  <c r="DJ61" i="103"/>
  <c r="DM61" i="103"/>
  <c r="DP61" i="103" s="1"/>
  <c r="DR61" i="103" s="1"/>
  <c r="DT61" i="103" s="1"/>
  <c r="DD97" i="106"/>
  <c r="DF51" i="106"/>
  <c r="DI51" i="106" s="1"/>
  <c r="DD122" i="106"/>
  <c r="DF115" i="106"/>
  <c r="DI115" i="106" s="1"/>
  <c r="DD99" i="106"/>
  <c r="DF10" i="106"/>
  <c r="DI10" i="106" s="1"/>
  <c r="DC24" i="106"/>
  <c r="CW27" i="106"/>
  <c r="DD21" i="106"/>
  <c r="CZ11" i="106"/>
  <c r="DC11" i="106"/>
  <c r="CR4" i="104"/>
  <c r="DF34" i="106"/>
  <c r="DI34" i="106" s="1"/>
  <c r="CO17" i="104"/>
  <c r="CR17" i="104" s="1"/>
  <c r="CZ90" i="106"/>
  <c r="DF64" i="106"/>
  <c r="DI64" i="106" s="1"/>
  <c r="DG46" i="103"/>
  <c r="DJ50" i="103"/>
  <c r="CM6" i="104"/>
  <c r="CS19" i="106"/>
  <c r="DC20" i="106"/>
  <c r="CS92" i="106"/>
  <c r="CV92" i="106"/>
  <c r="DF28" i="106"/>
  <c r="DI28" i="106" s="1"/>
  <c r="DD28" i="106"/>
  <c r="CS31" i="106"/>
  <c r="CV31" i="106"/>
  <c r="CS113" i="106"/>
  <c r="CV113" i="106"/>
  <c r="CW95" i="106"/>
  <c r="CY95" i="106"/>
  <c r="DM59" i="103"/>
  <c r="DP59" i="103" s="1"/>
  <c r="DR59" i="103" s="1"/>
  <c r="DT59" i="103" s="1"/>
  <c r="DJ59" i="103"/>
  <c r="CW90" i="106"/>
  <c r="CY130" i="106"/>
  <c r="DD22" i="106"/>
  <c r="DG37" i="103"/>
  <c r="DI37" i="103"/>
  <c r="CS47" i="106"/>
  <c r="CV47" i="106"/>
  <c r="CS29" i="106"/>
  <c r="CV29" i="106"/>
  <c r="CM8" i="104"/>
  <c r="CY102" i="106"/>
  <c r="CS110" i="106"/>
  <c r="CV110" i="106"/>
  <c r="CY80" i="106"/>
  <c r="CW80" i="106"/>
  <c r="DJ62" i="103"/>
  <c r="DM62" i="103"/>
  <c r="DP62" i="103" s="1"/>
  <c r="DR62" i="103" s="1"/>
  <c r="DT62" i="103" s="1"/>
  <c r="CV86" i="106"/>
  <c r="CY86" i="106" s="1"/>
  <c r="CZ38" i="106"/>
  <c r="DC38" i="106"/>
  <c r="CW19" i="106"/>
  <c r="CZ93" i="106"/>
  <c r="DC30" i="106"/>
  <c r="DM52" i="103"/>
  <c r="DP52" i="103" s="1"/>
  <c r="DR52" i="103" s="1"/>
  <c r="DT52" i="103" s="1"/>
  <c r="CM17" i="104"/>
  <c r="CS86" i="106"/>
  <c r="DI69" i="103"/>
  <c r="DG69" i="103"/>
  <c r="CW118" i="106"/>
  <c r="DA21" i="103"/>
  <c r="CU91" i="103"/>
  <c r="CU96" i="103" s="1"/>
  <c r="DF30" i="103"/>
  <c r="DI30" i="103" s="1"/>
  <c r="DB30" i="103"/>
  <c r="DB69" i="103"/>
  <c r="DG13" i="103"/>
  <c r="DB13" i="103"/>
  <c r="DF13" i="103"/>
  <c r="DI13" i="103" s="1"/>
  <c r="DJ80" i="103"/>
  <c r="DI77" i="103"/>
  <c r="CN65" i="106"/>
  <c r="CS38" i="106"/>
  <c r="DG51" i="103"/>
  <c r="DI51" i="103"/>
  <c r="CW21" i="106"/>
  <c r="DJ75" i="103"/>
  <c r="DJ53" i="103"/>
  <c r="DB31" i="103"/>
  <c r="DF31" i="103"/>
  <c r="DF64" i="103"/>
  <c r="DI64" i="103" s="1"/>
  <c r="DB64" i="103"/>
  <c r="DI47" i="103"/>
  <c r="DB60" i="103"/>
  <c r="DG60" i="103"/>
  <c r="DC15" i="106"/>
  <c r="CO98" i="106"/>
  <c r="DF20" i="103"/>
  <c r="DB56" i="103"/>
  <c r="DG56" i="103"/>
  <c r="DF56" i="103"/>
  <c r="DI56" i="103" s="1"/>
  <c r="DJ63" i="103"/>
  <c r="DM63" i="103"/>
  <c r="DP63" i="103" s="1"/>
  <c r="DR63" i="103" s="1"/>
  <c r="DT63" i="103" s="1"/>
  <c r="DB5" i="103"/>
  <c r="DF5" i="103"/>
  <c r="DB24" i="103"/>
  <c r="DF24" i="103"/>
  <c r="DI24" i="103" s="1"/>
  <c r="AM11" i="103"/>
  <c r="BO14" i="104"/>
  <c r="CD14" i="104" s="1"/>
  <c r="CW22" i="106"/>
  <c r="BM103" i="106"/>
  <c r="BM122" i="106"/>
  <c r="BM130" i="106"/>
  <c r="DF19" i="103"/>
  <c r="DA26" i="103"/>
  <c r="CH108" i="106"/>
  <c r="CN108" i="106"/>
  <c r="CW133" i="106"/>
  <c r="CY133" i="106"/>
  <c r="CI13" i="104"/>
  <c r="CL13" i="104"/>
  <c r="CX138" i="106"/>
  <c r="CN87" i="106"/>
  <c r="CH87" i="106"/>
  <c r="BM78" i="106"/>
  <c r="BM70" i="106"/>
  <c r="BM138" i="106" s="1"/>
  <c r="BM97" i="106"/>
  <c r="BM108" i="106"/>
  <c r="BM113" i="106"/>
  <c r="AF12" i="104"/>
  <c r="BK12" i="104"/>
  <c r="BM12" i="104" s="1"/>
  <c r="BO12" i="104" s="1"/>
  <c r="CD12" i="104" s="1"/>
  <c r="AT4" i="105"/>
  <c r="BK5" i="104"/>
  <c r="CS133" i="106"/>
  <c r="AF18" i="104"/>
  <c r="CE13" i="104"/>
  <c r="AA136" i="106"/>
  <c r="CA615" i="83"/>
  <c r="BZ615" i="83"/>
  <c r="BZ553" i="83"/>
  <c r="CA553" i="83"/>
  <c r="CA889" i="83"/>
  <c r="BZ889" i="83"/>
  <c r="CA826" i="83"/>
  <c r="BZ826" i="83"/>
  <c r="BZ17" i="83"/>
  <c r="CA17" i="83"/>
  <c r="CA570" i="83"/>
  <c r="BZ570" i="83"/>
  <c r="BZ261" i="83"/>
  <c r="CA261" i="83"/>
  <c r="CA293" i="83"/>
  <c r="BZ293" i="83"/>
  <c r="CA632" i="83"/>
  <c r="BZ632" i="83"/>
  <c r="CA696" i="83"/>
  <c r="BZ696" i="83"/>
  <c r="CA709" i="83"/>
  <c r="BZ709" i="83"/>
  <c r="CA742" i="83"/>
  <c r="BZ742" i="83"/>
  <c r="BZ805" i="83"/>
  <c r="CA805" i="83"/>
  <c r="CA821" i="83"/>
  <c r="BZ821" i="83"/>
  <c r="CA828" i="83"/>
  <c r="BZ828" i="83"/>
  <c r="CA829" i="83"/>
  <c r="BZ829" i="83"/>
  <c r="CA846" i="83"/>
  <c r="BZ846" i="83"/>
  <c r="BZ869" i="83"/>
  <c r="CA867" i="83"/>
  <c r="BZ867" i="83"/>
  <c r="CA647" i="83"/>
  <c r="BZ647" i="83"/>
  <c r="CA558" i="83"/>
  <c r="BZ558" i="83"/>
  <c r="W14" i="48"/>
  <c r="X14" i="48" s="1"/>
  <c r="AE14" i="48" s="1"/>
  <c r="AF14" i="48" s="1"/>
  <c r="AZ14" i="48" s="1"/>
  <c r="W37" i="48"/>
  <c r="X37" i="48" s="1"/>
  <c r="AE37" i="48" s="1"/>
  <c r="AF37" i="48" s="1"/>
  <c r="AZ37" i="48" s="1"/>
  <c r="CA441" i="83"/>
  <c r="CA349" i="83"/>
  <c r="BZ349" i="83"/>
  <c r="CA800" i="83"/>
  <c r="BZ800" i="83"/>
  <c r="BZ533" i="83"/>
  <c r="CA533" i="83"/>
  <c r="CA661" i="83"/>
  <c r="BZ55" i="83"/>
  <c r="CA55" i="83"/>
  <c r="CA853" i="83"/>
  <c r="BZ853" i="83"/>
  <c r="W17" i="48"/>
  <c r="X17" i="48" s="1"/>
  <c r="AE17" i="48" s="1"/>
  <c r="AF17" i="48" s="1"/>
  <c r="AZ17" i="48" s="1"/>
  <c r="BA17" i="48" s="1"/>
  <c r="W24" i="48"/>
  <c r="X24" i="48" s="1"/>
  <c r="AE24" i="48" s="1"/>
  <c r="AF24" i="48" s="1"/>
  <c r="AZ24" i="48" s="1"/>
  <c r="W58" i="48"/>
  <c r="X58" i="48" s="1"/>
  <c r="BZ812" i="83"/>
  <c r="BZ658" i="83"/>
  <c r="BZ767" i="83"/>
  <c r="CA713" i="83"/>
  <c r="BZ713" i="83"/>
  <c r="BZ780" i="83"/>
  <c r="BZ11" i="83"/>
  <c r="BZ885" i="83"/>
  <c r="BZ627" i="83"/>
  <c r="BZ833" i="83"/>
  <c r="CA287" i="83"/>
  <c r="CA860" i="83"/>
  <c r="BZ784" i="83"/>
  <c r="BZ495" i="83"/>
  <c r="CA495" i="83"/>
  <c r="Y15" i="83"/>
  <c r="Z15" i="83" s="1"/>
  <c r="AP15" i="83" s="1"/>
  <c r="AQ15" i="83" s="1"/>
  <c r="BX15" i="83" s="1"/>
  <c r="CA15" i="83" s="1"/>
  <c r="CA611" i="83"/>
  <c r="BZ611" i="83"/>
  <c r="CA289" i="83"/>
  <c r="BZ583" i="83"/>
  <c r="CA158" i="83"/>
  <c r="BZ871" i="83"/>
  <c r="CA71" i="83"/>
  <c r="BZ559" i="83"/>
  <c r="CA671" i="83"/>
  <c r="BZ723" i="83"/>
  <c r="CA723" i="83"/>
  <c r="CA365" i="83"/>
  <c r="BZ365" i="83"/>
  <c r="CA178" i="83"/>
  <c r="BZ555" i="83"/>
  <c r="BZ665" i="83"/>
  <c r="BZ753" i="83"/>
  <c r="BZ438" i="83"/>
  <c r="BZ565" i="83"/>
  <c r="BZ635" i="83"/>
  <c r="BZ500" i="83"/>
  <c r="CA776" i="83"/>
  <c r="BZ776" i="83"/>
  <c r="CA654" i="83"/>
  <c r="BZ654" i="83"/>
  <c r="CA847" i="83"/>
  <c r="BZ847" i="83"/>
  <c r="CA771" i="83"/>
  <c r="BZ771" i="83"/>
  <c r="W27" i="48"/>
  <c r="X27" i="48" s="1"/>
  <c r="AE27" i="48" s="1"/>
  <c r="AF27" i="48" s="1"/>
  <c r="AZ27" i="48" s="1"/>
  <c r="BA27" i="48" s="1"/>
  <c r="W29" i="48"/>
  <c r="X29" i="48" s="1"/>
  <c r="AE29" i="48" s="1"/>
  <c r="AF29" i="48" s="1"/>
  <c r="AZ29" i="48" s="1"/>
  <c r="W41" i="48"/>
  <c r="X41" i="48" s="1"/>
  <c r="W52" i="48"/>
  <c r="X52" i="48" s="1"/>
  <c r="AE52" i="48" s="1"/>
  <c r="AF52" i="48" s="1"/>
  <c r="W67" i="48"/>
  <c r="X67" i="48" s="1"/>
  <c r="W65" i="48"/>
  <c r="X65" i="48" s="1"/>
  <c r="AE65" i="48" s="1"/>
  <c r="AF65" i="48" s="1"/>
  <c r="W195" i="48"/>
  <c r="X195" i="48" s="1"/>
  <c r="AE195" i="48" s="1"/>
  <c r="AF195" i="48" s="1"/>
  <c r="W197" i="48"/>
  <c r="X197" i="48" s="1"/>
  <c r="AE197" i="48" s="1"/>
  <c r="AF197" i="48" s="1"/>
  <c r="W70" i="48"/>
  <c r="X70" i="48" s="1"/>
  <c r="AE70" i="48" s="1"/>
  <c r="AF70" i="48" s="1"/>
  <c r="AZ70" i="48" s="1"/>
  <c r="W73" i="48"/>
  <c r="X73" i="48" s="1"/>
  <c r="AE73" i="48" s="1"/>
  <c r="AF73" i="48" s="1"/>
  <c r="AZ73" i="48" s="1"/>
  <c r="BZ516" i="83"/>
  <c r="BZ772" i="83"/>
  <c r="BZ754" i="83"/>
  <c r="BZ104" i="83"/>
  <c r="BZ626" i="83"/>
  <c r="BZ435" i="83"/>
  <c r="CA435" i="83"/>
  <c r="CA350" i="83"/>
  <c r="BZ350" i="83"/>
  <c r="CA404" i="83"/>
  <c r="BZ404" i="83"/>
  <c r="CA434" i="83"/>
  <c r="BZ434" i="83"/>
  <c r="W2" i="48"/>
  <c r="X2" i="48" s="1"/>
  <c r="AE2" i="48" s="1"/>
  <c r="AF2" i="48" s="1"/>
  <c r="W9" i="48"/>
  <c r="X9" i="48" s="1"/>
  <c r="AE9" i="48" s="1"/>
  <c r="AF9" i="48" s="1"/>
  <c r="AZ9" i="48" s="1"/>
  <c r="W22" i="48"/>
  <c r="X22" i="48" s="1"/>
  <c r="AE22" i="48" s="1"/>
  <c r="AF22" i="48" s="1"/>
  <c r="AZ22" i="48" s="1"/>
  <c r="W45" i="48"/>
  <c r="X45" i="48" s="1"/>
  <c r="AE45" i="48" s="1"/>
  <c r="AF45" i="48" s="1"/>
  <c r="W55" i="48"/>
  <c r="X55" i="48" s="1"/>
  <c r="BZ643" i="83"/>
  <c r="BZ744" i="83"/>
  <c r="BZ728" i="83"/>
  <c r="BZ792" i="83"/>
  <c r="CA792" i="83"/>
  <c r="CA854" i="83"/>
  <c r="BZ854" i="83"/>
  <c r="BZ830" i="83"/>
  <c r="CA830" i="83"/>
  <c r="BZ144" i="83"/>
  <c r="CA144" i="83"/>
  <c r="Y3" i="83"/>
  <c r="Z3" i="83" s="1"/>
  <c r="AP3" i="83" s="1"/>
  <c r="AQ3" i="83" s="1"/>
  <c r="BX3" i="83" s="1"/>
  <c r="Y4" i="83"/>
  <c r="Z4" i="83" s="1"/>
  <c r="AP4" i="83" s="1"/>
  <c r="AQ4" i="83" s="1"/>
  <c r="BX4" i="83" s="1"/>
  <c r="CA4" i="83" s="1"/>
  <c r="Y6" i="83"/>
  <c r="Z6" i="83" s="1"/>
  <c r="AP6" i="83" s="1"/>
  <c r="AQ6" i="83" s="1"/>
  <c r="BX6" i="83" s="1"/>
  <c r="Y12" i="83"/>
  <c r="Z12" i="83" s="1"/>
  <c r="AP12" i="83" s="1"/>
  <c r="AQ12" i="83" s="1"/>
  <c r="BX12" i="83" s="1"/>
  <c r="Y14" i="83"/>
  <c r="Z14" i="83" s="1"/>
  <c r="AP14" i="83" s="1"/>
  <c r="AQ14" i="83" s="1"/>
  <c r="BX14" i="83" s="1"/>
  <c r="Y18" i="83"/>
  <c r="Z18" i="83" s="1"/>
  <c r="AP18" i="83" s="1"/>
  <c r="AQ18" i="83" s="1"/>
  <c r="BX18" i="83" s="1"/>
  <c r="Y24" i="83"/>
  <c r="Z24" i="83" s="1"/>
  <c r="AP24" i="83" s="1"/>
  <c r="AQ24" i="83" s="1"/>
  <c r="BX24" i="83" s="1"/>
  <c r="Y27" i="83"/>
  <c r="Z27" i="83" s="1"/>
  <c r="AP27" i="83" s="1"/>
  <c r="AQ27" i="83" s="1"/>
  <c r="BX27" i="83" s="1"/>
  <c r="Y39" i="83"/>
  <c r="Z39" i="83" s="1"/>
  <c r="AP39" i="83" s="1"/>
  <c r="AQ39" i="83" s="1"/>
  <c r="BX39" i="83" s="1"/>
  <c r="CA39" i="83" s="1"/>
  <c r="Y45" i="83"/>
  <c r="Z45" i="83" s="1"/>
  <c r="AP45" i="83" s="1"/>
  <c r="AQ45" i="83" s="1"/>
  <c r="BX45" i="83" s="1"/>
  <c r="Y52" i="83"/>
  <c r="Z52" i="83" s="1"/>
  <c r="AP52" i="83" s="1"/>
  <c r="AQ52" i="83" s="1"/>
  <c r="BX52" i="83" s="1"/>
  <c r="Y70" i="83"/>
  <c r="Z70" i="83" s="1"/>
  <c r="AP70" i="83" s="1"/>
  <c r="AQ70" i="83" s="1"/>
  <c r="BX70" i="83" s="1"/>
  <c r="Y108" i="83"/>
  <c r="Z108" i="83" s="1"/>
  <c r="AP108" i="83" s="1"/>
  <c r="AQ108" i="83" s="1"/>
  <c r="BX108" i="83" s="1"/>
  <c r="Y109" i="83"/>
  <c r="Z109" i="83" s="1"/>
  <c r="AP109" i="83" s="1"/>
  <c r="AQ109" i="83" s="1"/>
  <c r="BX109" i="83" s="1"/>
  <c r="CA109" i="83" s="1"/>
  <c r="Y113" i="83"/>
  <c r="Z113" i="83" s="1"/>
  <c r="AP113" i="83" s="1"/>
  <c r="AQ113" i="83" s="1"/>
  <c r="BX113" i="83" s="1"/>
  <c r="Y116" i="83"/>
  <c r="Z116" i="83" s="1"/>
  <c r="AP116" i="83" s="1"/>
  <c r="AQ116" i="83" s="1"/>
  <c r="BX116" i="83" s="1"/>
  <c r="Y119" i="83"/>
  <c r="Z119" i="83" s="1"/>
  <c r="AP119" i="83" s="1"/>
  <c r="AQ119" i="83" s="1"/>
  <c r="BX119" i="83" s="1"/>
  <c r="Y125" i="83"/>
  <c r="Z125" i="83" s="1"/>
  <c r="AP125" i="83" s="1"/>
  <c r="AQ125" i="83" s="1"/>
  <c r="BX125" i="83" s="1"/>
  <c r="Y126" i="83"/>
  <c r="Z126" i="83" s="1"/>
  <c r="AP126" i="83" s="1"/>
  <c r="AQ126" i="83" s="1"/>
  <c r="BX126" i="83" s="1"/>
  <c r="Y130" i="83"/>
  <c r="Z130" i="83" s="1"/>
  <c r="AP130" i="83" s="1"/>
  <c r="AQ130" i="83" s="1"/>
  <c r="BX130" i="83" s="1"/>
  <c r="Y136" i="83"/>
  <c r="Z136" i="83" s="1"/>
  <c r="AP136" i="83" s="1"/>
  <c r="AQ136" i="83" s="1"/>
  <c r="BX136" i="83" s="1"/>
  <c r="Y142" i="83"/>
  <c r="Z142" i="83" s="1"/>
  <c r="AP142" i="83" s="1"/>
  <c r="AQ142" i="83" s="1"/>
  <c r="BX142" i="83" s="1"/>
  <c r="Y145" i="83"/>
  <c r="Z145" i="83" s="1"/>
  <c r="AP145" i="83" s="1"/>
  <c r="AQ145" i="83" s="1"/>
  <c r="BX145" i="83" s="1"/>
  <c r="Y165" i="83"/>
  <c r="Z165" i="83" s="1"/>
  <c r="AP165" i="83" s="1"/>
  <c r="AQ165" i="83" s="1"/>
  <c r="BX165" i="83" s="1"/>
  <c r="CA165" i="83" s="1"/>
  <c r="Y181" i="83"/>
  <c r="Z181" i="83" s="1"/>
  <c r="AP181" i="83" s="1"/>
  <c r="AQ181" i="83" s="1"/>
  <c r="BX181" i="83" s="1"/>
  <c r="Y184" i="83"/>
  <c r="Z184" i="83" s="1"/>
  <c r="AP184" i="83" s="1"/>
  <c r="AQ184" i="83" s="1"/>
  <c r="BX184" i="83" s="1"/>
  <c r="Y188" i="83"/>
  <c r="Z188" i="83" s="1"/>
  <c r="AP188" i="83" s="1"/>
  <c r="AQ188" i="83" s="1"/>
  <c r="BX188" i="83" s="1"/>
  <c r="Y191" i="83"/>
  <c r="Z191" i="83" s="1"/>
  <c r="AP191" i="83" s="1"/>
  <c r="AQ191" i="83" s="1"/>
  <c r="BX191" i="83" s="1"/>
  <c r="Y195" i="83"/>
  <c r="Z195" i="83" s="1"/>
  <c r="AP195" i="83" s="1"/>
  <c r="AQ195" i="83" s="1"/>
  <c r="BX195" i="83" s="1"/>
  <c r="Y199" i="83"/>
  <c r="Z199" i="83" s="1"/>
  <c r="AP199" i="83" s="1"/>
  <c r="AQ199" i="83" s="1"/>
  <c r="BX199" i="83" s="1"/>
  <c r="Y874" i="83"/>
  <c r="Z874" i="83" s="1"/>
  <c r="AP874" i="83" s="1"/>
  <c r="AQ874" i="83" s="1"/>
  <c r="BX874" i="83" s="1"/>
  <c r="W8" i="103"/>
  <c r="X8" i="103" s="1"/>
  <c r="Z8" i="103" s="1"/>
  <c r="AA8" i="103" s="1"/>
  <c r="W17" i="103"/>
  <c r="X17" i="103" s="1"/>
  <c r="Z17" i="103" s="1"/>
  <c r="AA17" i="103" s="1"/>
  <c r="Y749" i="83"/>
  <c r="Z749" i="83" s="1"/>
  <c r="AP749" i="83" s="1"/>
  <c r="AQ749" i="83" s="1"/>
  <c r="BX749" i="83" s="1"/>
  <c r="Y804" i="83"/>
  <c r="Z804" i="83" s="1"/>
  <c r="AP804" i="83" s="1"/>
  <c r="AQ804" i="83" s="1"/>
  <c r="BX804" i="83" s="1"/>
  <c r="Y817" i="83"/>
  <c r="Y838" i="83"/>
  <c r="Z838" i="83" s="1"/>
  <c r="AP838" i="83" s="1"/>
  <c r="AQ838" i="83" s="1"/>
  <c r="BX838" i="83" s="1"/>
  <c r="Y849" i="83"/>
  <c r="Z849" i="83" s="1"/>
  <c r="AP849" i="83" s="1"/>
  <c r="AQ849" i="83" s="1"/>
  <c r="BX849" i="83" s="1"/>
  <c r="CA849" i="83" s="1"/>
  <c r="W48" i="103"/>
  <c r="X48" i="103" s="1"/>
  <c r="Z48" i="103" s="1"/>
  <c r="AA48" i="103" s="1"/>
  <c r="Y21" i="83"/>
  <c r="Z21" i="83" s="1"/>
  <c r="AP21" i="83" s="1"/>
  <c r="AQ21" i="83" s="1"/>
  <c r="BX21" i="83" s="1"/>
  <c r="CA21" i="83" s="1"/>
  <c r="Y28" i="83"/>
  <c r="Z28" i="83" s="1"/>
  <c r="AP28" i="83" s="1"/>
  <c r="AQ28" i="83" s="1"/>
  <c r="BX28" i="83" s="1"/>
  <c r="Y31" i="83"/>
  <c r="Z31" i="83" s="1"/>
  <c r="AP31" i="83" s="1"/>
  <c r="AQ31" i="83" s="1"/>
  <c r="BX31" i="83" s="1"/>
  <c r="Y35" i="83"/>
  <c r="Z35" i="83" s="1"/>
  <c r="AP35" i="83" s="1"/>
  <c r="AQ35" i="83" s="1"/>
  <c r="BX35" i="83" s="1"/>
  <c r="Y40" i="83"/>
  <c r="Z40" i="83" s="1"/>
  <c r="AP40" i="83" s="1"/>
  <c r="AQ40" i="83" s="1"/>
  <c r="BX40" i="83" s="1"/>
  <c r="Y49" i="83"/>
  <c r="Z49" i="83" s="1"/>
  <c r="AP49" i="83" s="1"/>
  <c r="AQ49" i="83" s="1"/>
  <c r="BX49" i="83" s="1"/>
  <c r="BZ49" i="83" s="1"/>
  <c r="Y57" i="83"/>
  <c r="Z57" i="83" s="1"/>
  <c r="AP57" i="83" s="1"/>
  <c r="AQ57" i="83" s="1"/>
  <c r="BX57" i="83" s="1"/>
  <c r="Y62" i="83"/>
  <c r="Z62" i="83" s="1"/>
  <c r="AP62" i="83" s="1"/>
  <c r="AQ62" i="83" s="1"/>
  <c r="BX62" i="83" s="1"/>
  <c r="CA62" i="83" s="1"/>
  <c r="Y66" i="83"/>
  <c r="Z66" i="83" s="1"/>
  <c r="AP66" i="83" s="1"/>
  <c r="AQ66" i="83" s="1"/>
  <c r="BX66" i="83" s="1"/>
  <c r="Y82" i="83"/>
  <c r="Z82" i="83" s="1"/>
  <c r="AP82" i="83" s="1"/>
  <c r="AQ82" i="83" s="1"/>
  <c r="BX82" i="83" s="1"/>
  <c r="Y85" i="83"/>
  <c r="Z85" i="83" s="1"/>
  <c r="AP85" i="83" s="1"/>
  <c r="AQ85" i="83" s="1"/>
  <c r="BX85" i="83" s="1"/>
  <c r="Y89" i="83"/>
  <c r="Z89" i="83" s="1"/>
  <c r="AP89" i="83" s="1"/>
  <c r="AQ89" i="83" s="1"/>
  <c r="BX89" i="83" s="1"/>
  <c r="Y92" i="83"/>
  <c r="Z92" i="83" s="1"/>
  <c r="AP92" i="83" s="1"/>
  <c r="AQ92" i="83" s="1"/>
  <c r="BX92" i="83" s="1"/>
  <c r="Y110" i="83"/>
  <c r="Y122" i="83"/>
  <c r="Z122" i="83" s="1"/>
  <c r="AP122" i="83" s="1"/>
  <c r="AQ122" i="83" s="1"/>
  <c r="BX122" i="83" s="1"/>
  <c r="Y127" i="83"/>
  <c r="Z127" i="83" s="1"/>
  <c r="AP127" i="83" s="1"/>
  <c r="AQ127" i="83" s="1"/>
  <c r="BX127" i="83" s="1"/>
  <c r="Y134" i="83"/>
  <c r="Z134" i="83" s="1"/>
  <c r="AP134" i="83" s="1"/>
  <c r="AQ134" i="83" s="1"/>
  <c r="BX134" i="83" s="1"/>
  <c r="Y143" i="83"/>
  <c r="Z143" i="83" s="1"/>
  <c r="AP143" i="83" s="1"/>
  <c r="AQ143" i="83" s="1"/>
  <c r="BX143" i="83" s="1"/>
  <c r="Y146" i="83"/>
  <c r="Z146" i="83" s="1"/>
  <c r="AP146" i="83" s="1"/>
  <c r="AQ146" i="83" s="1"/>
  <c r="BX146" i="83" s="1"/>
  <c r="Y150" i="83"/>
  <c r="Z150" i="83" s="1"/>
  <c r="AP150" i="83" s="1"/>
  <c r="AQ150" i="83" s="1"/>
  <c r="BX150" i="83" s="1"/>
  <c r="Y152" i="83"/>
  <c r="Z152" i="83" s="1"/>
  <c r="AP152" i="83" s="1"/>
  <c r="AQ152" i="83" s="1"/>
  <c r="BX152" i="83" s="1"/>
  <c r="Y155" i="83"/>
  <c r="Z155" i="83" s="1"/>
  <c r="AP155" i="83" s="1"/>
  <c r="AQ155" i="83" s="1"/>
  <c r="BX155" i="83" s="1"/>
  <c r="Y159" i="83"/>
  <c r="Y163" i="83"/>
  <c r="Z163" i="83" s="1"/>
  <c r="AP163" i="83" s="1"/>
  <c r="AQ163" i="83" s="1"/>
  <c r="BX163" i="83" s="1"/>
  <c r="BZ163" i="83" s="1"/>
  <c r="Y166" i="83"/>
  <c r="Z166" i="83" s="1"/>
  <c r="AP166" i="83" s="1"/>
  <c r="AQ166" i="83" s="1"/>
  <c r="BX166" i="83" s="1"/>
  <c r="BZ166" i="83" s="1"/>
  <c r="Y170" i="83"/>
  <c r="Z170" i="83" s="1"/>
  <c r="AP170" i="83" s="1"/>
  <c r="AQ170" i="83" s="1"/>
  <c r="BX170" i="83" s="1"/>
  <c r="Y173" i="83"/>
  <c r="Z173" i="83" s="1"/>
  <c r="AP173" i="83" s="1"/>
  <c r="AQ173" i="83" s="1"/>
  <c r="BX173" i="83" s="1"/>
  <c r="Y176" i="83"/>
  <c r="Z176" i="83" s="1"/>
  <c r="AP176" i="83" s="1"/>
  <c r="AQ176" i="83" s="1"/>
  <c r="BX176" i="83" s="1"/>
  <c r="Y180" i="83"/>
  <c r="Y185" i="83"/>
  <c r="Z185" i="83" s="1"/>
  <c r="AP185" i="83" s="1"/>
  <c r="AQ185" i="83" s="1"/>
  <c r="BX185" i="83" s="1"/>
  <c r="Y186" i="83"/>
  <c r="Z186" i="83" s="1"/>
  <c r="AP186" i="83" s="1"/>
  <c r="AQ186" i="83" s="1"/>
  <c r="BX186" i="83" s="1"/>
  <c r="Y192" i="83"/>
  <c r="Z192" i="83" s="1"/>
  <c r="AP192" i="83" s="1"/>
  <c r="AQ192" i="83" s="1"/>
  <c r="BX192" i="83" s="1"/>
  <c r="Y200" i="83"/>
  <c r="Z200" i="83" s="1"/>
  <c r="AP200" i="83" s="1"/>
  <c r="AQ200" i="83" s="1"/>
  <c r="BX200" i="83" s="1"/>
  <c r="CA200" i="83" s="1"/>
  <c r="Y203" i="83"/>
  <c r="Z203" i="83" s="1"/>
  <c r="AP203" i="83" s="1"/>
  <c r="AQ203" i="83" s="1"/>
  <c r="BX203" i="83" s="1"/>
  <c r="Y206" i="83"/>
  <c r="Z206" i="83" s="1"/>
  <c r="AP206" i="83" s="1"/>
  <c r="AQ206" i="83" s="1"/>
  <c r="BX206" i="83" s="1"/>
  <c r="Y210" i="83"/>
  <c r="Z210" i="83" s="1"/>
  <c r="AP210" i="83" s="1"/>
  <c r="AQ210" i="83" s="1"/>
  <c r="BX210" i="83" s="1"/>
  <c r="BZ210" i="83" s="1"/>
  <c r="Y211" i="83"/>
  <c r="Z211" i="83" s="1"/>
  <c r="Y215" i="83"/>
  <c r="Z215" i="83" s="1"/>
  <c r="Y219" i="83"/>
  <c r="Z219" i="83" s="1"/>
  <c r="AP219" i="83" s="1"/>
  <c r="AQ219" i="83" s="1"/>
  <c r="BX219" i="83" s="1"/>
  <c r="Y223" i="83"/>
  <c r="Z223" i="83" s="1"/>
  <c r="AP223" i="83" s="1"/>
  <c r="AQ223" i="83" s="1"/>
  <c r="BX223" i="83" s="1"/>
  <c r="Y227" i="83"/>
  <c r="Z227" i="83" s="1"/>
  <c r="AP227" i="83" s="1"/>
  <c r="AQ227" i="83" s="1"/>
  <c r="BX227" i="83" s="1"/>
  <c r="Y230" i="83"/>
  <c r="Z230" i="83" s="1"/>
  <c r="AP230" i="83" s="1"/>
  <c r="AQ230" i="83" s="1"/>
  <c r="BX230" i="83" s="1"/>
  <c r="Y233" i="83"/>
  <c r="Z233" i="83" s="1"/>
  <c r="AP233" i="83" s="1"/>
  <c r="AQ233" i="83" s="1"/>
  <c r="BX233" i="83" s="1"/>
  <c r="Y238" i="83"/>
  <c r="Z238" i="83" s="1"/>
  <c r="AP238" i="83" s="1"/>
  <c r="AQ238" i="83" s="1"/>
  <c r="BX238" i="83" s="1"/>
  <c r="Y241" i="83"/>
  <c r="Z241" i="83" s="1"/>
  <c r="AP241" i="83" s="1"/>
  <c r="AQ241" i="83" s="1"/>
  <c r="BX241" i="83" s="1"/>
  <c r="Y242" i="83"/>
  <c r="Z242" i="83" s="1"/>
  <c r="AP242" i="83" s="1"/>
  <c r="AQ242" i="83" s="1"/>
  <c r="BX242" i="83" s="1"/>
  <c r="Y243" i="83"/>
  <c r="Z243" i="83" s="1"/>
  <c r="AP243" i="83" s="1"/>
  <c r="AQ243" i="83" s="1"/>
  <c r="BX243" i="83" s="1"/>
  <c r="CA243" i="83" s="1"/>
  <c r="Y245" i="83"/>
  <c r="Z245" i="83" s="1"/>
  <c r="AP245" i="83" s="1"/>
  <c r="AQ245" i="83" s="1"/>
  <c r="BX245" i="83" s="1"/>
  <c r="Y248" i="83"/>
  <c r="Y250" i="83"/>
  <c r="Z250" i="83" s="1"/>
  <c r="AP250" i="83" s="1"/>
  <c r="AQ250" i="83" s="1"/>
  <c r="BX250" i="83" s="1"/>
  <c r="Y254" i="83"/>
  <c r="Z254" i="83" s="1"/>
  <c r="AP254" i="83" s="1"/>
  <c r="AQ254" i="83" s="1"/>
  <c r="BX254" i="83" s="1"/>
  <c r="CA254" i="83" s="1"/>
  <c r="Y257" i="83"/>
  <c r="Z257" i="83" s="1"/>
  <c r="AP257" i="83" s="1"/>
  <c r="AQ257" i="83" s="1"/>
  <c r="BX257" i="83" s="1"/>
  <c r="Y260" i="83"/>
  <c r="Z260" i="83" s="1"/>
  <c r="AP260" i="83" s="1"/>
  <c r="AQ260" i="83" s="1"/>
  <c r="BX260" i="83" s="1"/>
  <c r="Y267" i="83"/>
  <c r="Z267" i="83" s="1"/>
  <c r="AP267" i="83" s="1"/>
  <c r="AQ267" i="83" s="1"/>
  <c r="BX267" i="83" s="1"/>
  <c r="Y273" i="83"/>
  <c r="Z273" i="83" s="1"/>
  <c r="AP273" i="83" s="1"/>
  <c r="AQ273" i="83" s="1"/>
  <c r="BX273" i="83" s="1"/>
  <c r="CA273" i="83" s="1"/>
  <c r="Y282" i="83"/>
  <c r="Z282" i="83" s="1"/>
  <c r="AP282" i="83" s="1"/>
  <c r="AQ282" i="83" s="1"/>
  <c r="BX282" i="83" s="1"/>
  <c r="Y283" i="83"/>
  <c r="Z283" i="83" s="1"/>
  <c r="AP283" i="83" s="1"/>
  <c r="AQ283" i="83" s="1"/>
  <c r="BX283" i="83" s="1"/>
  <c r="Y285" i="83"/>
  <c r="Z285" i="83" s="1"/>
  <c r="AP285" i="83" s="1"/>
  <c r="AQ285" i="83" s="1"/>
  <c r="BX285" i="83" s="1"/>
  <c r="Y290" i="83"/>
  <c r="Y299" i="83"/>
  <c r="Z299" i="83" s="1"/>
  <c r="AP299" i="83" s="1"/>
  <c r="AQ299" i="83" s="1"/>
  <c r="BX299" i="83" s="1"/>
  <c r="Y302" i="83"/>
  <c r="Z302" i="83" s="1"/>
  <c r="AP302" i="83" s="1"/>
  <c r="AQ302" i="83" s="1"/>
  <c r="BX302" i="83" s="1"/>
  <c r="Y310" i="83"/>
  <c r="Z310" i="83" s="1"/>
  <c r="AP310" i="83" s="1"/>
  <c r="AQ310" i="83" s="1"/>
  <c r="BX310" i="83" s="1"/>
  <c r="CA310" i="83" s="1"/>
  <c r="Y312" i="83"/>
  <c r="Z312" i="83" s="1"/>
  <c r="AP312" i="83" s="1"/>
  <c r="AQ312" i="83" s="1"/>
  <c r="BX312" i="83" s="1"/>
  <c r="CA312" i="83" s="1"/>
  <c r="Y321" i="83"/>
  <c r="Y325" i="83"/>
  <c r="Z325" i="83" s="1"/>
  <c r="AP325" i="83" s="1"/>
  <c r="AQ325" i="83" s="1"/>
  <c r="BX325" i="83" s="1"/>
  <c r="Y335" i="83"/>
  <c r="Z335" i="83" s="1"/>
  <c r="AP335" i="83" s="1"/>
  <c r="AQ335" i="83" s="1"/>
  <c r="BX335" i="83" s="1"/>
  <c r="Y347" i="83"/>
  <c r="Z347" i="83" s="1"/>
  <c r="AP347" i="83" s="1"/>
  <c r="AQ347" i="83" s="1"/>
  <c r="BX347" i="83" s="1"/>
  <c r="Y359" i="83"/>
  <c r="Z359" i="83" s="1"/>
  <c r="AP359" i="83" s="1"/>
  <c r="AQ359" i="83" s="1"/>
  <c r="BX359" i="83" s="1"/>
  <c r="CA359" i="83" s="1"/>
  <c r="Y379" i="83"/>
  <c r="Z379" i="83" s="1"/>
  <c r="AP379" i="83" s="1"/>
  <c r="AQ379" i="83" s="1"/>
  <c r="BX379" i="83" s="1"/>
  <c r="Y387" i="83"/>
  <c r="Z387" i="83" s="1"/>
  <c r="AP387" i="83" s="1"/>
  <c r="AQ387" i="83" s="1"/>
  <c r="BX387" i="83" s="1"/>
  <c r="Y398" i="83"/>
  <c r="Z398" i="83" s="1"/>
  <c r="AP398" i="83" s="1"/>
  <c r="AQ398" i="83" s="1"/>
  <c r="BX398" i="83" s="1"/>
  <c r="Y413" i="83"/>
  <c r="Y415" i="83"/>
  <c r="Z415" i="83" s="1"/>
  <c r="AP415" i="83" s="1"/>
  <c r="AQ415" i="83" s="1"/>
  <c r="BX415" i="83" s="1"/>
  <c r="Y437" i="83"/>
  <c r="Z437" i="83" s="1"/>
  <c r="AP437" i="83" s="1"/>
  <c r="AQ437" i="83" s="1"/>
  <c r="BX437" i="83" s="1"/>
  <c r="CA437" i="83" s="1"/>
  <c r="Y456" i="83"/>
  <c r="Z456" i="83" s="1"/>
  <c r="AP456" i="83" s="1"/>
  <c r="AQ456" i="83" s="1"/>
  <c r="BX456" i="83" s="1"/>
  <c r="Y488" i="83"/>
  <c r="Z488" i="83" s="1"/>
  <c r="AP488" i="83" s="1"/>
  <c r="AQ488" i="83" s="1"/>
  <c r="BX488" i="83" s="1"/>
  <c r="Y547" i="83"/>
  <c r="Z547" i="83" s="1"/>
  <c r="AP547" i="83" s="1"/>
  <c r="AQ547" i="83" s="1"/>
  <c r="BX547" i="83" s="1"/>
  <c r="Y563" i="83"/>
  <c r="Z563" i="83" s="1"/>
  <c r="AP563" i="83" s="1"/>
  <c r="AQ563" i="83" s="1"/>
  <c r="BX563" i="83" s="1"/>
  <c r="Y589" i="83"/>
  <c r="Z589" i="83" s="1"/>
  <c r="AP589" i="83" s="1"/>
  <c r="AQ589" i="83" s="1"/>
  <c r="BX589" i="83" s="1"/>
  <c r="Y602" i="83"/>
  <c r="Z602" i="83" s="1"/>
  <c r="AP602" i="83" s="1"/>
  <c r="AQ602" i="83" s="1"/>
  <c r="BX602" i="83" s="1"/>
  <c r="Y32" i="83"/>
  <c r="Z32" i="83" s="1"/>
  <c r="AP32" i="83" s="1"/>
  <c r="AQ32" i="83" s="1"/>
  <c r="BX32" i="83" s="1"/>
  <c r="Y50" i="83"/>
  <c r="Z50" i="83" s="1"/>
  <c r="AP50" i="83" s="1"/>
  <c r="AQ50" i="83" s="1"/>
  <c r="BX50" i="83" s="1"/>
  <c r="Y67" i="83"/>
  <c r="Z67" i="83" s="1"/>
  <c r="AP67" i="83" s="1"/>
  <c r="AQ67" i="83" s="1"/>
  <c r="BX67" i="83" s="1"/>
  <c r="Y86" i="83"/>
  <c r="Z86" i="83" s="1"/>
  <c r="AP86" i="83" s="1"/>
  <c r="AQ86" i="83" s="1"/>
  <c r="BX86" i="83" s="1"/>
  <c r="Y128" i="83"/>
  <c r="Z128" i="83" s="1"/>
  <c r="AP128" i="83" s="1"/>
  <c r="AQ128" i="83" s="1"/>
  <c r="BX128" i="83" s="1"/>
  <c r="Y137" i="83"/>
  <c r="Z137" i="83" s="1"/>
  <c r="AP137" i="83" s="1"/>
  <c r="AQ137" i="83" s="1"/>
  <c r="BX137" i="83" s="1"/>
  <c r="Y153" i="83"/>
  <c r="Z153" i="83" s="1"/>
  <c r="AP153" i="83" s="1"/>
  <c r="AQ153" i="83" s="1"/>
  <c r="BX153" i="83" s="1"/>
  <c r="Y171" i="83"/>
  <c r="Z171" i="83" s="1"/>
  <c r="AP171" i="83" s="1"/>
  <c r="AQ171" i="83" s="1"/>
  <c r="BX171" i="83" s="1"/>
  <c r="Y216" i="83"/>
  <c r="Z216" i="83" s="1"/>
  <c r="AP216" i="83" s="1"/>
  <c r="AQ216" i="83" s="1"/>
  <c r="BX216" i="83" s="1"/>
  <c r="Y231" i="83"/>
  <c r="Z231" i="83" s="1"/>
  <c r="AP231" i="83" s="1"/>
  <c r="AQ231" i="83" s="1"/>
  <c r="BX231" i="83" s="1"/>
  <c r="Y251" i="83"/>
  <c r="Z251" i="83" s="1"/>
  <c r="AP251" i="83" s="1"/>
  <c r="AQ251" i="83" s="1"/>
  <c r="BX251" i="83" s="1"/>
  <c r="CA251" i="83" s="1"/>
  <c r="Y255" i="83"/>
  <c r="Z255" i="83" s="1"/>
  <c r="AP255" i="83" s="1"/>
  <c r="Y268" i="83"/>
  <c r="Z268" i="83" s="1"/>
  <c r="AP268" i="83" s="1"/>
  <c r="AQ268" i="83" s="1"/>
  <c r="BX268" i="83" s="1"/>
  <c r="Y279" i="83"/>
  <c r="Z279" i="83" s="1"/>
  <c r="AP279" i="83" s="1"/>
  <c r="AQ279" i="83" s="1"/>
  <c r="BX279" i="83" s="1"/>
  <c r="Y280" i="83"/>
  <c r="Z280" i="83" s="1"/>
  <c r="AP280" i="83" s="1"/>
  <c r="AQ280" i="83" s="1"/>
  <c r="BX280" i="83" s="1"/>
  <c r="Y294" i="83"/>
  <c r="Z294" i="83" s="1"/>
  <c r="AP294" i="83" s="1"/>
  <c r="AQ294" i="83" s="1"/>
  <c r="BX294" i="83" s="1"/>
  <c r="Y306" i="83"/>
  <c r="Z306" i="83" s="1"/>
  <c r="AP306" i="83" s="1"/>
  <c r="AQ306" i="83" s="1"/>
  <c r="BX306" i="83" s="1"/>
  <c r="Y315" i="83"/>
  <c r="Z315" i="83" s="1"/>
  <c r="AP315" i="83" s="1"/>
  <c r="AQ315" i="83" s="1"/>
  <c r="BX315" i="83" s="1"/>
  <c r="Y318" i="83"/>
  <c r="Z318" i="83" s="1"/>
  <c r="AP318" i="83" s="1"/>
  <c r="AQ318" i="83" s="1"/>
  <c r="BX318" i="83" s="1"/>
  <c r="W33" i="103"/>
  <c r="X33" i="103" s="1"/>
  <c r="Z33" i="103" s="1"/>
  <c r="AA33" i="103" s="1"/>
  <c r="W52" i="103"/>
  <c r="X52" i="103" s="1"/>
  <c r="Z52" i="103" s="1"/>
  <c r="AA52" i="103" s="1"/>
  <c r="W53" i="103"/>
  <c r="X53" i="103" s="1"/>
  <c r="Z53" i="103" s="1"/>
  <c r="AA53" i="103" s="1"/>
  <c r="W65" i="103"/>
  <c r="X65" i="103" s="1"/>
  <c r="Z65" i="103" s="1"/>
  <c r="AA65" i="103" s="1"/>
  <c r="W3" i="106"/>
  <c r="X3" i="106" s="1"/>
  <c r="Z3" i="106" s="1"/>
  <c r="AA3" i="106" s="1"/>
  <c r="W5" i="106"/>
  <c r="X5" i="106" s="1"/>
  <c r="Z5" i="106" s="1"/>
  <c r="AA5" i="106" s="1"/>
  <c r="W17" i="106"/>
  <c r="X17" i="106" s="1"/>
  <c r="Z17" i="106" s="1"/>
  <c r="AA17" i="106" s="1"/>
  <c r="W19" i="106"/>
  <c r="X19" i="106" s="1"/>
  <c r="Z19" i="106" s="1"/>
  <c r="AA19" i="106" s="1"/>
  <c r="W21" i="106"/>
  <c r="X21" i="106" s="1"/>
  <c r="Z21" i="106" s="1"/>
  <c r="AA21" i="106" s="1"/>
  <c r="W35" i="106"/>
  <c r="X35" i="106" s="1"/>
  <c r="Z35" i="106" s="1"/>
  <c r="AA35" i="106" s="1"/>
  <c r="W37" i="106"/>
  <c r="X37" i="106" s="1"/>
  <c r="Z37" i="106" s="1"/>
  <c r="AA37" i="106" s="1"/>
  <c r="W57" i="106"/>
  <c r="X57" i="106" s="1"/>
  <c r="Z57" i="106" s="1"/>
  <c r="AA57" i="106" s="1"/>
  <c r="W60" i="106"/>
  <c r="X60" i="106" s="1"/>
  <c r="Z60" i="106" s="1"/>
  <c r="AA60" i="106" s="1"/>
  <c r="W62" i="106"/>
  <c r="X62" i="106" s="1"/>
  <c r="Z62" i="106" s="1"/>
  <c r="AA62" i="106" s="1"/>
  <c r="W64" i="106"/>
  <c r="X64" i="106" s="1"/>
  <c r="Z64" i="106" s="1"/>
  <c r="AA64" i="106" s="1"/>
  <c r="W72" i="106"/>
  <c r="X72" i="106" s="1"/>
  <c r="Z72" i="106" s="1"/>
  <c r="AA72" i="106" s="1"/>
  <c r="Y29" i="83"/>
  <c r="Z29" i="83" s="1"/>
  <c r="AP29" i="83" s="1"/>
  <c r="AQ29" i="83" s="1"/>
  <c r="BX29" i="83" s="1"/>
  <c r="Y36" i="83"/>
  <c r="Z36" i="83" s="1"/>
  <c r="AP36" i="83" s="1"/>
  <c r="AQ36" i="83" s="1"/>
  <c r="BX36" i="83" s="1"/>
  <c r="Y43" i="83"/>
  <c r="Y58" i="83"/>
  <c r="Z58" i="83" s="1"/>
  <c r="AP58" i="83" s="1"/>
  <c r="AQ58" i="83" s="1"/>
  <c r="BX58" i="83" s="1"/>
  <c r="CA58" i="83" s="1"/>
  <c r="Y63" i="83"/>
  <c r="Z63" i="83" s="1"/>
  <c r="AP63" i="83" s="1"/>
  <c r="AQ63" i="83" s="1"/>
  <c r="BX63" i="83" s="1"/>
  <c r="Y83" i="83"/>
  <c r="Z83" i="83" s="1"/>
  <c r="AP83" i="83" s="1"/>
  <c r="AQ83" i="83" s="1"/>
  <c r="BX83" i="83" s="1"/>
  <c r="Y105" i="83"/>
  <c r="Z105" i="83" s="1"/>
  <c r="AP105" i="83" s="1"/>
  <c r="AQ105" i="83" s="1"/>
  <c r="BX105" i="83" s="1"/>
  <c r="Y123" i="83"/>
  <c r="Z123" i="83" s="1"/>
  <c r="AP123" i="83" s="1"/>
  <c r="AQ123" i="83" s="1"/>
  <c r="BX123" i="83" s="1"/>
  <c r="Y139" i="83"/>
  <c r="Z139" i="83" s="1"/>
  <c r="AP139" i="83" s="1"/>
  <c r="AQ139" i="83" s="1"/>
  <c r="BX139" i="83" s="1"/>
  <c r="Y182" i="83"/>
  <c r="Z182" i="83" s="1"/>
  <c r="AP182" i="83" s="1"/>
  <c r="AQ182" i="83" s="1"/>
  <c r="BX182" i="83" s="1"/>
  <c r="Y224" i="83"/>
  <c r="Z224" i="83" s="1"/>
  <c r="AP224" i="83" s="1"/>
  <c r="AQ224" i="83" s="1"/>
  <c r="BX224" i="83" s="1"/>
  <c r="Y234" i="83"/>
  <c r="Z234" i="83" s="1"/>
  <c r="AP234" i="83" s="1"/>
  <c r="AQ234" i="83" s="1"/>
  <c r="BX234" i="83" s="1"/>
  <c r="BZ239" i="83"/>
  <c r="CA239" i="83"/>
  <c r="Y244" i="83"/>
  <c r="W3" i="48"/>
  <c r="X3" i="48" s="1"/>
  <c r="AE3" i="48" s="1"/>
  <c r="AF3" i="48" s="1"/>
  <c r="AZ3" i="48" s="1"/>
  <c r="BD3" i="48" s="1"/>
  <c r="W5" i="48"/>
  <c r="X5" i="48" s="1"/>
  <c r="AE5" i="48" s="1"/>
  <c r="AF5" i="48" s="1"/>
  <c r="AZ5" i="48" s="1"/>
  <c r="BA5" i="48" s="1"/>
  <c r="W7" i="48"/>
  <c r="X7" i="48" s="1"/>
  <c r="AE7" i="48" s="1"/>
  <c r="AF7" i="48" s="1"/>
  <c r="AZ7" i="48" s="1"/>
  <c r="W28" i="48"/>
  <c r="X28" i="48" s="1"/>
  <c r="AE28" i="48" s="1"/>
  <c r="AF28" i="48" s="1"/>
  <c r="AZ28" i="48" s="1"/>
  <c r="W68" i="48"/>
  <c r="X68" i="48" s="1"/>
  <c r="W64" i="48"/>
  <c r="X64" i="48" s="1"/>
  <c r="AE64" i="48" s="1"/>
  <c r="AF64" i="48" s="1"/>
  <c r="W75" i="48"/>
  <c r="X75" i="48" s="1"/>
  <c r="AE75" i="48" s="1"/>
  <c r="AF75" i="48" s="1"/>
  <c r="AZ75" i="48" s="1"/>
  <c r="BZ368" i="83"/>
  <c r="BZ384" i="83"/>
  <c r="BZ327" i="83"/>
  <c r="Y272" i="83"/>
  <c r="Z272" i="83" s="1"/>
  <c r="AP272" i="83" s="1"/>
  <c r="AQ272" i="83" s="1"/>
  <c r="BX272" i="83" s="1"/>
  <c r="W39" i="106"/>
  <c r="X39" i="106" s="1"/>
  <c r="Z39" i="106" s="1"/>
  <c r="AA39" i="106" s="1"/>
  <c r="W49" i="106"/>
  <c r="X49" i="106" s="1"/>
  <c r="Z49" i="106" s="1"/>
  <c r="AA49" i="106" s="1"/>
  <c r="W55" i="106"/>
  <c r="X55" i="106" s="1"/>
  <c r="Z55" i="106" s="1"/>
  <c r="AA55" i="106" s="1"/>
  <c r="W65" i="106"/>
  <c r="X65" i="106" s="1"/>
  <c r="Z65" i="106" s="1"/>
  <c r="AA65" i="106" s="1"/>
  <c r="Y391" i="83"/>
  <c r="Z391" i="83" s="1"/>
  <c r="AP391" i="83" s="1"/>
  <c r="AQ391" i="83" s="1"/>
  <c r="BX391" i="83" s="1"/>
  <c r="Y432" i="83"/>
  <c r="Z432" i="83" s="1"/>
  <c r="AP432" i="83" s="1"/>
  <c r="AQ432" i="83" s="1"/>
  <c r="BX432" i="83" s="1"/>
  <c r="Y585" i="83"/>
  <c r="Z585" i="83" s="1"/>
  <c r="AP585" i="83" s="1"/>
  <c r="AQ585" i="83" s="1"/>
  <c r="BX585" i="83" s="1"/>
  <c r="Y685" i="83"/>
  <c r="Y690" i="83"/>
  <c r="Y706" i="83"/>
  <c r="Z706" i="83" s="1"/>
  <c r="AP706" i="83" s="1"/>
  <c r="AQ706" i="83" s="1"/>
  <c r="BX706" i="83" s="1"/>
  <c r="Y865" i="83"/>
  <c r="Z865" i="83" s="1"/>
  <c r="AP865" i="83" s="1"/>
  <c r="AQ865" i="83" s="1"/>
  <c r="BX865" i="83" s="1"/>
  <c r="W25" i="103"/>
  <c r="X25" i="103" s="1"/>
  <c r="Z25" i="103" s="1"/>
  <c r="AA25" i="103" s="1"/>
  <c r="W54" i="103"/>
  <c r="X54" i="103" s="1"/>
  <c r="Z54" i="103" s="1"/>
  <c r="AA54" i="103" s="1"/>
  <c r="W55" i="103"/>
  <c r="X55" i="103" s="1"/>
  <c r="Z55" i="103" s="1"/>
  <c r="AA55" i="103" s="1"/>
  <c r="W52" i="106"/>
  <c r="X52" i="106" s="1"/>
  <c r="Z52" i="106" s="1"/>
  <c r="AA52" i="106" s="1"/>
  <c r="W54" i="106"/>
  <c r="X54" i="106" s="1"/>
  <c r="Z54" i="106" s="1"/>
  <c r="AA54" i="106" s="1"/>
  <c r="Y214" i="83"/>
  <c r="Z214" i="83" s="1"/>
  <c r="AP214" i="83" s="1"/>
  <c r="AQ214" i="83" s="1"/>
  <c r="BX214" i="83" s="1"/>
  <c r="CA214" i="83" s="1"/>
  <c r="Y218" i="83"/>
  <c r="Z218" i="83" s="1"/>
  <c r="AP218" i="83" s="1"/>
  <c r="AQ218" i="83" s="1"/>
  <c r="BX218" i="83" s="1"/>
  <c r="Y237" i="83"/>
  <c r="Z237" i="83" s="1"/>
  <c r="AP237" i="83" s="1"/>
  <c r="AQ237" i="83" s="1"/>
  <c r="BX237" i="83" s="1"/>
  <c r="Y247" i="83"/>
  <c r="Z247" i="83" s="1"/>
  <c r="AP247" i="83" s="1"/>
  <c r="AQ247" i="83" s="1"/>
  <c r="BX247" i="83" s="1"/>
  <c r="Y253" i="83"/>
  <c r="Z253" i="83" s="1"/>
  <c r="AP253" i="83" s="1"/>
  <c r="AQ253" i="83" s="1"/>
  <c r="BX253" i="83" s="1"/>
  <c r="Y256" i="83"/>
  <c r="Z256" i="83" s="1"/>
  <c r="AP256" i="83" s="1"/>
  <c r="AQ256" i="83" s="1"/>
  <c r="BX256" i="83" s="1"/>
  <c r="BZ256" i="83" s="1"/>
  <c r="Y263" i="83"/>
  <c r="Z263" i="83" s="1"/>
  <c r="AP263" i="83" s="1"/>
  <c r="AQ263" i="83" s="1"/>
  <c r="BX263" i="83" s="1"/>
  <c r="Y275" i="83"/>
  <c r="Z275" i="83" s="1"/>
  <c r="AP275" i="83" s="1"/>
  <c r="AQ275" i="83" s="1"/>
  <c r="BX275" i="83" s="1"/>
  <c r="Y281" i="83"/>
  <c r="Z281" i="83" s="1"/>
  <c r="AP281" i="83" s="1"/>
  <c r="AQ281" i="83" s="1"/>
  <c r="BX281" i="83" s="1"/>
  <c r="BZ281" i="83" s="1"/>
  <c r="Y284" i="83"/>
  <c r="Z284" i="83" s="1"/>
  <c r="AP284" i="83" s="1"/>
  <c r="AQ284" i="83" s="1"/>
  <c r="BX284" i="83" s="1"/>
  <c r="Y292" i="83"/>
  <c r="Z292" i="83" s="1"/>
  <c r="AP292" i="83" s="1"/>
  <c r="AQ292" i="83" s="1"/>
  <c r="BX292" i="83" s="1"/>
  <c r="CA292" i="83" s="1"/>
  <c r="Y298" i="83"/>
  <c r="Z298" i="83" s="1"/>
  <c r="AP298" i="83" s="1"/>
  <c r="AQ298" i="83" s="1"/>
  <c r="BX298" i="83" s="1"/>
  <c r="Y304" i="83"/>
  <c r="Z304" i="83" s="1"/>
  <c r="AP304" i="83" s="1"/>
  <c r="AQ304" i="83" s="1"/>
  <c r="BX304" i="83" s="1"/>
  <c r="Y305" i="83"/>
  <c r="Z305" i="83" s="1"/>
  <c r="AP305" i="83" s="1"/>
  <c r="AQ305" i="83" s="1"/>
  <c r="BX305" i="83" s="1"/>
  <c r="Y309" i="83"/>
  <c r="Z309" i="83" s="1"/>
  <c r="AP309" i="83" s="1"/>
  <c r="AQ309" i="83" s="1"/>
  <c r="BX309" i="83" s="1"/>
  <c r="Y313" i="83"/>
  <c r="Z313" i="83" s="1"/>
  <c r="AP313" i="83" s="1"/>
  <c r="AQ313" i="83" s="1"/>
  <c r="BX313" i="83" s="1"/>
  <c r="Y322" i="83"/>
  <c r="Z322" i="83" s="1"/>
  <c r="AP322" i="83" s="1"/>
  <c r="AQ322" i="83" s="1"/>
  <c r="BX322" i="83" s="1"/>
  <c r="CA322" i="83" s="1"/>
  <c r="Y324" i="83"/>
  <c r="Z324" i="83" s="1"/>
  <c r="AP324" i="83" s="1"/>
  <c r="AQ324" i="83" s="1"/>
  <c r="BX324" i="83" s="1"/>
  <c r="CA324" i="83" s="1"/>
  <c r="Y328" i="83"/>
  <c r="Y330" i="83"/>
  <c r="Z330" i="83" s="1"/>
  <c r="AP330" i="83" s="1"/>
  <c r="AQ330" i="83" s="1"/>
  <c r="BX330" i="83" s="1"/>
  <c r="Y332" i="83"/>
  <c r="Z332" i="83" s="1"/>
  <c r="AP332" i="83" s="1"/>
  <c r="AQ332" i="83" s="1"/>
  <c r="BX332" i="83" s="1"/>
  <c r="Y343" i="83"/>
  <c r="Z343" i="83" s="1"/>
  <c r="AP343" i="83" s="1"/>
  <c r="AQ343" i="83" s="1"/>
  <c r="BX343" i="83" s="1"/>
  <c r="Y351" i="83"/>
  <c r="Z351" i="83" s="1"/>
  <c r="AP351" i="83" s="1"/>
  <c r="AQ351" i="83" s="1"/>
  <c r="BX351" i="83" s="1"/>
  <c r="Y358" i="83"/>
  <c r="Z358" i="83" s="1"/>
  <c r="AP358" i="83" s="1"/>
  <c r="AQ358" i="83" s="1"/>
  <c r="BX358" i="83" s="1"/>
  <c r="Y363" i="83"/>
  <c r="Z363" i="83" s="1"/>
  <c r="AP363" i="83" s="1"/>
  <c r="AQ363" i="83" s="1"/>
  <c r="BX363" i="83" s="1"/>
  <c r="Y370" i="83"/>
  <c r="Z370" i="83" s="1"/>
  <c r="AP370" i="83" s="1"/>
  <c r="AQ370" i="83" s="1"/>
  <c r="BX370" i="83" s="1"/>
  <c r="Y381" i="83"/>
  <c r="Z381" i="83" s="1"/>
  <c r="AP381" i="83" s="1"/>
  <c r="AQ381" i="83" s="1"/>
  <c r="BX381" i="83" s="1"/>
  <c r="Y412" i="83"/>
  <c r="Z412" i="83" s="1"/>
  <c r="AP412" i="83" s="1"/>
  <c r="AQ412" i="83" s="1"/>
  <c r="BX412" i="83" s="1"/>
  <c r="Y414" i="83"/>
  <c r="Z414" i="83" s="1"/>
  <c r="AP414" i="83" s="1"/>
  <c r="AQ414" i="83" s="1"/>
  <c r="BX414" i="83" s="1"/>
  <c r="Y421" i="83"/>
  <c r="Z421" i="83" s="1"/>
  <c r="AP421" i="83" s="1"/>
  <c r="AQ421" i="83" s="1"/>
  <c r="BX421" i="83" s="1"/>
  <c r="Y425" i="83"/>
  <c r="Z425" i="83" s="1"/>
  <c r="Y436" i="83"/>
  <c r="Z436" i="83" s="1"/>
  <c r="AP436" i="83" s="1"/>
  <c r="AQ436" i="83" s="1"/>
  <c r="BX436" i="83" s="1"/>
  <c r="Y443" i="83"/>
  <c r="Z443" i="83" s="1"/>
  <c r="AP443" i="83" s="1"/>
  <c r="AQ443" i="83" s="1"/>
  <c r="BX443" i="83" s="1"/>
  <c r="Y447" i="83"/>
  <c r="Z447" i="83" s="1"/>
  <c r="AP447" i="83" s="1"/>
  <c r="AQ447" i="83" s="1"/>
  <c r="BX447" i="83" s="1"/>
  <c r="Y449" i="83"/>
  <c r="Y460" i="83"/>
  <c r="Y462" i="83"/>
  <c r="Z462" i="83" s="1"/>
  <c r="AP462" i="83" s="1"/>
  <c r="AQ462" i="83" s="1"/>
  <c r="BX462" i="83" s="1"/>
  <c r="Y466" i="83"/>
  <c r="Z466" i="83" s="1"/>
  <c r="AP466" i="83" s="1"/>
  <c r="AQ466" i="83" s="1"/>
  <c r="BX466" i="83" s="1"/>
  <c r="Y475" i="83"/>
  <c r="Z475" i="83" s="1"/>
  <c r="AP475" i="83" s="1"/>
  <c r="AQ475" i="83" s="1"/>
  <c r="BX475" i="83" s="1"/>
  <c r="Y477" i="83"/>
  <c r="Z477" i="83" s="1"/>
  <c r="AP477" i="83" s="1"/>
  <c r="AQ477" i="83" s="1"/>
  <c r="BX477" i="83" s="1"/>
  <c r="Y482" i="83"/>
  <c r="Z482" i="83" s="1"/>
  <c r="AP482" i="83" s="1"/>
  <c r="AQ482" i="83" s="1"/>
  <c r="BX482" i="83" s="1"/>
  <c r="Y497" i="83"/>
  <c r="Z497" i="83" s="1"/>
  <c r="AP497" i="83" s="1"/>
  <c r="AQ497" i="83" s="1"/>
  <c r="BX497" i="83" s="1"/>
  <c r="Y499" i="83"/>
  <c r="Z499" i="83" s="1"/>
  <c r="AP499" i="83" s="1"/>
  <c r="AQ499" i="83" s="1"/>
  <c r="BX499" i="83" s="1"/>
  <c r="Y508" i="83"/>
  <c r="Z508" i="83" s="1"/>
  <c r="AP508" i="83" s="1"/>
  <c r="AQ508" i="83" s="1"/>
  <c r="BX508" i="83" s="1"/>
  <c r="Y517" i="83"/>
  <c r="Z517" i="83" s="1"/>
  <c r="AP517" i="83" s="1"/>
  <c r="AQ517" i="83" s="1"/>
  <c r="BX517" i="83" s="1"/>
  <c r="BZ517" i="83" s="1"/>
  <c r="Y522" i="83"/>
  <c r="Z522" i="83" s="1"/>
  <c r="AP522" i="83" s="1"/>
  <c r="AQ522" i="83" s="1"/>
  <c r="BX522" i="83" s="1"/>
  <c r="Y525" i="83"/>
  <c r="Z525" i="83" s="1"/>
  <c r="AP525" i="83" s="1"/>
  <c r="AQ525" i="83" s="1"/>
  <c r="BX525" i="83" s="1"/>
  <c r="Y530" i="83"/>
  <c r="Y538" i="83"/>
  <c r="Z538" i="83" s="1"/>
  <c r="AP538" i="83" s="1"/>
  <c r="AQ538" i="83" s="1"/>
  <c r="BX538" i="83" s="1"/>
  <c r="Y546" i="83"/>
  <c r="Z546" i="83" s="1"/>
  <c r="AP546" i="83" s="1"/>
  <c r="AQ546" i="83" s="1"/>
  <c r="BX546" i="83" s="1"/>
  <c r="CA546" i="83" s="1"/>
  <c r="Y566" i="83"/>
  <c r="Z566" i="83" s="1"/>
  <c r="AP566" i="83" s="1"/>
  <c r="AQ566" i="83" s="1"/>
  <c r="BX566" i="83" s="1"/>
  <c r="Y571" i="83"/>
  <c r="Z571" i="83" s="1"/>
  <c r="AP571" i="83" s="1"/>
  <c r="AQ571" i="83" s="1"/>
  <c r="BX571" i="83" s="1"/>
  <c r="Y581" i="83"/>
  <c r="Z581" i="83" s="1"/>
  <c r="AP581" i="83" s="1"/>
  <c r="AQ581" i="83" s="1"/>
  <c r="BX581" i="83" s="1"/>
  <c r="Y594" i="83"/>
  <c r="Z594" i="83" s="1"/>
  <c r="AP594" i="83" s="1"/>
  <c r="AQ594" i="83" s="1"/>
  <c r="BX594" i="83" s="1"/>
  <c r="Y607" i="83"/>
  <c r="Z607" i="83" s="1"/>
  <c r="AP607" i="83" s="1"/>
  <c r="AQ607" i="83" s="1"/>
  <c r="BX607" i="83" s="1"/>
  <c r="Y624" i="83"/>
  <c r="Z624" i="83" s="1"/>
  <c r="AP624" i="83" s="1"/>
  <c r="AQ624" i="83" s="1"/>
  <c r="BX624" i="83" s="1"/>
  <c r="Y631" i="83"/>
  <c r="Z631" i="83" s="1"/>
  <c r="AP631" i="83" s="1"/>
  <c r="AQ631" i="83" s="1"/>
  <c r="BX631" i="83" s="1"/>
  <c r="Y637" i="83"/>
  <c r="Z637" i="83" s="1"/>
  <c r="Y638" i="83"/>
  <c r="Z638" i="83" s="1"/>
  <c r="AP638" i="83" s="1"/>
  <c r="AQ638" i="83" s="1"/>
  <c r="BX638" i="83" s="1"/>
  <c r="Y639" i="83"/>
  <c r="Z639" i="83" s="1"/>
  <c r="AP639" i="83" s="1"/>
  <c r="AQ639" i="83" s="1"/>
  <c r="BX639" i="83" s="1"/>
  <c r="Y644" i="83"/>
  <c r="Z644" i="83" s="1"/>
  <c r="AP644" i="83" s="1"/>
  <c r="AQ644" i="83" s="1"/>
  <c r="BX644" i="83" s="1"/>
  <c r="Y651" i="83"/>
  <c r="Z651" i="83" s="1"/>
  <c r="AP651" i="83" s="1"/>
  <c r="AQ651" i="83" s="1"/>
  <c r="BX651" i="83" s="1"/>
  <c r="Y668" i="83"/>
  <c r="Z668" i="83" s="1"/>
  <c r="AP668" i="83" s="1"/>
  <c r="AQ668" i="83" s="1"/>
  <c r="BX668" i="83" s="1"/>
  <c r="Y712" i="83"/>
  <c r="Z712" i="83" s="1"/>
  <c r="AP712" i="83" s="1"/>
  <c r="AQ712" i="83" s="1"/>
  <c r="BX712" i="83" s="1"/>
  <c r="Y716" i="83"/>
  <c r="Z716" i="83" s="1"/>
  <c r="AP716" i="83" s="1"/>
  <c r="AQ716" i="83" s="1"/>
  <c r="BX716" i="83" s="1"/>
  <c r="Y725" i="83"/>
  <c r="Z725" i="83" s="1"/>
  <c r="AP725" i="83" s="1"/>
  <c r="AQ725" i="83" s="1"/>
  <c r="BX725" i="83" s="1"/>
  <c r="BZ725" i="83" s="1"/>
  <c r="Y740" i="83"/>
  <c r="Z740" i="83" s="1"/>
  <c r="AP740" i="83" s="1"/>
  <c r="AQ740" i="83" s="1"/>
  <c r="BX740" i="83" s="1"/>
  <c r="Y765" i="83"/>
  <c r="Z765" i="83" s="1"/>
  <c r="AP765" i="83" s="1"/>
  <c r="AQ765" i="83" s="1"/>
  <c r="BX765" i="83" s="1"/>
  <c r="Y769" i="83"/>
  <c r="Z769" i="83" s="1"/>
  <c r="AP769" i="83" s="1"/>
  <c r="AQ769" i="83" s="1"/>
  <c r="BX769" i="83" s="1"/>
  <c r="Y782" i="83"/>
  <c r="Z782" i="83" s="1"/>
  <c r="AP782" i="83" s="1"/>
  <c r="AQ782" i="83" s="1"/>
  <c r="BX782" i="83" s="1"/>
  <c r="W20" i="103"/>
  <c r="X20" i="103" s="1"/>
  <c r="Z20" i="103" s="1"/>
  <c r="AA20" i="103" s="1"/>
  <c r="W30" i="103"/>
  <c r="X30" i="103" s="1"/>
  <c r="Z30" i="103" s="1"/>
  <c r="AA30" i="103" s="1"/>
  <c r="W31" i="103"/>
  <c r="X31" i="103" s="1"/>
  <c r="Z31" i="103" s="1"/>
  <c r="AA31" i="103" s="1"/>
  <c r="W45" i="103"/>
  <c r="X45" i="103" s="1"/>
  <c r="Z45" i="103" s="1"/>
  <c r="AA45" i="103" s="1"/>
  <c r="W8" i="106"/>
  <c r="X8" i="106" s="1"/>
  <c r="Z8" i="106" s="1"/>
  <c r="AA8" i="106" s="1"/>
  <c r="W23" i="106"/>
  <c r="X23" i="106" s="1"/>
  <c r="Z23" i="106" s="1"/>
  <c r="AA23" i="106" s="1"/>
  <c r="W104" i="106"/>
  <c r="X104" i="106" s="1"/>
  <c r="Z104" i="106" s="1"/>
  <c r="AA104" i="106" s="1"/>
  <c r="W106" i="106"/>
  <c r="X106" i="106" s="1"/>
  <c r="Z106" i="106" s="1"/>
  <c r="AA106" i="106" s="1"/>
  <c r="W109" i="106"/>
  <c r="X109" i="106" s="1"/>
  <c r="Z109" i="106" s="1"/>
  <c r="AA109" i="106" s="1"/>
  <c r="Y418" i="83"/>
  <c r="Z418" i="83" s="1"/>
  <c r="AP418" i="83" s="1"/>
  <c r="AQ418" i="83" s="1"/>
  <c r="BX418" i="83" s="1"/>
  <c r="CA418" i="83" s="1"/>
  <c r="Y457" i="83"/>
  <c r="Z457" i="83" s="1"/>
  <c r="AP457" i="83" s="1"/>
  <c r="AQ457" i="83" s="1"/>
  <c r="BX457" i="83" s="1"/>
  <c r="Y493" i="83"/>
  <c r="Z493" i="83" s="1"/>
  <c r="AP493" i="83" s="1"/>
  <c r="AQ493" i="83" s="1"/>
  <c r="BX493" i="83" s="1"/>
  <c r="Y539" i="83"/>
  <c r="Z539" i="83" s="1"/>
  <c r="AP539" i="83" s="1"/>
  <c r="AQ539" i="83" s="1"/>
  <c r="BX539" i="83" s="1"/>
  <c r="Y677" i="83"/>
  <c r="Z677" i="83" s="1"/>
  <c r="AP677" i="83" s="1"/>
  <c r="AQ677" i="83" s="1"/>
  <c r="BX677" i="83" s="1"/>
  <c r="Y762" i="83"/>
  <c r="Z762" i="83" s="1"/>
  <c r="AP762" i="83" s="1"/>
  <c r="AQ762" i="83" s="1"/>
  <c r="BX762" i="83" s="1"/>
  <c r="BZ762" i="83" s="1"/>
  <c r="W129" i="106"/>
  <c r="X129" i="106" s="1"/>
  <c r="Z129" i="106" s="1"/>
  <c r="AA129" i="106" s="1"/>
  <c r="W114" i="106"/>
  <c r="X114" i="106" s="1"/>
  <c r="Z114" i="106" s="1"/>
  <c r="AA114" i="106" s="1"/>
  <c r="W123" i="106"/>
  <c r="X123" i="106" s="1"/>
  <c r="Z123" i="106" s="1"/>
  <c r="AA123" i="106" s="1"/>
  <c r="W130" i="106"/>
  <c r="X130" i="106" s="1"/>
  <c r="Z130" i="106" s="1"/>
  <c r="AA130" i="106" s="1"/>
  <c r="Y22" i="83"/>
  <c r="Z22" i="83" s="1"/>
  <c r="AP22" i="83" s="1"/>
  <c r="AQ22" i="83" s="1"/>
  <c r="BX22" i="83" s="1"/>
  <c r="Y30" i="83"/>
  <c r="Z30" i="83" s="1"/>
  <c r="AP30" i="83" s="1"/>
  <c r="AQ30" i="83" s="1"/>
  <c r="BX30" i="83" s="1"/>
  <c r="Y38" i="83"/>
  <c r="Z38" i="83" s="1"/>
  <c r="AP38" i="83" s="1"/>
  <c r="AQ38" i="83" s="1"/>
  <c r="BX38" i="83" s="1"/>
  <c r="Y41" i="83"/>
  <c r="W9" i="103"/>
  <c r="X9" i="103" s="1"/>
  <c r="Z9" i="103" s="1"/>
  <c r="AA9" i="103" s="1"/>
  <c r="W12" i="103"/>
  <c r="X12" i="103" s="1"/>
  <c r="Z12" i="103" s="1"/>
  <c r="AA12" i="103" s="1"/>
  <c r="BD78" i="48"/>
  <c r="BA78" i="48"/>
  <c r="CA752" i="83"/>
  <c r="BZ752" i="83"/>
  <c r="CA496" i="83"/>
  <c r="BZ496" i="83"/>
  <c r="CA859" i="83"/>
  <c r="BZ859" i="83"/>
  <c r="CA775" i="83"/>
  <c r="BZ775" i="83"/>
  <c r="CA600" i="83"/>
  <c r="BZ600" i="83"/>
  <c r="BZ66" i="83"/>
  <c r="CA66" i="83"/>
  <c r="CA76" i="83"/>
  <c r="BZ76" i="83"/>
  <c r="BZ528" i="83"/>
  <c r="CA528" i="83"/>
  <c r="CA409" i="83"/>
  <c r="BZ409" i="83"/>
  <c r="CA561" i="83"/>
  <c r="BZ561" i="83"/>
  <c r="CA51" i="83"/>
  <c r="BZ51" i="83"/>
  <c r="CA169" i="83"/>
  <c r="BZ169" i="83"/>
  <c r="CA36" i="83"/>
  <c r="BZ36" i="83"/>
  <c r="BZ50" i="83"/>
  <c r="CA50" i="83"/>
  <c r="CA86" i="83"/>
  <c r="BZ86" i="83"/>
  <c r="CA129" i="83"/>
  <c r="BZ129" i="83"/>
  <c r="CA153" i="83"/>
  <c r="BZ153" i="83"/>
  <c r="BZ171" i="83"/>
  <c r="CA171" i="83"/>
  <c r="CA198" i="83"/>
  <c r="BZ198" i="83"/>
  <c r="CA216" i="83"/>
  <c r="BZ216" i="83"/>
  <c r="CA262" i="83"/>
  <c r="BZ262" i="83"/>
  <c r="BZ306" i="83"/>
  <c r="CA306" i="83"/>
  <c r="BD4" i="48"/>
  <c r="BA4" i="48"/>
  <c r="CA764" i="83"/>
  <c r="BZ764" i="83"/>
  <c r="CA832" i="83"/>
  <c r="BZ832" i="83"/>
  <c r="BZ419" i="83"/>
  <c r="CA419" i="83"/>
  <c r="CA397" i="83"/>
  <c r="BZ397" i="83"/>
  <c r="CA345" i="83"/>
  <c r="BZ345" i="83"/>
  <c r="CA330" i="83"/>
  <c r="BZ330" i="83"/>
  <c r="CA405" i="83"/>
  <c r="BZ405" i="83"/>
  <c r="CA856" i="83"/>
  <c r="BZ856" i="83"/>
  <c r="CA300" i="83"/>
  <c r="BZ300" i="83"/>
  <c r="BD43" i="48"/>
  <c r="BA43" i="48"/>
  <c r="CA392" i="83"/>
  <c r="BZ392" i="83"/>
  <c r="CA88" i="83"/>
  <c r="BZ88" i="83"/>
  <c r="BZ317" i="83"/>
  <c r="CA317" i="83"/>
  <c r="CA818" i="83"/>
  <c r="BZ818" i="83"/>
  <c r="CA275" i="83"/>
  <c r="BZ275" i="83"/>
  <c r="BZ84" i="83"/>
  <c r="CA84" i="83"/>
  <c r="CA114" i="83"/>
  <c r="BZ114" i="83"/>
  <c r="BZ272" i="83"/>
  <c r="CA272" i="83"/>
  <c r="BD24" i="48"/>
  <c r="BA24" i="48"/>
  <c r="BA37" i="48"/>
  <c r="BD37" i="48"/>
  <c r="CA511" i="83"/>
  <c r="BZ511" i="83"/>
  <c r="CA260" i="83"/>
  <c r="BZ260" i="83"/>
  <c r="BZ26" i="83"/>
  <c r="CA26" i="83"/>
  <c r="CA221" i="83"/>
  <c r="BZ221" i="83"/>
  <c r="BZ471" i="83"/>
  <c r="CA471" i="83"/>
  <c r="BZ888" i="83"/>
  <c r="CA888" i="83"/>
  <c r="BZ590" i="83"/>
  <c r="CA590" i="83"/>
  <c r="CA344" i="83"/>
  <c r="BZ344" i="83"/>
  <c r="CA357" i="83"/>
  <c r="BZ357" i="83"/>
  <c r="CA372" i="83"/>
  <c r="BZ372" i="83"/>
  <c r="BZ573" i="83"/>
  <c r="CA573" i="83"/>
  <c r="CA119" i="83"/>
  <c r="BZ119" i="83"/>
  <c r="CA125" i="83"/>
  <c r="BZ125" i="83"/>
  <c r="CA218" i="83"/>
  <c r="BZ218" i="83"/>
  <c r="CA281" i="83"/>
  <c r="CA304" i="83"/>
  <c r="BZ304" i="83"/>
  <c r="BZ305" i="83"/>
  <c r="CA305" i="83"/>
  <c r="BZ332" i="83"/>
  <c r="CA332" i="83"/>
  <c r="CA358" i="83"/>
  <c r="BZ358" i="83"/>
  <c r="CA370" i="83"/>
  <c r="BZ370" i="83"/>
  <c r="BZ475" i="83"/>
  <c r="CA475" i="83"/>
  <c r="BZ212" i="83"/>
  <c r="CA212" i="83"/>
  <c r="CA478" i="83"/>
  <c r="BZ478" i="83"/>
  <c r="BZ676" i="83"/>
  <c r="CA676" i="83"/>
  <c r="CA98" i="83"/>
  <c r="BZ98" i="83"/>
  <c r="CA529" i="83"/>
  <c r="BZ529" i="83"/>
  <c r="CA664" i="83"/>
  <c r="BZ664" i="83"/>
  <c r="BZ483" i="83"/>
  <c r="CA483" i="83"/>
  <c r="BZ291" i="83"/>
  <c r="CA291" i="83"/>
  <c r="BZ579" i="83"/>
  <c r="CA579" i="83"/>
  <c r="CA464" i="83"/>
  <c r="BZ464" i="83"/>
  <c r="CA695" i="83"/>
  <c r="BZ695" i="83"/>
  <c r="CA693" i="83"/>
  <c r="BZ693" i="83"/>
  <c r="CA31" i="83"/>
  <c r="BZ31" i="83"/>
  <c r="BZ40" i="83"/>
  <c r="CA40" i="83"/>
  <c r="CA82" i="83"/>
  <c r="BZ82" i="83"/>
  <c r="CA89" i="83"/>
  <c r="BZ89" i="83"/>
  <c r="BZ127" i="83"/>
  <c r="CA127" i="83"/>
  <c r="CA152" i="83"/>
  <c r="BZ152" i="83"/>
  <c r="CA173" i="83"/>
  <c r="BZ173" i="83"/>
  <c r="BZ282" i="83"/>
  <c r="CA282" i="83"/>
  <c r="W74" i="48"/>
  <c r="X74" i="48" s="1"/>
  <c r="AE74" i="48" s="1"/>
  <c r="AF74" i="48" s="1"/>
  <c r="AZ74" i="48" s="1"/>
  <c r="BD74" i="48" s="1"/>
  <c r="CA510" i="83"/>
  <c r="BZ360" i="83"/>
  <c r="BZ891" i="83"/>
  <c r="BZ779" i="83"/>
  <c r="BZ109" i="83"/>
  <c r="CA750" i="83"/>
  <c r="CA725" i="83"/>
  <c r="BZ890" i="83"/>
  <c r="BZ352" i="83"/>
  <c r="CA252" i="83"/>
  <c r="BZ252" i="83"/>
  <c r="CA596" i="83"/>
  <c r="BZ596" i="83"/>
  <c r="CA398" i="83"/>
  <c r="BZ398" i="83"/>
  <c r="Y2" i="83"/>
  <c r="Z2" i="83" s="1"/>
  <c r="AP2" i="83" s="1"/>
  <c r="AQ2" i="83" s="1"/>
  <c r="Y9" i="83"/>
  <c r="Z9" i="83" s="1"/>
  <c r="AP9" i="83" s="1"/>
  <c r="AQ9" i="83" s="1"/>
  <c r="BX9" i="83" s="1"/>
  <c r="Y13" i="83"/>
  <c r="Z13" i="83" s="1"/>
  <c r="AP13" i="83" s="1"/>
  <c r="AQ13" i="83" s="1"/>
  <c r="BX13" i="83" s="1"/>
  <c r="Y46" i="83"/>
  <c r="Z46" i="83" s="1"/>
  <c r="AP46" i="83" s="1"/>
  <c r="AQ46" i="83" s="1"/>
  <c r="BX46" i="83" s="1"/>
  <c r="Y53" i="83"/>
  <c r="Z53" i="83" s="1"/>
  <c r="AP53" i="83" s="1"/>
  <c r="AQ53" i="83" s="1"/>
  <c r="BX53" i="83" s="1"/>
  <c r="Y78" i="83"/>
  <c r="Z78" i="83" s="1"/>
  <c r="AP78" i="83" s="1"/>
  <c r="AQ78" i="83" s="1"/>
  <c r="BX78" i="83" s="1"/>
  <c r="Y101" i="83"/>
  <c r="Z101" i="83" s="1"/>
  <c r="AP101" i="83" s="1"/>
  <c r="AQ101" i="83" s="1"/>
  <c r="BX101" i="83" s="1"/>
  <c r="Y120" i="83"/>
  <c r="Z120" i="83" s="1"/>
  <c r="AP120" i="83" s="1"/>
  <c r="AQ120" i="83" s="1"/>
  <c r="BX120" i="83" s="1"/>
  <c r="Y276" i="83"/>
  <c r="Z276" i="83" s="1"/>
  <c r="AP276" i="83" s="1"/>
  <c r="AQ276" i="83" s="1"/>
  <c r="BX276" i="83" s="1"/>
  <c r="Y320" i="83"/>
  <c r="Y331" i="83"/>
  <c r="Z331" i="83" s="1"/>
  <c r="AP331" i="83" s="1"/>
  <c r="AQ331" i="83" s="1"/>
  <c r="BX331" i="83" s="1"/>
  <c r="CA491" i="83"/>
  <c r="BZ491" i="83"/>
  <c r="BZ179" i="83"/>
  <c r="CA179" i="83"/>
  <c r="BZ734" i="83"/>
  <c r="CA734" i="83"/>
  <c r="CA416" i="83"/>
  <c r="BZ416" i="83"/>
  <c r="W40" i="48"/>
  <c r="X40" i="48" s="1"/>
  <c r="AE40" i="48" s="1"/>
  <c r="AF40" i="48" s="1"/>
  <c r="AZ40" i="48" s="1"/>
  <c r="CA874" i="83"/>
  <c r="BZ874" i="83"/>
  <c r="BZ106" i="83"/>
  <c r="CA106" i="83"/>
  <c r="BZ60" i="83"/>
  <c r="CA60" i="83"/>
  <c r="W15" i="48"/>
  <c r="X15" i="48" s="1"/>
  <c r="AE15" i="48" s="1"/>
  <c r="AF15" i="48" s="1"/>
  <c r="AZ15" i="48" s="1"/>
  <c r="W18" i="48"/>
  <c r="X18" i="48" s="1"/>
  <c r="AE18" i="48" s="1"/>
  <c r="AF18" i="48" s="1"/>
  <c r="AZ18" i="48" s="1"/>
  <c r="BD18" i="48" s="1"/>
  <c r="W23" i="48"/>
  <c r="X23" i="48" s="1"/>
  <c r="AE23" i="48" s="1"/>
  <c r="AF23" i="48" s="1"/>
  <c r="AZ23" i="48" s="1"/>
  <c r="W42" i="48"/>
  <c r="X42" i="48" s="1"/>
  <c r="W44" i="48"/>
  <c r="X44" i="48" s="1"/>
  <c r="AE44" i="48" s="1"/>
  <c r="AF44" i="48" s="1"/>
  <c r="W46" i="48"/>
  <c r="X46" i="48" s="1"/>
  <c r="AE46" i="48" s="1"/>
  <c r="AF46" i="48" s="1"/>
  <c r="W48" i="48"/>
  <c r="X48" i="48" s="1"/>
  <c r="AE48" i="48" s="1"/>
  <c r="AF48" i="48" s="1"/>
  <c r="AZ48" i="48" s="1"/>
  <c r="BD48" i="48" s="1"/>
  <c r="W53" i="48"/>
  <c r="X53" i="48" s="1"/>
  <c r="AE53" i="48" s="1"/>
  <c r="AF53" i="48" s="1"/>
  <c r="W63" i="48"/>
  <c r="X63" i="48" s="1"/>
  <c r="W69" i="48"/>
  <c r="X69" i="48" s="1"/>
  <c r="BZ591" i="83"/>
  <c r="BZ803" i="83"/>
  <c r="BZ90" i="83"/>
  <c r="BZ568" i="83"/>
  <c r="BZ23" i="83"/>
  <c r="BZ655" i="83"/>
  <c r="BZ273" i="83"/>
  <c r="CA49" i="83"/>
  <c r="BZ564" i="83"/>
  <c r="CA377" i="83"/>
  <c r="BZ427" i="83"/>
  <c r="BZ389" i="83"/>
  <c r="BZ154" i="83"/>
  <c r="BZ34" i="83"/>
  <c r="BZ99" i="83"/>
  <c r="CA166" i="83"/>
  <c r="BZ362" i="83"/>
  <c r="CA788" i="83"/>
  <c r="BZ324" i="83"/>
  <c r="CA135" i="83"/>
  <c r="BZ156" i="83"/>
  <c r="BZ576" i="83"/>
  <c r="BZ418" i="83"/>
  <c r="BZ786" i="83"/>
  <c r="CA102" i="83"/>
  <c r="CA669" i="83"/>
  <c r="CA501" i="83"/>
  <c r="BZ501" i="83"/>
  <c r="CA465" i="83"/>
  <c r="BZ465" i="83"/>
  <c r="CA598" i="83"/>
  <c r="BZ598" i="83"/>
  <c r="CA634" i="83"/>
  <c r="BZ634" i="83"/>
  <c r="CA554" i="83"/>
  <c r="BZ554" i="83"/>
  <c r="W76" i="48"/>
  <c r="X76" i="48" s="1"/>
  <c r="AE76" i="48" s="1"/>
  <c r="AF76" i="48" s="1"/>
  <c r="BZ610" i="83"/>
  <c r="BZ326" i="83"/>
  <c r="CA97" i="83"/>
  <c r="BZ107" i="83"/>
  <c r="BZ746" i="83"/>
  <c r="BZ277" i="83"/>
  <c r="BZ839" i="83"/>
  <c r="CA653" i="83"/>
  <c r="BZ213" i="83"/>
  <c r="CA502" i="83"/>
  <c r="CA608" i="83"/>
  <c r="BZ608" i="83"/>
  <c r="BZ448" i="83"/>
  <c r="CA448" i="83"/>
  <c r="W19" i="48"/>
  <c r="X19" i="48" s="1"/>
  <c r="AE19" i="48" s="1"/>
  <c r="AF19" i="48" s="1"/>
  <c r="AZ19" i="48" s="1"/>
  <c r="BZ844" i="83"/>
  <c r="BZ620" i="83"/>
  <c r="CA884" i="83"/>
  <c r="BZ864" i="83"/>
  <c r="BZ437" i="83"/>
  <c r="CA797" i="83"/>
  <c r="BZ797" i="83"/>
  <c r="CA296" i="83"/>
  <c r="BZ296" i="83"/>
  <c r="CA399" i="83"/>
  <c r="BZ399" i="83"/>
  <c r="Y56" i="83"/>
  <c r="Z56" i="83" s="1"/>
  <c r="AP56" i="83" s="1"/>
  <c r="AQ56" i="83" s="1"/>
  <c r="BX56" i="83" s="1"/>
  <c r="Y65" i="83"/>
  <c r="Z65" i="83" s="1"/>
  <c r="AP65" i="83" s="1"/>
  <c r="AQ65" i="83" s="1"/>
  <c r="BX65" i="83" s="1"/>
  <c r="CA65" i="83" s="1"/>
  <c r="Y73" i="83"/>
  <c r="Z73" i="83" s="1"/>
  <c r="AP73" i="83" s="1"/>
  <c r="Y77" i="83"/>
  <c r="Z77" i="83" s="1"/>
  <c r="AP77" i="83" s="1"/>
  <c r="AQ77" i="83" s="1"/>
  <c r="BX77" i="83" s="1"/>
  <c r="Y81" i="83"/>
  <c r="Z81" i="83" s="1"/>
  <c r="AP81" i="83" s="1"/>
  <c r="AQ81" i="83" s="1"/>
  <c r="BX81" i="83" s="1"/>
  <c r="Y91" i="83"/>
  <c r="Z91" i="83" s="1"/>
  <c r="AP91" i="83" s="1"/>
  <c r="AQ91" i="83" s="1"/>
  <c r="BX91" i="83" s="1"/>
  <c r="Y94" i="83"/>
  <c r="Z94" i="83" s="1"/>
  <c r="AP94" i="83" s="1"/>
  <c r="AQ94" i="83" s="1"/>
  <c r="BX94" i="83" s="1"/>
  <c r="Y96" i="83"/>
  <c r="Z96" i="83" s="1"/>
  <c r="AP96" i="83" s="1"/>
  <c r="AQ96" i="83" s="1"/>
  <c r="BX96" i="83" s="1"/>
  <c r="Y100" i="83"/>
  <c r="Z100" i="83" s="1"/>
  <c r="AP100" i="83" s="1"/>
  <c r="AQ100" i="83" s="1"/>
  <c r="BX100" i="83" s="1"/>
  <c r="CA112" i="83"/>
  <c r="BZ112" i="83"/>
  <c r="Y133" i="83"/>
  <c r="Z133" i="83" s="1"/>
  <c r="AP133" i="83" s="1"/>
  <c r="AQ133" i="83" s="1"/>
  <c r="BX133" i="83" s="1"/>
  <c r="Y160" i="83"/>
  <c r="Z160" i="83" s="1"/>
  <c r="AP160" i="83" s="1"/>
  <c r="AQ160" i="83" s="1"/>
  <c r="BX160" i="83" s="1"/>
  <c r="Y164" i="83"/>
  <c r="Z164" i="83" s="1"/>
  <c r="AP164" i="83" s="1"/>
  <c r="AQ164" i="83" s="1"/>
  <c r="BX164" i="83" s="1"/>
  <c r="Y183" i="83"/>
  <c r="Z183" i="83" s="1"/>
  <c r="AP183" i="83" s="1"/>
  <c r="AQ183" i="83" s="1"/>
  <c r="BX183" i="83" s="1"/>
  <c r="Y187" i="83"/>
  <c r="Z187" i="83" s="1"/>
  <c r="AP187" i="83" s="1"/>
  <c r="AQ187" i="83" s="1"/>
  <c r="BX187" i="83" s="1"/>
  <c r="Y190" i="83"/>
  <c r="Z190" i="83" s="1"/>
  <c r="AP190" i="83" s="1"/>
  <c r="AQ190" i="83" s="1"/>
  <c r="BX190" i="83" s="1"/>
  <c r="Y202" i="83"/>
  <c r="Z202" i="83" s="1"/>
  <c r="AP202" i="83" s="1"/>
  <c r="AQ202" i="83" s="1"/>
  <c r="BX202" i="83" s="1"/>
  <c r="Y205" i="83"/>
  <c r="Z205" i="83" s="1"/>
  <c r="AP205" i="83" s="1"/>
  <c r="AQ205" i="83" s="1"/>
  <c r="BX205" i="83" s="1"/>
  <c r="Y208" i="83"/>
  <c r="Z208" i="83" s="1"/>
  <c r="AP208" i="83" s="1"/>
  <c r="AQ208" i="83" s="1"/>
  <c r="BX208" i="83" s="1"/>
  <c r="Y222" i="83"/>
  <c r="Z222" i="83" s="1"/>
  <c r="AP222" i="83" s="1"/>
  <c r="AQ222" i="83" s="1"/>
  <c r="BX222" i="83" s="1"/>
  <c r="Y229" i="83"/>
  <c r="Z229" i="83" s="1"/>
  <c r="AP229" i="83" s="1"/>
  <c r="AQ229" i="83" s="1"/>
  <c r="BX229" i="83" s="1"/>
  <c r="Y249" i="83"/>
  <c r="Y301" i="83"/>
  <c r="Z301" i="83" s="1"/>
  <c r="AP301" i="83" s="1"/>
  <c r="AQ301" i="83" s="1"/>
  <c r="BX301" i="83" s="1"/>
  <c r="W6" i="48"/>
  <c r="X6" i="48" s="1"/>
  <c r="AE6" i="48" s="1"/>
  <c r="AF6" i="48" s="1"/>
  <c r="AZ6" i="48" s="1"/>
  <c r="BA6" i="48" s="1"/>
  <c r="BZ21" i="83"/>
  <c r="CA116" i="83"/>
  <c r="BZ116" i="83"/>
  <c r="CA876" i="83"/>
  <c r="BZ876" i="83"/>
  <c r="CA484" i="83"/>
  <c r="BZ484" i="83"/>
  <c r="BZ181" i="83"/>
  <c r="CA181" i="83"/>
  <c r="CA188" i="83"/>
  <c r="BZ188" i="83"/>
  <c r="CA381" i="83"/>
  <c r="BZ381" i="83"/>
  <c r="CA443" i="83"/>
  <c r="BZ443" i="83"/>
  <c r="W20" i="48"/>
  <c r="X20" i="48" s="1"/>
  <c r="AE20" i="48" s="1"/>
  <c r="AF20" i="48" s="1"/>
  <c r="AZ20" i="48" s="1"/>
  <c r="W72" i="48"/>
  <c r="X72" i="48" s="1"/>
  <c r="AE72" i="48" s="1"/>
  <c r="AF72" i="48" s="1"/>
  <c r="AZ72" i="48" s="1"/>
  <c r="BZ15" i="83"/>
  <c r="CA479" i="83"/>
  <c r="BZ578" i="83"/>
  <c r="BZ251" i="83"/>
  <c r="CA652" i="83"/>
  <c r="BZ652" i="83"/>
  <c r="CA584" i="83"/>
  <c r="BZ584" i="83"/>
  <c r="CA184" i="83"/>
  <c r="BZ184" i="83"/>
  <c r="AZ54" i="48"/>
  <c r="BA54" i="48" s="1"/>
  <c r="W71" i="48"/>
  <c r="X71" i="48" s="1"/>
  <c r="AE71" i="48" s="1"/>
  <c r="AF71" i="48" s="1"/>
  <c r="AZ71" i="48" s="1"/>
  <c r="BZ878" i="83"/>
  <c r="BZ354" i="83"/>
  <c r="BZ74" i="83"/>
  <c r="BZ587" i="83"/>
  <c r="BZ124" i="83"/>
  <c r="BZ165" i="83"/>
  <c r="CA210" i="83"/>
  <c r="BZ278" i="83"/>
  <c r="BZ801" i="83"/>
  <c r="BZ311" i="83"/>
  <c r="CA163" i="83"/>
  <c r="BZ236" i="83"/>
  <c r="BZ200" i="83"/>
  <c r="BZ645" i="83"/>
  <c r="BZ58" i="83"/>
  <c r="BZ322" i="83"/>
  <c r="BZ463" i="83"/>
  <c r="BZ593" i="83"/>
  <c r="BZ254" i="83"/>
  <c r="CA132" i="83"/>
  <c r="BZ39" i="83"/>
  <c r="CA346" i="83"/>
  <c r="BZ794" i="83"/>
  <c r="BZ494" i="83"/>
  <c r="BZ849" i="83"/>
  <c r="BZ406" i="83"/>
  <c r="BZ141" i="83"/>
  <c r="BZ214" i="83"/>
  <c r="CA506" i="83"/>
  <c r="BZ504" i="83"/>
  <c r="BZ751" i="83"/>
  <c r="CA751" i="83"/>
  <c r="CA819" i="83"/>
  <c r="BZ521" i="83"/>
  <c r="CA521" i="83"/>
  <c r="CA337" i="83"/>
  <c r="BZ337" i="83"/>
  <c r="CA614" i="83"/>
  <c r="BZ614" i="83"/>
  <c r="CA343" i="83"/>
  <c r="BZ343" i="83"/>
  <c r="CA461" i="83"/>
  <c r="BZ461" i="83"/>
  <c r="CA284" i="83"/>
  <c r="BZ284" i="83"/>
  <c r="CA7" i="83"/>
  <c r="BZ7" i="83"/>
  <c r="CA155" i="83"/>
  <c r="BZ155" i="83"/>
  <c r="CA230" i="83"/>
  <c r="BZ230" i="83"/>
  <c r="CA233" i="83"/>
  <c r="BZ233" i="83"/>
  <c r="Y338" i="83"/>
  <c r="Z338" i="83" s="1"/>
  <c r="AP338" i="83" s="1"/>
  <c r="AQ338" i="83" s="1"/>
  <c r="BX338" i="83" s="1"/>
  <c r="BZ534" i="83"/>
  <c r="Y297" i="83"/>
  <c r="Z297" i="83" s="1"/>
  <c r="AP297" i="83" s="1"/>
  <c r="AQ297" i="83" s="1"/>
  <c r="BX297" i="83" s="1"/>
  <c r="Y308" i="83"/>
  <c r="Z308" i="83" s="1"/>
  <c r="AP308" i="83" s="1"/>
  <c r="AQ308" i="83" s="1"/>
  <c r="BX308" i="83" s="1"/>
  <c r="Y342" i="83"/>
  <c r="Z342" i="83" s="1"/>
  <c r="AP342" i="83" s="1"/>
  <c r="AQ342" i="83" s="1"/>
  <c r="BX342" i="83" s="1"/>
  <c r="Y366" i="83"/>
  <c r="Z366" i="83" s="1"/>
  <c r="AP366" i="83" s="1"/>
  <c r="AQ366" i="83" s="1"/>
  <c r="BX366" i="83" s="1"/>
  <c r="Y369" i="83"/>
  <c r="Z369" i="83" s="1"/>
  <c r="AP369" i="83" s="1"/>
  <c r="AQ369" i="83" s="1"/>
  <c r="BX369" i="83" s="1"/>
  <c r="Y402" i="83"/>
  <c r="Z402" i="83" s="1"/>
  <c r="AP402" i="83" s="1"/>
  <c r="AQ402" i="83" s="1"/>
  <c r="BX402" i="83" s="1"/>
  <c r="Y472" i="83"/>
  <c r="Z472" i="83" s="1"/>
  <c r="AP472" i="83" s="1"/>
  <c r="AQ472" i="83" s="1"/>
  <c r="BX472" i="83" s="1"/>
  <c r="Y401" i="83"/>
  <c r="Z401" i="83" s="1"/>
  <c r="AP401" i="83" s="1"/>
  <c r="AQ401" i="83" s="1"/>
  <c r="BX401" i="83" s="1"/>
  <c r="Y420" i="83"/>
  <c r="Z420" i="83" s="1"/>
  <c r="AP420" i="83" s="1"/>
  <c r="AQ420" i="83" s="1"/>
  <c r="BX420" i="83" s="1"/>
  <c r="Y451" i="83"/>
  <c r="Y454" i="83"/>
  <c r="W11" i="103"/>
  <c r="X11" i="103" s="1"/>
  <c r="Z11" i="103" s="1"/>
  <c r="AA11" i="103" s="1"/>
  <c r="Y526" i="83"/>
  <c r="Z526" i="83" s="1"/>
  <c r="AP526" i="83" s="1"/>
  <c r="AQ526" i="83" s="1"/>
  <c r="BX526" i="83" s="1"/>
  <c r="BK82" i="48"/>
  <c r="BL82" i="48" s="1"/>
  <c r="BN82" i="48" s="1"/>
  <c r="Y5" i="83"/>
  <c r="Z5" i="83" s="1"/>
  <c r="AP5" i="83" s="1"/>
  <c r="AQ5" i="83" s="1"/>
  <c r="BX5" i="83" s="1"/>
  <c r="Y16" i="83"/>
  <c r="Z16" i="83" s="1"/>
  <c r="AP16" i="83" s="1"/>
  <c r="AQ16" i="83" s="1"/>
  <c r="BX16" i="83" s="1"/>
  <c r="Y20" i="83"/>
  <c r="Z20" i="83" s="1"/>
  <c r="AP20" i="83" s="1"/>
  <c r="AQ20" i="83" s="1"/>
  <c r="BX20" i="83" s="1"/>
  <c r="Y25" i="83"/>
  <c r="Z25" i="83" s="1"/>
  <c r="AP25" i="83" s="1"/>
  <c r="AQ25" i="83" s="1"/>
  <c r="BX25" i="83" s="1"/>
  <c r="Y37" i="83"/>
  <c r="Z37" i="83" s="1"/>
  <c r="AP37" i="83" s="1"/>
  <c r="AQ37" i="83" s="1"/>
  <c r="BX37" i="83" s="1"/>
  <c r="Y42" i="83"/>
  <c r="Y47" i="83"/>
  <c r="Z47" i="83" s="1"/>
  <c r="AP47" i="83" s="1"/>
  <c r="AQ47" i="83" s="1"/>
  <c r="BX47" i="83" s="1"/>
  <c r="W14" i="103"/>
  <c r="X14" i="103" s="1"/>
  <c r="Z14" i="103" s="1"/>
  <c r="W61" i="106"/>
  <c r="X61" i="106" s="1"/>
  <c r="Z61" i="106" s="1"/>
  <c r="AA61" i="106" s="1"/>
  <c r="W73" i="106"/>
  <c r="X73" i="106" s="1"/>
  <c r="Z73" i="106" s="1"/>
  <c r="AA73" i="106" s="1"/>
  <c r="W103" i="106"/>
  <c r="X103" i="106" s="1"/>
  <c r="Z103" i="106" s="1"/>
  <c r="AA103" i="106" s="1"/>
  <c r="W122" i="106"/>
  <c r="X122" i="106" s="1"/>
  <c r="Z122" i="106" s="1"/>
  <c r="AA122" i="106" s="1"/>
  <c r="Y670" i="83"/>
  <c r="Z670" i="83" s="1"/>
  <c r="AP670" i="83" s="1"/>
  <c r="AQ670" i="83" s="1"/>
  <c r="BX670" i="83" s="1"/>
  <c r="Y700" i="83"/>
  <c r="Z700" i="83" s="1"/>
  <c r="AP700" i="83" s="1"/>
  <c r="AQ700" i="83" s="1"/>
  <c r="BX700" i="83" s="1"/>
  <c r="Y741" i="83"/>
  <c r="Z741" i="83" s="1"/>
  <c r="AP741" i="83" s="1"/>
  <c r="AQ741" i="83" s="1"/>
  <c r="BX741" i="83" s="1"/>
  <c r="Y756" i="83"/>
  <c r="Z756" i="83" s="1"/>
  <c r="AP756" i="83" s="1"/>
  <c r="AQ756" i="83" s="1"/>
  <c r="BX756" i="83" s="1"/>
  <c r="Y842" i="83"/>
  <c r="Z842" i="83" s="1"/>
  <c r="AP842" i="83" s="1"/>
  <c r="AQ842" i="83" s="1"/>
  <c r="BX842" i="83" s="1"/>
  <c r="Y861" i="83"/>
  <c r="Z861" i="83" s="1"/>
  <c r="AP861" i="83" s="1"/>
  <c r="AQ861" i="83" s="1"/>
  <c r="BX861" i="83" s="1"/>
  <c r="Y886" i="83"/>
  <c r="Z886" i="83" s="1"/>
  <c r="AP886" i="83" s="1"/>
  <c r="AQ886" i="83" s="1"/>
  <c r="BX886" i="83" s="1"/>
  <c r="W34" i="106"/>
  <c r="X34" i="106" s="1"/>
  <c r="Z34" i="106" s="1"/>
  <c r="AA34" i="106" s="1"/>
  <c r="W43" i="106"/>
  <c r="X43" i="106" s="1"/>
  <c r="Z43" i="106" s="1"/>
  <c r="AA43" i="106" s="1"/>
  <c r="W69" i="106"/>
  <c r="X69" i="106" s="1"/>
  <c r="Z69" i="106" s="1"/>
  <c r="AA69" i="106" s="1"/>
  <c r="W71" i="106"/>
  <c r="X71" i="106" s="1"/>
  <c r="Z71" i="106" s="1"/>
  <c r="AA71" i="106" s="1"/>
  <c r="W76" i="106"/>
  <c r="X76" i="106" s="1"/>
  <c r="Z76" i="106" s="1"/>
  <c r="AA76" i="106" s="1"/>
  <c r="W81" i="106"/>
  <c r="X81" i="106" s="1"/>
  <c r="Z81" i="106" s="1"/>
  <c r="AA81" i="106" s="1"/>
  <c r="W32" i="103"/>
  <c r="X32" i="103" s="1"/>
  <c r="Z32" i="103" s="1"/>
  <c r="AA32" i="103" s="1"/>
  <c r="W22" i="106"/>
  <c r="X22" i="106" s="1"/>
  <c r="Z22" i="106" s="1"/>
  <c r="AA22" i="106" s="1"/>
  <c r="W13" i="103"/>
  <c r="X13" i="103" s="1"/>
  <c r="Z13" i="103" s="1"/>
  <c r="AA13" i="103" s="1"/>
  <c r="W15" i="103"/>
  <c r="X15" i="103" s="1"/>
  <c r="Z15" i="103" s="1"/>
  <c r="AA15" i="103" s="1"/>
  <c r="W28" i="103"/>
  <c r="X28" i="103" s="1"/>
  <c r="Z28" i="103" s="1"/>
  <c r="AA28" i="103" s="1"/>
  <c r="W94" i="106"/>
  <c r="X94" i="106" s="1"/>
  <c r="Z94" i="106" s="1"/>
  <c r="AA94" i="106" s="1"/>
  <c r="W96" i="106"/>
  <c r="X96" i="106" s="1"/>
  <c r="Z96" i="106" s="1"/>
  <c r="AA96" i="106" s="1"/>
  <c r="W133" i="106"/>
  <c r="X133" i="106" s="1"/>
  <c r="Z133" i="106" s="1"/>
  <c r="AA133" i="106" s="1"/>
  <c r="W7" i="103"/>
  <c r="X7" i="103" s="1"/>
  <c r="Z7" i="103" s="1"/>
  <c r="AA7" i="103" s="1"/>
  <c r="BD7" i="48"/>
  <c r="BA7" i="48"/>
  <c r="BD26" i="48"/>
  <c r="BA26" i="48"/>
  <c r="BA50" i="48"/>
  <c r="BD50" i="48"/>
  <c r="BA77" i="48"/>
  <c r="BD77" i="48"/>
  <c r="BD15" i="48"/>
  <c r="BA15" i="48"/>
  <c r="AZ44" i="48"/>
  <c r="BJ44" i="48"/>
  <c r="BL44" i="48" s="1"/>
  <c r="BN44" i="48" s="1"/>
  <c r="BJ53" i="48"/>
  <c r="BL53" i="48" s="1"/>
  <c r="BN53" i="48" s="1"/>
  <c r="AZ53" i="48"/>
  <c r="BD23" i="48"/>
  <c r="BA23" i="48"/>
  <c r="BA18" i="48"/>
  <c r="BD75" i="48"/>
  <c r="BA75" i="48"/>
  <c r="BA71" i="48"/>
  <c r="BD71" i="48"/>
  <c r="CA694" i="83"/>
  <c r="BZ694" i="83"/>
  <c r="BZ855" i="83"/>
  <c r="CA855" i="83"/>
  <c r="BG3" i="48"/>
  <c r="BJ3" i="48" s="1"/>
  <c r="BL3" i="48" s="1"/>
  <c r="BN3" i="48" s="1"/>
  <c r="BD9" i="48"/>
  <c r="BA9" i="48"/>
  <c r="BA13" i="48"/>
  <c r="BD13" i="48"/>
  <c r="BA73" i="48"/>
  <c r="BD73" i="48"/>
  <c r="CA834" i="83"/>
  <c r="BZ834" i="83"/>
  <c r="CA738" i="83"/>
  <c r="BZ738" i="83"/>
  <c r="BZ237" i="83"/>
  <c r="CA237" i="83"/>
  <c r="BZ770" i="83"/>
  <c r="CA770" i="83"/>
  <c r="CA714" i="83"/>
  <c r="BZ714" i="83"/>
  <c r="BZ852" i="83"/>
  <c r="CA852" i="83"/>
  <c r="BZ514" i="83"/>
  <c r="CA514" i="83"/>
  <c r="CA149" i="83"/>
  <c r="BZ149" i="83"/>
  <c r="CA120" i="83"/>
  <c r="BZ120" i="83"/>
  <c r="AZ46" i="48"/>
  <c r="BJ46" i="48"/>
  <c r="BL46" i="48" s="1"/>
  <c r="BN46" i="48" s="1"/>
  <c r="BE48" i="48"/>
  <c r="BG48" i="48"/>
  <c r="BA48" i="48"/>
  <c r="AZ49" i="48"/>
  <c r="BL49" i="48"/>
  <c r="BN49" i="48" s="1"/>
  <c r="BD5" i="48"/>
  <c r="BE24" i="48"/>
  <c r="BG24" i="48"/>
  <c r="CA445" i="83"/>
  <c r="BZ445" i="83"/>
  <c r="CA707" i="83"/>
  <c r="BZ707" i="83"/>
  <c r="BZ641" i="83"/>
  <c r="CA641" i="83"/>
  <c r="CA766" i="83"/>
  <c r="BZ766" i="83"/>
  <c r="CA739" i="83"/>
  <c r="BZ739" i="83"/>
  <c r="CA699" i="83"/>
  <c r="BZ699" i="83"/>
  <c r="BZ642" i="83"/>
  <c r="CA642" i="83"/>
  <c r="CA410" i="83"/>
  <c r="BZ410" i="83"/>
  <c r="BZ473" i="83"/>
  <c r="CA473" i="83"/>
  <c r="BZ422" i="83"/>
  <c r="CA422" i="83"/>
  <c r="CA185" i="83"/>
  <c r="BZ185" i="83"/>
  <c r="CA276" i="83"/>
  <c r="BZ276" i="83"/>
  <c r="CA759" i="83"/>
  <c r="BZ759" i="83"/>
  <c r="CA78" i="83"/>
  <c r="BZ78" i="83"/>
  <c r="CA270" i="83"/>
  <c r="BZ270" i="83"/>
  <c r="CA394" i="83"/>
  <c r="BZ394" i="83"/>
  <c r="CA199" i="83"/>
  <c r="BZ199" i="83"/>
  <c r="CA139" i="83"/>
  <c r="BZ139" i="83"/>
  <c r="BA51" i="48"/>
  <c r="BD51" i="48"/>
  <c r="BD28" i="48"/>
  <c r="BA28" i="48"/>
  <c r="BD22" i="48"/>
  <c r="BA22" i="48"/>
  <c r="BJ35" i="48"/>
  <c r="BL35" i="48" s="1"/>
  <c r="BN35" i="48" s="1"/>
  <c r="AZ35" i="48"/>
  <c r="AZ64" i="48"/>
  <c r="BJ64" i="48"/>
  <c r="BL64" i="48" s="1"/>
  <c r="BN64" i="48" s="1"/>
  <c r="BA3" i="48"/>
  <c r="BD54" i="48"/>
  <c r="BD60" i="48"/>
  <c r="BE3" i="48"/>
  <c r="BL47" i="48"/>
  <c r="BN47" i="48" s="1"/>
  <c r="AZ47" i="48"/>
  <c r="BE37" i="48"/>
  <c r="BG37" i="48"/>
  <c r="BJ37" i="48" s="1"/>
  <c r="BL37" i="48" s="1"/>
  <c r="BN37" i="48" s="1"/>
  <c r="AZ39" i="48"/>
  <c r="BJ39" i="48"/>
  <c r="BL39" i="48" s="1"/>
  <c r="BN39" i="48" s="1"/>
  <c r="AZ52" i="48"/>
  <c r="BJ52" i="48"/>
  <c r="BL52" i="48" s="1"/>
  <c r="BN52" i="48" s="1"/>
  <c r="BA66" i="48"/>
  <c r="BD66" i="48"/>
  <c r="BE78" i="48"/>
  <c r="BG78" i="48"/>
  <c r="BH78" i="48" s="1"/>
  <c r="CA433" i="83"/>
  <c r="BZ433" i="83"/>
  <c r="CA374" i="83"/>
  <c r="BZ374" i="83"/>
  <c r="CA813" i="83"/>
  <c r="BZ813" i="83"/>
  <c r="CA758" i="83"/>
  <c r="BZ758" i="83"/>
  <c r="CA698" i="83"/>
  <c r="BZ698" i="83"/>
  <c r="BZ640" i="83"/>
  <c r="CA640" i="83"/>
  <c r="BZ798" i="83"/>
  <c r="CA798" i="83"/>
  <c r="BZ604" i="83"/>
  <c r="CA604" i="83"/>
  <c r="CA560" i="83"/>
  <c r="BZ560" i="83"/>
  <c r="CA439" i="83"/>
  <c r="BZ439" i="83"/>
  <c r="CA562" i="83"/>
  <c r="BZ562" i="83"/>
  <c r="CA68" i="83"/>
  <c r="BZ68" i="83"/>
  <c r="CA6" i="83"/>
  <c r="BZ6" i="83"/>
  <c r="CA12" i="83"/>
  <c r="BZ12" i="83"/>
  <c r="CA61" i="83"/>
  <c r="BZ61" i="83"/>
  <c r="CA69" i="83"/>
  <c r="BZ69" i="83"/>
  <c r="BZ91" i="83"/>
  <c r="CA91" i="83"/>
  <c r="BA30" i="48"/>
  <c r="BD30" i="48"/>
  <c r="AZ2" i="48"/>
  <c r="BD14" i="48"/>
  <c r="BA14" i="48"/>
  <c r="AZ65" i="48"/>
  <c r="BL65" i="48"/>
  <c r="BN65" i="48" s="1"/>
  <c r="BE74" i="48"/>
  <c r="BG74" i="48"/>
  <c r="BJ74" i="48" s="1"/>
  <c r="BL74" i="48" s="1"/>
  <c r="BN74" i="48" s="1"/>
  <c r="AZ76" i="48"/>
  <c r="BJ76" i="48"/>
  <c r="BL76" i="48" s="1"/>
  <c r="BN76" i="48" s="1"/>
  <c r="CA8" i="83"/>
  <c r="CA795" i="83"/>
  <c r="BZ795" i="83"/>
  <c r="BZ436" i="83"/>
  <c r="CA436" i="83"/>
  <c r="CA388" i="83"/>
  <c r="BZ388" i="83"/>
  <c r="CA811" i="83"/>
  <c r="BZ630" i="83"/>
  <c r="CA630" i="83"/>
  <c r="BZ760" i="83"/>
  <c r="CA760" i="83"/>
  <c r="BZ857" i="83"/>
  <c r="CA857" i="83"/>
  <c r="BZ840" i="83"/>
  <c r="CA840" i="83"/>
  <c r="CA601" i="83"/>
  <c r="BZ601" i="83"/>
  <c r="BZ544" i="83"/>
  <c r="CA544" i="83"/>
  <c r="CA619" i="83"/>
  <c r="BZ619" i="83"/>
  <c r="CA361" i="83"/>
  <c r="BZ361" i="83"/>
  <c r="BZ807" i="83"/>
  <c r="CA807" i="83"/>
  <c r="CA711" i="83"/>
  <c r="BZ711" i="83"/>
  <c r="CA111" i="83"/>
  <c r="BZ111" i="83"/>
  <c r="CA722" i="83"/>
  <c r="BZ722" i="83"/>
  <c r="BZ621" i="83"/>
  <c r="CA621" i="83"/>
  <c r="CA837" i="83"/>
  <c r="BZ837" i="83"/>
  <c r="CA678" i="83"/>
  <c r="CA481" i="83"/>
  <c r="BZ481" i="83"/>
  <c r="BZ280" i="83"/>
  <c r="CA280" i="83"/>
  <c r="BZ191" i="83"/>
  <c r="CA191" i="83"/>
  <c r="CA162" i="83"/>
  <c r="BZ162" i="83"/>
  <c r="CA164" i="83"/>
  <c r="BZ164" i="83"/>
  <c r="CA161" i="83"/>
  <c r="BZ161" i="83"/>
  <c r="BD29" i="48"/>
  <c r="BA29" i="48"/>
  <c r="BA31" i="48"/>
  <c r="BD31" i="48"/>
  <c r="BH48" i="48"/>
  <c r="BJ40" i="48"/>
  <c r="BL40" i="48" s="1"/>
  <c r="BN40" i="48" s="1"/>
  <c r="BE43" i="48"/>
  <c r="BG43" i="48"/>
  <c r="BI43" i="48" s="1"/>
  <c r="BA74" i="48"/>
  <c r="BA72" i="48"/>
  <c r="BD72" i="48"/>
  <c r="CA831" i="83"/>
  <c r="BZ831" i="83"/>
  <c r="CA487" i="83"/>
  <c r="BZ487" i="83"/>
  <c r="BZ851" i="83"/>
  <c r="CA851" i="83"/>
  <c r="CA781" i="83"/>
  <c r="BZ781" i="83"/>
  <c r="CA743" i="83"/>
  <c r="BZ743" i="83"/>
  <c r="CA724" i="83"/>
  <c r="BZ724" i="83"/>
  <c r="CA613" i="83"/>
  <c r="BZ613" i="83"/>
  <c r="BZ679" i="83"/>
  <c r="CA679" i="83"/>
  <c r="BZ882" i="83"/>
  <c r="CA882" i="83"/>
  <c r="CA823" i="83"/>
  <c r="BZ823" i="83"/>
  <c r="BZ790" i="83"/>
  <c r="CA790" i="83"/>
  <c r="CA702" i="83"/>
  <c r="BZ702" i="83"/>
  <c r="BZ628" i="83"/>
  <c r="CA628" i="83"/>
  <c r="BZ586" i="83"/>
  <c r="CA586" i="83"/>
  <c r="CA467" i="83"/>
  <c r="BZ467" i="83"/>
  <c r="CA423" i="83"/>
  <c r="BZ423" i="83"/>
  <c r="CA226" i="83"/>
  <c r="BZ226" i="83"/>
  <c r="CA9" i="83"/>
  <c r="BZ9" i="83"/>
  <c r="BA25" i="48"/>
  <c r="BD25" i="48"/>
  <c r="BZ648" i="83"/>
  <c r="CA648" i="83"/>
  <c r="CA887" i="83"/>
  <c r="BZ887" i="83"/>
  <c r="BZ814" i="83"/>
  <c r="CA814" i="83"/>
  <c r="CA815" i="83"/>
  <c r="BZ815" i="83"/>
  <c r="CA625" i="83"/>
  <c r="BZ625" i="83"/>
  <c r="CA841" i="83"/>
  <c r="BZ841" i="83"/>
  <c r="BZ872" i="83"/>
  <c r="CA872" i="83"/>
  <c r="BZ717" i="83"/>
  <c r="CA717" i="83"/>
  <c r="CA509" i="83"/>
  <c r="BZ509" i="83"/>
  <c r="CA457" i="83"/>
  <c r="BZ457" i="83"/>
  <c r="CA376" i="83"/>
  <c r="BZ376" i="83"/>
  <c r="CA341" i="83"/>
  <c r="BZ341" i="83"/>
  <c r="BZ268" i="83"/>
  <c r="CA268" i="83"/>
  <c r="BZ142" i="83"/>
  <c r="CA142" i="83"/>
  <c r="BZ85" i="83"/>
  <c r="CA85" i="83"/>
  <c r="CA35" i="83"/>
  <c r="BZ35" i="83"/>
  <c r="BA19" i="48"/>
  <c r="BD19" i="48"/>
  <c r="BD40" i="48"/>
  <c r="BA40" i="48"/>
  <c r="BZ763" i="83"/>
  <c r="CA763" i="83"/>
  <c r="AZ45" i="48"/>
  <c r="BJ45" i="48"/>
  <c r="BL45" i="48" s="1"/>
  <c r="BN45" i="48" s="1"/>
  <c r="BD27" i="48"/>
  <c r="BD17" i="48"/>
  <c r="BE4" i="48"/>
  <c r="BG4" i="48"/>
  <c r="BJ4" i="48" s="1"/>
  <c r="BL4" i="48" s="1"/>
  <c r="BN4" i="48" s="1"/>
  <c r="BA21" i="48"/>
  <c r="BD21" i="48"/>
  <c r="BA70" i="48"/>
  <c r="BD70" i="48"/>
  <c r="BZ411" i="83"/>
  <c r="CA411" i="83"/>
  <c r="CA557" i="83"/>
  <c r="BZ557" i="83"/>
  <c r="BZ380" i="83"/>
  <c r="CA380" i="83"/>
  <c r="CA773" i="83"/>
  <c r="BZ773" i="83"/>
  <c r="CA673" i="83"/>
  <c r="BZ673" i="83"/>
  <c r="CA646" i="83"/>
  <c r="CA836" i="83"/>
  <c r="BZ836" i="83"/>
  <c r="BZ863" i="83"/>
  <c r="CA863" i="83"/>
  <c r="CA735" i="83"/>
  <c r="BZ735" i="83"/>
  <c r="BZ657" i="83"/>
  <c r="CA657" i="83"/>
  <c r="BZ503" i="83"/>
  <c r="CA503" i="83"/>
  <c r="CA545" i="83"/>
  <c r="BZ545" i="83"/>
  <c r="CA265" i="83"/>
  <c r="BZ265" i="83"/>
  <c r="BZ4" i="83"/>
  <c r="BZ359" i="83"/>
  <c r="BZ848" i="83"/>
  <c r="CA783" i="83"/>
  <c r="CA785" i="83"/>
  <c r="CA662" i="83"/>
  <c r="BZ482" i="83"/>
  <c r="CA482" i="83"/>
  <c r="CA618" i="83"/>
  <c r="BZ618" i="83"/>
  <c r="CA390" i="83"/>
  <c r="BZ264" i="83"/>
  <c r="CA264" i="83"/>
  <c r="BZ274" i="83"/>
  <c r="CA80" i="83"/>
  <c r="CA44" i="83"/>
  <c r="BZ44" i="83"/>
  <c r="CA459" i="83"/>
  <c r="BZ459" i="83"/>
  <c r="CA757" i="83"/>
  <c r="BZ757" i="83"/>
  <c r="CA749" i="83"/>
  <c r="BZ749" i="83"/>
  <c r="CA234" i="83"/>
  <c r="BZ234" i="83"/>
  <c r="CA83" i="83"/>
  <c r="BZ83" i="83"/>
  <c r="CA383" i="83"/>
  <c r="BZ383" i="83"/>
  <c r="CA868" i="83"/>
  <c r="BZ868" i="83"/>
  <c r="BZ541" i="83"/>
  <c r="CA541" i="83"/>
  <c r="BZ189" i="83"/>
  <c r="CA189" i="83"/>
  <c r="CA147" i="83"/>
  <c r="BZ147" i="83"/>
  <c r="CA19" i="83"/>
  <c r="BZ19" i="83"/>
  <c r="CA79" i="83"/>
  <c r="BZ79" i="83"/>
  <c r="CA228" i="83"/>
  <c r="BZ228" i="83"/>
  <c r="CA22" i="83"/>
  <c r="BZ22" i="83"/>
  <c r="CA666" i="83"/>
  <c r="BZ666" i="83"/>
  <c r="CA609" i="83"/>
  <c r="BZ609" i="83"/>
  <c r="CA580" i="83"/>
  <c r="BZ580" i="83"/>
  <c r="BZ879" i="83"/>
  <c r="CA879" i="83"/>
  <c r="CA297" i="83"/>
  <c r="BZ297" i="83"/>
  <c r="BZ294" i="83"/>
  <c r="CA294" i="83"/>
  <c r="CA444" i="83"/>
  <c r="BZ444" i="83"/>
  <c r="CA331" i="83"/>
  <c r="BZ331" i="83"/>
  <c r="BZ340" i="83"/>
  <c r="CA340" i="83"/>
  <c r="CA3" i="83"/>
  <c r="BZ3" i="83"/>
  <c r="CA14" i="83"/>
  <c r="BZ14" i="83"/>
  <c r="BZ18" i="83"/>
  <c r="CA18" i="83"/>
  <c r="BZ24" i="83"/>
  <c r="CA24" i="83"/>
  <c r="CA27" i="83"/>
  <c r="BZ27" i="83"/>
  <c r="CA45" i="83"/>
  <c r="BZ45" i="83"/>
  <c r="CA56" i="83"/>
  <c r="BZ56" i="83"/>
  <c r="BZ81" i="83"/>
  <c r="CA81" i="83"/>
  <c r="CA96" i="83"/>
  <c r="BZ96" i="83"/>
  <c r="CA100" i="83"/>
  <c r="BZ100" i="83"/>
  <c r="CA115" i="83"/>
  <c r="BZ115" i="83"/>
  <c r="CA118" i="83"/>
  <c r="BZ118" i="83"/>
  <c r="CA148" i="83"/>
  <c r="BZ148" i="83"/>
  <c r="BZ65" i="83"/>
  <c r="CA256" i="83"/>
  <c r="BZ469" i="83"/>
  <c r="BZ103" i="83"/>
  <c r="CA806" i="83"/>
  <c r="BZ806" i="83"/>
  <c r="CA649" i="83"/>
  <c r="BZ649" i="83"/>
  <c r="BZ480" i="83"/>
  <c r="CA480" i="83"/>
  <c r="CA336" i="83"/>
  <c r="BZ336" i="83"/>
  <c r="BZ209" i="83"/>
  <c r="CA209" i="83"/>
  <c r="BZ168" i="83"/>
  <c r="CA168" i="83"/>
  <c r="BZ542" i="83"/>
  <c r="CA542" i="83"/>
  <c r="CA367" i="83"/>
  <c r="BZ367" i="83"/>
  <c r="CA177" i="83"/>
  <c r="BZ177" i="83"/>
  <c r="CA150" i="83"/>
  <c r="BZ150" i="83"/>
  <c r="CA285" i="83"/>
  <c r="BZ285" i="83"/>
  <c r="CA258" i="83"/>
  <c r="BZ258" i="83"/>
  <c r="CA719" i="83"/>
  <c r="BZ719" i="83"/>
  <c r="BZ574" i="83"/>
  <c r="CA574" i="83"/>
  <c r="CA490" i="83"/>
  <c r="BZ490" i="83"/>
  <c r="CA791" i="83"/>
  <c r="BZ791" i="83"/>
  <c r="CA774" i="83"/>
  <c r="BZ774" i="83"/>
  <c r="CA663" i="83"/>
  <c r="BZ663" i="83"/>
  <c r="CA761" i="83"/>
  <c r="BZ761" i="83"/>
  <c r="CA762" i="83"/>
  <c r="BZ873" i="83"/>
  <c r="CA810" i="83"/>
  <c r="BZ636" i="83"/>
  <c r="CA517" i="83"/>
  <c r="BZ267" i="83"/>
  <c r="CA267" i="83"/>
  <c r="BZ303" i="83"/>
  <c r="CA46" i="83"/>
  <c r="BZ46" i="83"/>
  <c r="CA28" i="83"/>
  <c r="BZ28" i="83"/>
  <c r="BZ67" i="83"/>
  <c r="CA67" i="83"/>
  <c r="CA72" i="83"/>
  <c r="BZ72" i="83"/>
  <c r="CA54" i="83"/>
  <c r="BZ54" i="83"/>
  <c r="CA486" i="83"/>
  <c r="BZ486" i="83"/>
  <c r="CA588" i="83"/>
  <c r="BZ588" i="83"/>
  <c r="BZ880" i="83"/>
  <c r="CA880" i="83"/>
  <c r="BZ62" i="83"/>
  <c r="BZ736" i="83"/>
  <c r="BZ172" i="83"/>
  <c r="BZ845" i="83"/>
  <c r="CA845" i="83"/>
  <c r="BZ789" i="83"/>
  <c r="CA789" i="83"/>
  <c r="CA729" i="83"/>
  <c r="BZ729" i="83"/>
  <c r="CA802" i="83"/>
  <c r="BZ802" i="83"/>
  <c r="CA733" i="83"/>
  <c r="BZ733" i="83"/>
  <c r="BZ708" i="83"/>
  <c r="CA708" i="83"/>
  <c r="CA603" i="83"/>
  <c r="BZ603" i="83"/>
  <c r="CA577" i="83"/>
  <c r="BZ577" i="83"/>
  <c r="CA414" i="83"/>
  <c r="BZ414" i="83"/>
  <c r="CA408" i="83"/>
  <c r="BZ408" i="83"/>
  <c r="BZ206" i="83"/>
  <c r="CA206" i="83"/>
  <c r="CA286" i="83"/>
  <c r="BZ286" i="83"/>
  <c r="CA240" i="83"/>
  <c r="BZ240" i="83"/>
  <c r="CA167" i="83"/>
  <c r="BZ167" i="83"/>
  <c r="CA877" i="83"/>
  <c r="BZ877" i="83"/>
  <c r="CA799" i="83"/>
  <c r="BZ799" i="83"/>
  <c r="CA417" i="83"/>
  <c r="BZ417" i="83"/>
  <c r="CA313" i="83"/>
  <c r="BZ313" i="83"/>
  <c r="CA32" i="83"/>
  <c r="BZ32" i="83"/>
  <c r="CA134" i="83"/>
  <c r="BZ134" i="83"/>
  <c r="CA203" i="83"/>
  <c r="BZ203" i="83"/>
  <c r="CA101" i="83"/>
  <c r="BZ101" i="83"/>
  <c r="CA442" i="83"/>
  <c r="BZ75" i="83"/>
  <c r="BZ520" i="83"/>
  <c r="BZ310" i="83"/>
  <c r="CA703" i="83"/>
  <c r="BZ703" i="83"/>
  <c r="CA639" i="83"/>
  <c r="BZ639" i="83"/>
  <c r="CA477" i="83"/>
  <c r="BZ477" i="83"/>
  <c r="CA505" i="83"/>
  <c r="BZ505" i="83"/>
  <c r="CA672" i="83"/>
  <c r="BZ672" i="83"/>
  <c r="CA29" i="83"/>
  <c r="BZ29" i="83"/>
  <c r="CA617" i="83"/>
  <c r="BZ617" i="83"/>
  <c r="BZ843" i="83"/>
  <c r="BZ536" i="83"/>
  <c r="BZ777" i="83"/>
  <c r="CA87" i="83"/>
  <c r="BZ243" i="83"/>
  <c r="BZ543" i="83"/>
  <c r="CA543" i="83"/>
  <c r="BZ489" i="83"/>
  <c r="CA489" i="83"/>
  <c r="BZ403" i="83"/>
  <c r="CA403" i="83"/>
  <c r="BZ259" i="83"/>
  <c r="CA259" i="83"/>
  <c r="BZ93" i="83"/>
  <c r="CA93" i="83"/>
  <c r="BZ295" i="83"/>
  <c r="CA295" i="83"/>
  <c r="BZ220" i="83"/>
  <c r="CA220" i="83"/>
  <c r="CA126" i="83"/>
  <c r="BZ126" i="83"/>
  <c r="CA827" i="83"/>
  <c r="BZ827" i="83"/>
  <c r="CA402" i="83"/>
  <c r="BZ402" i="83"/>
  <c r="CA629" i="83"/>
  <c r="BZ629" i="83"/>
  <c r="CA472" i="83"/>
  <c r="BZ472" i="83"/>
  <c r="BZ824" i="83"/>
  <c r="CA824" i="83"/>
  <c r="CA677" i="83"/>
  <c r="BZ677" i="83"/>
  <c r="BZ796" i="83"/>
  <c r="BZ292" i="83"/>
  <c r="CA400" i="83"/>
  <c r="BZ312" i="83"/>
  <c r="BZ546" i="83"/>
  <c r="BZ519" i="83"/>
  <c r="CA174" i="83"/>
  <c r="BZ174" i="83"/>
  <c r="AA46" i="106"/>
  <c r="Z46" i="106"/>
  <c r="DT84" i="103"/>
  <c r="DS91" i="103"/>
  <c r="W12" i="106"/>
  <c r="X12" i="106" s="1"/>
  <c r="Z12" i="106" s="1"/>
  <c r="AA12" i="106" s="1"/>
  <c r="DE99" i="103"/>
  <c r="W32" i="106"/>
  <c r="X32" i="106" s="1"/>
  <c r="Z32" i="106" s="1"/>
  <c r="AA32" i="106" s="1"/>
  <c r="W16" i="103"/>
  <c r="X16" i="103" s="1"/>
  <c r="Z16" i="103" s="1"/>
  <c r="AA16" i="103" s="1"/>
  <c r="W78" i="103"/>
  <c r="X78" i="103" s="1"/>
  <c r="Z78" i="103" s="1"/>
  <c r="AA78" i="103" s="1"/>
  <c r="W27" i="103"/>
  <c r="X27" i="103" s="1"/>
  <c r="Z27" i="103" s="1"/>
  <c r="AA27" i="103" s="1"/>
  <c r="W2" i="106"/>
  <c r="X2" i="106" s="1"/>
  <c r="W38" i="103"/>
  <c r="X38" i="103" s="1"/>
  <c r="Z38" i="103" s="1"/>
  <c r="AA38" i="103" s="1"/>
  <c r="W16" i="106"/>
  <c r="X16" i="106" s="1"/>
  <c r="Z16" i="106" s="1"/>
  <c r="AA16" i="106" s="1"/>
  <c r="DC133" i="106" l="1"/>
  <c r="CZ133" i="106"/>
  <c r="DF15" i="106"/>
  <c r="DI15" i="106" s="1"/>
  <c r="DD15" i="106"/>
  <c r="DJ77" i="103"/>
  <c r="DM77" i="103"/>
  <c r="DP77" i="103" s="1"/>
  <c r="DR77" i="103" s="1"/>
  <c r="DT77" i="103" s="1"/>
  <c r="DJ30" i="103"/>
  <c r="DM30" i="103"/>
  <c r="DP30" i="103" s="1"/>
  <c r="DR30" i="103" s="1"/>
  <c r="DT30" i="103" s="1"/>
  <c r="CZ86" i="106"/>
  <c r="DC86" i="106"/>
  <c r="CS17" i="104"/>
  <c r="CU17" i="104"/>
  <c r="CX17" i="104" s="1"/>
  <c r="CZ17" i="104" s="1"/>
  <c r="CA548" i="83"/>
  <c r="BZ548" i="83"/>
  <c r="CP17" i="104"/>
  <c r="CA323" i="83"/>
  <c r="BZ323" i="83"/>
  <c r="CA151" i="83"/>
  <c r="BZ151" i="83"/>
  <c r="BA56" i="48"/>
  <c r="BD56" i="48"/>
  <c r="BP892" i="83"/>
  <c r="BA55" i="48"/>
  <c r="BM5" i="104"/>
  <c r="BK21" i="104"/>
  <c r="CW86" i="106"/>
  <c r="DC102" i="106"/>
  <c r="CZ102" i="106"/>
  <c r="CY113" i="106"/>
  <c r="CW113" i="106"/>
  <c r="DD20" i="106"/>
  <c r="DF20" i="106"/>
  <c r="DI20" i="106" s="1"/>
  <c r="CW61" i="106"/>
  <c r="CY61" i="106"/>
  <c r="DF2" i="106"/>
  <c r="DD2" i="106"/>
  <c r="DF12" i="106"/>
  <c r="DI12" i="106" s="1"/>
  <c r="DD12" i="106"/>
  <c r="DF4" i="106"/>
  <c r="DI4" i="106" s="1"/>
  <c r="DD4" i="106"/>
  <c r="BZ426" i="83"/>
  <c r="CA426" i="83"/>
  <c r="BE61" i="48"/>
  <c r="BH61" i="48"/>
  <c r="BG61" i="48"/>
  <c r="AT7" i="105"/>
  <c r="AU4" i="105"/>
  <c r="CR108" i="106"/>
  <c r="CO108" i="106"/>
  <c r="CE14" i="104"/>
  <c r="CH14" i="104"/>
  <c r="DJ13" i="103"/>
  <c r="DM13" i="103"/>
  <c r="DP13" i="103" s="1"/>
  <c r="DR13" i="103" s="1"/>
  <c r="DT13" i="103" s="1"/>
  <c r="DB21" i="103"/>
  <c r="DB91" i="103" s="1"/>
  <c r="DG21" i="103"/>
  <c r="DF21" i="103"/>
  <c r="DF30" i="106"/>
  <c r="DI30" i="106" s="1"/>
  <c r="DD30" i="106"/>
  <c r="DC130" i="106"/>
  <c r="CZ130" i="106"/>
  <c r="CS4" i="104"/>
  <c r="CU4" i="104"/>
  <c r="AS15" i="48"/>
  <c r="AS90" i="48" s="1"/>
  <c r="AR90" i="48"/>
  <c r="CH12" i="104"/>
  <c r="CE12" i="104"/>
  <c r="CO87" i="106"/>
  <c r="CR87" i="106"/>
  <c r="DJ56" i="103"/>
  <c r="DM56" i="103"/>
  <c r="DP56" i="103" s="1"/>
  <c r="DR56" i="103" s="1"/>
  <c r="DT56" i="103" s="1"/>
  <c r="DM47" i="103"/>
  <c r="DP47" i="103" s="1"/>
  <c r="DR47" i="103" s="1"/>
  <c r="DT47" i="103" s="1"/>
  <c r="DJ47" i="103"/>
  <c r="CY29" i="106"/>
  <c r="CW29" i="106"/>
  <c r="CY31" i="106"/>
  <c r="CW31" i="106"/>
  <c r="DF11" i="106"/>
  <c r="DI11" i="106" s="1"/>
  <c r="DD11" i="106"/>
  <c r="DF13" i="106"/>
  <c r="DI13" i="106" s="1"/>
  <c r="DD13" i="106"/>
  <c r="CA592" i="83"/>
  <c r="BZ592" i="83"/>
  <c r="DD39" i="106"/>
  <c r="DF39" i="106"/>
  <c r="DI39" i="106" s="1"/>
  <c r="CA875" i="83"/>
  <c r="BZ875" i="83"/>
  <c r="AF21" i="104"/>
  <c r="DF26" i="103"/>
  <c r="DI26" i="103" s="1"/>
  <c r="DB26" i="103"/>
  <c r="DG24" i="103"/>
  <c r="DJ51" i="103"/>
  <c r="DM51" i="103"/>
  <c r="DP51" i="103" s="1"/>
  <c r="DR51" i="103" s="1"/>
  <c r="DT51" i="103" s="1"/>
  <c r="DA91" i="103"/>
  <c r="DA94" i="103" s="1"/>
  <c r="DF58" i="106"/>
  <c r="DI58" i="106" s="1"/>
  <c r="DD58" i="106"/>
  <c r="BB892" i="83"/>
  <c r="BE67" i="48"/>
  <c r="BG67" i="48"/>
  <c r="BI67" i="48" s="1"/>
  <c r="BE57" i="48"/>
  <c r="BG57" i="48"/>
  <c r="BI57" i="48" s="1"/>
  <c r="CA637" i="83"/>
  <c r="BZ637" i="83"/>
  <c r="BE34" i="48"/>
  <c r="BG34" i="48"/>
  <c r="BI34" i="48" s="1"/>
  <c r="CO13" i="104"/>
  <c r="CR13" i="104" s="1"/>
  <c r="CP13" i="104"/>
  <c r="DI19" i="103"/>
  <c r="DG19" i="103"/>
  <c r="DM24" i="103"/>
  <c r="DP24" i="103" s="1"/>
  <c r="DR24" i="103" s="1"/>
  <c r="DT24" i="103" s="1"/>
  <c r="DJ24" i="103"/>
  <c r="DJ64" i="103"/>
  <c r="DM64" i="103"/>
  <c r="DP64" i="103" s="1"/>
  <c r="DR64" i="103" s="1"/>
  <c r="DT64" i="103" s="1"/>
  <c r="CY47" i="106"/>
  <c r="CW47" i="106"/>
  <c r="DD118" i="106"/>
  <c r="DF118" i="106"/>
  <c r="DI118" i="106" s="1"/>
  <c r="CA269" i="83"/>
  <c r="BZ269" i="83"/>
  <c r="CA575" i="83"/>
  <c r="BZ575" i="83"/>
  <c r="BH10" i="48"/>
  <c r="BE80" i="48"/>
  <c r="BG80" i="48"/>
  <c r="BJ80" i="48" s="1"/>
  <c r="BL80" i="48" s="1"/>
  <c r="BN80" i="48" s="1"/>
  <c r="BH59" i="48"/>
  <c r="CM13" i="104"/>
  <c r="DI20" i="103"/>
  <c r="DG20" i="103"/>
  <c r="DG64" i="103"/>
  <c r="DG30" i="103"/>
  <c r="DJ69" i="103"/>
  <c r="DM69" i="103"/>
  <c r="DP69" i="103" s="1"/>
  <c r="DR69" i="103" s="1"/>
  <c r="DT69" i="103" s="1"/>
  <c r="DD38" i="106"/>
  <c r="DF38" i="106"/>
  <c r="DI38" i="106" s="1"/>
  <c r="DC80" i="106"/>
  <c r="CZ80" i="106"/>
  <c r="BZ204" i="83"/>
  <c r="CA204" i="83"/>
  <c r="CZ19" i="106"/>
  <c r="DC19" i="106"/>
  <c r="CA334" i="83"/>
  <c r="BZ334" i="83"/>
  <c r="CA787" i="83"/>
  <c r="BZ787" i="83"/>
  <c r="BG41" i="48"/>
  <c r="BH41" i="48" s="1"/>
  <c r="BE41" i="48"/>
  <c r="BH58" i="48"/>
  <c r="BE58" i="48"/>
  <c r="BG58" i="48"/>
  <c r="BI58" i="48" s="1"/>
  <c r="BX892" i="83"/>
  <c r="DI5" i="103"/>
  <c r="DG5" i="103"/>
  <c r="DF91" i="103"/>
  <c r="DF94" i="103" s="1"/>
  <c r="DI31" i="103"/>
  <c r="DG31" i="103"/>
  <c r="CR65" i="106"/>
  <c r="CO65" i="106"/>
  <c r="CO138" i="106" s="1"/>
  <c r="CN138" i="106"/>
  <c r="CN142" i="106" s="1"/>
  <c r="CY110" i="106"/>
  <c r="CW110" i="106"/>
  <c r="DJ37" i="103"/>
  <c r="DM37" i="103"/>
  <c r="DP37" i="103" s="1"/>
  <c r="DR37" i="103" s="1"/>
  <c r="DT37" i="103" s="1"/>
  <c r="DC95" i="106"/>
  <c r="CZ95" i="106"/>
  <c r="CY92" i="106"/>
  <c r="CW92" i="106"/>
  <c r="DD24" i="106"/>
  <c r="DF24" i="106"/>
  <c r="DI24" i="106" s="1"/>
  <c r="BE68" i="48"/>
  <c r="BG68" i="48"/>
  <c r="BI68" i="48" s="1"/>
  <c r="BE55" i="48"/>
  <c r="BH55" i="48"/>
  <c r="BG55" i="48"/>
  <c r="BZ20" i="83"/>
  <c r="BD6" i="48"/>
  <c r="CA782" i="83"/>
  <c r="BZ782" i="83"/>
  <c r="CA651" i="83"/>
  <c r="BZ651" i="83"/>
  <c r="CA594" i="83"/>
  <c r="BZ594" i="83"/>
  <c r="CA522" i="83"/>
  <c r="BZ522" i="83"/>
  <c r="BZ466" i="83"/>
  <c r="CA466" i="83"/>
  <c r="CA421" i="83"/>
  <c r="BZ421" i="83"/>
  <c r="CA432" i="83"/>
  <c r="BZ432" i="83"/>
  <c r="BZ123" i="83"/>
  <c r="CA123" i="83"/>
  <c r="CA318" i="83"/>
  <c r="BZ318" i="83"/>
  <c r="CA456" i="83"/>
  <c r="BZ456" i="83"/>
  <c r="CA347" i="83"/>
  <c r="BZ347" i="83"/>
  <c r="CA146" i="83"/>
  <c r="BZ146" i="83"/>
  <c r="CA20" i="83"/>
  <c r="AF90" i="48"/>
  <c r="BZ769" i="83"/>
  <c r="CA769" i="83"/>
  <c r="CA644" i="83"/>
  <c r="BZ644" i="83"/>
  <c r="BZ581" i="83"/>
  <c r="CA581" i="83"/>
  <c r="CA462" i="83"/>
  <c r="BZ462" i="83"/>
  <c r="BZ253" i="83"/>
  <c r="CA253" i="83"/>
  <c r="CA391" i="83"/>
  <c r="BZ391" i="83"/>
  <c r="CA105" i="83"/>
  <c r="BZ105" i="83"/>
  <c r="CA315" i="83"/>
  <c r="BZ315" i="83"/>
  <c r="CA231" i="83"/>
  <c r="BZ231" i="83"/>
  <c r="CA335" i="83"/>
  <c r="BZ335" i="83"/>
  <c r="CA250" i="83"/>
  <c r="BZ250" i="83"/>
  <c r="CA170" i="83"/>
  <c r="BZ170" i="83"/>
  <c r="CA143" i="83"/>
  <c r="BZ143" i="83"/>
  <c r="BZ38" i="83"/>
  <c r="CA38" i="83"/>
  <c r="CA765" i="83"/>
  <c r="BZ765" i="83"/>
  <c r="CA571" i="83"/>
  <c r="BZ571" i="83"/>
  <c r="CA508" i="83"/>
  <c r="BZ508" i="83"/>
  <c r="CA412" i="83"/>
  <c r="BZ412" i="83"/>
  <c r="BZ298" i="83"/>
  <c r="CA298" i="83"/>
  <c r="CA247" i="83"/>
  <c r="BZ247" i="83"/>
  <c r="CA415" i="83"/>
  <c r="BZ415" i="83"/>
  <c r="BZ325" i="83"/>
  <c r="CA325" i="83"/>
  <c r="CA283" i="83"/>
  <c r="BZ283" i="83"/>
  <c r="CA227" i="83"/>
  <c r="BZ227" i="83"/>
  <c r="CA30" i="83"/>
  <c r="BZ30" i="83"/>
  <c r="CA539" i="83"/>
  <c r="BZ539" i="83"/>
  <c r="CA740" i="83"/>
  <c r="BZ740" i="83"/>
  <c r="CA638" i="83"/>
  <c r="BZ638" i="83"/>
  <c r="CA566" i="83"/>
  <c r="BZ566" i="83"/>
  <c r="BZ499" i="83"/>
  <c r="CA499" i="83"/>
  <c r="CA865" i="83"/>
  <c r="BZ865" i="83"/>
  <c r="CA63" i="83"/>
  <c r="BZ63" i="83"/>
  <c r="CA602" i="83"/>
  <c r="BZ602" i="83"/>
  <c r="CA245" i="83"/>
  <c r="BZ245" i="83"/>
  <c r="CA223" i="83"/>
  <c r="BZ223" i="83"/>
  <c r="CA192" i="83"/>
  <c r="BZ192" i="83"/>
  <c r="CA145" i="83"/>
  <c r="BZ145" i="83"/>
  <c r="CA113" i="83"/>
  <c r="BZ113" i="83"/>
  <c r="CA493" i="83"/>
  <c r="BZ493" i="83"/>
  <c r="BZ497" i="83"/>
  <c r="CA497" i="83"/>
  <c r="CA447" i="83"/>
  <c r="BZ447" i="83"/>
  <c r="CA706" i="83"/>
  <c r="BZ706" i="83"/>
  <c r="CA589" i="83"/>
  <c r="BZ589" i="83"/>
  <c r="CA219" i="83"/>
  <c r="BZ219" i="83"/>
  <c r="CA186" i="83"/>
  <c r="BZ186" i="83"/>
  <c r="CA122" i="83"/>
  <c r="BZ122" i="83"/>
  <c r="CA57" i="83"/>
  <c r="BZ57" i="83"/>
  <c r="CA716" i="83"/>
  <c r="BZ716" i="83"/>
  <c r="CA631" i="83"/>
  <c r="BZ631" i="83"/>
  <c r="CA538" i="83"/>
  <c r="BZ538" i="83"/>
  <c r="CA363" i="83"/>
  <c r="BZ363" i="83"/>
  <c r="CA224" i="83"/>
  <c r="BZ224" i="83"/>
  <c r="BZ279" i="83"/>
  <c r="CA279" i="83"/>
  <c r="CA137" i="83"/>
  <c r="BZ137" i="83"/>
  <c r="CA563" i="83"/>
  <c r="BZ563" i="83"/>
  <c r="CA387" i="83"/>
  <c r="BZ387" i="83"/>
  <c r="CA242" i="83"/>
  <c r="BZ242" i="83"/>
  <c r="CA838" i="83"/>
  <c r="BZ838" i="83"/>
  <c r="CA195" i="83"/>
  <c r="BZ195" i="83"/>
  <c r="CA136" i="83"/>
  <c r="BZ136" i="83"/>
  <c r="CA108" i="83"/>
  <c r="BZ108" i="83"/>
  <c r="CA712" i="83"/>
  <c r="BZ712" i="83"/>
  <c r="CA624" i="83"/>
  <c r="BZ624" i="83"/>
  <c r="BZ182" i="83"/>
  <c r="CA182" i="83"/>
  <c r="CA128" i="83"/>
  <c r="BZ128" i="83"/>
  <c r="CA547" i="83"/>
  <c r="BZ547" i="83"/>
  <c r="CA379" i="83"/>
  <c r="BZ379" i="83"/>
  <c r="CA302" i="83"/>
  <c r="BZ302" i="83"/>
  <c r="CA241" i="83"/>
  <c r="BZ241" i="83"/>
  <c r="CA92" i="83"/>
  <c r="BZ92" i="83"/>
  <c r="CA130" i="83"/>
  <c r="BZ130" i="83"/>
  <c r="CA70" i="83"/>
  <c r="BZ70" i="83"/>
  <c r="CA668" i="83"/>
  <c r="BZ668" i="83"/>
  <c r="BZ607" i="83"/>
  <c r="CA607" i="83"/>
  <c r="CA525" i="83"/>
  <c r="BZ525" i="83"/>
  <c r="CA351" i="83"/>
  <c r="BZ351" i="83"/>
  <c r="BZ309" i="83"/>
  <c r="CA309" i="83"/>
  <c r="CA263" i="83"/>
  <c r="BZ263" i="83"/>
  <c r="BZ585" i="83"/>
  <c r="CA585" i="83"/>
  <c r="CA488" i="83"/>
  <c r="BZ488" i="83"/>
  <c r="BZ299" i="83"/>
  <c r="CA299" i="83"/>
  <c r="BZ257" i="83"/>
  <c r="CA257" i="83"/>
  <c r="BZ238" i="83"/>
  <c r="CA238" i="83"/>
  <c r="BZ176" i="83"/>
  <c r="CA176" i="83"/>
  <c r="CA804" i="83"/>
  <c r="BZ804" i="83"/>
  <c r="CA52" i="83"/>
  <c r="BZ52" i="83"/>
  <c r="CA37" i="83"/>
  <c r="BZ37" i="83"/>
  <c r="CA526" i="83"/>
  <c r="BZ526" i="83"/>
  <c r="BZ205" i="83"/>
  <c r="CA205" i="83"/>
  <c r="CA886" i="83"/>
  <c r="BZ886" i="83"/>
  <c r="CA25" i="83"/>
  <c r="BZ25" i="83"/>
  <c r="CA369" i="83"/>
  <c r="BZ369" i="83"/>
  <c r="CA202" i="83"/>
  <c r="BZ202" i="83"/>
  <c r="CA53" i="83"/>
  <c r="BZ53" i="83"/>
  <c r="CA861" i="83"/>
  <c r="BZ861" i="83"/>
  <c r="CA366" i="83"/>
  <c r="BZ366" i="83"/>
  <c r="BA20" i="48"/>
  <c r="BD20" i="48"/>
  <c r="CA190" i="83"/>
  <c r="BZ190" i="83"/>
  <c r="CA842" i="83"/>
  <c r="BZ842" i="83"/>
  <c r="CA16" i="83"/>
  <c r="BZ16" i="83"/>
  <c r="CA342" i="83"/>
  <c r="BZ342" i="83"/>
  <c r="CA301" i="83"/>
  <c r="BZ301" i="83"/>
  <c r="CA187" i="83"/>
  <c r="BZ187" i="83"/>
  <c r="CA13" i="83"/>
  <c r="BZ13" i="83"/>
  <c r="Z91" i="103"/>
  <c r="CA756" i="83"/>
  <c r="BZ756" i="83"/>
  <c r="CA5" i="83"/>
  <c r="BZ5" i="83"/>
  <c r="CA308" i="83"/>
  <c r="BZ308" i="83"/>
  <c r="CA183" i="83"/>
  <c r="BZ183" i="83"/>
  <c r="CA94" i="83"/>
  <c r="BZ94" i="83"/>
  <c r="BZ741" i="83"/>
  <c r="CA741" i="83"/>
  <c r="CA420" i="83"/>
  <c r="BZ420" i="83"/>
  <c r="CA229" i="83"/>
  <c r="BZ229" i="83"/>
  <c r="BX2" i="83"/>
  <c r="AQ892" i="83"/>
  <c r="BH74" i="48"/>
  <c r="BZ700" i="83"/>
  <c r="CA700" i="83"/>
  <c r="CA47" i="83"/>
  <c r="BZ47" i="83"/>
  <c r="CA401" i="83"/>
  <c r="BZ401" i="83"/>
  <c r="CA222" i="83"/>
  <c r="BZ222" i="83"/>
  <c r="BZ160" i="83"/>
  <c r="CA160" i="83"/>
  <c r="CA670" i="83"/>
  <c r="BZ670" i="83"/>
  <c r="BZ338" i="83"/>
  <c r="CA338" i="83"/>
  <c r="BZ208" i="83"/>
  <c r="CA208" i="83"/>
  <c r="CA133" i="83"/>
  <c r="BZ133" i="83"/>
  <c r="CA77" i="83"/>
  <c r="BZ77" i="83"/>
  <c r="BE70" i="48"/>
  <c r="BG70" i="48"/>
  <c r="BJ70" i="48" s="1"/>
  <c r="BL70" i="48" s="1"/>
  <c r="BN70" i="48" s="1"/>
  <c r="BE27" i="48"/>
  <c r="BG27" i="48"/>
  <c r="BI27" i="48" s="1"/>
  <c r="AZ90" i="48"/>
  <c r="BD2" i="48"/>
  <c r="BA2" i="48"/>
  <c r="BE22" i="48"/>
  <c r="BG22" i="48"/>
  <c r="BH22" i="48" s="1"/>
  <c r="BJ48" i="48"/>
  <c r="BL48" i="48" s="1"/>
  <c r="BN48" i="48" s="1"/>
  <c r="BE13" i="48"/>
  <c r="BG13" i="48"/>
  <c r="BJ13" i="48" s="1"/>
  <c r="BL13" i="48" s="1"/>
  <c r="BN13" i="48" s="1"/>
  <c r="BG77" i="48"/>
  <c r="BJ77" i="48" s="1"/>
  <c r="BL77" i="48" s="1"/>
  <c r="BN77" i="48" s="1"/>
  <c r="BE77" i="48"/>
  <c r="BE25" i="48"/>
  <c r="BG25" i="48"/>
  <c r="BJ25" i="48" s="1"/>
  <c r="BE30" i="48"/>
  <c r="BG30" i="48"/>
  <c r="BJ30" i="48" s="1"/>
  <c r="BL30" i="48" s="1"/>
  <c r="BN30" i="48" s="1"/>
  <c r="BE66" i="48"/>
  <c r="BG66" i="48"/>
  <c r="BJ66" i="48" s="1"/>
  <c r="BL66" i="48" s="1"/>
  <c r="BN66" i="48" s="1"/>
  <c r="BE54" i="48"/>
  <c r="BG54" i="48"/>
  <c r="BH54" i="48" s="1"/>
  <c r="BJ24" i="48"/>
  <c r="BL24" i="48" s="1"/>
  <c r="BN24" i="48" s="1"/>
  <c r="BE23" i="48"/>
  <c r="BG23" i="48"/>
  <c r="BH23" i="48" s="1"/>
  <c r="BE21" i="48"/>
  <c r="BG21" i="48"/>
  <c r="BI21" i="48" s="1"/>
  <c r="BD45" i="48"/>
  <c r="BA45" i="48"/>
  <c r="BG29" i="48"/>
  <c r="BJ29" i="48" s="1"/>
  <c r="BL29" i="48" s="1"/>
  <c r="BN29" i="48" s="1"/>
  <c r="BE29" i="48"/>
  <c r="BE28" i="48"/>
  <c r="BG28" i="48"/>
  <c r="BI28" i="48" s="1"/>
  <c r="BE71" i="48"/>
  <c r="BG71" i="48"/>
  <c r="BJ71" i="48" s="1"/>
  <c r="BL71" i="48" s="1"/>
  <c r="BN71" i="48" s="1"/>
  <c r="BA53" i="48"/>
  <c r="BD53" i="48"/>
  <c r="BH50" i="48"/>
  <c r="BE50" i="48"/>
  <c r="BH43" i="48"/>
  <c r="BE51" i="48"/>
  <c r="BH51" i="48"/>
  <c r="BH24" i="48"/>
  <c r="BD46" i="48"/>
  <c r="BA46" i="48"/>
  <c r="BE9" i="48"/>
  <c r="BG9" i="48"/>
  <c r="BJ9" i="48" s="1"/>
  <c r="BL9" i="48" s="1"/>
  <c r="BN9" i="48" s="1"/>
  <c r="BH4" i="48"/>
  <c r="BA65" i="48"/>
  <c r="BD65" i="48"/>
  <c r="BD52" i="48"/>
  <c r="BA52" i="48"/>
  <c r="BA47" i="48"/>
  <c r="BD47" i="48"/>
  <c r="BD64" i="48"/>
  <c r="BA64" i="48"/>
  <c r="BE5" i="48"/>
  <c r="BG5" i="48"/>
  <c r="BJ5" i="48" s="1"/>
  <c r="BH3" i="48"/>
  <c r="BE6" i="48"/>
  <c r="BG6" i="48"/>
  <c r="BJ6" i="48" s="1"/>
  <c r="BD35" i="48"/>
  <c r="BA35" i="48"/>
  <c r="BG75" i="48"/>
  <c r="BJ75" i="48" s="1"/>
  <c r="BL75" i="48" s="1"/>
  <c r="BN75" i="48" s="1"/>
  <c r="BE75" i="48"/>
  <c r="BA44" i="48"/>
  <c r="BD44" i="48"/>
  <c r="BG26" i="48"/>
  <c r="BJ26" i="48" s="1"/>
  <c r="BE26" i="48"/>
  <c r="BE40" i="48"/>
  <c r="BG40" i="48"/>
  <c r="BH40" i="48" s="1"/>
  <c r="BE14" i="48"/>
  <c r="BG14" i="48"/>
  <c r="BJ14" i="48" s="1"/>
  <c r="BL14" i="48" s="1"/>
  <c r="BN14" i="48" s="1"/>
  <c r="BA39" i="48"/>
  <c r="BD39" i="48"/>
  <c r="BD49" i="48"/>
  <c r="BA49" i="48"/>
  <c r="BE73" i="48"/>
  <c r="BG73" i="48"/>
  <c r="BH73" i="48" s="1"/>
  <c r="BE18" i="48"/>
  <c r="BG18" i="48"/>
  <c r="BJ18" i="48" s="1"/>
  <c r="BL18" i="48" s="1"/>
  <c r="BN18" i="48" s="1"/>
  <c r="BE17" i="48"/>
  <c r="BG17" i="48"/>
  <c r="BJ17" i="48" s="1"/>
  <c r="BL17" i="48" s="1"/>
  <c r="BN17" i="48" s="1"/>
  <c r="BG19" i="48"/>
  <c r="BJ19" i="48" s="1"/>
  <c r="BL19" i="48" s="1"/>
  <c r="BN19" i="48" s="1"/>
  <c r="BE19" i="48"/>
  <c r="BE72" i="48"/>
  <c r="BG72" i="48"/>
  <c r="BH72" i="48" s="1"/>
  <c r="BE31" i="48"/>
  <c r="BG31" i="48"/>
  <c r="BH31" i="48" s="1"/>
  <c r="BA76" i="48"/>
  <c r="BD76" i="48"/>
  <c r="BH37" i="48"/>
  <c r="BE60" i="48"/>
  <c r="BG60" i="48"/>
  <c r="BJ60" i="48" s="1"/>
  <c r="BL60" i="48" s="1"/>
  <c r="BN60" i="48" s="1"/>
  <c r="BG15" i="48"/>
  <c r="BJ15" i="48" s="1"/>
  <c r="BL15" i="48" s="1"/>
  <c r="BN15" i="48" s="1"/>
  <c r="BE15" i="48"/>
  <c r="BE7" i="48"/>
  <c r="BG7" i="48"/>
  <c r="BJ7" i="48" s="1"/>
  <c r="CZ92" i="106" l="1"/>
  <c r="DC92" i="106"/>
  <c r="DF80" i="106"/>
  <c r="DI80" i="106" s="1"/>
  <c r="DD80" i="106"/>
  <c r="DM20" i="103"/>
  <c r="DP20" i="103" s="1"/>
  <c r="DR20" i="103" s="1"/>
  <c r="DT20" i="103" s="1"/>
  <c r="DJ20" i="103"/>
  <c r="CZ47" i="106"/>
  <c r="DC47" i="106"/>
  <c r="CU13" i="104"/>
  <c r="CX13" i="104" s="1"/>
  <c r="CZ13" i="104" s="1"/>
  <c r="CS13" i="104"/>
  <c r="CS65" i="106"/>
  <c r="CV65" i="106"/>
  <c r="CW65" i="106" s="1"/>
  <c r="CR138" i="106"/>
  <c r="CR141" i="106" s="1"/>
  <c r="BH34" i="48"/>
  <c r="DI21" i="103"/>
  <c r="DE100" i="103"/>
  <c r="DE101" i="103" s="1"/>
  <c r="CV108" i="106"/>
  <c r="CY108" i="106" s="1"/>
  <c r="CS108" i="106"/>
  <c r="CW108" i="106"/>
  <c r="DI2" i="106"/>
  <c r="DF102" i="106"/>
  <c r="DI102" i="106" s="1"/>
  <c r="DD102" i="106"/>
  <c r="BH21" i="48"/>
  <c r="BH68" i="48"/>
  <c r="DF95" i="106"/>
  <c r="DI95" i="106" s="1"/>
  <c r="DD95" i="106"/>
  <c r="DD19" i="106"/>
  <c r="DF19" i="106"/>
  <c r="CX4" i="104"/>
  <c r="BG4" i="105"/>
  <c r="AU7" i="105"/>
  <c r="DC61" i="106"/>
  <c r="CZ61" i="106"/>
  <c r="DM31" i="103"/>
  <c r="DP31" i="103" s="1"/>
  <c r="DR31" i="103" s="1"/>
  <c r="DT31" i="103" s="1"/>
  <c r="DJ31" i="103"/>
  <c r="BH67" i="48"/>
  <c r="CZ31" i="106"/>
  <c r="DC31" i="106"/>
  <c r="CS87" i="106"/>
  <c r="CV87" i="106"/>
  <c r="DF86" i="106"/>
  <c r="DI86" i="106" s="1"/>
  <c r="DD86" i="106"/>
  <c r="DB92" i="103"/>
  <c r="BO5" i="104"/>
  <c r="BM21" i="104"/>
  <c r="BH29" i="48"/>
  <c r="DG26" i="103"/>
  <c r="DG91" i="103" s="1"/>
  <c r="CZ29" i="106"/>
  <c r="DC29" i="106"/>
  <c r="DC110" i="106"/>
  <c r="CZ110" i="106"/>
  <c r="DI91" i="103"/>
  <c r="DI94" i="103" s="1"/>
  <c r="DM5" i="103"/>
  <c r="DJ5" i="103"/>
  <c r="DI99" i="103"/>
  <c r="BH80" i="48"/>
  <c r="DJ19" i="103"/>
  <c r="DM19" i="103"/>
  <c r="DI100" i="103"/>
  <c r="BH57" i="48"/>
  <c r="DJ26" i="103"/>
  <c r="DM26" i="103"/>
  <c r="DP26" i="103" s="1"/>
  <c r="DR26" i="103" s="1"/>
  <c r="DT26" i="103" s="1"/>
  <c r="CI12" i="104"/>
  <c r="CM12" i="104"/>
  <c r="CL12" i="104"/>
  <c r="DF130" i="106"/>
  <c r="DI130" i="106" s="1"/>
  <c r="DD130" i="106"/>
  <c r="CI14" i="104"/>
  <c r="CL14" i="104"/>
  <c r="CM14" i="104" s="1"/>
  <c r="DF133" i="106"/>
  <c r="DI133" i="106" s="1"/>
  <c r="DD133" i="106"/>
  <c r="DC113" i="106"/>
  <c r="CZ113" i="106"/>
  <c r="BG56" i="48"/>
  <c r="BH56" i="48" s="1"/>
  <c r="BE56" i="48"/>
  <c r="BH60" i="48"/>
  <c r="BH13" i="48"/>
  <c r="BH7" i="48"/>
  <c r="BH25" i="48"/>
  <c r="CA892" i="83"/>
  <c r="CA980" i="83" s="1"/>
  <c r="CA981" i="83" s="1"/>
  <c r="BZ892" i="83"/>
  <c r="BH30" i="48"/>
  <c r="BH75" i="48"/>
  <c r="CA2" i="83"/>
  <c r="BZ2" i="83"/>
  <c r="BE20" i="48"/>
  <c r="BG20" i="48"/>
  <c r="BH20" i="48"/>
  <c r="BH26" i="48"/>
  <c r="BH9" i="48"/>
  <c r="BH70" i="48"/>
  <c r="BH18" i="48"/>
  <c r="BE39" i="48"/>
  <c r="BG39" i="48"/>
  <c r="BH39" i="48" s="1"/>
  <c r="BH28" i="48"/>
  <c r="BD90" i="48"/>
  <c r="BE2" i="48"/>
  <c r="BG2" i="48"/>
  <c r="BH5" i="48"/>
  <c r="BG52" i="48"/>
  <c r="BH52" i="48" s="1"/>
  <c r="BE52" i="48"/>
  <c r="BE76" i="48"/>
  <c r="BG76" i="48"/>
  <c r="BH76" i="48" s="1"/>
  <c r="BE35" i="48"/>
  <c r="BG35" i="48"/>
  <c r="BH35" i="48" s="1"/>
  <c r="BE46" i="48"/>
  <c r="BG46" i="48"/>
  <c r="BH46" i="48" s="1"/>
  <c r="BH15" i="48"/>
  <c r="BH19" i="48"/>
  <c r="BH14" i="48"/>
  <c r="BG65" i="48"/>
  <c r="BH65" i="48" s="1"/>
  <c r="BE65" i="48"/>
  <c r="BE53" i="48"/>
  <c r="BG53" i="48"/>
  <c r="BH53" i="48" s="1"/>
  <c r="BJ23" i="48"/>
  <c r="BL23" i="48" s="1"/>
  <c r="BN23" i="48" s="1"/>
  <c r="BH66" i="48"/>
  <c r="BI48" i="48"/>
  <c r="BG44" i="48"/>
  <c r="BH44" i="48" s="1"/>
  <c r="BE44" i="48"/>
  <c r="BJ22" i="48"/>
  <c r="BL22" i="48" s="1"/>
  <c r="BN22" i="48" s="1"/>
  <c r="BH27" i="48"/>
  <c r="BE64" i="48"/>
  <c r="BG64" i="48"/>
  <c r="BH64" i="48" s="1"/>
  <c r="BH71" i="48"/>
  <c r="BH77" i="48"/>
  <c r="BE47" i="48"/>
  <c r="BG47" i="48"/>
  <c r="BJ47" i="48" s="1"/>
  <c r="BH17" i="48"/>
  <c r="BG49" i="48"/>
  <c r="BI49" i="48" s="1"/>
  <c r="BE49" i="48"/>
  <c r="BH6" i="48"/>
  <c r="BE45" i="48"/>
  <c r="BG45" i="48"/>
  <c r="BH45" i="48" s="1"/>
  <c r="BI24" i="48"/>
  <c r="BA90" i="48"/>
  <c r="DD31" i="106" l="1"/>
  <c r="DF31" i="106"/>
  <c r="DI31" i="106" s="1"/>
  <c r="BH4" i="105"/>
  <c r="BH7" i="105" s="1"/>
  <c r="BG7" i="105"/>
  <c r="BJ4" i="105"/>
  <c r="DI101" i="103"/>
  <c r="DD29" i="106"/>
  <c r="DF29" i="106"/>
  <c r="CY65" i="106"/>
  <c r="CU148" i="106"/>
  <c r="CV138" i="106"/>
  <c r="CO14" i="104"/>
  <c r="CR14" i="104" s="1"/>
  <c r="DP5" i="103"/>
  <c r="DM99" i="103"/>
  <c r="CS138" i="106"/>
  <c r="CZ4" i="104"/>
  <c r="DC108" i="106"/>
  <c r="CZ108" i="106"/>
  <c r="DF92" i="106"/>
  <c r="DI92" i="106" s="1"/>
  <c r="DD92" i="106"/>
  <c r="DF113" i="106"/>
  <c r="DI113" i="106" s="1"/>
  <c r="DD113" i="106"/>
  <c r="DP19" i="103"/>
  <c r="DF110" i="106"/>
  <c r="DI110" i="106" s="1"/>
  <c r="DD110" i="106"/>
  <c r="CY87" i="106"/>
  <c r="CU149" i="106"/>
  <c r="DJ21" i="103"/>
  <c r="DJ91" i="103" s="1"/>
  <c r="DM21" i="103"/>
  <c r="DP21" i="103" s="1"/>
  <c r="DR21" i="103" s="1"/>
  <c r="DT21" i="103" s="1"/>
  <c r="CO12" i="104"/>
  <c r="CR12" i="104" s="1"/>
  <c r="CD5" i="104"/>
  <c r="BO21" i="104"/>
  <c r="BO25" i="104" s="1"/>
  <c r="CW87" i="106"/>
  <c r="DF61" i="106"/>
  <c r="DI61" i="106" s="1"/>
  <c r="DD61" i="106"/>
  <c r="DI19" i="106"/>
  <c r="DF47" i="106"/>
  <c r="DI47" i="106" s="1"/>
  <c r="DD47" i="106"/>
  <c r="BX979" i="83"/>
  <c r="BH49" i="48"/>
  <c r="BJ20" i="48"/>
  <c r="BL20" i="48" s="1"/>
  <c r="BN20" i="48" s="1"/>
  <c r="BI22" i="48"/>
  <c r="BI23" i="48"/>
  <c r="BH47" i="48"/>
  <c r="BL2" i="48"/>
  <c r="BJ2" i="48"/>
  <c r="BH2" i="48"/>
  <c r="BE90" i="48"/>
  <c r="BG90" i="48"/>
  <c r="BG92" i="48" s="1"/>
  <c r="DC65" i="106" l="1"/>
  <c r="CZ65" i="106"/>
  <c r="CZ138" i="106" s="1"/>
  <c r="CY138" i="106"/>
  <c r="CY141" i="106" s="1"/>
  <c r="CY143" i="106" s="1"/>
  <c r="CY148" i="106"/>
  <c r="DM91" i="103"/>
  <c r="CS12" i="104"/>
  <c r="CU12" i="104"/>
  <c r="CX12" i="104" s="1"/>
  <c r="CZ12" i="104" s="1"/>
  <c r="BJ90" i="48"/>
  <c r="CZ87" i="106"/>
  <c r="DC87" i="106"/>
  <c r="CY149" i="106"/>
  <c r="DR5" i="103"/>
  <c r="DP91" i="103"/>
  <c r="DL104" i="103"/>
  <c r="CE5" i="104"/>
  <c r="CE21" i="104" s="1"/>
  <c r="CH5" i="104"/>
  <c r="CD21" i="104"/>
  <c r="CD25" i="104" s="1"/>
  <c r="DD108" i="106"/>
  <c r="DF108" i="106"/>
  <c r="DI108" i="106" s="1"/>
  <c r="CP14" i="104"/>
  <c r="DI29" i="106"/>
  <c r="CP12" i="104"/>
  <c r="DM100" i="103"/>
  <c r="DM101" i="103" s="1"/>
  <c r="CU14" i="104"/>
  <c r="CX14" i="104" s="1"/>
  <c r="CZ14" i="104" s="1"/>
  <c r="CS14" i="104"/>
  <c r="DR19" i="103"/>
  <c r="DL105" i="103"/>
  <c r="CW138" i="106"/>
  <c r="CV141" i="106"/>
  <c r="CU150" i="106"/>
  <c r="BJ7" i="105"/>
  <c r="BL4" i="105"/>
  <c r="BI20" i="48"/>
  <c r="BI90" i="48" s="1"/>
  <c r="BH90" i="48"/>
  <c r="BN2" i="48"/>
  <c r="BN90" i="48" s="1"/>
  <c r="BL90" i="48"/>
  <c r="DR91" i="103" l="1"/>
  <c r="DT5" i="103"/>
  <c r="DR99" i="103"/>
  <c r="CY150" i="106"/>
  <c r="DD87" i="106"/>
  <c r="DF87" i="106"/>
  <c r="DD143" i="106"/>
  <c r="DD149" i="106"/>
  <c r="CL5" i="104"/>
  <c r="CI5" i="104"/>
  <c r="CI21" i="104" s="1"/>
  <c r="CM5" i="104"/>
  <c r="CH21" i="104"/>
  <c r="DD65" i="106"/>
  <c r="DD138" i="106" s="1"/>
  <c r="DF65" i="106"/>
  <c r="DC138" i="106"/>
  <c r="DD148" i="106"/>
  <c r="DD150" i="106" s="1"/>
  <c r="DD142" i="106"/>
  <c r="DD144" i="106" s="1"/>
  <c r="DT19" i="103"/>
  <c r="DR100" i="103"/>
  <c r="DL106" i="103"/>
  <c r="BO4" i="105"/>
  <c r="BL7" i="105"/>
  <c r="BP4" i="105"/>
  <c r="BP7" i="105" s="1"/>
  <c r="DI65" i="106" l="1"/>
  <c r="DF138" i="106"/>
  <c r="DH142" i="106"/>
  <c r="DI87" i="106"/>
  <c r="DH150" i="106" s="1"/>
  <c r="DH143" i="106"/>
  <c r="BO7" i="105"/>
  <c r="BQ4" i="105"/>
  <c r="CM21" i="104"/>
  <c r="DR101" i="103"/>
  <c r="DT91" i="103"/>
  <c r="CL21" i="104"/>
  <c r="CO5" i="104"/>
  <c r="BQ7" i="105" l="1"/>
  <c r="BS4" i="105"/>
  <c r="CO21" i="104"/>
  <c r="CO24" i="104" s="1"/>
  <c r="CR5" i="104"/>
  <c r="CN28" i="104"/>
  <c r="CP5" i="104"/>
  <c r="CP21" i="104" s="1"/>
  <c r="DH144" i="106"/>
  <c r="DI138" i="106"/>
  <c r="DH149" i="106"/>
  <c r="DH151" i="106" s="1"/>
  <c r="CU5" i="104" l="1"/>
  <c r="CS5" i="104"/>
  <c r="CS21" i="104" s="1"/>
  <c r="CR21" i="104"/>
  <c r="CR28" i="104"/>
  <c r="CR29" i="104" s="1"/>
  <c r="BU4" i="105"/>
  <c r="BS7" i="105"/>
  <c r="BV4" i="105" l="1"/>
  <c r="BW4" i="105" s="1"/>
  <c r="CX5" i="104"/>
  <c r="CV28" i="104"/>
  <c r="CV29" i="104" s="1"/>
  <c r="CU21" i="104"/>
  <c r="CZ5" i="104" l="1"/>
  <c r="CX28" i="104"/>
  <c r="CX29" i="104" s="1"/>
  <c r="CX21" i="104"/>
  <c r="CZ28" i="104" l="1"/>
  <c r="CZ29" i="104" s="1"/>
  <c r="CZ21" i="10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Diana Hollis</author>
    <author>Kenneth Chan</author>
  </authors>
  <commentList>
    <comment ref="W1" authorId="0" shapeId="0" xr:uid="{4E78F1E3-01D9-471C-8894-04B531BD204F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actuals - physically present - removed ;eavers in April and May</t>
        </r>
      </text>
    </comment>
    <comment ref="BD21" authorId="0" shapeId="0" xr:uid="{151F1574-AB02-460A-80F3-84477565C74C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provison not on Capita yet!</t>
        </r>
      </text>
    </comment>
    <comment ref="AB27" authorId="1" shapeId="0" xr:uid="{76A741F0-4F61-475E-BF26-0FD0283A3825}">
      <text>
        <r>
          <rPr>
            <b/>
            <sz val="9"/>
            <color indexed="81"/>
            <rFont val="Tahoma"/>
            <family val="2"/>
          </rPr>
          <t>Kenneth Chan:</t>
        </r>
        <r>
          <rPr>
            <sz val="9"/>
            <color indexed="81"/>
            <rFont val="Tahoma"/>
            <family val="2"/>
          </rPr>
          <t xml:space="preserve">
Annual top-up agreed = £17,982.83</t>
        </r>
      </text>
    </comment>
    <comment ref="BD30" authorId="0" shapeId="0" xr:uid="{094010C2-F3AC-495D-B883-E3FFBB775CA5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£12485 pa agreed on Capita - add new line</t>
        </r>
      </text>
    </comment>
    <comment ref="AB41" authorId="1" shapeId="0" xr:uid="{A198C8AA-6DB1-47F3-A225-86638794DA44}">
      <text>
        <r>
          <rPr>
            <b/>
            <sz val="9"/>
            <color indexed="81"/>
            <rFont val="Tahoma"/>
            <family val="2"/>
          </rPr>
          <t>Kenneth Chan:</t>
        </r>
        <r>
          <rPr>
            <sz val="9"/>
            <color indexed="81"/>
            <rFont val="Tahoma"/>
            <family val="2"/>
          </rPr>
          <t xml:space="preserve">
One off payment £990. 
To pay Hands on Play Therapy directly, not via school.
Additional top off as a one off payment of £990 to cover independent OT</t>
        </r>
      </text>
    </comment>
    <comment ref="AB42" authorId="1" shapeId="0" xr:uid="{D8C20823-4518-49D2-B61E-FB0FE19EF565}">
      <text>
        <r>
          <rPr>
            <b/>
            <sz val="9"/>
            <color indexed="81"/>
            <rFont val="Tahoma"/>
            <family val="2"/>
          </rPr>
          <t>Kenneth Chan:</t>
        </r>
        <r>
          <rPr>
            <sz val="9"/>
            <color indexed="81"/>
            <rFont val="Tahoma"/>
            <family val="2"/>
          </rPr>
          <t xml:space="preserve">
Harmony provision 12 hours per week at £41 per hour for 8 weeks = £3,936.</t>
        </r>
      </text>
    </comment>
    <comment ref="AB43" authorId="0" shapeId="0" xr:uid="{046A4023-ED43-41F1-A32F-9918A4A3BACC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09/05/2023
Harmony provision 12 hours per week at £41 per hour for 8 weeks = £3,936.
16/06/2023
Update - in total from 31/10/2022 until the end of the academic year 21/07/2023, Belle will have attended Harmony for 12 hours per week for 32 weeks.
A separate entry covered the first 12 weeks at £5,904 until 10/02/2023. This separate entry has been updated to cover the remaining 20 weeks from 20/02/2023 until 21/07/2023 which is a total of £9,840.
In total for the 2022-23 academic year, Beechwood should receive £15,744 to reimburse them for the Harmony provision. See funding form on EDRMS dated 16/06/2023.</t>
        </r>
      </text>
    </comment>
    <comment ref="W45" authorId="1" shapeId="0" xr:uid="{85C1878E-BB1A-4AC6-9724-04CCE145F2CC}">
      <text>
        <r>
          <rPr>
            <b/>
            <sz val="9"/>
            <color indexed="81"/>
            <rFont val="Tahoma"/>
            <family val="2"/>
          </rPr>
          <t>Kenneth Chan:</t>
        </r>
        <r>
          <rPr>
            <sz val="9"/>
            <color indexed="81"/>
            <rFont val="Tahoma"/>
            <family val="2"/>
          </rPr>
          <t xml:space="preserve">
Trimmed from 31/3/2024 to 23/4/2023</t>
        </r>
      </text>
    </comment>
    <comment ref="AB48" authorId="1" shapeId="0" xr:uid="{E3D193A5-C99F-4AB0-88BE-CF66F338F47E}">
      <text>
        <r>
          <rPr>
            <b/>
            <sz val="9"/>
            <color indexed="81"/>
            <rFont val="Tahoma"/>
            <family val="2"/>
          </rPr>
          <t>Kenneth Chan:</t>
        </r>
        <r>
          <rPr>
            <sz val="9"/>
            <color indexed="81"/>
            <rFont val="Tahoma"/>
            <family val="2"/>
          </rPr>
          <t xml:space="preserve">
One off payment. Moved in £2260 to Beechwood - added on 17/4/23 as was awaiting funding form but backdated to move in date</t>
        </r>
      </text>
    </comment>
    <comment ref="AB68" authorId="1" shapeId="0" xr:uid="{A8A467A7-F9F4-47CA-927A-BC234868002D}">
      <text>
        <r>
          <rPr>
            <b/>
            <sz val="9"/>
            <color indexed="81"/>
            <rFont val="Tahoma"/>
            <family val="2"/>
          </rPr>
          <t>Kenneth Chan:</t>
        </r>
        <r>
          <rPr>
            <sz val="9"/>
            <color indexed="81"/>
            <rFont val="Tahoma"/>
            <family val="2"/>
          </rPr>
          <t xml:space="preserve">
Provision upward adjusted from 30 hours to £45,900 per annum.
Amount agreed by JC, Head of SEND, to be ratified at CCF 2nd May 2023</t>
        </r>
      </text>
    </comment>
    <comment ref="AB72" authorId="1" shapeId="0" xr:uid="{9C1A8F49-A884-4561-BD85-C2597140EC43}">
      <text>
        <r>
          <rPr>
            <b/>
            <sz val="9"/>
            <color indexed="81"/>
            <rFont val="Tahoma"/>
            <family val="2"/>
          </rPr>
          <t>Kenneth Chan:</t>
        </r>
        <r>
          <rPr>
            <sz val="9"/>
            <color indexed="81"/>
            <rFont val="Tahoma"/>
            <family val="2"/>
          </rPr>
          <t xml:space="preserve">
School request: £13,935-£7375.96 =£6559.04.
Amount already overpaid in year 22/23. Need to clawback and stop 23/24 payment</t>
        </r>
      </text>
    </comment>
    <comment ref="AB73" authorId="0" shapeId="0" xr:uid="{EE8D905E-9BCC-4709-84CC-CA07268F5DB2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Kate Pass Tuition
£1,140</t>
        </r>
      </text>
    </comment>
    <comment ref="AB110" authorId="1" shapeId="0" xr:uid="{152E12A6-8074-403E-92EF-68F80BF9B8BB}">
      <text>
        <r>
          <rPr>
            <b/>
            <sz val="9"/>
            <color indexed="81"/>
            <rFont val="Tahoma"/>
            <family val="2"/>
          </rPr>
          <t>Kenneth Chan:</t>
        </r>
        <r>
          <rPr>
            <sz val="9"/>
            <color indexed="81"/>
            <rFont val="Tahoma"/>
            <family val="2"/>
          </rPr>
          <t xml:space="preserve">
One off payment of Total £1,185.</t>
        </r>
      </text>
    </comment>
    <comment ref="AB121" authorId="1" shapeId="0" xr:uid="{2B3BBB26-6905-472C-B013-A98C3D01D528}">
      <text>
        <r>
          <rPr>
            <b/>
            <sz val="9"/>
            <color indexed="81"/>
            <rFont val="Tahoma"/>
            <family val="2"/>
          </rPr>
          <t>Kenneth Chan:</t>
        </r>
        <r>
          <rPr>
            <sz val="9"/>
            <color indexed="81"/>
            <rFont val="Tahoma"/>
            <family val="2"/>
          </rPr>
          <t xml:space="preserve">
funding of £19,500.00 approved for alternative provision for Connor Cross for summer term 2023</t>
        </r>
      </text>
    </comment>
    <comment ref="W129" authorId="1" shapeId="0" xr:uid="{2C48E021-9489-4059-B391-8404E27FE1F9}">
      <text>
        <r>
          <rPr>
            <b/>
            <sz val="9"/>
            <color indexed="81"/>
            <rFont val="Tahoma"/>
            <family val="2"/>
          </rPr>
          <t>Kenneth Chan: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B130" authorId="1" shapeId="0" xr:uid="{C875ED50-48B0-43E5-9EE6-092505B6D01E}">
      <text>
        <r>
          <rPr>
            <b/>
            <sz val="9"/>
            <color indexed="81"/>
            <rFont val="Tahoma"/>
            <family val="2"/>
          </rPr>
          <t>Kenneth Chan:</t>
        </r>
        <r>
          <rPr>
            <sz val="9"/>
            <color indexed="81"/>
            <rFont val="Tahoma"/>
            <family val="2"/>
          </rPr>
          <t xml:space="preserve">
Provision upward adjusted from 25 hrs to 35 hrs</t>
        </r>
      </text>
    </comment>
    <comment ref="AB131" authorId="1" shapeId="0" xr:uid="{300329A9-B54B-4DD2-A7A9-3970350005C6}">
      <text>
        <r>
          <rPr>
            <b/>
            <sz val="9"/>
            <color indexed="81"/>
            <rFont val="Tahoma"/>
            <family val="2"/>
          </rPr>
          <t>Kenneth Chan:</t>
        </r>
        <r>
          <rPr>
            <sz val="9"/>
            <color indexed="81"/>
            <rFont val="Tahoma"/>
            <family val="2"/>
          </rPr>
          <t xml:space="preserve">
Provision upward adjusted from 25 hrs to 35 hrs</t>
        </r>
      </text>
    </comment>
    <comment ref="AL145" authorId="1" shapeId="0" xr:uid="{4F2D0368-7C50-4A28-BE71-2E67344EB8CF}">
      <text>
        <r>
          <rPr>
            <b/>
            <sz val="9"/>
            <color indexed="81"/>
            <rFont val="Tahoma"/>
            <family val="2"/>
          </rPr>
          <t>Kenneth Chan:</t>
        </r>
        <r>
          <rPr>
            <sz val="9"/>
            <color indexed="81"/>
            <rFont val="Tahoma"/>
            <family val="2"/>
          </rPr>
          <t xml:space="preserve">
Rate revised and confirmed by Katherine on 25/4/2023</t>
        </r>
      </text>
    </comment>
    <comment ref="AL146" authorId="1" shapeId="0" xr:uid="{5E481380-C273-49EA-B7F0-82EA257C4E48}">
      <text>
        <r>
          <rPr>
            <b/>
            <sz val="9"/>
            <color indexed="81"/>
            <rFont val="Tahoma"/>
            <family val="2"/>
          </rPr>
          <t>Kenneth Chan:</t>
        </r>
        <r>
          <rPr>
            <sz val="9"/>
            <color indexed="81"/>
            <rFont val="Tahoma"/>
            <family val="2"/>
          </rPr>
          <t xml:space="preserve">
Rate revised and confirmed by Katherine on 25/4/2023</t>
        </r>
      </text>
    </comment>
    <comment ref="AL147" authorId="1" shapeId="0" xr:uid="{EF07711C-2117-47E1-8E87-F87F175D5350}">
      <text>
        <r>
          <rPr>
            <b/>
            <sz val="9"/>
            <color indexed="81"/>
            <rFont val="Tahoma"/>
            <family val="2"/>
          </rPr>
          <t>Kenneth Chan:</t>
        </r>
        <r>
          <rPr>
            <sz val="9"/>
            <color indexed="81"/>
            <rFont val="Tahoma"/>
            <family val="2"/>
          </rPr>
          <t xml:space="preserve">
Rate revised and confirmed by Katherine on 25/4/2023</t>
        </r>
      </text>
    </comment>
    <comment ref="AB159" authorId="1" shapeId="0" xr:uid="{915FD1F5-F8FA-476C-B0D5-B7D7B04467E5}">
      <text>
        <r>
          <rPr>
            <b/>
            <sz val="9"/>
            <color indexed="81"/>
            <rFont val="Tahoma"/>
            <family val="2"/>
          </rPr>
          <t>Kenneth Chan:</t>
        </r>
        <r>
          <rPr>
            <sz val="9"/>
            <color indexed="81"/>
            <rFont val="Tahoma"/>
            <family val="2"/>
          </rPr>
          <t xml:space="preserve">
funding agreed for £7,750.00 for Alt prov for summer term 2023</t>
        </r>
      </text>
    </comment>
    <comment ref="BD178" authorId="0" shapeId="0" xr:uid="{7B3AF0B1-F3F3-44E0-8F82-3C3CA5543827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special?</t>
        </r>
      </text>
    </comment>
    <comment ref="AB180" authorId="1" shapeId="0" xr:uid="{FF365548-579F-4AE2-959C-25D5282C158E}">
      <text>
        <r>
          <rPr>
            <b/>
            <sz val="9"/>
            <color indexed="81"/>
            <rFont val="Tahoma"/>
            <family val="2"/>
          </rPr>
          <t>Kenneth Chan:</t>
        </r>
        <r>
          <rPr>
            <sz val="9"/>
            <color indexed="81"/>
            <rFont val="Tahoma"/>
            <family val="2"/>
          </rPr>
          <t xml:space="preserve">
Alt-Prov package totaling - £28,500.00 </t>
        </r>
      </text>
    </comment>
    <comment ref="AB211" authorId="0" shapeId="0" xr:uid="{50290704-E349-4582-B9FC-B3E88B86CE80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Education Boutique Tuition
£1050 + £7,150 = £8,200</t>
        </r>
      </text>
    </comment>
    <comment ref="AB215" authorId="0" shapeId="0" xr:uid="{3B5B1D65-EC5D-48EB-81CD-FB5252E7E270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additional 4 hours provison till mid Feb2024 (?)</t>
        </r>
      </text>
    </comment>
    <comment ref="AB226" authorId="1" shapeId="0" xr:uid="{FFC753B5-811E-488A-94CE-71025A122EC3}">
      <text>
        <r>
          <rPr>
            <b/>
            <sz val="9"/>
            <color indexed="81"/>
            <rFont val="Tahoma"/>
            <family val="2"/>
          </rPr>
          <t>Kenneth Chan:</t>
        </r>
        <r>
          <rPr>
            <sz val="9"/>
            <color indexed="81"/>
            <rFont val="Tahoma"/>
            <family val="2"/>
          </rPr>
          <t xml:space="preserve">
Provision downward adjusted from 30 hrs to 25 hrs</t>
        </r>
      </text>
    </comment>
    <comment ref="AB232" authorId="1" shapeId="0" xr:uid="{558ADF3F-8528-4967-AEF0-CDB3A0D626FA}">
      <text>
        <r>
          <rPr>
            <b/>
            <sz val="9"/>
            <color indexed="81"/>
            <rFont val="Tahoma"/>
            <family val="2"/>
          </rPr>
          <t>Kenneth Chan:</t>
        </r>
        <r>
          <rPr>
            <sz val="9"/>
            <color indexed="81"/>
            <rFont val="Tahoma"/>
            <family val="2"/>
          </rPr>
          <t xml:space="preserve">
One off Bespoke pakcage £7380</t>
        </r>
      </text>
    </comment>
    <comment ref="AB244" authorId="1" shapeId="0" xr:uid="{833E8D6F-20A9-411F-809F-639548DEE132}">
      <text>
        <r>
          <rPr>
            <b/>
            <sz val="9"/>
            <color indexed="81"/>
            <rFont val="Tahoma"/>
            <family val="2"/>
          </rPr>
          <t>Kenneth Chan:</t>
        </r>
        <r>
          <rPr>
            <sz val="9"/>
            <color indexed="81"/>
            <rFont val="Tahoma"/>
            <family val="2"/>
          </rPr>
          <t xml:space="preserve">
One off 9,831.24</t>
        </r>
      </text>
    </comment>
    <comment ref="AB246" authorId="1" shapeId="0" xr:uid="{4C1F75F1-EE17-46BF-AC67-C5F8B558128B}">
      <text>
        <r>
          <rPr>
            <b/>
            <sz val="9"/>
            <color indexed="81"/>
            <rFont val="Tahoma"/>
            <family val="2"/>
          </rPr>
          <t>Kenneth Chan:</t>
        </r>
        <r>
          <rPr>
            <sz val="9"/>
            <color indexed="81"/>
            <rFont val="Tahoma"/>
            <family val="2"/>
          </rPr>
          <t xml:space="preserve">
One off £1,380
</t>
        </r>
      </text>
    </comment>
    <comment ref="AB248" authorId="1" shapeId="0" xr:uid="{E2D3321F-42B8-4015-8FE7-0B7D6D595EEA}">
      <text>
        <r>
          <rPr>
            <b/>
            <sz val="9"/>
            <color indexed="81"/>
            <rFont val="Tahoma"/>
            <family val="2"/>
          </rPr>
          <t>Kenneth Chan:</t>
        </r>
        <r>
          <rPr>
            <sz val="9"/>
            <color indexed="81"/>
            <rFont val="Tahoma"/>
            <family val="2"/>
          </rPr>
          <t xml:space="preserve">
One off payment of £2,520</t>
        </r>
      </text>
    </comment>
    <comment ref="AB249" authorId="1" shapeId="0" xr:uid="{41CD69BB-ED6B-4682-9356-FF5F558EDFE2}">
      <text>
        <r>
          <rPr>
            <b/>
            <sz val="9"/>
            <color indexed="81"/>
            <rFont val="Tahoma"/>
            <family val="2"/>
          </rPr>
          <t>Kenneth Chan:</t>
        </r>
        <r>
          <rPr>
            <sz val="9"/>
            <color indexed="81"/>
            <rFont val="Tahoma"/>
            <family val="2"/>
          </rPr>
          <t xml:space="preserve">
One off payment of £2,520</t>
        </r>
      </text>
    </comment>
    <comment ref="AB250" authorId="1" shapeId="0" xr:uid="{433ACACB-0A74-478B-8E9E-2F376F664105}">
      <text>
        <r>
          <rPr>
            <b/>
            <sz val="9"/>
            <color indexed="81"/>
            <rFont val="Tahoma"/>
            <family val="2"/>
          </rPr>
          <t>Kenneth Chan:</t>
        </r>
        <r>
          <rPr>
            <sz val="9"/>
            <color indexed="81"/>
            <rFont val="Tahoma"/>
            <family val="2"/>
          </rPr>
          <t xml:space="preserve">
Agreement to replace 27 hours top up with £7,606.58.</t>
        </r>
      </text>
    </comment>
    <comment ref="AQ255" authorId="0" shapeId="0" xr:uid="{2B03768E-0866-472C-BD96-A4AA350A184D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as per NWPU correction - no formula, to make up PY in the same line(?) £10,102.26 (22/23) + £12,540.74 to make up the Top Up</t>
        </r>
      </text>
    </comment>
    <comment ref="AB261" authorId="1" shapeId="0" xr:uid="{E1617E91-35F1-4FDD-9C61-E2CD0538CC27}">
      <text>
        <r>
          <rPr>
            <b/>
            <sz val="9"/>
            <color indexed="81"/>
            <rFont val="Tahoma"/>
            <family val="2"/>
          </rPr>
          <t>Kenneth Chan:</t>
        </r>
        <r>
          <rPr>
            <sz val="9"/>
            <color indexed="81"/>
            <rFont val="Tahoma"/>
            <family val="2"/>
          </rPr>
          <t xml:space="preserve">
Agreement to replace 25 hours top up with £8,696.88 of top up from the last Annual Review</t>
        </r>
      </text>
    </comment>
    <comment ref="L278" authorId="0" shapeId="0" xr:uid="{8778CC7B-7354-420D-8C69-FC767242512D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query - to be vonfermed whether this is EY provision - NCY is -1… YP turned 5 already so should be oin R/0</t>
        </r>
      </text>
    </comment>
    <comment ref="AB280" authorId="1" shapeId="0" xr:uid="{368B63B1-22AF-4FB0-AAB4-66DA62D630DC}">
      <text>
        <r>
          <rPr>
            <b/>
            <sz val="9"/>
            <color indexed="81"/>
            <rFont val="Tahoma"/>
            <family val="2"/>
          </rPr>
          <t>Kenneth Chan:</t>
        </r>
        <r>
          <rPr>
            <sz val="9"/>
            <color indexed="81"/>
            <rFont val="Tahoma"/>
            <family val="2"/>
          </rPr>
          <t xml:space="preserve">
Added. Included year 22/23 prior year adjustment and 23/24. £4,361 annual funding agreed. Year 6, provison ends at 21/7/2023</t>
        </r>
      </text>
    </comment>
    <comment ref="AB289" authorId="1" shapeId="0" xr:uid="{D36CE4A4-17AB-425B-A27F-7FC894AC8019}">
      <text>
        <r>
          <rPr>
            <b/>
            <sz val="9"/>
            <color indexed="81"/>
            <rFont val="Tahoma"/>
            <family val="2"/>
          </rPr>
          <t>Kenneth Chan:</t>
        </r>
        <r>
          <rPr>
            <sz val="9"/>
            <color indexed="81"/>
            <rFont val="Tahoma"/>
            <family val="2"/>
          </rPr>
          <t xml:space="preserve">
Agreement to replace 25 hours top up with £8,990.30 pa.</t>
        </r>
      </text>
    </comment>
    <comment ref="AB290" authorId="1" shapeId="0" xr:uid="{7EA81524-752C-4509-B087-3A86174E338F}">
      <text>
        <r>
          <rPr>
            <b/>
            <sz val="9"/>
            <color indexed="81"/>
            <rFont val="Tahoma"/>
            <family val="2"/>
          </rPr>
          <t>Kenneth Chan:</t>
        </r>
        <r>
          <rPr>
            <sz val="9"/>
            <color indexed="81"/>
            <rFont val="Tahoma"/>
            <family val="2"/>
          </rPr>
          <t xml:space="preserve">
One off payment £750. Approval given to fund JAC and a one off OT assessment of up to £750</t>
        </r>
      </text>
    </comment>
    <comment ref="AB298" authorId="1" shapeId="0" xr:uid="{EDCC54EE-6D93-42C1-93BD-7F2A825B29EA}">
      <text>
        <r>
          <rPr>
            <b/>
            <sz val="9"/>
            <color indexed="81"/>
            <rFont val="Tahoma"/>
            <family val="2"/>
          </rPr>
          <t>Kenneth Chan:</t>
        </r>
        <r>
          <rPr>
            <sz val="9"/>
            <color indexed="81"/>
            <rFont val="Tahoma"/>
            <family val="2"/>
          </rPr>
          <t xml:space="preserve">
One off £2,995</t>
        </r>
      </text>
    </comment>
    <comment ref="AB307" authorId="1" shapeId="0" xr:uid="{A9A90280-5FC1-45B2-B369-D8378CC75D63}">
      <text>
        <r>
          <rPr>
            <b/>
            <sz val="9"/>
            <color indexed="81"/>
            <rFont val="Tahoma"/>
            <family val="2"/>
          </rPr>
          <t>Kenneth Chan:</t>
        </r>
        <r>
          <rPr>
            <sz val="9"/>
            <color indexed="81"/>
            <rFont val="Tahoma"/>
            <family val="2"/>
          </rPr>
          <t xml:space="preserve">
£12386.21 per annum</t>
        </r>
      </text>
    </comment>
    <comment ref="AB314" authorId="1" shapeId="0" xr:uid="{7F8D2912-5CD2-467B-B08B-BA653D2DE656}">
      <text>
        <r>
          <rPr>
            <b/>
            <sz val="9"/>
            <color indexed="81"/>
            <rFont val="Tahoma"/>
            <family val="2"/>
          </rPr>
          <t>Kenneth Chan:</t>
        </r>
        <r>
          <rPr>
            <sz val="9"/>
            <color indexed="81"/>
            <rFont val="Tahoma"/>
            <family val="2"/>
          </rPr>
          <t xml:space="preserve">
£13772.48 agreed for alternative provision for summer term 2023</t>
        </r>
      </text>
    </comment>
    <comment ref="AB319" authorId="1" shapeId="0" xr:uid="{CB93F235-8FE8-431A-A3C9-51CAE98DE9F1}">
      <text>
        <r>
          <rPr>
            <b/>
            <sz val="9"/>
            <color indexed="81"/>
            <rFont val="Tahoma"/>
            <family val="2"/>
          </rPr>
          <t>Kenneth Chan:</t>
        </r>
        <r>
          <rPr>
            <sz val="9"/>
            <color indexed="81"/>
            <rFont val="Tahoma"/>
            <family val="2"/>
          </rPr>
          <t xml:space="preserve">
Allocated Hours:  Total until end of July 23 £15,980. 
From: ASAP
School: Alternative Provision 
Recorded on CAPITA: Yes
Paid to the school and they will pay the alternative provision </t>
        </r>
      </text>
    </comment>
    <comment ref="BD319" authorId="0" shapeId="0" xr:uid="{54283A48-EA00-4D6C-9BC7-2DDB1531B292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agreed 17K pa - on Capita from Sep</t>
        </r>
      </text>
    </comment>
    <comment ref="AB321" authorId="1" shapeId="0" xr:uid="{5F6BBF5E-88F5-4834-8633-AF935AFD1D23}">
      <text>
        <r>
          <rPr>
            <b/>
            <sz val="9"/>
            <color indexed="81"/>
            <rFont val="Tahoma"/>
            <family val="2"/>
          </rPr>
          <t>Kenneth Chan:</t>
        </r>
        <r>
          <rPr>
            <sz val="9"/>
            <color indexed="81"/>
            <rFont val="Tahoma"/>
            <family val="2"/>
          </rPr>
          <t xml:space="preserve">
Allocated Hours: £3,345.75 of top-up (from 22.02.2023 until the end of July 2023) and £7,546.50 per annum thereafter.
From: 22.02.2023
School: Gorse Ride Junior School
Recorded on CAPITA: Yes
Kenneth : Yr 6. No £7,546.50 per annum thereafter</t>
        </r>
      </text>
    </comment>
    <comment ref="AB339" authorId="1" shapeId="0" xr:uid="{B9F52A04-0BB8-4BA6-AA56-883037CC5257}">
      <text>
        <r>
          <rPr>
            <b/>
            <sz val="9"/>
            <color indexed="81"/>
            <rFont val="Tahoma"/>
            <family val="2"/>
          </rPr>
          <t>Kenneth Chan:</t>
        </r>
        <r>
          <rPr>
            <sz val="9"/>
            <color indexed="81"/>
            <rFont val="Tahoma"/>
            <family val="2"/>
          </rPr>
          <t xml:space="preserve">
Invoice Total from 6th March - 21st July : £33,475.00
minus £3,433.33 paid in year 22/23</t>
        </r>
      </text>
    </comment>
    <comment ref="AB355" authorId="1" shapeId="0" xr:uid="{26E8ECFB-8A5F-455E-8CE2-E8BABC932BBE}">
      <text>
        <r>
          <rPr>
            <b/>
            <sz val="9"/>
            <color indexed="81"/>
            <rFont val="Tahoma"/>
            <family val="2"/>
          </rPr>
          <t>Kenneth Chan:</t>
        </r>
        <r>
          <rPr>
            <sz val="9"/>
            <color indexed="81"/>
            <rFont val="Tahoma"/>
            <family val="2"/>
          </rPr>
          <t xml:space="preserve">
One of payment of £5093.00 additional funding agreed for setting to fund alternative provision</t>
        </r>
      </text>
    </comment>
    <comment ref="AB375" authorId="1" shapeId="0" xr:uid="{B6C140A9-EA3A-4BF2-BD2F-1690DB32797B}">
      <text>
        <r>
          <rPr>
            <b/>
            <sz val="9"/>
            <color indexed="81"/>
            <rFont val="Tahoma"/>
            <family val="2"/>
          </rPr>
          <t>Kenneth Chan:</t>
        </r>
        <r>
          <rPr>
            <sz val="9"/>
            <color indexed="81"/>
            <rFont val="Tahoma"/>
            <family val="2"/>
          </rPr>
          <t xml:space="preserve">
Agreement to replace 25 hours top up with the equivalent of ASD Band 6, £21,471 pa.
(£22,008 per annum at 23/24 rate)</t>
        </r>
      </text>
    </comment>
    <comment ref="W384" authorId="1" shapeId="0" xr:uid="{C48A7331-9787-4EA7-8A97-52E73AFF8548}">
      <text>
        <r>
          <rPr>
            <b/>
            <sz val="9"/>
            <color indexed="81"/>
            <rFont val="Tahoma"/>
            <family val="2"/>
          </rPr>
          <t>Kenneth Chan:</t>
        </r>
        <r>
          <rPr>
            <sz val="9"/>
            <color indexed="81"/>
            <rFont val="Tahoma"/>
            <family val="2"/>
          </rPr>
          <t xml:space="preserve">
Leaver. Provision ended on 14/7/2022</t>
        </r>
      </text>
    </comment>
    <comment ref="AB395" authorId="1" shapeId="0" xr:uid="{E5CCE00F-32BF-4BBA-A996-989DA3DADEB7}">
      <text>
        <r>
          <rPr>
            <b/>
            <sz val="9"/>
            <color indexed="81"/>
            <rFont val="Tahoma"/>
            <family val="2"/>
          </rPr>
          <t>Kenneth Chan:</t>
        </r>
        <r>
          <rPr>
            <sz val="9"/>
            <color indexed="81"/>
            <rFont val="Tahoma"/>
            <family val="2"/>
          </rPr>
          <t xml:space="preserve">
One off payment £24,960. Funding approved for £24,960.00 to fund alternative provision for summer term 2023</t>
        </r>
      </text>
    </comment>
    <comment ref="W408" authorId="1" shapeId="0" xr:uid="{CCB89226-8426-440D-BAEA-EF7B1B485013}">
      <text>
        <r>
          <rPr>
            <b/>
            <sz val="9"/>
            <color indexed="81"/>
            <rFont val="Tahoma"/>
            <family val="2"/>
          </rPr>
          <t>Kenneth Chan:</t>
        </r>
        <r>
          <rPr>
            <sz val="9"/>
            <color indexed="81"/>
            <rFont val="Tahoma"/>
            <family val="2"/>
          </rPr>
          <t xml:space="preserve">
Provision trimmed from 31/3/2024 to 21/4/2023</t>
        </r>
      </text>
    </comment>
    <comment ref="BD411" authorId="0" shapeId="0" xr:uid="{FBBF7F38-B659-46D5-8519-0A4BE9E274EB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special</t>
        </r>
      </text>
    </comment>
    <comment ref="AM413" authorId="1" shapeId="0" xr:uid="{F7387C5C-A72B-4B93-B6D9-AC2188A8782A}">
      <text>
        <r>
          <rPr>
            <b/>
            <sz val="9"/>
            <color indexed="81"/>
            <rFont val="Tahoma"/>
            <family val="2"/>
          </rPr>
          <t>Kenneth Chan:</t>
        </r>
        <r>
          <rPr>
            <sz val="9"/>
            <color indexed="81"/>
            <rFont val="Tahoma"/>
            <family val="2"/>
          </rPr>
          <t xml:space="preserve">
One off payment £1,432.08 for the period September 2022 to July 2023 (full academic year) to cover the weekly mileage costs. </t>
        </r>
      </text>
    </comment>
    <comment ref="AM425" authorId="0" shapeId="0" xr:uid="{2EFE3B4F-BF14-47EF-8102-50839CF53121}">
      <text>
        <r>
          <rPr>
            <b/>
            <sz val="9"/>
            <color indexed="81"/>
            <rFont val="Tahoma"/>
            <family val="2"/>
          </rPr>
          <t>Diana Hollis: as per capita:</t>
        </r>
        <r>
          <rPr>
            <sz val="9"/>
            <color indexed="81"/>
            <rFont val="Tahoma"/>
            <family val="2"/>
          </rPr>
          <t xml:space="preserve">
remaining funding for Spring and Summer 2023 = £27,843.80 - £13,837.20 = £14,006.60
Less £4,237.89 paid in 22/23. 
Remaining £9,768.71 to settle in 23/24</t>
        </r>
      </text>
    </comment>
    <comment ref="AA455" authorId="1" shapeId="0" xr:uid="{15FB1993-9490-4F41-A427-3FD913603311}">
      <text>
        <r>
          <rPr>
            <b/>
            <sz val="9"/>
            <color indexed="81"/>
            <rFont val="Tahoma"/>
            <family val="2"/>
          </rPr>
          <t>Kenneth Chan:</t>
        </r>
        <r>
          <rPr>
            <sz val="9"/>
            <color indexed="81"/>
            <rFont val="Tahoma"/>
            <family val="2"/>
          </rPr>
          <t xml:space="preserve">
left Maiden Erlegh on 30/3/2023</t>
        </r>
      </text>
    </comment>
    <comment ref="AL456" authorId="1" shapeId="0" xr:uid="{BA74E92D-47F4-4EC3-A58D-DB41506B5A63}">
      <text>
        <r>
          <rPr>
            <b/>
            <sz val="9"/>
            <color indexed="81"/>
            <rFont val="Tahoma"/>
            <family val="2"/>
          </rPr>
          <t>Kenneth Chan:</t>
        </r>
        <r>
          <rPr>
            <sz val="9"/>
            <color indexed="81"/>
            <rFont val="Tahoma"/>
            <family val="2"/>
          </rPr>
          <t xml:space="preserve">
Agreed with Louise Ellis</t>
        </r>
      </text>
    </comment>
    <comment ref="AB460" authorId="1" shapeId="0" xr:uid="{0154688D-A23F-4333-A9F8-2101A5759038}">
      <text>
        <r>
          <rPr>
            <b/>
            <sz val="9"/>
            <color indexed="81"/>
            <rFont val="Tahoma"/>
            <family val="2"/>
          </rPr>
          <t>Kenneth Chan:</t>
        </r>
        <r>
          <rPr>
            <sz val="9"/>
            <color indexed="81"/>
            <rFont val="Tahoma"/>
            <family val="2"/>
          </rPr>
          <t xml:space="preserve">
One off laptop £600</t>
        </r>
      </text>
    </comment>
    <comment ref="AB462" authorId="1" shapeId="0" xr:uid="{714D8664-1842-4F65-ACFF-297EFDB0D124}">
      <text>
        <r>
          <rPr>
            <b/>
            <sz val="9"/>
            <color indexed="81"/>
            <rFont val="Tahoma"/>
            <family val="2"/>
          </rPr>
          <t>Kenneth Chan:</t>
        </r>
        <r>
          <rPr>
            <sz val="9"/>
            <color indexed="81"/>
            <rFont val="Tahoma"/>
            <family val="2"/>
          </rPr>
          <t xml:space="preserve">
Provision trimmed from 30 hrs to 25 hrs</t>
        </r>
      </text>
    </comment>
    <comment ref="AB464" authorId="1" shapeId="0" xr:uid="{49C6E28C-065D-4B10-965A-371478BE4820}">
      <text>
        <r>
          <rPr>
            <b/>
            <sz val="9"/>
            <color indexed="81"/>
            <rFont val="Tahoma"/>
            <family val="2"/>
          </rPr>
          <t>Kenneth Chan:</t>
        </r>
        <r>
          <rPr>
            <sz val="9"/>
            <color indexed="81"/>
            <rFont val="Tahoma"/>
            <family val="2"/>
          </rPr>
          <t xml:space="preserve">
Provision downward adjusted from 30 hrs to 28 hrs
</t>
        </r>
      </text>
    </comment>
    <comment ref="AB476" authorId="1" shapeId="0" xr:uid="{43D573F3-BE67-442A-8640-6B51BC829460}">
      <text>
        <r>
          <rPr>
            <b/>
            <sz val="9"/>
            <color indexed="81"/>
            <rFont val="Tahoma"/>
            <family val="2"/>
          </rPr>
          <t>Kenneth Chan:</t>
        </r>
        <r>
          <rPr>
            <sz val="9"/>
            <color indexed="81"/>
            <rFont val="Tahoma"/>
            <family val="2"/>
          </rPr>
          <t xml:space="preserve">
One off payment £3,208.68</t>
        </r>
      </text>
    </comment>
    <comment ref="W481" authorId="0" shapeId="0" xr:uid="{E0074638-5197-4F7E-9E38-6F4D462F2EE3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not leaver!</t>
        </r>
      </text>
    </comment>
    <comment ref="AB481" authorId="1" shapeId="0" xr:uid="{07CA60F5-AC3C-4FBC-8041-9C5C75F34F87}">
      <text>
        <r>
          <rPr>
            <b/>
            <sz val="9"/>
            <color indexed="81"/>
            <rFont val="Tahoma"/>
            <family val="2"/>
          </rPr>
          <t>Kenneth Chan:</t>
        </r>
        <r>
          <rPr>
            <sz val="9"/>
            <color indexed="81"/>
            <rFont val="Tahoma"/>
            <family val="2"/>
          </rPr>
          <t xml:space="preserve">
Provision downward adjusted from 30 hrs to 25 hrs</t>
        </r>
      </text>
    </comment>
    <comment ref="AB487" authorId="0" shapeId="0" xr:uid="{F60F330C-8FF2-43EF-A211-4B855DFEA402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change of provison from 30 to 25</t>
        </r>
      </text>
    </comment>
    <comment ref="AB488" authorId="0" shapeId="0" xr:uid="{B40EEF10-68B5-4639-BBF5-24366C77587B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change of provison from 30 to 25</t>
        </r>
      </text>
    </comment>
    <comment ref="AB489" authorId="0" shapeId="0" xr:uid="{77BC2FC5-58D0-4055-85E4-650BD77FFCBC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change of provison from270 to 25</t>
        </r>
      </text>
    </comment>
    <comment ref="AB492" authorId="1" shapeId="0" xr:uid="{E64F67A2-A094-47DC-8FF9-CB33F88FB5B3}">
      <text>
        <r>
          <rPr>
            <b/>
            <sz val="9"/>
            <color indexed="81"/>
            <rFont val="Tahoma"/>
            <family val="2"/>
          </rPr>
          <t>Kenneth Chan:</t>
        </r>
        <r>
          <rPr>
            <sz val="9"/>
            <color indexed="81"/>
            <rFont val="Tahoma"/>
            <family val="2"/>
          </rPr>
          <t xml:space="preserve">
Provision upward adjusted from TOP £6,671.40 to 30 hr</t>
        </r>
      </text>
    </comment>
    <comment ref="AB493" authorId="0" shapeId="0" xr:uid="{1E3E5F96-909D-4B57-B93A-A6BA10FD3D09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changed from 30 to 28</t>
        </r>
      </text>
    </comment>
    <comment ref="AB498" authorId="1" shapeId="0" xr:uid="{1ED52801-8665-4F69-A7DC-2B7D0B3BDD5C}">
      <text>
        <r>
          <rPr>
            <b/>
            <sz val="9"/>
            <color indexed="81"/>
            <rFont val="Tahoma"/>
            <family val="2"/>
          </rPr>
          <t>Kenneth Chan:</t>
        </r>
        <r>
          <rPr>
            <sz val="9"/>
            <color indexed="81"/>
            <rFont val="Tahoma"/>
            <family val="2"/>
          </rPr>
          <t xml:space="preserve">
One Time to purchase Laptop £600</t>
        </r>
      </text>
    </comment>
    <comment ref="AB503" authorId="0" shapeId="0" xr:uid="{4248B960-1CF7-4C71-BDEE-46822B8DC541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provision changed from 30 to 25</t>
        </r>
      </text>
    </comment>
    <comment ref="AB516" authorId="1" shapeId="0" xr:uid="{906C98B5-D5C4-4D8E-9423-FA1ACA51A013}">
      <text>
        <r>
          <rPr>
            <b/>
            <sz val="9"/>
            <color indexed="81"/>
            <rFont val="Tahoma"/>
            <family val="2"/>
          </rPr>
          <t>Kenneth Chan:</t>
        </r>
        <r>
          <rPr>
            <sz val="9"/>
            <color indexed="81"/>
            <rFont val="Tahoma"/>
            <family val="2"/>
          </rPr>
          <t xml:space="preserve">
Provision downward amended from 30 hrs to 25 hrs</t>
        </r>
      </text>
    </comment>
    <comment ref="AB523" authorId="1" shapeId="0" xr:uid="{758F6278-E856-41F2-8160-920502D82BF7}">
      <text>
        <r>
          <rPr>
            <b/>
            <sz val="9"/>
            <color indexed="81"/>
            <rFont val="Tahoma"/>
            <family val="2"/>
          </rPr>
          <t>Kenneth Chan:</t>
        </r>
        <r>
          <rPr>
            <sz val="9"/>
            <color indexed="81"/>
            <rFont val="Tahoma"/>
            <family val="2"/>
          </rPr>
          <t xml:space="preserve">
One off payment of £775 approved to reimburse parent (Ms Joanne Mattocks) for the cost of an OT </t>
        </r>
      </text>
    </comment>
    <comment ref="AB530" authorId="1" shapeId="0" xr:uid="{12F7B8E2-1356-4E84-8C1A-227BCA3C0B34}">
      <text>
        <r>
          <rPr>
            <b/>
            <sz val="9"/>
            <color indexed="81"/>
            <rFont val="Tahoma"/>
            <family val="2"/>
          </rPr>
          <t>Kenneth Chan:</t>
        </r>
        <r>
          <rPr>
            <sz val="9"/>
            <color indexed="81"/>
            <rFont val="Tahoma"/>
            <family val="2"/>
          </rPr>
          <t xml:space="preserve">
LA have agreed to provide an additional top-up of £2,546.40 to support coral whilst on role at Oakbank between January and July 2023. </t>
        </r>
      </text>
    </comment>
    <comment ref="AB535" authorId="0" shapeId="0" xr:uid="{AC9809A1-1C7B-47C5-8409-ED5FA35884F1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Windsorian Occupational Therapy  (To deliver OT sessions as outlined in section F provision in Holly’s EHCP)
£720 (12 sessions only)</t>
        </r>
      </text>
    </comment>
    <comment ref="U541" authorId="1" shapeId="0" xr:uid="{84D59F95-EFBD-43C4-B6F7-C3B14414C245}">
      <text>
        <r>
          <rPr>
            <b/>
            <sz val="9"/>
            <color indexed="81"/>
            <rFont val="Tahoma"/>
            <family val="2"/>
          </rPr>
          <t>Kenneth Chan:</t>
        </r>
        <r>
          <rPr>
            <sz val="9"/>
            <color indexed="81"/>
            <rFont val="Tahoma"/>
            <family val="2"/>
          </rPr>
          <t xml:space="preserve">
Start date amended from 1/5/2023 to 2/5/2023</t>
        </r>
      </text>
    </comment>
    <comment ref="AB546" authorId="0" shapeId="0" xr:uid="{1AD772C3-7A3F-43E6-98A0-6D1C6C4EAE75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additional agreed</t>
        </r>
      </text>
    </comment>
    <comment ref="AB550" authorId="1" shapeId="0" xr:uid="{4FAE8539-9AA2-41A2-B028-E76ADFD74348}">
      <text>
        <r>
          <rPr>
            <b/>
            <sz val="9"/>
            <color indexed="81"/>
            <rFont val="Tahoma"/>
            <family val="2"/>
          </rPr>
          <t>Kenneth Chan:</t>
        </r>
        <r>
          <rPr>
            <sz val="9"/>
            <color indexed="81"/>
            <rFont val="Tahoma"/>
            <family val="2"/>
          </rPr>
          <t xml:space="preserve">
One off top up funding of £2658.80 agreed</t>
        </r>
      </text>
    </comment>
    <comment ref="AB555" authorId="1" shapeId="0" xr:uid="{AD41A619-E92E-4FBE-BB47-7B86DBFF79C7}">
      <text>
        <r>
          <rPr>
            <b/>
            <sz val="9"/>
            <color indexed="81"/>
            <rFont val="Tahoma"/>
            <family val="2"/>
          </rPr>
          <t>Kenneth Chan:</t>
        </r>
        <r>
          <rPr>
            <sz val="9"/>
            <color indexed="81"/>
            <rFont val="Tahoma"/>
            <family val="2"/>
          </rPr>
          <t xml:space="preserve">
Trimmed  from 31/3/2024 to 1/9/2022</t>
        </r>
      </text>
    </comment>
    <comment ref="AB556" authorId="1" shapeId="0" xr:uid="{F13F7E47-AB9F-4EDA-ABD1-21A7A32AF288}">
      <text>
        <r>
          <rPr>
            <b/>
            <sz val="9"/>
            <color indexed="81"/>
            <rFont val="Tahoma"/>
            <family val="2"/>
          </rPr>
          <t>Kenneth Chan:</t>
        </r>
        <r>
          <rPr>
            <sz val="9"/>
            <color indexed="81"/>
            <rFont val="Tahoma"/>
            <family val="2"/>
          </rPr>
          <t xml:space="preserve">
One of payment of £15,658.75 funding agreed to school to provide additional support for Amelie while we are searching for special school</t>
        </r>
      </text>
    </comment>
    <comment ref="AB584" authorId="1" shapeId="0" xr:uid="{521CACA0-D10B-40D1-B722-BFC4C6E9650D}">
      <text>
        <r>
          <rPr>
            <b/>
            <sz val="9"/>
            <color indexed="81"/>
            <rFont val="Tahoma"/>
            <family val="2"/>
          </rPr>
          <t>Kenneth Chan:</t>
        </r>
        <r>
          <rPr>
            <sz val="9"/>
            <color indexed="81"/>
            <rFont val="Tahoma"/>
            <family val="2"/>
          </rPr>
          <t xml:space="preserve">
£12,468 - to support mainstream placement </t>
        </r>
      </text>
    </comment>
    <comment ref="AB605" authorId="1" shapeId="0" xr:uid="{B451A5CB-C3DF-4D58-B797-D287BF678CE4}">
      <text>
        <r>
          <rPr>
            <b/>
            <sz val="9"/>
            <color indexed="81"/>
            <rFont val="Tahoma"/>
            <family val="2"/>
          </rPr>
          <t>Kenneth Chan:</t>
        </r>
        <r>
          <rPr>
            <sz val="9"/>
            <color indexed="81"/>
            <rFont val="Tahoma"/>
            <family val="2"/>
          </rPr>
          <t xml:space="preserve">
One off payment £12,315. Funding agreed for alternative Provison £12,315.00 from end of March to July 2023</t>
        </r>
      </text>
    </comment>
    <comment ref="AB606" authorId="1" shapeId="0" xr:uid="{77E710A8-026B-48E4-B540-4E51104AE916}">
      <text>
        <r>
          <rPr>
            <b/>
            <sz val="9"/>
            <color indexed="81"/>
            <rFont val="Tahoma"/>
            <family val="2"/>
          </rPr>
          <t>Kenneth Chan:</t>
        </r>
        <r>
          <rPr>
            <sz val="9"/>
            <color indexed="81"/>
            <rFont val="Tahoma"/>
            <family val="2"/>
          </rPr>
          <t xml:space="preserve">
One off payment £9674.80 agreed to provide 2:1 staffing until end of academic year 2023</t>
        </r>
      </text>
    </comment>
    <comment ref="AB637" authorId="0" shapeId="0" xr:uid="{628755CC-9C03-4D05-AE26-413356AF279D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Alternative Provision. Update from school - Ciara is only accessing the Alt Prov (Storyy provision) so the cost will  be £600 per week for 13 weeks - lump sum payment of £7,800 needed.</t>
        </r>
      </text>
    </comment>
    <comment ref="AB646" authorId="0" shapeId="0" xr:uid="{578A58E8-2807-47C3-BC21-A6DF5E4E8DCA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Fuinding approved by SEN in JUNE with  transfers, not on Capita</t>
        </r>
      </text>
    </comment>
    <comment ref="BK647" authorId="0" shapeId="0" xr:uid="{A172BE6F-A90A-4D94-891C-97561BF3EC63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2760=28HRS pro-rated PLUS 24,682.39/3*2</t>
        </r>
      </text>
    </comment>
    <comment ref="O651" authorId="0" shapeId="0" xr:uid="{862C7C43-18D1-45C4-9D40-101033FB80D5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provison should have beenprocessed as EY fudnig until end of summer - this is a twin procision with Dingley - SF notified to make corrections</t>
        </r>
      </text>
    </comment>
    <comment ref="W663" authorId="1" shapeId="0" xr:uid="{B608EB63-9676-4E63-87D8-DF4A735F525D}">
      <text>
        <r>
          <rPr>
            <b/>
            <sz val="9"/>
            <color indexed="81"/>
            <rFont val="Tahoma"/>
            <family val="2"/>
          </rPr>
          <t>Kenneth Chan:</t>
        </r>
        <r>
          <rPr>
            <sz val="9"/>
            <color indexed="81"/>
            <rFont val="Tahoma"/>
            <family val="2"/>
          </rPr>
          <t xml:space="preserve">
Yr 6 </t>
        </r>
      </text>
    </comment>
    <comment ref="W670" authorId="1" shapeId="0" xr:uid="{D02B18A9-49F4-4F86-8483-DACEC0A62032}">
      <text>
        <r>
          <rPr>
            <b/>
            <sz val="9"/>
            <color indexed="81"/>
            <rFont val="Tahoma"/>
            <family val="2"/>
          </rPr>
          <t>Kenneth Chan:</t>
        </r>
        <r>
          <rPr>
            <sz val="9"/>
            <color indexed="81"/>
            <rFont val="Tahoma"/>
            <family val="2"/>
          </rPr>
          <t xml:space="preserve">
Provision ended on 6/1/2023</t>
        </r>
      </text>
    </comment>
    <comment ref="AB675" authorId="1" shapeId="0" xr:uid="{0872FB7E-5EB7-42BD-94BE-E2FDCDF53A19}">
      <text>
        <r>
          <rPr>
            <b/>
            <sz val="9"/>
            <color indexed="81"/>
            <rFont val="Tahoma"/>
            <family val="2"/>
          </rPr>
          <t>Kenneth Chan:</t>
        </r>
        <r>
          <rPr>
            <sz val="9"/>
            <color indexed="81"/>
            <rFont val="Tahoma"/>
            <family val="2"/>
          </rPr>
          <t xml:space="preserve">
One off payment £4,132.50. Occupational Therapy funding agreed for £4,132.50</t>
        </r>
      </text>
    </comment>
    <comment ref="AB727" authorId="0" shapeId="0" xr:uid="{8ED277DC-340C-4700-A9D2-AB8E6FCAF701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change of provison from May to £7106.7</t>
        </r>
      </text>
    </comment>
    <comment ref="AB729" authorId="1" shapeId="0" xr:uid="{7A6FDB81-75E7-46D3-BBC2-AFC299ECD673}">
      <text>
        <r>
          <rPr>
            <b/>
            <sz val="9"/>
            <color indexed="81"/>
            <rFont val="Tahoma"/>
            <family val="2"/>
          </rPr>
          <t>Kenneth Chan:</t>
        </r>
        <r>
          <rPr>
            <sz val="9"/>
            <color indexed="81"/>
            <rFont val="Tahoma"/>
            <family val="2"/>
          </rPr>
          <t xml:space="preserve">
£6,403 per annum</t>
        </r>
      </text>
    </comment>
    <comment ref="AB731" authorId="0" shapeId="0" xr:uid="{D8A57B96-A420-4ED7-9CA6-FF15F0374E36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one off for AP</t>
        </r>
      </text>
    </comment>
    <comment ref="AM793" authorId="1" shapeId="0" xr:uid="{4CC631DD-8480-4BC3-B144-FC47A785B655}">
      <text>
        <r>
          <rPr>
            <b/>
            <sz val="9"/>
            <color indexed="81"/>
            <rFont val="Tahoma"/>
            <family val="2"/>
          </rPr>
          <t>Kenneth Chan:</t>
        </r>
        <r>
          <rPr>
            <sz val="9"/>
            <color indexed="81"/>
            <rFont val="Tahoma"/>
            <family val="2"/>
          </rPr>
          <t xml:space="preserve">
One off £4,950.00. Funding agreed for alternative provision</t>
        </r>
      </text>
    </comment>
    <comment ref="BK799" authorId="0" shapeId="0" xr:uid="{6BFAE0F9-3B92-4805-817F-25D5C016C0F3}">
      <text>
        <r>
          <rPr>
            <b/>
            <sz val="9"/>
            <color indexed="81"/>
            <rFont val="Tahoma"/>
            <family val="2"/>
          </rPr>
          <t>Diana Hollis: 9,145.83</t>
        </r>
        <r>
          <rPr>
            <sz val="9"/>
            <color indexed="81"/>
            <rFont val="Tahoma"/>
            <family val="2"/>
          </rPr>
          <t xml:space="preserve">
additional memo:Band 5 (£15,550) was agreed by Reading LA. Was not put on our system until 17/10 but moved in 10/5/22</t>
        </r>
      </text>
    </comment>
    <comment ref="AB817" authorId="1" shapeId="0" xr:uid="{6F0AC18F-81AD-4FB9-AC72-BF19D9BBE306}">
      <text>
        <r>
          <rPr>
            <b/>
            <sz val="9"/>
            <color indexed="81"/>
            <rFont val="Tahoma"/>
            <family val="2"/>
          </rPr>
          <t>Kenneth Chan:</t>
        </r>
        <r>
          <rPr>
            <sz val="9"/>
            <color indexed="81"/>
            <rFont val="Tahoma"/>
            <family val="2"/>
          </rPr>
          <t xml:space="preserve">
One off payment £2,310. Direct Speech and language therapy - £2,310.00 </t>
        </r>
      </text>
    </comment>
    <comment ref="AB825" authorId="1" shapeId="0" xr:uid="{47C569D9-F84C-4BF1-8489-B658D9C569E9}">
      <text>
        <r>
          <rPr>
            <b/>
            <sz val="9"/>
            <color indexed="81"/>
            <rFont val="Tahoma"/>
            <family val="2"/>
          </rPr>
          <t>Kenneth Chan:</t>
        </r>
        <r>
          <rPr>
            <sz val="9"/>
            <color indexed="81"/>
            <rFont val="Tahoma"/>
            <family val="2"/>
          </rPr>
          <t xml:space="preserve">
£11 367.29 top up funding to support Francesca at school. </t>
        </r>
      </text>
    </comment>
    <comment ref="M834" authorId="0" shapeId="0" xr:uid="{A8349F45-2DCF-4D7A-9D84-1B41B23E8EB4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Add to st crispins</t>
        </r>
      </text>
    </comment>
    <comment ref="W843" authorId="1" shapeId="0" xr:uid="{5E713BB6-60ED-4BA7-ABB9-113D6C4556B0}">
      <text>
        <r>
          <rPr>
            <b/>
            <sz val="9"/>
            <color indexed="81"/>
            <rFont val="Tahoma"/>
            <family val="2"/>
          </rPr>
          <t>Kenneth Chan:</t>
        </r>
        <r>
          <rPr>
            <sz val="9"/>
            <color indexed="81"/>
            <rFont val="Tahoma"/>
            <family val="2"/>
          </rPr>
          <t xml:space="preserve">
Yr 2</t>
        </r>
      </text>
    </comment>
    <comment ref="AA850" authorId="0" shapeId="0" xr:uid="{C41247D1-7259-4BDB-8868-915C9E4DEB70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 is YP held back a year? - should not be in YR2 and leaver?</t>
        </r>
      </text>
    </comment>
    <comment ref="W857" authorId="0" shapeId="0" xr:uid="{BDFCC1A4-F21A-465F-B483-C0C398FDC961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not a leaver</t>
        </r>
      </text>
    </comment>
    <comment ref="BU875" authorId="0" shapeId="0" xr:uid="{1259CEBB-CC46-4D5E-A458-952D8BD058EE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Top-up agreed £20,700 pa, 17,000 top up plus 3,700 additional top up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Diana Hollis</author>
    <author>Sue Watson</author>
    <author>Angela Blogg</author>
  </authors>
  <commentList>
    <comment ref="A3" authorId="0" shapeId="0" xr:uid="{7E0EC462-22C9-4370-B50D-0ACCCF4049A5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'1' for YP attanding, '0' for additia
onal provisoin line</t>
        </r>
      </text>
    </comment>
    <comment ref="BA5" authorId="1" shapeId="0" xr:uid="{87C59F09-2B06-44EE-8000-94041388C38C}">
      <text>
        <r>
          <rPr>
            <b/>
            <sz val="9"/>
            <color indexed="81"/>
            <rFont val="Tahoma"/>
            <family val="2"/>
          </rPr>
          <t>Sue Watson:</t>
        </r>
        <r>
          <rPr>
            <sz val="9"/>
            <color indexed="81"/>
            <rFont val="Tahoma"/>
            <family val="2"/>
          </rPr>
          <t xml:space="preserve">
Spring 23
22/23 annual inv claimed Jan&gt;Dec22
</t>
        </r>
      </text>
    </comment>
    <comment ref="DS6" authorId="2" shapeId="0" xr:uid="{32D09A1F-8734-4964-9837-7C20B4A30A83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new provision</t>
        </r>
      </text>
    </comment>
    <comment ref="DE7" authorId="2" shapeId="0" xr:uid="{EE63549B-64B7-444C-AA71-F581327D6ADC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new provision 30 hrs +1457.20
</t>
        </r>
      </text>
    </comment>
    <comment ref="DM7" authorId="2" shapeId="0" xr:uid="{C35F8673-3405-4657-96BE-15ED8685BF41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Confirmed as full year cost in Capita</t>
        </r>
      </text>
    </comment>
    <comment ref="BB9" authorId="1" shapeId="0" xr:uid="{8FA03541-2E08-4034-A9DC-DA42A540B3E0}">
      <text>
        <r>
          <rPr>
            <b/>
            <sz val="9"/>
            <color indexed="81"/>
            <rFont val="Tahoma"/>
            <family val="2"/>
          </rPr>
          <t>Sue Watson:</t>
        </r>
        <r>
          <rPr>
            <sz val="9"/>
            <color indexed="81"/>
            <rFont val="Tahoma"/>
            <family val="2"/>
          </rPr>
          <t xml:space="preserve">
Receipt 4218776
Query on charges SEN
</t>
        </r>
      </text>
    </comment>
    <comment ref="BM9" authorId="1" shapeId="0" xr:uid="{075BEB03-4F05-409A-AD6E-33C8EB8D12CD}">
      <text>
        <r>
          <rPr>
            <b/>
            <sz val="9"/>
            <color indexed="81"/>
            <rFont val="Tahoma"/>
            <family val="2"/>
          </rPr>
          <t>Sue Watson:</t>
        </r>
        <r>
          <rPr>
            <sz val="9"/>
            <color indexed="81"/>
            <rFont val="Tahoma"/>
            <family val="2"/>
          </rPr>
          <t xml:space="preserve">
Receipt 4218776
Query on charges SEN
</t>
        </r>
      </text>
    </comment>
    <comment ref="DH9" authorId="2" shapeId="0" xr:uid="{4173E708-2818-4809-9255-A2919E24125D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22/23 prior year acrual double counted in original f/cast
</t>
        </r>
      </text>
    </comment>
    <comment ref="DE10" authorId="2" shapeId="0" xr:uid="{88373C76-4DCA-48E0-AB37-D63BCAB976D0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moved to mainstream academy 21/7/23
Provision adjusted
</t>
        </r>
      </text>
    </comment>
    <comment ref="DQ10" authorId="2" shapeId="0" xr:uid="{A98FE015-5117-4393-A613-08F292D45613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prior year invoice not accrued</t>
        </r>
      </text>
    </comment>
    <comment ref="DQ11" authorId="2" shapeId="0" xr:uid="{C0FF1C80-2068-4CCD-AA69-72B7279726A3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moved to Odyssey House 15/1/24
</t>
        </r>
      </text>
    </comment>
    <comment ref="Q12" authorId="0" shapeId="0" xr:uid="{461BC09E-E408-40C4-925E-D2A12BDC4F55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no provisno on Capita</t>
        </r>
      </text>
    </comment>
    <comment ref="AG12" authorId="0" shapeId="0" xr:uid="{13F0179E-9D87-4EA8-B013-6D1DE22D3548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No Po - as no supplier - estimate ony!!
No provision as at 12/10/23 - no forecast
</t>
        </r>
      </text>
    </comment>
    <comment ref="DP12" authorId="2" shapeId="0" xr:uid="{AF17E7B7-EEBB-4ECE-BBA3-E15292BF6705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Should this be pro rata'd?</t>
        </r>
      </text>
    </comment>
    <comment ref="D15" authorId="0" shapeId="0" xr:uid="{F1C20F7D-0151-4531-96A0-03F3B309D373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outdated info in memo on provison:Claim From - 01/09/2015 - 31/03/2016
Band 3 
Annual Top Up - £16,084.00
Monthly - £507.00
Recoupment Charge £3,549.00</t>
        </r>
      </text>
    </comment>
    <comment ref="G15" authorId="0" shapeId="0" xr:uid="{594A8AB5-894E-4824-8FC8-6A588DF6CC7C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LAC end date 24/05/2022</t>
        </r>
      </text>
    </comment>
    <comment ref="Q16" authorId="1" shapeId="0" xr:uid="{C1C09C9E-4A46-4DD3-BD5B-7F2C30DCB339}">
      <text>
        <r>
          <rPr>
            <b/>
            <sz val="9"/>
            <color indexed="81"/>
            <rFont val="Tahoma"/>
            <family val="2"/>
          </rPr>
          <t>Sue Watson:</t>
        </r>
        <r>
          <rPr>
            <sz val="9"/>
            <color indexed="81"/>
            <rFont val="Tahoma"/>
            <family val="2"/>
          </rPr>
          <t xml:space="preserve">
2 terms
</t>
        </r>
      </text>
    </comment>
    <comment ref="DI16" authorId="2" shapeId="0" xr:uid="{4CD4C0B8-231C-43B0-A216-75F24364F41A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increase form two terms to three terms
</t>
        </r>
      </text>
    </comment>
    <comment ref="Q19" authorId="0" shapeId="0" xr:uid="{074CF39A-6743-4B61-8C46-097DECC03A3F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SEN panel agreed for aurumn term only, reasses later</t>
        </r>
      </text>
    </comment>
    <comment ref="N21" authorId="0" shapeId="0" xr:uid="{569DD5AF-1BC6-4DEE-8C47-3436789E08F9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SEN June funding</t>
        </r>
      </text>
    </comment>
    <comment ref="DE21" authorId="2" shapeId="0" xr:uid="{48C80EC0-7539-4E34-A847-C8AD38315BF9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Increase to bring forecast to two terms
</t>
        </r>
      </text>
    </comment>
    <comment ref="CA26" authorId="0" shapeId="0" xr:uid="{CF96C6A9-8333-4C5B-ABC0-BD19AF1F7336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MAY!</t>
        </r>
      </text>
    </comment>
    <comment ref="N28" authorId="0" shapeId="0" xr:uid="{9ED5990A-2987-4060-A842-A1EF3F5A9751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current</t>
        </r>
      </text>
    </comment>
    <comment ref="DH28" authorId="2" shapeId="0" xr:uid="{5D2A3E8D-03E9-43C5-AA39-54FC92A59F1D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adjusted for two terms plus transition top up £1537
</t>
        </r>
      </text>
    </comment>
    <comment ref="AP38" authorId="1" shapeId="0" xr:uid="{1E2F991E-A1DA-4979-B91C-C51504BE0DFE}">
      <text>
        <r>
          <rPr>
            <b/>
            <sz val="9"/>
            <color indexed="81"/>
            <rFont val="Tahoma"/>
            <family val="2"/>
          </rPr>
          <t>Sue Watson:</t>
        </r>
        <r>
          <rPr>
            <sz val="9"/>
            <color indexed="81"/>
            <rFont val="Tahoma"/>
            <family val="2"/>
          </rPr>
          <t xml:space="preserve">
Start date 10 Feb 23 
</t>
        </r>
      </text>
    </comment>
    <comment ref="DB38" authorId="2" shapeId="0" xr:uid="{D43EE7D4-A647-4B00-A8B1-451AF64014FE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Moving to INMSS
</t>
        </r>
      </text>
    </comment>
    <comment ref="DH38" authorId="2" shapeId="0" xr:uid="{F2ED3F5F-E902-4E09-B174-7FBC5F01EBA4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Leaver 31/07/2023
</t>
        </r>
      </text>
    </comment>
    <comment ref="AG39" authorId="0" shapeId="0" xr:uid="{9576754B-F162-49D0-883A-2B8F472EA044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estiamate/agreed but not approved yet</t>
        </r>
      </text>
    </comment>
    <comment ref="DH39" authorId="2" shapeId="0" xr:uid="{5347BB42-030F-4A7D-AC8F-D911C9674DD1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Provision confirmed </t>
        </r>
      </text>
    </comment>
    <comment ref="DM39" authorId="2" shapeId="0" xr:uid="{11FBAB9F-03E3-4643-8F8F-63A54A758377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removed as duplicate entry</t>
        </r>
      </text>
    </comment>
    <comment ref="AB40" authorId="1" shapeId="0" xr:uid="{58075ABA-E075-465F-A113-C903A1980DC3}">
      <text>
        <r>
          <rPr>
            <b/>
            <sz val="9"/>
            <color indexed="81"/>
            <rFont val="Tahoma"/>
            <family val="2"/>
          </rPr>
          <t>Sue Watson:</t>
        </r>
        <r>
          <rPr>
            <sz val="9"/>
            <color indexed="81"/>
            <rFont val="Tahoma"/>
            <family val="2"/>
          </rPr>
          <t xml:space="preserve">
Query to SEND Finance - school believes funding LA is Wokingham</t>
        </r>
      </text>
    </comment>
    <comment ref="P41" authorId="0" shapeId="0" xr:uid="{1D9F7531-EF62-4F07-A752-0A5589BC096F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estiMATE - NO PROVISION ON CAPITA</t>
        </r>
      </text>
    </comment>
    <comment ref="DE41" authorId="2" shapeId="0" xr:uid="{67D896E9-57EA-4243-9256-07AEFDFE8A78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Memo on Capita £20,500 for Sept23
 to July24</t>
        </r>
      </text>
    </comment>
    <comment ref="DI41" authorId="2" shapeId="0" xr:uid="{FC475FD5-ECAA-4227-B462-CD03051E7261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adjusted to reflect 11 month period</t>
        </r>
      </text>
    </comment>
    <comment ref="DE42" authorId="2" shapeId="0" xr:uid="{88348495-7D4A-497A-A0BF-80BAC86988CD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Provision reduced - moved to The Green Room 7/6/23
</t>
        </r>
      </text>
    </comment>
    <comment ref="DI42" authorId="2" shapeId="0" xr:uid="{20A4792F-29A1-4022-A1EC-6EA860AD044E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moved to Grren Room 31 days funding 
</t>
        </r>
      </text>
    </comment>
    <comment ref="DM43" authorId="2" shapeId="0" xr:uid="{878008AF-1E2E-472E-920C-942B23D9F8B0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new top up provision</t>
        </r>
      </text>
    </comment>
    <comment ref="DE44" authorId="2" shapeId="0" xr:uid="{AF497DDE-C1D2-4EC5-A312-581B64EA879D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Moved to Christ the King 1/9/23
</t>
        </r>
      </text>
    </comment>
    <comment ref="R45" authorId="0" shapeId="0" xr:uid="{D67EC502-2E3C-448B-8BCE-CF47502795FC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prov start Dec 2022, expected charge for spring22 term</t>
        </r>
      </text>
    </comment>
    <comment ref="P46" authorId="0" shapeId="0" xr:uid="{D2598AB5-2A8B-44E3-AFB3-D85106F122A1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school will invoice for single hour of tuition delivered in June 2023 (?)</t>
        </r>
      </text>
    </comment>
    <comment ref="DI48" authorId="2" shapeId="0" xr:uid="{23D0011D-0D9A-4588-920D-C15B79A823EC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ommitted from previous f/cast
</t>
        </r>
      </text>
    </comment>
    <comment ref="D49" authorId="0" shapeId="0" xr:uid="{36C4575C-11D7-46A7-A049-FF1E3CFA0C18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provison  on Capita, school history does not show this setting</t>
        </r>
      </text>
    </comment>
    <comment ref="G49" authorId="0" shapeId="0" xr:uid="{7D62331B-75C7-44B4-B49A-65676AD1C870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LAC to N.Somerset - funded by WBC</t>
        </r>
      </text>
    </comment>
    <comment ref="O49" authorId="0" shapeId="0" xr:uid="{CC53C177-6F37-4322-87DE-8FAD225BF081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3881.60 from 08/06/23 till end summer23, AY 23-24: 14,761.25; total fundning FY 23-24:3881.60+14,761.25/3*2= 13,722.30</t>
        </r>
      </text>
    </comment>
    <comment ref="AB49" authorId="0" shapeId="0" xr:uid="{B7A68537-26C6-4ECB-9EAC-E63DF8873BC2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LAC pupil N somerset, WBC funding</t>
        </r>
      </text>
    </comment>
    <comment ref="DH49" authorId="2" shapeId="0" xr:uid="{0D86E3C3-180A-4F86-ABAA-DB933125EFB0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reflects two terms costs plus summer term rate
</t>
        </r>
      </text>
    </comment>
    <comment ref="D50" authorId="0" shapeId="0" xr:uid="{0D31AC2A-9541-4AA1-888C-B4D2D0B6ED85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no rpovision and no setting in school history on CApita</t>
        </r>
      </text>
    </comment>
    <comment ref="DI50" authorId="2" shapeId="0" xr:uid="{2CF28010-BCFE-40E0-8DA5-C7C86D1F1658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Now on Capita £14,761.25 pa until adoption is completed then moved to Somerset. Aso £10,189 from Feb - July</t>
        </r>
      </text>
    </comment>
    <comment ref="CE51" authorId="0" shapeId="0" xr:uid="{A9E99755-1DC2-4F47-9709-3CAF672320D6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add annual value as the provison was not on the OOBS, at the same time leaver from SEP23 to Oak Tree</t>
        </r>
      </text>
    </comment>
    <comment ref="DH51" authorId="2" shapeId="0" xr:uid="{8D989358-0144-4979-877C-47C561D21E14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leaver 21/07/23</t>
        </r>
      </text>
    </comment>
    <comment ref="N52" authorId="0" shapeId="0" xr:uid="{32692CD2-2EF4-4A2D-96A3-AAB92628B848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based on the attamendance and provision in EY settings prior</t>
        </r>
      </text>
    </comment>
    <comment ref="AH52" authorId="1" shapeId="0" xr:uid="{3B47E983-BC54-4B7C-92C1-4AFCAD2DCE06}">
      <text>
        <r>
          <rPr>
            <b/>
            <sz val="9"/>
            <color indexed="81"/>
            <rFont val="Tahoma"/>
            <family val="2"/>
          </rPr>
          <t>Sue Watson:</t>
        </r>
        <r>
          <rPr>
            <sz val="9"/>
            <color indexed="81"/>
            <rFont val="Tahoma"/>
            <family val="2"/>
          </rPr>
          <t xml:space="preserve">
2 terms
</t>
        </r>
      </text>
    </comment>
    <comment ref="DI52" authorId="2" shapeId="0" xr:uid="{3C6FC07D-E546-4064-ACAD-38D7107F7940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Temp increase in hours to 28 for one term</t>
        </r>
      </text>
    </comment>
    <comment ref="AH53" authorId="0" shapeId="0" xr:uid="{D46E00EA-2ADE-411A-9108-1D77F8890E60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SEN June funding</t>
        </r>
      </text>
    </comment>
    <comment ref="DH53" authorId="2" shapeId="0" xr:uid="{BFADD122-7E34-4E76-B0AD-0F5ACADE342B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amened to reflect capita
</t>
        </r>
      </text>
    </comment>
    <comment ref="DH54" authorId="2" shapeId="0" xr:uid="{7FAA48FD-598C-466D-8BE5-3BAA82363D25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181 DAYS </t>
        </r>
      </text>
    </comment>
    <comment ref="DI55" authorId="2" shapeId="0" xr:uid="{61B7F7FB-A684-4639-9F50-25E774E7F103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agreed to Capita memo</t>
        </r>
      </text>
    </comment>
    <comment ref="DQ55" authorId="2" shapeId="0" xr:uid="{6E8DB6A7-2FA0-4919-BBEE-4F99161BB268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need to provide for 22/23 invoices not accrued</t>
        </r>
      </text>
    </comment>
    <comment ref="DI56" authorId="2" shapeId="0" xr:uid="{F21A5078-FDBD-4274-8657-8F01FA3ED467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156 days due
</t>
        </r>
      </text>
    </comment>
    <comment ref="DI57" authorId="2" shapeId="0" xr:uid="{635C09BD-2779-4A4D-B305-52B1AA903F28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Capita provision
</t>
        </r>
      </text>
    </comment>
    <comment ref="DQ58" authorId="2" shapeId="0" xr:uid="{57899830-1B70-487D-AB5A-CC75B74B5396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leaver 22/12/23
</t>
        </r>
      </text>
    </comment>
    <comment ref="R59" authorId="0" shapeId="0" xr:uid="{4F1559DB-54B4-422F-975C-B8717E93B697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if confirmed by Sen as per school history start Sep2020!! 2.5 years provision value</t>
        </r>
      </text>
    </comment>
    <comment ref="AG59" authorId="0" shapeId="0" xr:uid="{213F418B-3CD2-4FEB-BCA0-EE7FCB780FD6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estiamte - no info from SEN yet</t>
        </r>
      </text>
    </comment>
    <comment ref="DE59" authorId="2" shapeId="0" xr:uid="{D4579D81-A6EC-4339-AC9A-EAF287084CEA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Provision recorded as one off payment of £7,760
</t>
        </r>
      </text>
    </comment>
    <comment ref="C60" authorId="1" shapeId="0" xr:uid="{381F8FE2-5918-4535-ADF3-E8037D79F96B}">
      <text>
        <r>
          <rPr>
            <b/>
            <sz val="9"/>
            <color indexed="81"/>
            <rFont val="Tahoma"/>
            <family val="2"/>
          </rPr>
          <t>Sue Watson:</t>
        </r>
        <r>
          <rPr>
            <sz val="9"/>
            <color indexed="81"/>
            <rFont val="Tahoma"/>
            <family val="2"/>
          </rPr>
          <t xml:space="preserve">
19/05/2022 Request emailedl to send in details for us to set up as new supplier</t>
        </r>
      </text>
    </comment>
    <comment ref="D60" authorId="0" shapeId="0" xr:uid="{D4592C68-6EA1-4C19-8386-C04E5AE7E9C4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this is charged by LA - HANTS, pupil left butr WBC is fin responsivble for mover  in additional invoices tobe sent in!!</t>
        </r>
      </text>
    </comment>
    <comment ref="DI60" authorId="2" shapeId="0" xr:uid="{0B6BDC27-4184-4621-A307-A721BDC3B23E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prior year cost invoice in 23/24</t>
        </r>
      </text>
    </comment>
    <comment ref="DS61" authorId="2" shapeId="0" xr:uid="{D61D0580-DEFA-4AE8-B9CF-5CA910C8E909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22-23 top up</t>
        </r>
      </text>
    </comment>
    <comment ref="N62" authorId="0" shapeId="0" xr:uid="{E8B953F8-0C11-410B-9B5F-22F84C14BF2E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should be 30HRS not FF - as per HH advice, SEN to update</t>
        </r>
      </text>
    </comment>
    <comment ref="DI62" authorId="2" shapeId="0" xr:uid="{EEDC398D-3DB1-4AE6-85F1-C80F300A269B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Antiicpating 30 hours</t>
        </r>
      </text>
    </comment>
    <comment ref="DS62" authorId="2" shapeId="0" xr:uid="{A5DD2CA2-2565-417B-91A5-FB839E63FF00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21-22 &amp; 22-23 top up invoices</t>
        </r>
      </text>
    </comment>
    <comment ref="D63" authorId="0" shapeId="0" xr:uid="{4023CFFE-C9BC-4132-A717-88301ABC33E4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SEN Funding June</t>
        </r>
      </text>
    </comment>
    <comment ref="DH63" authorId="2" shapeId="0" xr:uid="{E8133D0F-11CF-43EE-A754-729BFEF87061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£2990 pa - pro rata as WBC picked up the cost from 21.7.23
</t>
        </r>
      </text>
    </comment>
    <comment ref="G65" authorId="0" shapeId="0" xr:uid="{CFECC9BA-8C53-4863-BC9F-E5EE076C9CFA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on SEN query log - no updates on Capita</t>
        </r>
      </text>
    </comment>
    <comment ref="AE65" authorId="0" shapeId="0" xr:uid="{EA32215E-280C-4A13-908F-79032F455620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estimate - no provision on Capita</t>
        </r>
      </text>
    </comment>
    <comment ref="CT65" authorId="0" shapeId="0" xr:uid="{A09BCF5B-2A01-4896-99FB-8B41BB79C829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Tutors @£480.00 pw* 12 weeks- summer term23</t>
        </r>
      </text>
    </comment>
    <comment ref="DM66" authorId="2" shapeId="0" xr:uid="{7BC3F148-BBEF-4DEF-96A4-0000BE2A0C74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New provision on Capita CLA WBC to pay top up to Bornemouth</t>
        </r>
      </text>
    </comment>
    <comment ref="DF67" authorId="2" shapeId="0" xr:uid="{516E2061-B1F9-4E8C-8CE0-5BCBA8D8646C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Provision ended on capita - no new school identified
</t>
        </r>
      </text>
    </comment>
    <comment ref="DI67" authorId="2" shapeId="0" xr:uid="{E22E06C2-ACA9-45D5-88CA-BF4E7244953E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Leaver 21/6/23 - pro rata full year provision plus 22/23 o/s amount</t>
        </r>
      </text>
    </comment>
    <comment ref="O69" authorId="0" shapeId="0" xr:uid="{60D56AD7-B5B4-4772-A74F-6FE4C056435C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memo: Top up funding agreed of £13,560 for the full 2021/22 academic year - this is calculated as follows:
Autumn term 2021                           14 weeks full time 1:1 support in school  = £6,160.
Spring and Summer terms 2022    25 weeks with 3 days at Harmony and 2 days in school with 1:1 = £13,400
Total would be £19,560.
Agreement to only deduct £6,000 as this is an out of borough school gives total top up of £13,560. </t>
        </r>
      </text>
    </comment>
    <comment ref="AP69" authorId="0" shapeId="0" xr:uid="{783BACBE-AB40-4FD1-8154-CBD055EE9EDF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as per ratified May/June prov by SEN</t>
        </r>
      </text>
    </comment>
    <comment ref="CA69" authorId="0" shapeId="0" xr:uid="{625A00C1-15EC-4138-9B17-D7A8F8B0E83C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reduction - as provison amended - closed31/03/2023 on Capita!</t>
        </r>
      </text>
    </comment>
    <comment ref="CE69" authorId="0" shapeId="0" xr:uid="{3CF7DBE5-43C4-48DC-AB29-3062A88AF743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o ve added - spring term invice paid 6090 plus agreed for summer term 7,540 - after that he should be attending New Barn</t>
        </r>
      </text>
    </comment>
    <comment ref="DI69" authorId="2" shapeId="0" xr:uid="{C6AC0EF5-946D-43CA-9EB5-7945F57AC225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Funding summer term only</t>
        </r>
      </text>
    </comment>
    <comment ref="AE71" authorId="0" shapeId="0" xr:uid="{A9171BFF-4B83-4160-8E1E-CD5299EFFC9E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estimate o nly - no PO, no rpvisin yet</t>
        </r>
      </text>
    </comment>
    <comment ref="DE71" authorId="2" shapeId="0" xr:uid="{078C59EA-7BBD-4321-92CC-D85ECED0A645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One term of top up due but no invoice received from supplier
</t>
        </r>
      </text>
    </comment>
    <comment ref="N72" authorId="0" shapeId="0" xr:uid="{235B9D45-CCE0-4DC2-BC5C-C5EF0CA6A1A5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Capta updated June23 with 21 HRS, and provision dates changed, WBC Masintrem value 3928.17   ÷   192   × max termly days  25 =‬ 511.48</t>
        </r>
      </text>
    </comment>
    <comment ref="U72" authorId="0" shapeId="0" xr:uid="{FD956611-EFC3-45D5-A0F4-CE786CE2F85B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amended on Capita</t>
        </r>
      </text>
    </comment>
    <comment ref="CI72" authorId="0" shapeId="0" xr:uid="{73481476-72E4-4D31-8F57-6FCC19D9944F}">
      <text>
        <r>
          <rPr>
            <b/>
            <sz val="9"/>
            <color indexed="81"/>
            <rFont val="Tahoma"/>
            <family val="2"/>
          </rPr>
          <t>Diana Hollis: late</t>
        </r>
        <r>
          <rPr>
            <sz val="9"/>
            <color indexed="81"/>
            <rFont val="Tahoma"/>
            <family val="2"/>
          </rPr>
          <t xml:space="preserve">
amendmned provisoin details on Capita, deducted</t>
        </r>
      </text>
    </comment>
    <comment ref="DF72" authorId="2" shapeId="0" xr:uid="{E09F074E-3549-43C0-8F92-FAF1B4B3D271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Not sure how this is calculated. Should be 1/2 term of 21hrs. Moved to Highwood on 6/6/23
</t>
        </r>
      </text>
    </comment>
    <comment ref="DI72" authorId="2" shapeId="0" xr:uid="{B32E7D17-1563-4FA3-9565-E1FAC82F1086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Includes £9,686 from 22/23, current year 25 days leaver 4/6/23
</t>
        </r>
      </text>
    </comment>
    <comment ref="DI73" authorId="2" shapeId="0" xr:uid="{03CAA965-DE19-4BB9-95BF-F9357A7FC006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new prosision
</t>
        </r>
      </text>
    </comment>
    <comment ref="DM74" authorId="2" shapeId="0" xr:uid="{8DB3EE4C-B257-4C5A-A04E-4A114D7E47B0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One term provision - moved to Englefield CE primary school 4/9/23</t>
        </r>
      </text>
    </comment>
    <comment ref="Q75" authorId="0" shapeId="0" xr:uid="{D3684E8B-E1A4-4B22-8BF2-DA251E8C60AC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estimate - no prov on Capita, sen agreed to fund in May23, using average 25HRS</t>
        </r>
      </text>
    </comment>
    <comment ref="BK75" authorId="0" shapeId="0" xr:uid="{8B9CF4EF-C561-44B3-B90E-D39C7B569E92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estimate on;ly!</t>
        </r>
      </text>
    </comment>
    <comment ref="DH75" authorId="2" shapeId="0" xr:uid="{1DEFD6DE-9B39-43A4-9CAE-430B1CD7B580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adjusted to actual in year cost. Leaver 21/07/2023 - moved to NWPU
</t>
        </r>
      </text>
    </comment>
    <comment ref="Q76" authorId="1" shapeId="0" xr:uid="{1C4334F4-F4AC-44AB-9CFD-9251CF14D082}">
      <text>
        <r>
          <rPr>
            <b/>
            <sz val="9"/>
            <color indexed="81"/>
            <rFont val="Tahoma"/>
            <family val="2"/>
          </rPr>
          <t>Sue Watson:</t>
        </r>
        <r>
          <rPr>
            <sz val="9"/>
            <color indexed="81"/>
            <rFont val="Tahoma"/>
            <family val="2"/>
          </rPr>
          <t xml:space="preserve">
School advised end date 31 Aug 23 so full year Sept22&gt;Aug23 added - email to SEND FIN</t>
        </r>
      </text>
    </comment>
    <comment ref="U76" authorId="1" shapeId="0" xr:uid="{948B8A19-5E85-4A31-AAEB-830CAE755017}">
      <text>
        <r>
          <rPr>
            <b/>
            <sz val="9"/>
            <color indexed="81"/>
            <rFont val="Tahoma"/>
            <family val="2"/>
          </rPr>
          <t>Sue Watson:</t>
        </r>
        <r>
          <rPr>
            <sz val="9"/>
            <color indexed="81"/>
            <rFont val="Tahoma"/>
            <family val="2"/>
          </rPr>
          <t xml:space="preserve">
Updated from Aug 22 info rec'd from school</t>
        </r>
      </text>
    </comment>
    <comment ref="DI76" authorId="2" shapeId="0" xr:uid="{5A3D8F19-8713-438D-83B6-9029A5DD3BE2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Leaver 31/8/23  also includes £2,151 from 22/23</t>
        </r>
      </text>
    </comment>
    <comment ref="DQ77" authorId="2" shapeId="0" xr:uid="{2653FFC7-3612-4227-99CA-BFF8B63D5FEA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22/23 cost not accrued</t>
        </r>
      </text>
    </comment>
    <comment ref="DI78" authorId="2" shapeId="0" xr:uid="{832CAFEC-9113-4EAB-8D81-0047AFB5B436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New provision
</t>
        </r>
      </text>
    </comment>
    <comment ref="R79" authorId="1" shapeId="0" xr:uid="{46B12765-8A01-473E-9500-9A6184DCF4FA}">
      <text>
        <r>
          <rPr>
            <b/>
            <sz val="9"/>
            <color indexed="81"/>
            <rFont val="Tahoma"/>
            <family val="2"/>
          </rPr>
          <t>Sue Watson:</t>
        </r>
        <r>
          <rPr>
            <sz val="9"/>
            <color indexed="81"/>
            <rFont val="Tahoma"/>
            <family val="2"/>
          </rPr>
          <t xml:space="preserve">
22-23 AY
</t>
        </r>
      </text>
    </comment>
    <comment ref="DI80" authorId="2" shapeId="0" xr:uid="{4D7622E3-5041-45EF-B020-F23681EE3B2F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Increased provision</t>
        </r>
      </text>
    </comment>
    <comment ref="DS81" authorId="2" shapeId="0" xr:uid="{6BD156D8-420C-47FF-9791-3EF305EB4A88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Amount of £4,559.20 on capita is per term not the annual amount.</t>
        </r>
      </text>
    </comment>
    <comment ref="DE82" authorId="2" shapeId="0" xr:uid="{B2CDB201-5670-439D-B705-60E3A94FED1D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Amended to reflect part year provision 4/9/23 - 31/3/24
</t>
        </r>
      </text>
    </comment>
    <comment ref="DS84" authorId="2" shapeId="0" xr:uid="{0F6FA54E-4FFF-4061-95F3-A9E9AF8F13BB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New placement</t>
        </r>
      </text>
    </comment>
    <comment ref="DS85" authorId="2" shapeId="0" xr:uid="{5A25DF37-BE21-4799-A8A1-9E712059CEE3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New placement top up</t>
        </r>
      </text>
    </comment>
    <comment ref="DS86" authorId="2" shapeId="0" xr:uid="{3A4A2150-3C03-4541-A27E-74E2CC0572FB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new addition to Capita</t>
        </r>
      </text>
    </comment>
    <comment ref="DS88" authorId="2" shapeId="0" xr:uid="{D200DD6E-AA99-4CC0-B788-2F16B50A30B2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new addition to Capita</t>
        </r>
      </text>
    </comment>
    <comment ref="DF99" authorId="2" shapeId="0" xr:uid="{DFD374A3-6E9E-4B6B-8910-9ACE07369015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nil cost students removed from this count</t>
        </r>
      </text>
    </comment>
    <comment ref="DJ99" authorId="2" shapeId="0" xr:uid="{9B944E4B-03BE-4D30-AE82-366E3992441E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nil cost students removed from this count</t>
        </r>
      </text>
    </comment>
    <comment ref="DF100" authorId="2" shapeId="0" xr:uid="{9F39D60F-B027-4D56-8CB8-FC08EFED5004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nil cost students removed from this count
</t>
        </r>
      </text>
    </comment>
    <comment ref="DJ100" authorId="2" shapeId="0" xr:uid="{8A6FBEA3-64C4-42D9-A5BA-8FBAB9462ED8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nil cost students removed from this count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Diana Hollis</author>
    <author>Angela Blogg</author>
    <author>Sue Watson</author>
  </authors>
  <commentList>
    <comment ref="A3" authorId="0" shapeId="0" xr:uid="{8C78711E-7DEC-4582-96A3-67BDFEED98C9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'1' for YP attanding, '0' for additia
onal provisoin line</t>
        </r>
      </text>
    </comment>
    <comment ref="CR4" authorId="1" shapeId="0" xr:uid="{6193F611-8389-45B9-965D-E86F9D552DAD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Reflects summer 23 invoice. Had included prior year in earlier f/cast</t>
        </r>
      </text>
    </comment>
    <comment ref="CR6" authorId="1" shapeId="0" xr:uid="{2119DE58-A17E-472A-93C1-FEB4B541C87A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25 hour provision on capita</t>
        </r>
      </text>
    </comment>
    <comment ref="CR7" authorId="1" shapeId="0" xr:uid="{C0F08F54-328B-48AD-9855-F5E1DA55E1B8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New provision</t>
        </r>
      </text>
    </comment>
    <comment ref="BA8" authorId="2" shapeId="0" xr:uid="{BE3AD7FC-A107-4362-BE4F-C6B6B706833B}">
      <text>
        <r>
          <rPr>
            <b/>
            <sz val="9"/>
            <color indexed="81"/>
            <rFont val="Tahoma"/>
            <family val="2"/>
          </rPr>
          <t>Sue Watson:</t>
        </r>
        <r>
          <rPr>
            <sz val="9"/>
            <color indexed="81"/>
            <rFont val="Tahoma"/>
            <family val="2"/>
          </rPr>
          <t xml:space="preserve">
2 Yrs £8,500 PA</t>
        </r>
      </text>
    </comment>
    <comment ref="CY9" authorId="1" shapeId="0" xr:uid="{E62346FA-6226-4FD5-BBA0-B27E96B93AE4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incorrectly included in 43013
</t>
        </r>
      </text>
    </comment>
    <comment ref="CR11" authorId="1" shapeId="0" xr:uid="{8716F959-A31F-4261-AB67-FFD7D3D5A445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New provision</t>
        </r>
      </text>
    </comment>
    <comment ref="BB12" authorId="2" shapeId="0" xr:uid="{7B95A3CF-8E70-443C-807B-B63E1833E7CD}">
      <text>
        <r>
          <rPr>
            <b/>
            <sz val="9"/>
            <color indexed="81"/>
            <rFont val="Tahoma"/>
            <family val="2"/>
          </rPr>
          <t>Sue Watson:</t>
        </r>
        <r>
          <rPr>
            <sz val="9"/>
            <color indexed="81"/>
            <rFont val="Tahoma"/>
            <family val="2"/>
          </rPr>
          <t xml:space="preserve">
SEN pending/Charlotte</t>
        </r>
      </text>
    </comment>
    <comment ref="BL12" authorId="0" shapeId="0" xr:uid="{FCC69D54-D6F0-4980-A7C9-B6A95F792E67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agreed to pay!</t>
        </r>
      </text>
    </comment>
    <comment ref="AG13" authorId="1" shapeId="0" xr:uid="{4CE51538-697F-46AB-BBC4-CA1BE61A8074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est as no value on Capita</t>
        </r>
      </text>
    </comment>
    <comment ref="AH13" authorId="0" shapeId="0" xr:uid="{05FCC705-D0CE-4E67-ADFB-C42AF1DEBC44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estimate - no provison on Capitga - this is info from Ratified by SEN list May/June23 for forecast</t>
        </r>
      </text>
    </comment>
    <comment ref="CN13" authorId="1" shapeId="0" xr:uid="{9BDB5E52-9D9C-494D-8DF8-D9769AC53C39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provision agreed - no costing on Capita. Est based on other Pines cost
</t>
        </r>
      </text>
    </comment>
    <comment ref="CR13" authorId="1" shapeId="0" xr:uid="{EFF786A5-6214-4460-8C4D-D94E1089F41D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Amount not confirmed on Capita</t>
        </r>
      </text>
    </comment>
    <comment ref="CN15" authorId="1" shapeId="0" xr:uid="{AAD01BBF-612F-4E94-9F8F-6B392A1CB6FF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Provision ended 28/7/23
</t>
        </r>
      </text>
    </comment>
    <comment ref="CR15" authorId="1" shapeId="0" xr:uid="{B39397CC-E056-473B-AAE3-FAFDE66A7B09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Amended to reflect summer term cost</t>
        </r>
      </text>
    </comment>
    <comment ref="CN16" authorId="1" shapeId="0" xr:uid="{2A1989F6-EF2F-4A00-BB34-2E84774E2DE0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Provision ended 28/7/23 re- calculated amount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Diana Hollis</author>
  </authors>
  <commentList>
    <comment ref="A3" authorId="0" shapeId="0" xr:uid="{B7310354-8FC1-4623-A7AB-8D78A582ADE2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'1' for YP attanding, '0' for additia
onal provisoin line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Diana Hollis</author>
    <author>Angela Blogg</author>
    <author>Sue Watson</author>
  </authors>
  <commentList>
    <comment ref="A1" authorId="0" shapeId="0" xr:uid="{19A5E3BB-C1CB-458C-A917-FB830C307620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'1' for YP attanding, '0' for additia
onal provisoin line</t>
        </r>
      </text>
    </comment>
    <comment ref="R2" authorId="0" shapeId="0" xr:uid="{C08B304E-F78A-4128-8728-32DC59A32A22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full year 22-23 - late update on Ca;pita? Prov start 06/06/2022 </t>
        </r>
      </text>
    </comment>
    <comment ref="CD2" authorId="0" shapeId="0" xr:uid="{464E436A-95E6-4A6F-BFCC-7FB14E8D0D72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2 years value 22-23&amp;23-24</t>
        </r>
      </text>
    </comment>
    <comment ref="Q3" authorId="0" shapeId="0" xr:uid="{F18C6BAE-E1D7-4053-B5AA-42373EDABC14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as per transfers agreed by sen</t>
        </r>
      </text>
    </comment>
    <comment ref="CT3" authorId="1" shapeId="0" xr:uid="{AC0255AF-538D-4AE6-AB33-03DD02A18620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Confirmed cost on Capita
</t>
        </r>
      </text>
    </comment>
    <comment ref="DC3" authorId="1" shapeId="0" xr:uid="{E4C6FB03-F481-4162-B197-E080E3C67AAF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Uplift of 3.4% for Autumn and Spring terms
</t>
        </r>
      </text>
    </comment>
    <comment ref="AZ4" authorId="0" shapeId="0" xr:uid="{7024A556-BAEA-4511-98A0-48FB3EC11E26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for 2 month pro-rated estimate, provision started end of Jan '23</t>
        </r>
      </text>
    </comment>
    <comment ref="S5" authorId="0" shapeId="0" xr:uid="{91334024-11BE-479C-B0CD-FF8E461F9A8E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start 27/01/2023</t>
        </r>
      </text>
    </comment>
    <comment ref="U5" authorId="0" shapeId="0" xr:uid="{78059F6D-DF3F-4FD4-AD22-59E493BA6184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should be leaver!</t>
        </r>
      </text>
    </comment>
    <comment ref="CY7" authorId="1" shapeId="0" xr:uid="{E0C6455B-4BF5-4353-926B-94786EFE6419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Noved out of area
</t>
        </r>
      </text>
    </comment>
    <comment ref="CY8" authorId="1" shapeId="0" xr:uid="{C5D5B007-671D-40B8-BEC0-04F4A26E157F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leaver 31/07/23</t>
        </r>
      </text>
    </comment>
    <comment ref="AB11" authorId="0" shapeId="0" xr:uid="{E430BCAD-0B75-4995-A569-B60902147FB1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awaiting confirmation</t>
        </r>
      </text>
    </comment>
    <comment ref="AG11" authorId="0" shapeId="0" xr:uid="{9D23FB00-9B0E-4D97-85EF-A2450340A55D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estimate - not on PO </t>
        </r>
      </text>
    </comment>
    <comment ref="CP14" authorId="1" shapeId="0" xr:uid="{17668B87-F1C4-4706-8C36-23D5C1496A58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Panel approved - not yet on Capita
</t>
        </r>
      </text>
    </comment>
    <comment ref="CT14" authorId="1" shapeId="0" xr:uid="{D121680F-6456-475C-8D5C-7F5F7DE33E24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redueced to reflect the period 4/9/23 - 31/3/24
</t>
        </r>
      </text>
    </comment>
    <comment ref="CT15" authorId="1" shapeId="0" xr:uid="{F67BC62C-BB9E-40AD-BC6A-B3F13C2953B4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New provision on capita
</t>
        </r>
      </text>
    </comment>
    <comment ref="CY16" authorId="1" shapeId="0" xr:uid="{4C63E456-A144-45A6-8FC7-8489091BB444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full year invoice form school</t>
        </r>
      </text>
    </comment>
    <comment ref="AG20" authorId="0" shapeId="0" xr:uid="{B407CA86-05AA-47D5-A2F3-5D14669D5FCB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no PO yet! estimate</t>
        </r>
      </text>
    </comment>
    <comment ref="AI20" authorId="0" shapeId="0" xr:uid="{A0545A5A-A922-4580-A55A-BD9A46D26124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estimate</t>
        </r>
      </text>
    </comment>
    <comment ref="CY20" authorId="1" shapeId="0" xr:uid="{6319ABE6-DF86-4EB6-94F2-96750B9BA1F9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Confirmation of total annula cost on Capita</t>
        </r>
      </text>
    </comment>
    <comment ref="DC21" authorId="1" shapeId="0" xr:uid="{F0384D28-AA6A-4163-A442-C98B579B2AFC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Chage in Cpaita memo- £56,675 for 23/24 - calc Summer term at 23/24 rate £48,287pa, 2 terms at £56,370 pa</t>
        </r>
      </text>
    </comment>
    <comment ref="CP23" authorId="1" shapeId="0" xr:uid="{66C49CE9-1801-4E1C-8452-3DB018D4B647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not included in previous f/cast</t>
        </r>
      </text>
    </comment>
    <comment ref="CP24" authorId="1" shapeId="0" xr:uid="{89169298-0C8A-491E-88C8-5FAB429AD2DD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original PO incorrect</t>
        </r>
      </text>
    </comment>
    <comment ref="CP26" authorId="1" shapeId="0" xr:uid="{8D7706B9-DE66-4A5E-ACDD-686AC65C3CE5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on capita report !</t>
        </r>
      </text>
    </comment>
    <comment ref="CY26" authorId="1" shapeId="0" xr:uid="{8C315317-56BC-4A8A-9F99-B450ED59FEF3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Invoice from school - school advised dtudent has left the area</t>
        </r>
      </text>
    </comment>
    <comment ref="DH27" authorId="1" shapeId="0" xr:uid="{1A0DC954-BF2B-4F71-A568-60FBC58CBC31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duplicate entry
</t>
        </r>
      </text>
    </comment>
    <comment ref="AH28" authorId="0" shapeId="0" xr:uid="{57157871-4FE4-4F4D-A3BE-D2D2480FAB40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Total Accrul Carwarden:£81,119.60</t>
        </r>
      </text>
    </comment>
    <comment ref="AZ28" authorId="0" shapeId="0" xr:uid="{745F175F-B093-4DF5-9248-C1D86849F4A6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Total Accrul Carwarden:£81,119.60</t>
        </r>
      </text>
    </comment>
    <comment ref="D32" authorId="2" shapeId="0" xr:uid="{A9527054-95E4-4391-B6F3-604B0194715D}">
      <text>
        <r>
          <rPr>
            <b/>
            <sz val="9"/>
            <color indexed="81"/>
            <rFont val="Tahoma"/>
            <family val="2"/>
          </rPr>
          <t>Sue Watson:</t>
        </r>
        <r>
          <rPr>
            <sz val="9"/>
            <color indexed="81"/>
            <rFont val="Tahoma"/>
            <family val="2"/>
          </rPr>
          <t xml:space="preserve">
Keep Hatch</t>
        </r>
      </text>
    </comment>
    <comment ref="D36" authorId="2" shapeId="0" xr:uid="{058CF1E1-BDD4-4532-89DB-F30319A3AEC7}">
      <text>
        <r>
          <rPr>
            <b/>
            <sz val="9"/>
            <color indexed="81"/>
            <rFont val="Tahoma"/>
            <family val="2"/>
          </rPr>
          <t>Sue Watson:</t>
        </r>
        <r>
          <rPr>
            <sz val="9"/>
            <color indexed="81"/>
            <rFont val="Tahoma"/>
            <family val="2"/>
          </rPr>
          <t xml:space="preserve">
Lambs Lane</t>
        </r>
      </text>
    </comment>
    <comment ref="D37" authorId="0" shapeId="0" xr:uid="{2237AB92-2A75-429D-88FA-0A19719C3316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Hillingdon Manor currenelty</t>
        </r>
      </text>
    </comment>
    <comment ref="CY38" authorId="1" shapeId="0" xr:uid="{430CE49E-F817-45F2-AC3F-D7D153EB03A8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increas based on invoice from school</t>
        </r>
      </text>
    </comment>
    <comment ref="DC38" authorId="1" shapeId="0" xr:uid="{55A19764-7728-4EA2-A3A2-6DCEF26F1282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Capita memo agreeing £18,040 for 22/23
</t>
        </r>
      </text>
    </comment>
    <comment ref="DB43" authorId="1" shapeId="0" xr:uid="{CAFAFCBF-ADBA-4010-80FB-24154F869D86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new provision - mover in</t>
        </r>
      </text>
    </comment>
    <comment ref="DH43" authorId="1" shapeId="0" xr:uid="{D55B0BD4-197C-4EEC-9D36-C2B4C09A0FE4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adjusted to reflect part year cost
</t>
        </r>
      </text>
    </comment>
    <comment ref="CN46" authorId="1" shapeId="0" xr:uid="{51C63B72-BC93-4C52-80AF-C14F7F4331EC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SEN Agreed funding
</t>
        </r>
      </text>
    </comment>
    <comment ref="CY46" authorId="1" shapeId="0" xr:uid="{4E251EC2-0510-4460-B153-0B5DF0944D9E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provision start date 1/10/2023</t>
        </r>
      </text>
    </comment>
    <comment ref="BA52" authorId="0" shapeId="0" xr:uid="{3C5E46C2-7C5C-49B7-86E1-61FBA6FB3CC1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inv HASI 157  £51,160.6</t>
        </r>
      </text>
    </comment>
    <comment ref="BC52" authorId="0" shapeId="0" xr:uid="{1B027E8B-5031-4899-9034-B1E43B57473E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inv HASI 157  £51,160.6</t>
        </r>
      </text>
    </comment>
    <comment ref="DE55" authorId="1" shapeId="0" xr:uid="{C4EF61BA-639C-4F78-A94D-7C3A019549C8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new provision
</t>
        </r>
      </text>
    </comment>
    <comment ref="CN56" authorId="1" shapeId="0" xr:uid="{268774F2-19BE-4AF8-9D6B-6673C58E37DD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SEN Agrred funding
</t>
        </r>
      </text>
    </comment>
    <comment ref="CY56" authorId="1" shapeId="0" xr:uid="{D5DEF508-6AB4-40AC-AB0E-2E1041497072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Provisions not updated on Capita</t>
        </r>
      </text>
    </comment>
    <comment ref="DC57" authorId="1" shapeId="0" xr:uid="{53A1DAB6-1DA4-4DAC-B46D-190757DDDB4E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new addition to the forecast - previously missed off</t>
        </r>
      </text>
    </comment>
    <comment ref="DH57" authorId="1" shapeId="0" xr:uid="{DC0485E5-C0A1-4DEE-ABD0-74556D672ABA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full year cost
</t>
        </r>
      </text>
    </comment>
    <comment ref="CY58" authorId="1" shapeId="0" xr:uid="{A7CCFAA5-800B-400A-B33A-A3A751F8249D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Registered at Foundry from 06/07/2022</t>
        </r>
      </text>
    </comment>
    <comment ref="DH59" authorId="1" shapeId="0" xr:uid="{09126957-789C-41D8-82F2-8CBCB16C4E38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moved to Reading LA 8/6/23
</t>
        </r>
      </text>
    </comment>
    <comment ref="N60" authorId="0" shapeId="0" xr:uid="{FF4B7224-1171-45B0-9279-A0BE2DA87130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£17K plus £10K placement - sen requested to clarify- this is not inline with RBC rates!</t>
        </r>
      </text>
    </comment>
    <comment ref="G64" authorId="0" shapeId="0" xr:uid="{779D2A25-9B7B-4707-B962-2DEA24BB6254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Report shows FF,
MEMO:Standard Local Authority Top up: £17,000, Additional Top up to meet the needs outlined within the EHCP: £4,666
</t>
        </r>
      </text>
    </comment>
    <comment ref="CY65" authorId="1" shapeId="0" xr:uid="{3CFE8EB9-9265-416E-AD51-F9325B9DF5B5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querying funding LA is Reading</t>
        </r>
      </text>
    </comment>
    <comment ref="CT66" authorId="1" shapeId="0" xr:uid="{8F8F69DB-8477-4EB8-A023-B9954CAD03EC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Agreed funding 4/9/23-331/3/24</t>
        </r>
      </text>
    </comment>
    <comment ref="CM73" authorId="0" shapeId="0" xr:uid="{DC7623B6-0671-487E-AE31-10CC50B5087B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prorata BAND6=£ 62,213</t>
        </r>
      </text>
    </comment>
    <comment ref="CO73" authorId="1" shapeId="0" xr:uid="{81C2C2CB-5D9C-4EE5-9D71-EAB4A33809E8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Newly agreed level of funding
</t>
        </r>
      </text>
    </comment>
    <comment ref="CT73" authorId="1" shapeId="0" xr:uid="{00B441C1-F806-4C65-8242-80F11E3E2696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Remedicare provision approved by panel
</t>
        </r>
      </text>
    </comment>
    <comment ref="CX73" authorId="1" shapeId="0" xr:uid="{82E1059A-17B7-4D2F-B0F4-51D29B783A70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Band 5 to 31/7 &amp; Band 6 £62,213 from 1/9/23 updated again to Band 5
</t>
        </r>
      </text>
    </comment>
    <comment ref="DB73" authorId="1" shapeId="0" xr:uid="{5BDD44FD-AC4E-4D04-A253-6FB32B9170C4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remedicare for half term
18K medicare for one half term and adjustment to reduce provision to one Band 5 rather than two times band 5 as originally agreed</t>
        </r>
      </text>
    </comment>
    <comment ref="O74" authorId="1" shapeId="0" xr:uid="{B2A0C07E-9809-47ED-8935-E4F44DEBB932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Remedicare for second part of Autumn term agreed by Panel </t>
        </r>
      </text>
    </comment>
    <comment ref="Q74" authorId="1" shapeId="0" xr:uid="{0C9F4ABC-24CC-4873-AE82-2B749F1D68C4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Remedicare for second part of Autumn term agreed by Panel </t>
        </r>
      </text>
    </comment>
    <comment ref="DE74" authorId="1" shapeId="0" xr:uid="{2C7DDE6C-BE3E-41BC-9831-CE816F71259E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Remedicare for second part of Autumn term agreed by Panel </t>
        </r>
      </text>
    </comment>
    <comment ref="DH74" authorId="1" shapeId="0" xr:uid="{100241DF-AD20-4E2A-8489-52588C4794BD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Forecast on EOTAS/Tutor costs as left the school 30/10/2023 </t>
        </r>
      </text>
    </comment>
    <comment ref="O75" authorId="1" shapeId="0" xr:uid="{CAC9A7A8-EC93-4CFC-B710-2AFB9B69056A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Remedicare for 1st half of Autumn Term</t>
        </r>
      </text>
    </comment>
    <comment ref="Q75" authorId="1" shapeId="0" xr:uid="{E1089D25-4D7C-42BC-9482-C1DDDF122145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Remedicare for 1st half of Autumn Term</t>
        </r>
      </text>
    </comment>
    <comment ref="DE75" authorId="1" shapeId="0" xr:uid="{D71E383C-78D5-4274-9E90-414E11C93009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Remedicare for 1st half of Autumn Term</t>
        </r>
      </text>
    </comment>
    <comment ref="DC77" authorId="1" shapeId="0" xr:uid="{205BABEF-36E1-4E45-90A2-2FEDC86C20CF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new provision
</t>
        </r>
      </text>
    </comment>
    <comment ref="CT81" authorId="1" shapeId="0" xr:uid="{94A67CA3-8A1D-41DE-9F94-3437507D67AD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attending Foundry per Capita
</t>
        </r>
      </text>
    </comment>
    <comment ref="CX81" authorId="1" shapeId="0" xr:uid="{F101617A-59C4-4C26-9CBF-802D3C793CE5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Agreed by tribrunal
</t>
        </r>
      </text>
    </comment>
    <comment ref="CT91" authorId="1" shapeId="0" xr:uid="{B63EAC52-5B45-4396-B29B-760E55739E8C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Ne provision
</t>
        </r>
      </text>
    </comment>
    <comment ref="CX91" authorId="1" shapeId="0" xr:uid="{F863AD8C-4D88-48A6-A6A4-CB55D10D87B3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adjusted for attendance dates
</t>
        </r>
      </text>
    </comment>
    <comment ref="O96" authorId="1" shapeId="0" xr:uid="{2F5077D7-3F1E-42F0-A2A2-83990023D01A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pa value
</t>
        </r>
      </text>
    </comment>
    <comment ref="CX97" authorId="1" shapeId="0" xr:uid="{A5D4F38B-823E-480D-B199-30A5C3E05F05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leaver 31/7/23
</t>
        </r>
      </text>
    </comment>
    <comment ref="CX99" authorId="1" shapeId="0" xr:uid="{8492C9F2-8D30-4CC1-9A48-DCA966698BF2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Band 7
</t>
        </r>
      </text>
    </comment>
    <comment ref="D100" authorId="0" shapeId="0" xr:uid="{5DAB5257-F0E9-4BE7-8825-19BAEA6FB185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Unplaced  prfeviously in Cothwold Chine</t>
        </r>
      </text>
    </comment>
    <comment ref="BJ100" authorId="0" shapeId="0" xr:uid="{A2A9F042-2F4E-48C3-B03F-E6828001D135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23K to add to the column!!</t>
        </r>
      </text>
    </comment>
    <comment ref="CR102" authorId="1" shapeId="0" xr:uid="{46A3679B-77D3-45E8-9661-A00140F3F6A0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provision ended 31/07/2023 no destination</t>
        </r>
      </text>
    </comment>
    <comment ref="CX102" authorId="1" shapeId="0" xr:uid="{CC6D7026-C95E-4DE3-AE24-5012D26CEB90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Leaver 31/7/23
</t>
        </r>
      </text>
    </comment>
    <comment ref="H104" authorId="0" shapeId="0" xr:uid="{FF694A08-460F-4EB4-8BF5-DF2C78D28E24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memo:£21k for placement at The Link for 2022/23</t>
        </r>
      </text>
    </comment>
    <comment ref="AB104" authorId="2" shapeId="0" xr:uid="{037DF256-7A4C-4500-9ACF-7C3BA1A894CC}">
      <text>
        <r>
          <rPr>
            <b/>
            <sz val="9"/>
            <color indexed="81"/>
            <rFont val="Tahoma"/>
            <family val="2"/>
          </rPr>
          <t>Sue Watson:</t>
        </r>
        <r>
          <rPr>
            <sz val="9"/>
            <color indexed="81"/>
            <rFont val="Tahoma"/>
            <family val="2"/>
          </rPr>
          <t xml:space="preserve">
31/10/2022
awaiting confirmation</t>
        </r>
      </text>
    </comment>
    <comment ref="BQ104" authorId="0" shapeId="0" xr:uid="{83899F99-A61A-4A20-B1AD-F06F597EE3E7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negativ fireacst 0 expecting confirmatin  from SEN - for us to clawback !</t>
        </r>
      </text>
    </comment>
    <comment ref="AB110" authorId="0" shapeId="0" xr:uid="{1B9ED9A2-1F6F-4762-BD7B-9FFB41F7EF0B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confirmaed WBC is FLA</t>
        </r>
      </text>
    </comment>
    <comment ref="AB112" authorId="0" shapeId="0" xr:uid="{98AC262D-FDCB-45D9-8F5C-C43834713A3D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Capita changed toWokingham!!</t>
        </r>
      </text>
    </comment>
    <comment ref="CX112" authorId="1" shapeId="0" xr:uid="{BD62F1B9-ECEF-4D6E-ACF1-E80B17B35A6C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Leaver 31/7/23
</t>
        </r>
      </text>
    </comment>
    <comment ref="CX116" authorId="1" shapeId="0" xr:uid="{EC929E99-CF24-4341-8EFA-83BA02554C78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adjusted for leave date 31/7/23
</t>
        </r>
      </text>
    </comment>
    <comment ref="AB117" authorId="0" shapeId="0" xr:uid="{BD05C6F5-6C21-490C-9BFB-7B8019C79406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confirmed</t>
        </r>
      </text>
    </comment>
    <comment ref="G121" authorId="0" shapeId="0" xr:uid="{D73AE1A1-A296-45B6-B1BD-653C28C62C04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pupil has not attaneded - provison has been changed on Capita - removed for TMS, relaced by £9000 for summer term for AP</t>
        </r>
      </text>
    </comment>
    <comment ref="O121" authorId="1" shapeId="0" xr:uid="{AE117559-BBA1-411C-A097-47D7EEDD7A0F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Not attending Thames Valley. Provision on Capita is £9,000 AP 24/4/23 - 21/7/23. Registered at Oaktree School from 4/9/23</t>
        </r>
      </text>
    </comment>
    <comment ref="U121" authorId="1" shapeId="0" xr:uid="{6AAA286D-DBF2-4BEF-A85B-8E93F3E8EBC2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Revised end date 2/1/2023</t>
        </r>
      </text>
    </comment>
    <comment ref="DB121" authorId="1" shapeId="0" xr:uid="{A8073CEF-173F-4687-9707-E8A17A5129EF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school refuser - Thames Valley have invoiced for Spring, summer and part autumn 23. Included here to be prudent</t>
        </r>
      </text>
    </comment>
    <comment ref="CP123" authorId="1" shapeId="0" xr:uid="{AB8278CA-4110-4134-AAE5-15919E4D2999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2300 tutoring &amp; £536.54 Room hire 10 weeks Feb - Jul 23</t>
        </r>
      </text>
    </comment>
    <comment ref="CY123" authorId="1" shapeId="0" xr:uid="{77C85C92-97CF-4C53-97E1-360DB4CF5C0D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C123" authorId="1" shapeId="0" xr:uid="{8815893E-E484-4E45-A170-26EC2B891AFF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one term at £7,737 and top up of tutor £2,300 and room hire £836.54
moved to The Green Room 1/9/23</t>
        </r>
      </text>
    </comment>
    <comment ref="CP127" authorId="1" shapeId="0" xr:uid="{CAA6D5D2-E374-40BA-A2DC-5DB66487F0DA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new provision from 10/07/2023</t>
        </r>
      </text>
    </comment>
    <comment ref="CY127" authorId="1" shapeId="0" xr:uid="{83AEE2A7-0820-4561-9CFC-193BD53B8500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leaver 10/7/2023
</t>
        </r>
      </text>
    </comment>
    <comment ref="Q128" authorId="0" shapeId="0" xr:uid="{CB345741-73A6-4268-8147-B77BDF7DDFE0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Sen ratified, not on Capita!</t>
        </r>
      </text>
    </comment>
    <comment ref="DC128" authorId="1" shapeId="0" xr:uid="{7CC9E61E-A3A4-4ACF-9BF0-BE87317EDB57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Capita update of attendance dates</t>
        </r>
      </text>
    </comment>
    <comment ref="G129" authorId="0" shapeId="0" xr:uid="{04A2A9ED-8437-4DF6-B6F5-60EEEC4F0E4F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leaver 21-22, we have not settled for summer 2021 - £5K, awaiting invoice?</t>
        </r>
      </text>
    </comment>
    <comment ref="AH129" authorId="0" shapeId="0" xr:uid="{49E0A858-98ED-4248-9B97-9D297043061E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not invoiced</t>
        </r>
      </text>
    </comment>
    <comment ref="AZ129" authorId="0" shapeId="0" xr:uid="{D2FC7386-8704-4DD4-906B-669A3088FBE3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not invoiced</t>
        </r>
      </text>
    </comment>
    <comment ref="Q130" authorId="0" shapeId="0" xr:uid="{1E5AD65A-C146-4579-A5CA-843AE2DB7D12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Sen ratified, not on Capita!</t>
        </r>
      </text>
    </comment>
    <comment ref="CY130" authorId="1" shapeId="0" xr:uid="{29E51DF3-B631-4A56-8AEA-470BC9369E4A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duplicate entry
</t>
        </r>
      </text>
    </comment>
    <comment ref="AB131" authorId="2" shapeId="0" xr:uid="{6142E6E6-4D33-4574-B6D9-1247FC85E007}">
      <text>
        <r>
          <rPr>
            <b/>
            <sz val="9"/>
            <color indexed="81"/>
            <rFont val="Tahoma"/>
            <family val="2"/>
          </rPr>
          <t>Sue Watson:</t>
        </r>
        <r>
          <rPr>
            <sz val="9"/>
            <color indexed="81"/>
            <rFont val="Tahoma"/>
            <family val="2"/>
          </rPr>
          <t xml:space="preserve">
WOK to 07/03/23
</t>
        </r>
      </text>
    </comment>
    <comment ref="AH131" authorId="0" shapeId="0" xr:uid="{8D6F504E-E2B4-44E2-91FA-61AEFABDD468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inv BISI 3, new supplier not set up yet</t>
        </r>
      </text>
    </comment>
    <comment ref="AZ131" authorId="0" shapeId="0" xr:uid="{D9757925-B33E-41C0-92DF-6702D3D1D957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inv BISI 3, new supplier not set up yet</t>
        </r>
      </text>
    </comment>
    <comment ref="CQ132" authorId="1" shapeId="0" xr:uid="{95815ED2-5B49-43C4-8581-5E1D9003C94B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on CCF spreadsheet
</t>
        </r>
      </text>
    </comment>
    <comment ref="CU132" authorId="1" shapeId="0" xr:uid="{5BCAC997-128F-4918-8AAB-25A517AEC530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INMSS not OOB
</t>
        </r>
      </text>
    </comment>
    <comment ref="CS133" authorId="1" shapeId="0" xr:uid="{8CD43F39-75F5-4F4C-8CAC-16E90E2C65DF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moving from Polehampton to Odessey</t>
        </r>
      </text>
    </comment>
    <comment ref="CU133" authorId="1" shapeId="0" xr:uid="{33C14D05-A675-4460-A97E-C32EF50935A7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Confirmed on Capita as moved to Odessey Ind &amp;NM
</t>
        </r>
      </text>
    </comment>
    <comment ref="CS134" authorId="1" shapeId="0" xr:uid="{6FDFF5AF-7BFF-4E16-8F98-DD73BF08D35E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Moving from Shinfield Infants to  Forest Bridge</t>
        </r>
      </text>
    </comment>
    <comment ref="CY134" authorId="1" shapeId="0" xr:uid="{2FA4AEF0-0F98-415C-B098-B507E0FE6573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Ca[pita provison still not updaed as at 18/10/23</t>
        </r>
      </text>
    </comment>
    <comment ref="CY135" authorId="1" shapeId="0" xr:uid="{36F961BC-6DB9-41B6-B070-20F894FEA076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Still on Capita as attending Walter Infants</t>
        </r>
      </text>
    </comment>
    <comment ref="DF135" authorId="1" shapeId="0" xr:uid="{B0FC7E1F-AFC5-469E-AE85-DFED9026304E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Still no change on Cpaita - showing as attending Walter Infants</t>
        </r>
      </text>
    </comment>
    <comment ref="CY136" authorId="1" shapeId="0" xr:uid="{ADB1CB7E-7AC2-46EA-8DDF-3C4F11634B73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Capita not updated as at 18/10/23 - still registered at Emmbrook School 28hrs plus £7,380
</t>
        </r>
      </text>
    </comment>
    <comment ref="DF136" authorId="1" shapeId="0" xr:uid="{7CBC607F-7B2A-485A-9A0E-0081DC6AE985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Still registered at Emmbrook Senior</t>
        </r>
      </text>
    </comment>
    <comment ref="DH137" authorId="1" shapeId="0" xr:uid="{9B799C6C-C2F4-45F8-9C0A-E12028850036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missede off original forecast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Angela Blogg</author>
  </authors>
  <commentList>
    <comment ref="AD7" authorId="0" shapeId="0" xr:uid="{452543D0-7E1D-4CBC-BB6A-B20E9EE6E1AD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calc cost £22,772.81 if prov ended 31/07/2023</t>
        </r>
      </text>
    </comment>
    <comment ref="N12" authorId="0" shapeId="0" xr:uid="{0E3EC584-31E8-4C0A-BEE4-609B8B22F166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Education costs 51.89% of total?
Education cost £103,660.59</t>
        </r>
      </text>
    </comment>
    <comment ref="AD13" authorId="0" shapeId="0" xr:uid="{31F4C728-9940-4D6F-99CE-9AC2963E4DAD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calc cost = £34,019 if prov ended 7/23</t>
        </r>
      </text>
    </comment>
    <comment ref="AD14" authorId="0" shapeId="0" xr:uid="{605E05F9-F133-4490-957F-42D0AECBFB18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calc cost £42,,355 but possible duplication of provision entries</t>
        </r>
      </text>
    </comment>
    <comment ref="AD18" authorId="0" shapeId="0" xr:uid="{77D295CD-CE83-4363-895D-299FEAAB3279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Cal cost = £33,291 as prov ended 31/7/23</t>
        </r>
      </text>
    </comment>
    <comment ref="AD20" authorId="0" shapeId="0" xr:uid="{ECA03BE0-AD65-4BCD-9A52-A7BD21F0CE39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cal cost = £8,379 end date 7/23</t>
        </r>
      </text>
    </comment>
    <comment ref="AD22" authorId="0" shapeId="0" xr:uid="{4F60EA68-ABAA-426E-8C0C-6CF4CCC7F4C8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additional provision on Cpaita but I think it’s a duplication</t>
        </r>
      </text>
    </comment>
    <comment ref="Q26" authorId="0" shapeId="0" xr:uid="{0C939300-C330-4DFD-9EC0-4740ED13C3E1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nisai provision</t>
        </r>
      </text>
    </comment>
    <comment ref="AC27" authorId="0" shapeId="0" xr:uid="{A5F28533-D2BC-4A3B-B210-EBC2969AF097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on going provision</t>
        </r>
      </text>
    </comment>
    <comment ref="AD31" authorId="0" shapeId="0" xr:uid="{EF31A5A1-E827-47AE-A607-7B61ED9886DE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not sure why this is more than the annual cost of £118,595</t>
        </r>
      </text>
    </comment>
    <comment ref="AD34" authorId="0" shapeId="0" xr:uid="{2A5A4E25-D607-4E0B-A3BE-C5CF8F8D5568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tripartiete funding but 2/3 forecast here. Cal cost = £46,897</t>
        </r>
      </text>
    </comment>
    <comment ref="AD35" authorId="0" shapeId="0" xr:uid="{FE50B6B8-15B9-4126-B95A-A3F7B832824E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cal cost = £15,750 based on capita provision memo</t>
        </r>
      </text>
    </comment>
    <comment ref="AD36" authorId="0" shapeId="0" xr:uid="{0CCF698C-E3E5-4D0F-A7ED-CFCBC72813DB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cal cost = £24,575 prov ended 7/23</t>
        </r>
      </text>
    </comment>
    <comment ref="AD40" authorId="0" shapeId="0" xr:uid="{F922535A-A5F8-410F-8FDE-24CD1F29E75A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cal cost = £8369
Various provisions</t>
        </r>
      </text>
    </comment>
    <comment ref="AD42" authorId="0" shapeId="0" xr:uid="{7D409C5A-9CAC-4D49-9050-2B2CAA105BDE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cal cost= £10,328 prov ended 7/23</t>
        </r>
      </text>
    </comment>
    <comment ref="Q51" authorId="0" shapeId="0" xr:uid="{3ADA79F0-7B8C-48B1-B288-5B264A0F2C09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Total provision for 23-24 calculated as £47,047.89 made up of £33,195 Holme Grange, £2,424.69 for 25 hr Holme Grange, £4324.17 Holme Grange Top up, Nisai £7,104.20
 </t>
        </r>
      </text>
    </comment>
    <comment ref="AC51" authorId="0" shapeId="0" xr:uid="{3C8232FA-1D82-4E5F-9985-E56EE01D7D5E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change of provision moved to Nisai prov value £7,101.10</t>
        </r>
      </text>
    </comment>
    <comment ref="AD51" authorId="0" shapeId="0" xr:uid="{CDB87A89-83BC-4F89-8C1A-EFDAEF6FE8E5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cal cost £28,200 changes in prov</t>
        </r>
      </text>
    </comment>
    <comment ref="AC52" authorId="0" shapeId="0" xr:uid="{046BE799-2FC3-48EA-BBF5-711072AA800C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change of provision moved to Nisai prov value £7,101.10</t>
        </r>
      </text>
    </comment>
    <comment ref="AG99" authorId="0" shapeId="0" xr:uid="{D19723DC-D618-41B6-BBCE-30E1921EFF57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Increased frrs in Y9</t>
        </r>
      </text>
    </comment>
    <comment ref="AD100" authorId="0" shapeId="0" xr:uid="{1782656E-9E4D-4E16-957D-2388720D5DD6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Hampshire student
credit note for £14,695.16</t>
        </r>
      </text>
    </comment>
    <comment ref="AD119" authorId="0" shapeId="0" xr:uid="{9BBB3298-0D75-4F9E-B939-E6381C886A3C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not sure why this isn't £52,783
</t>
        </r>
      </text>
    </comment>
    <comment ref="AC122" authorId="0" shapeId="0" xr:uid="{A8739D41-B9B9-4BF5-8A92-257C67BC3BB5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not sure why full year cost was not in forecast. Full year cost £43,783.20</t>
        </r>
      </text>
    </comment>
    <comment ref="AE138" authorId="0" shapeId="0" xr:uid="{494AC4E3-224A-4EE8-9B42-9C626513E74C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increased cost moving to KS3</t>
        </r>
      </text>
    </comment>
    <comment ref="Q175" authorId="0" shapeId="0" xr:uid="{6FE39B25-1CA0-41A1-8E09-DFC5DDC68611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added to match Capita info
</t>
        </r>
      </text>
    </comment>
    <comment ref="AD190" authorId="0" shapeId="0" xr:uid="{23E68D17-3091-469C-8D98-B1D935F87F22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due to pay £90k inc £15k deposit
Calc cost = £47,812  + £15,000
</t>
        </r>
      </text>
    </comment>
    <comment ref="AE216" authorId="0" shapeId="0" xr:uid="{1DAB548B-8A88-41B9-A997-3CB05080D62F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Forecast move to tutor costs - not been placed at Cotswold Chine since Dec 2022
</t>
        </r>
      </text>
    </comment>
    <comment ref="Q236" authorId="0" shapeId="0" xr:uid="{E2CB3829-A0CD-444C-AC48-8ACB34FCE743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Additional 6 hours per week provision for one half term</t>
        </r>
      </text>
    </comment>
    <comment ref="Q245" authorId="0" shapeId="0" xr:uid="{18DF6630-3BD1-421B-A8CA-CC71A64CCF6D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new provision
start date Oct 2023, therefore pro rata by 50%</t>
        </r>
      </text>
    </comment>
    <comment ref="AC246" authorId="0" shapeId="0" xr:uid="{CE8521CD-FFFA-4E32-A4F1-AECD7F9E39AC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new provision from 1/9/23</t>
        </r>
      </text>
    </comment>
    <comment ref="AC248" authorId="0" shapeId="0" xr:uid="{B9D4B96A-D57E-4C49-9AA4-D4A6F306CA17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new provision form 1/9/23</t>
        </r>
      </text>
    </comment>
    <comment ref="AC249" authorId="0" shapeId="0" xr:uid="{B30DC42C-EC70-430C-A2E3-F710376630DD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new prov - est cost as not on capita</t>
        </r>
      </text>
    </comment>
    <comment ref="AG249" authorId="0" shapeId="0" xr:uid="{A66080C0-FEC3-4B60-91F6-9535F2A0E1A3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increase in forcest to refect actual costs now recorded on capita</t>
        </r>
      </text>
    </comment>
    <comment ref="AC250" authorId="0" shapeId="0" xr:uid="{A591A536-921F-4B1D-A90C-4AE5D64BA332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sept starter</t>
        </r>
      </text>
    </comment>
    <comment ref="AC251" authorId="0" shapeId="0" xr:uid="{A26E5F26-B4FE-4233-A2FD-BBF9CF677DB5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provision on Capita but no amounts detailed - this is an estimate</t>
        </r>
      </text>
    </comment>
    <comment ref="AC252" authorId="0" shapeId="0" xr:uid="{669ED5B9-C681-48B6-9732-55B36F78DCD9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new provision from 4/9/23</t>
        </r>
      </text>
    </comment>
    <comment ref="AC253" authorId="0" shapeId="0" xr:uid="{1303118E-D9A4-40D8-BA4B-222F2DF42561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provision from 4/9/23</t>
        </r>
      </text>
    </comment>
    <comment ref="AC254" authorId="0" shapeId="0" xr:uid="{02F9B4D9-0DB0-4BA6-92D5-C406FE8C3127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existing privision not on forecast</t>
        </r>
      </text>
    </comment>
    <comment ref="AC255" authorId="0" shapeId="0" xr:uid="{D3F0FFB8-C98A-41B1-B3DF-90E7D4BBD5BD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provision not previously on forecast</t>
        </r>
      </text>
    </comment>
    <comment ref="AC256" authorId="0" shapeId="0" xr:uid="{E6905FD0-560A-4C99-837C-0A8069D2F161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provision on capita not on previous forecast</t>
        </r>
      </text>
    </comment>
    <comment ref="AC257" authorId="0" shapeId="0" xr:uid="{83160BD6-A4DB-4690-AE14-F7BEA0A79A53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new provision from 1/9/23</t>
        </r>
      </text>
    </comment>
    <comment ref="O259" authorId="0" shapeId="0" xr:uid="{EB9B7952-A122-45B9-B366-678441043418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Reading funded child</t>
        </r>
      </text>
    </comment>
    <comment ref="AC260" authorId="0" shapeId="0" xr:uid="{71DE4A99-EEF1-4E3D-B193-192769B87541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additional hydrotherapy</t>
        </r>
      </text>
    </comment>
    <comment ref="AC263" authorId="0" shapeId="0" xr:uid="{1874FB86-6C3D-44A7-A985-13555C08CE73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New provision CC panel</t>
        </r>
      </text>
    </comment>
    <comment ref="AC264" authorId="0" shapeId="0" xr:uid="{13943FD0-6EE8-409A-AC47-4F80D306E469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new provision CC panel</t>
        </r>
      </text>
    </comment>
    <comment ref="AC265" authorId="0" shapeId="0" xr:uid="{BC4AD67A-0D4A-48D2-A337-50F00ED44FBC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new provision cc panle</t>
        </r>
      </text>
    </comment>
    <comment ref="AE266" authorId="0" shapeId="0" xr:uid="{29882724-F6FF-4900-98A0-F90DF67061DB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 new provision from 15/1/24
</t>
        </r>
      </text>
    </comment>
    <comment ref="AE267" authorId="0" shapeId="0" xr:uid="{25CD3FA1-151B-4704-A4DB-F8F48B4BC5D5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new provision</t>
        </r>
      </text>
    </comment>
    <comment ref="AG268" authorId="0" shapeId="0" xr:uid="{46A46F95-AEED-487F-AEB1-733E64792CAC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new provision</t>
        </r>
      </text>
    </comment>
    <comment ref="AG271" authorId="0" shapeId="0" xr:uid="{B63FB8B3-AFE2-42E9-B3EB-162158F37566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poss late on capita</t>
        </r>
      </text>
    </comment>
    <comment ref="AD285" authorId="0" shapeId="0" xr:uid="{C6567287-BB73-43C3-BB0F-046D22B49569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9 new provisions</t>
        </r>
      </text>
    </comment>
    <comment ref="AD288" authorId="0" shapeId="0" xr:uid="{05B1982F-E4C7-4AC6-97D0-8D02E1FB9A46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net change - one reduction in prov plus two new provs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Angela Blogg</author>
    <author>Kenneth Chan</author>
    <author>Diana Hollis</author>
  </authors>
  <commentList>
    <comment ref="BI2" authorId="0" shapeId="0" xr:uid="{3320552E-1B8D-4FE0-B2C5-E8233E687680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leaver</t>
        </r>
      </text>
    </comment>
    <comment ref="Z4" authorId="1" shapeId="0" xr:uid="{5D7BB281-81D1-456F-BAFD-A50AD2901373}">
      <text>
        <r>
          <rPr>
            <b/>
            <sz val="9"/>
            <color indexed="81"/>
            <rFont val="Tahoma"/>
            <family val="2"/>
          </rPr>
          <t>Kenneth Chan:</t>
        </r>
        <r>
          <rPr>
            <sz val="9"/>
            <color indexed="81"/>
            <rFont val="Tahoma"/>
            <family val="2"/>
          </rPr>
          <t xml:space="preserve">
25 hours top-up pro-rated to 15 hours</t>
        </r>
      </text>
    </comment>
    <comment ref="Z11" authorId="0" shapeId="0" xr:uid="{9C067C3E-7EA3-411D-AF4D-DC56654EAEE4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or agreement to fund SYMBOL SALT for the academic year 2023-2024
42 hours @ £90 per hour = £3,780.00 per annum</t>
        </r>
      </text>
    </comment>
    <comment ref="BF11" authorId="0" shapeId="0" xr:uid="{A38B1EB7-D757-4854-8409-F88165FF7C39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new provision</t>
        </r>
      </text>
    </comment>
    <comment ref="BF12" authorId="0" shapeId="0" xr:uid="{3BC2C5CD-16CA-43A9-822E-7C8B2BFC73B9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new provision
</t>
        </r>
      </text>
    </comment>
    <comment ref="O15" authorId="2" shapeId="0" xr:uid="{EB7329D0-98DC-4199-9D16-835F9580F3F2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in Alder grove from Sep23</t>
        </r>
      </text>
    </comment>
    <comment ref="U15" authorId="2" shapeId="0" xr:uid="{6EC6511B-ABFE-4696-A186-D266AE87DDD5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ends 21/07/2023  PLUS: twin setting with Swallowfield Pre School 19/12/22-21/07/2023 - 9.75 hrs pw sen support</t>
        </r>
      </text>
    </comment>
    <comment ref="Z15" authorId="2" shapeId="0" xr:uid="{84F39F4F-0163-410F-A26A-1FE562F3DB47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MEMO: memo:Dingley will receive 8.5 hours of top up per week</t>
        </r>
      </text>
    </comment>
    <comment ref="O17" authorId="2" shapeId="0" xr:uid="{F734C03B-EFBA-4EE0-B4B2-EFA6EAD64AE8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shojd be summer23 if by age - turning 5 in summer term23</t>
        </r>
      </text>
    </comment>
    <comment ref="BD17" authorId="0" shapeId="0" xr:uid="{9E27D5E2-4CCB-45BC-A649-E289FCE2E71A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new povision</t>
        </r>
      </text>
    </comment>
    <comment ref="Z18" authorId="2" shapeId="0" xr:uid="{F0783BA9-0DB2-4D92-B398-1A93F9ADF4CA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twinn SEN provision setting with Happitots!</t>
        </r>
      </text>
    </comment>
    <comment ref="Z22" authorId="1" shapeId="0" xr:uid="{31EA7935-7701-4CBE-A78E-D09820B1E5BC}">
      <text>
        <r>
          <rPr>
            <b/>
            <sz val="9"/>
            <color indexed="81"/>
            <rFont val="Tahoma"/>
            <family val="2"/>
          </rPr>
          <t>Kenneth Chan:</t>
        </r>
        <r>
          <rPr>
            <sz val="9"/>
            <color indexed="81"/>
            <rFont val="Tahoma"/>
            <family val="2"/>
          </rPr>
          <t xml:space="preserve">
Allocated 30 hours- however only attending 18 hours per week</t>
        </r>
      </text>
    </comment>
    <comment ref="Z23" authorId="2" shapeId="0" xr:uid="{FD87090E-4D92-4DB1-AAAA-3C9156D92854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twinn setting with Dingley</t>
        </r>
      </text>
    </comment>
    <comment ref="Z24" authorId="1" shapeId="0" xr:uid="{3BDE0003-C93F-463C-B4FC-811D0AA23C25}">
      <text>
        <r>
          <rPr>
            <b/>
            <sz val="9"/>
            <color indexed="81"/>
            <rFont val="Tahoma"/>
            <family val="2"/>
          </rPr>
          <t>Kenneth Chan:</t>
        </r>
        <r>
          <rPr>
            <sz val="9"/>
            <color indexed="81"/>
            <rFont val="Tahoma"/>
            <family val="2"/>
          </rPr>
          <t xml:space="preserve">
19.5 hours of funding has been agreed for his Happy Hours Pre-school</t>
        </r>
      </text>
    </comment>
    <comment ref="Z25" authorId="1" shapeId="0" xr:uid="{EF61C99E-0250-4915-AC0F-FF35DC7A0F10}">
      <text>
        <r>
          <rPr>
            <b/>
            <sz val="9"/>
            <color indexed="81"/>
            <rFont val="Tahoma"/>
            <family val="2"/>
          </rPr>
          <t>Kenneth Chan:</t>
        </r>
        <r>
          <rPr>
            <sz val="9"/>
            <color indexed="81"/>
            <rFont val="Tahoma"/>
            <family val="2"/>
          </rPr>
          <t xml:space="preserve">
agreed 18.6 hours for nursery </t>
        </r>
      </text>
    </comment>
    <comment ref="Z26" authorId="1" shapeId="0" xr:uid="{6F43F711-D710-42AE-B432-368742452904}">
      <text>
        <r>
          <rPr>
            <b/>
            <sz val="9"/>
            <color indexed="81"/>
            <rFont val="Tahoma"/>
            <family val="2"/>
          </rPr>
          <t>Kenneth Chan:</t>
        </r>
        <r>
          <rPr>
            <sz val="9"/>
            <color indexed="81"/>
            <rFont val="Tahoma"/>
            <family val="2"/>
          </rPr>
          <t xml:space="preserve">
funding agreed for 22.37 hours for nursery provision</t>
        </r>
      </text>
    </comment>
    <comment ref="U27" authorId="2" shapeId="0" xr:uid="{BE2F5339-7014-415D-9CA1-CBE8CE161D78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provision to end 23/07/2023= BUT it also restarts on 04/09/2023 - no details yet only as TOP!</t>
        </r>
      </text>
    </comment>
    <comment ref="U28" authorId="2" shapeId="0" xr:uid="{A299E402-A0DE-4190-B384-003058420680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 In total: 31 hrs, twin settings: Tigers (OOBs) 20hr and Jubilee (WBC) 11 Hrs...</t>
        </r>
      </text>
    </comment>
    <comment ref="Z28" authorId="1" shapeId="0" xr:uid="{F8B098D0-516C-43BB-A447-19833615C31F}">
      <text>
        <r>
          <rPr>
            <b/>
            <sz val="9"/>
            <color indexed="81"/>
            <rFont val="Tahoma"/>
            <family val="2"/>
          </rPr>
          <t>Kenneth Chan:</t>
        </r>
        <r>
          <rPr>
            <sz val="9"/>
            <color indexed="81"/>
            <rFont val="Tahoma"/>
            <family val="2"/>
          </rPr>
          <t xml:space="preserve">
Twin SEN provision with Tigers Day Nursery</t>
        </r>
      </text>
    </comment>
    <comment ref="Z29" authorId="2" shapeId="0" xr:uid="{E4368053-36D1-40AF-8E34-71C574DDAEB5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30 hrs at 0.5 FTE = 15HRS!!!</t>
        </r>
      </text>
    </comment>
    <comment ref="Z31" authorId="1" shapeId="0" xr:uid="{B631F0C6-3FFB-430D-A7AD-C4C3964FCCF3}">
      <text>
        <r>
          <rPr>
            <b/>
            <sz val="9"/>
            <color indexed="81"/>
            <rFont val="Tahoma"/>
            <family val="2"/>
          </rPr>
          <t>Kenneth Chan:</t>
        </r>
        <r>
          <rPr>
            <sz val="9"/>
            <color indexed="81"/>
            <rFont val="Tahoma"/>
            <family val="2"/>
          </rPr>
          <t xml:space="preserve">
15 hours top up funding while at nursery</t>
        </r>
      </text>
    </comment>
    <comment ref="Z34" authorId="2" shapeId="0" xr:uid="{01D622F6-644E-4332-96CB-07E782788941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23 hours/2=11.5 hours - on 15 hours attandance. Confirming with Helen</t>
        </r>
      </text>
    </comment>
    <comment ref="Z39" authorId="1" shapeId="0" xr:uid="{7C582955-F507-4A9E-AB86-BBB4DE588AD0}">
      <text>
        <r>
          <rPr>
            <b/>
            <sz val="9"/>
            <color indexed="81"/>
            <rFont val="Tahoma"/>
            <family val="2"/>
          </rPr>
          <t>Kenneth Chan:</t>
        </r>
        <r>
          <rPr>
            <sz val="9"/>
            <color indexed="81"/>
            <rFont val="Tahoma"/>
            <family val="2"/>
          </rPr>
          <t xml:space="preserve">
15 hrs + 15 hrs </t>
        </r>
      </text>
    </comment>
    <comment ref="Z40" authorId="2" shapeId="0" xr:uid="{43D662F1-D8D7-412A-B9CC-9F7FE102D6ED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Capita: 30HRS at 0.6 FTE = 18HRS</t>
        </r>
      </text>
    </comment>
    <comment ref="Z41" authorId="1" shapeId="0" xr:uid="{DF3B4521-686E-4B14-83D3-07F6A5C28013}">
      <text>
        <r>
          <rPr>
            <b/>
            <sz val="9"/>
            <color indexed="81"/>
            <rFont val="Tahoma"/>
            <family val="2"/>
          </rPr>
          <t>Kenneth Chan:</t>
        </r>
        <r>
          <rPr>
            <sz val="9"/>
            <color indexed="81"/>
            <rFont val="Tahoma"/>
            <family val="2"/>
          </rPr>
          <t xml:space="preserve">
30 hrs per Capita 
vs 9 hrs</t>
        </r>
      </text>
    </comment>
    <comment ref="U43" authorId="1" shapeId="0" xr:uid="{0CB9BEFC-DF35-49A9-9CD9-266016107F6E}">
      <text>
        <r>
          <rPr>
            <b/>
            <sz val="9"/>
            <color indexed="81"/>
            <rFont val="Tahoma"/>
            <family val="2"/>
          </rPr>
          <t>Kenneth Chan:</t>
        </r>
        <r>
          <rPr>
            <sz val="9"/>
            <color indexed="81"/>
            <rFont val="Tahoma"/>
            <family val="2"/>
          </rPr>
          <t xml:space="preserve">
ends 21/07/2023  PLUS: twin setting with Swallowfield Pre School 19/12/22-21/07/2023 - 9.75 hrs pw sen support</t>
        </r>
      </text>
    </comment>
    <comment ref="Z43" authorId="2" shapeId="0" xr:uid="{57D68F4E-FBC0-4B2E-BDD2-5DCC51825620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MEMO:memo:Swallowfield Pre -School will receive 9.3/4 hours of top up per week</t>
        </r>
      </text>
    </comment>
    <comment ref="Z45" authorId="1" shapeId="0" xr:uid="{0AA7EB8F-46DA-4010-9CAD-98FD1B5D9673}">
      <text>
        <r>
          <rPr>
            <b/>
            <sz val="9"/>
            <color indexed="81"/>
            <rFont val="Tahoma"/>
            <family val="2"/>
          </rPr>
          <t>Kenneth Chan:</t>
        </r>
        <r>
          <rPr>
            <sz val="9"/>
            <color indexed="81"/>
            <rFont val="Tahoma"/>
            <family val="2"/>
          </rPr>
          <t xml:space="preserve">
Reconfirmed to be 30 hrs with Helen / Diana on 17/5/2023
Confirmed with EY specialist Stuart on 20/4/2023</t>
        </r>
      </text>
    </comment>
    <comment ref="Z47" authorId="2" shapeId="0" xr:uid="{76EF60E0-5866-4F78-B029-BE2955900D7C}">
      <text>
        <r>
          <rPr>
            <b/>
            <sz val="9"/>
            <color indexed="81"/>
            <rFont val="Tahoma"/>
            <family val="2"/>
          </rPr>
          <t>Diana Hollis:</t>
        </r>
        <r>
          <rPr>
            <sz val="9"/>
            <color indexed="81"/>
            <rFont val="Tahoma"/>
            <family val="2"/>
          </rPr>
          <t xml:space="preserve">
25hrs at 0.8FTE</t>
        </r>
      </text>
    </comment>
    <comment ref="BF48" authorId="0" shapeId="0" xr:uid="{4441120B-14ED-4632-B58E-0636157C21FD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Provision ending 31/10/2023
</t>
        </r>
      </text>
    </comment>
    <comment ref="BD55" authorId="0" shapeId="0" xr:uid="{407CF6F1-F470-47A2-BD75-92D97235CFF6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move to Willowbank Inf 4/9/23</t>
        </r>
      </text>
    </comment>
    <comment ref="BK60" authorId="0" shapeId="0" xr:uid="{D9BA977F-F8A7-4E55-B36D-17A65021AABF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duplicate entry
</t>
        </r>
      </text>
    </comment>
    <comment ref="BK64" authorId="0" shapeId="0" xr:uid="{0B335EA1-CBEC-4181-98D6-A3FF9247C29C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leaver</t>
        </r>
      </text>
    </comment>
    <comment ref="BC72" authorId="0" shapeId="0" xr:uid="{F36420BC-F455-4370-8222-F8C4B4BAB346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reduced as moved to Colleton 4/9/2023</t>
        </r>
      </text>
    </comment>
    <comment ref="BC76" authorId="0" shapeId="0" xr:uid="{74CB11F1-4CA6-4DEA-9312-0E433E145141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panel Aug</t>
        </r>
      </text>
    </comment>
    <comment ref="BK82" authorId="0" shapeId="0" xr:uid="{06AB4649-C5BD-4774-BD69-44D67A22EC94}">
      <text>
        <r>
          <rPr>
            <b/>
            <sz val="9"/>
            <color indexed="81"/>
            <rFont val="Tahoma"/>
            <family val="2"/>
          </rPr>
          <t>Angela Blogg:</t>
        </r>
        <r>
          <rPr>
            <sz val="9"/>
            <color indexed="81"/>
            <rFont val="Tahoma"/>
            <family val="2"/>
          </rPr>
          <t xml:space="preserve">
new provision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<sst xmlns="http://schemas.openxmlformats.org/spreadsheetml/2006/main" count="14418" uniqueCount="3949">
  <si>
    <t>count pupil_not placement</t>
  </si>
  <si>
    <t>BUDGET ALLOC BASED ON DATA 23/03/20</t>
  </si>
  <si>
    <t>Cost Centre</t>
  </si>
  <si>
    <t>Infant?</t>
  </si>
  <si>
    <t>Academy / Cash</t>
  </si>
  <si>
    <t>Resource Unit</t>
  </si>
  <si>
    <t>Type (P/S/16+)</t>
  </si>
  <si>
    <t>AP/AD</t>
  </si>
  <si>
    <t>Student ID</t>
  </si>
  <si>
    <t>School</t>
  </si>
  <si>
    <t>First Name</t>
  </si>
  <si>
    <t>Surname</t>
  </si>
  <si>
    <t>Name</t>
  </si>
  <si>
    <t>DOB</t>
  </si>
  <si>
    <t>Actual age today</t>
  </si>
  <si>
    <t>NCY @ 1.4.23</t>
  </si>
  <si>
    <t>LEA (H)</t>
  </si>
  <si>
    <t>LEA (F)</t>
  </si>
  <si>
    <t>START</t>
  </si>
  <si>
    <t>Start No</t>
  </si>
  <si>
    <t>END</t>
  </si>
  <si>
    <t>End No</t>
  </si>
  <si>
    <t>No of days</t>
  </si>
  <si>
    <t>Days pro rata</t>
  </si>
  <si>
    <t>Capita Provision End Date</t>
  </si>
  <si>
    <t>Hours 23-24 or values</t>
  </si>
  <si>
    <t>Resource Unit Annual Value 23-24</t>
  </si>
  <si>
    <t>Annual Value 23-24</t>
  </si>
  <si>
    <t>Primary Need</t>
  </si>
  <si>
    <t>FTE</t>
  </si>
  <si>
    <t>CALC FTE</t>
  </si>
  <si>
    <t>Allocation per budget 2023-24</t>
  </si>
  <si>
    <t>P</t>
  </si>
  <si>
    <t>Aldryngton Primary</t>
  </si>
  <si>
    <t>Arjun</t>
  </si>
  <si>
    <t>Valiveti</t>
  </si>
  <si>
    <t>open</t>
  </si>
  <si>
    <t>SLCD</t>
  </si>
  <si>
    <t>Adhrit</t>
  </si>
  <si>
    <t>Ramabhotla</t>
  </si>
  <si>
    <t>Alexander</t>
  </si>
  <si>
    <t>Condirev</t>
  </si>
  <si>
    <t>Alexander Condirev</t>
  </si>
  <si>
    <t>SEMH</t>
  </si>
  <si>
    <t>Alizah</t>
  </si>
  <si>
    <t>Khawaja</t>
  </si>
  <si>
    <t>Sutton</t>
  </si>
  <si>
    <t>AlexanderSutton</t>
  </si>
  <si>
    <t>Yr 6</t>
  </si>
  <si>
    <t>Ellis</t>
  </si>
  <si>
    <t>Deadman</t>
  </si>
  <si>
    <t>EllisDeadman</t>
  </si>
  <si>
    <t>MDI</t>
  </si>
  <si>
    <t>Evangelos</t>
  </si>
  <si>
    <t>Skourtis Keramidas</t>
  </si>
  <si>
    <t>EvangelosSkourtis Keramidas</t>
  </si>
  <si>
    <t>ASD</t>
  </si>
  <si>
    <t>Hrihaan</t>
  </si>
  <si>
    <t>Swain</t>
  </si>
  <si>
    <t>HrihaanSwain</t>
  </si>
  <si>
    <t>Jay</t>
  </si>
  <si>
    <t>Lally</t>
  </si>
  <si>
    <t>JayLally</t>
  </si>
  <si>
    <t>James</t>
  </si>
  <si>
    <t>Xu</t>
  </si>
  <si>
    <t>JamesXu</t>
  </si>
  <si>
    <t>MLD</t>
  </si>
  <si>
    <t>Sebastian</t>
  </si>
  <si>
    <t>Sly</t>
  </si>
  <si>
    <t>Sehajpreet</t>
  </si>
  <si>
    <t>Kaur</t>
  </si>
  <si>
    <t>SehajpreetKaur</t>
  </si>
  <si>
    <t>Tyler</t>
  </si>
  <si>
    <t>Giles</t>
  </si>
  <si>
    <t>TylerGiles</t>
  </si>
  <si>
    <t>Y</t>
  </si>
  <si>
    <t>All Saints Primary</t>
  </si>
  <si>
    <t>Sally</t>
  </si>
  <si>
    <t>Okumu</t>
  </si>
  <si>
    <t>SallyOkumu</t>
  </si>
  <si>
    <t>PD3-BAND4</t>
  </si>
  <si>
    <t>PD</t>
  </si>
  <si>
    <t>Victor</t>
  </si>
  <si>
    <t>Stanley</t>
  </si>
  <si>
    <t>VictorStanley</t>
  </si>
  <si>
    <t>Alice</t>
  </si>
  <si>
    <t>Ord</t>
  </si>
  <si>
    <t>AliceOrd</t>
  </si>
  <si>
    <t>Hadley</t>
  </si>
  <si>
    <t>Dixon</t>
  </si>
  <si>
    <t>HadleyDixon</t>
  </si>
  <si>
    <t>TOP</t>
  </si>
  <si>
    <t>Lilly</t>
  </si>
  <si>
    <t>Atkins</t>
  </si>
  <si>
    <t>LillyAtkins</t>
  </si>
  <si>
    <t>Logan</t>
  </si>
  <si>
    <t>Daley</t>
  </si>
  <si>
    <t>LoganDaley</t>
  </si>
  <si>
    <t>872</t>
  </si>
  <si>
    <t>Louie</t>
  </si>
  <si>
    <t>Hughes</t>
  </si>
  <si>
    <t>LouieHughes</t>
  </si>
  <si>
    <t>Lucas-Henry</t>
  </si>
  <si>
    <t>Geater-Brombley</t>
  </si>
  <si>
    <t>Lucas-HenryGeater-Brombley</t>
  </si>
  <si>
    <t>Olivia</t>
  </si>
  <si>
    <t>Goodchild</t>
  </si>
  <si>
    <t>OliviaGoodchild</t>
  </si>
  <si>
    <t>Sabah</t>
  </si>
  <si>
    <t>Salama</t>
  </si>
  <si>
    <t>SabahSalama</t>
  </si>
  <si>
    <t>Sophie</t>
  </si>
  <si>
    <t>Dimmick</t>
  </si>
  <si>
    <t>Sophie Dimmick</t>
  </si>
  <si>
    <t>Bearwood Primary</t>
  </si>
  <si>
    <t>Alfie</t>
  </si>
  <si>
    <t>Bourke</t>
  </si>
  <si>
    <t>Alfie Bourke</t>
  </si>
  <si>
    <t>Gurvansh</t>
  </si>
  <si>
    <t>Lubana</t>
  </si>
  <si>
    <t>GurvanshLubana</t>
  </si>
  <si>
    <t>Sam Jason</t>
  </si>
  <si>
    <t>Henry</t>
  </si>
  <si>
    <t>Sam JasonHenry</t>
  </si>
  <si>
    <t>Beechwood Primary</t>
  </si>
  <si>
    <t>Aliza</t>
  </si>
  <si>
    <t>Ishaq</t>
  </si>
  <si>
    <t>AlizaIshaq</t>
  </si>
  <si>
    <t>HI</t>
  </si>
  <si>
    <t>Finnley</t>
  </si>
  <si>
    <t>Pitt</t>
  </si>
  <si>
    <t>Finnley Pitt</t>
  </si>
  <si>
    <t>Harry</t>
  </si>
  <si>
    <t>Keep</t>
  </si>
  <si>
    <t>HarryKeep</t>
  </si>
  <si>
    <t>Idil</t>
  </si>
  <si>
    <t>Inanc</t>
  </si>
  <si>
    <t>IdilInanc</t>
  </si>
  <si>
    <t>Other Diff/Dis</t>
  </si>
  <si>
    <t>Isabelle</t>
  </si>
  <si>
    <t>O'Boyle</t>
  </si>
  <si>
    <t>IsabelleO'Boyle</t>
  </si>
  <si>
    <t>AD</t>
  </si>
  <si>
    <t>Mir Ashar</t>
  </si>
  <si>
    <t>Ammar</t>
  </si>
  <si>
    <t xml:space="preserve">Mason </t>
  </si>
  <si>
    <t>Davies</t>
  </si>
  <si>
    <t>Mason Davies</t>
  </si>
  <si>
    <t>Nathan</t>
  </si>
  <si>
    <t>Larkins</t>
  </si>
  <si>
    <t>Nathan Larkins</t>
  </si>
  <si>
    <t>Phoebe</t>
  </si>
  <si>
    <t>Lambert</t>
  </si>
  <si>
    <t>PhoebeLambert</t>
  </si>
  <si>
    <t>Rivika</t>
  </si>
  <si>
    <t>Pachauri</t>
  </si>
  <si>
    <t>Rivika Pachauri</t>
  </si>
  <si>
    <t>S</t>
  </si>
  <si>
    <t>Bohunt</t>
  </si>
  <si>
    <t>Evans</t>
  </si>
  <si>
    <t>AlexanderEvans</t>
  </si>
  <si>
    <t>Georgiev</t>
  </si>
  <si>
    <t>AlexanderGeorgiev</t>
  </si>
  <si>
    <t>Amber</t>
  </si>
  <si>
    <t>Makemson</t>
  </si>
  <si>
    <t>AmberMakemson</t>
  </si>
  <si>
    <t>Yr 11</t>
  </si>
  <si>
    <t>Arthur</t>
  </si>
  <si>
    <t>Robertson</t>
  </si>
  <si>
    <t>ArthurRobertson</t>
  </si>
  <si>
    <t>Aura</t>
  </si>
  <si>
    <t>Staughton</t>
  </si>
  <si>
    <t>AuraStaughton</t>
  </si>
  <si>
    <t>SEN Supp</t>
  </si>
  <si>
    <t>Benjamin</t>
  </si>
  <si>
    <t>Brooks</t>
  </si>
  <si>
    <t>BenjaminBrooks</t>
  </si>
  <si>
    <t>Daniel</t>
  </si>
  <si>
    <t>Taylor</t>
  </si>
  <si>
    <t>Danuel</t>
  </si>
  <si>
    <t>Roberts</t>
  </si>
  <si>
    <t>DanuelRoberts</t>
  </si>
  <si>
    <t>Dev</t>
  </si>
  <si>
    <t>Pawar</t>
  </si>
  <si>
    <t>DevPawar</t>
  </si>
  <si>
    <t>SLD</t>
  </si>
  <si>
    <t>Esme</t>
  </si>
  <si>
    <t>Mackey</t>
  </si>
  <si>
    <t>EsmeMackey</t>
  </si>
  <si>
    <t>Ethan</t>
  </si>
  <si>
    <t>Shaw</t>
  </si>
  <si>
    <t>EthanShaw</t>
  </si>
  <si>
    <t>AP</t>
  </si>
  <si>
    <t>Filip</t>
  </si>
  <si>
    <t>Mickiewicz</t>
  </si>
  <si>
    <t>FilipMickiewicz</t>
  </si>
  <si>
    <t>Frankie</t>
  </si>
  <si>
    <t>Mansell-Chisholm</t>
  </si>
  <si>
    <t>FrankieMansell-Chisholm</t>
  </si>
  <si>
    <t>Kasra</t>
  </si>
  <si>
    <t>Tayebi</t>
  </si>
  <si>
    <t>KasraTayebi</t>
  </si>
  <si>
    <t>Kushaan</t>
  </si>
  <si>
    <t>Roy</t>
  </si>
  <si>
    <t>KushaanRoy</t>
  </si>
  <si>
    <t>Layton</t>
  </si>
  <si>
    <t>Brown</t>
  </si>
  <si>
    <t>LaytonBrown</t>
  </si>
  <si>
    <t>Leah</t>
  </si>
  <si>
    <t>Bass</t>
  </si>
  <si>
    <t>LeahBass</t>
  </si>
  <si>
    <t>Matthew</t>
  </si>
  <si>
    <t>Rolland</t>
  </si>
  <si>
    <t>MatthewRolland</t>
  </si>
  <si>
    <t>Nia</t>
  </si>
  <si>
    <t>Silver</t>
  </si>
  <si>
    <t>Nia Silver</t>
  </si>
  <si>
    <t>Oliver</t>
  </si>
  <si>
    <t>Lincoln</t>
  </si>
  <si>
    <t>OliverLincoln</t>
  </si>
  <si>
    <t>Princess</t>
  </si>
  <si>
    <t>Huckle</t>
  </si>
  <si>
    <t>PrincessHuckle</t>
  </si>
  <si>
    <t>Reece</t>
  </si>
  <si>
    <t>Byron</t>
  </si>
  <si>
    <t>ReeceByron</t>
  </si>
  <si>
    <t>Scott</t>
  </si>
  <si>
    <t>Bacon-Croad</t>
  </si>
  <si>
    <t>ScottBacon-Croad</t>
  </si>
  <si>
    <t>Domingues</t>
  </si>
  <si>
    <t>SophieDomingues</t>
  </si>
  <si>
    <t>Thomas</t>
  </si>
  <si>
    <t>ThomasHenry</t>
  </si>
  <si>
    <t>Vasiliki</t>
  </si>
  <si>
    <t>Malakoudi</t>
  </si>
  <si>
    <t>VasilikiMalakoudi</t>
  </si>
  <si>
    <t>Zoe</t>
  </si>
  <si>
    <t>Tingley</t>
  </si>
  <si>
    <t>ZoeTingley</t>
  </si>
  <si>
    <t>Bulmershe</t>
  </si>
  <si>
    <t>AlexanderTyler</t>
  </si>
  <si>
    <t>Amelie</t>
  </si>
  <si>
    <t>Allchurch</t>
  </si>
  <si>
    <t>AmelieAllchurch</t>
  </si>
  <si>
    <t>Avalon</t>
  </si>
  <si>
    <t>Gilbert</t>
  </si>
  <si>
    <t>AvalonGilbert</t>
  </si>
  <si>
    <t>Callum</t>
  </si>
  <si>
    <t>Hutchinson</t>
  </si>
  <si>
    <t>Carmell</t>
  </si>
  <si>
    <t>Hayes</t>
  </si>
  <si>
    <t>CarmellHayes</t>
  </si>
  <si>
    <t>Williams</t>
  </si>
  <si>
    <t>DanielWilliams</t>
  </si>
  <si>
    <t>Severe LD</t>
  </si>
  <si>
    <t>Wilson</t>
  </si>
  <si>
    <t>DanielWilson</t>
  </si>
  <si>
    <t>Curl</t>
  </si>
  <si>
    <t>HarryCurl</t>
  </si>
  <si>
    <t>Kadey-Leigh</t>
  </si>
  <si>
    <t>Vickery</t>
  </si>
  <si>
    <t>Kadey-LeighVickery</t>
  </si>
  <si>
    <t>Karanvir</t>
  </si>
  <si>
    <t>Singh</t>
  </si>
  <si>
    <t>KaranvirSingh</t>
  </si>
  <si>
    <t>Keiden</t>
  </si>
  <si>
    <t>Townsend-Griffith</t>
  </si>
  <si>
    <t>KeidenTownsend-Griffith</t>
  </si>
  <si>
    <t>Kielan</t>
  </si>
  <si>
    <t>Sampson</t>
  </si>
  <si>
    <t>16+</t>
  </si>
  <si>
    <t>Kyle</t>
  </si>
  <si>
    <t>Dziaduch</t>
  </si>
  <si>
    <t>KyleDziaduch</t>
  </si>
  <si>
    <t>Kyra-Louise</t>
  </si>
  <si>
    <t>Kyra-Louise Vickery</t>
  </si>
  <si>
    <t>Layla</t>
  </si>
  <si>
    <t>Wingrove</t>
  </si>
  <si>
    <t>LaylaWingrove</t>
  </si>
  <si>
    <t>Malakai</t>
  </si>
  <si>
    <t>Barnes</t>
  </si>
  <si>
    <t>MalakaiBarnes</t>
  </si>
  <si>
    <t>Marcel</t>
  </si>
  <si>
    <t>Czop</t>
  </si>
  <si>
    <t>Marcel Czop</t>
  </si>
  <si>
    <t>Muhammad</t>
  </si>
  <si>
    <t>Hussain</t>
  </si>
  <si>
    <t>MuhammadHussain</t>
  </si>
  <si>
    <t>King</t>
  </si>
  <si>
    <t>OliverKing</t>
  </si>
  <si>
    <t>Resian</t>
  </si>
  <si>
    <t>Ward-Kirby</t>
  </si>
  <si>
    <t>Resian Ward-Kirby</t>
  </si>
  <si>
    <t>Samuel</t>
  </si>
  <si>
    <t>Richardson</t>
  </si>
  <si>
    <t>SamuelRichardson</t>
  </si>
  <si>
    <t>Weston</t>
  </si>
  <si>
    <t>SamuelWeston</t>
  </si>
  <si>
    <t>Summa</t>
  </si>
  <si>
    <t>Thatcher</t>
  </si>
  <si>
    <t>SummaThatcher</t>
  </si>
  <si>
    <t>Tierra</t>
  </si>
  <si>
    <t>Johnson</t>
  </si>
  <si>
    <t>TierraJohnson</t>
  </si>
  <si>
    <t>Colleton Primary</t>
  </si>
  <si>
    <t>Amogh</t>
  </si>
  <si>
    <t>Kalasenavaru</t>
  </si>
  <si>
    <t>Blake</t>
  </si>
  <si>
    <t>Howton</t>
  </si>
  <si>
    <t>BlakeHowton</t>
  </si>
  <si>
    <t>Buddie</t>
  </si>
  <si>
    <t>Young</t>
  </si>
  <si>
    <t>BuddieYoung</t>
  </si>
  <si>
    <t>Garth</t>
  </si>
  <si>
    <t>Neveling-Kehoe</t>
  </si>
  <si>
    <t>GarthNeveling-Kehoe</t>
  </si>
  <si>
    <t>Holly</t>
  </si>
  <si>
    <t>Durand</t>
  </si>
  <si>
    <t>HollyDurand</t>
  </si>
  <si>
    <t>Laeko</t>
  </si>
  <si>
    <t>Lokombe-Hitti</t>
  </si>
  <si>
    <t>LaekoLokombe-Hitti</t>
  </si>
  <si>
    <t>Max</t>
  </si>
  <si>
    <t>Longhurst</t>
  </si>
  <si>
    <t>MaxLonghurst</t>
  </si>
  <si>
    <t>Riley</t>
  </si>
  <si>
    <t>Jarvis</t>
  </si>
  <si>
    <t>RileyJarvis</t>
  </si>
  <si>
    <t>Scarlett</t>
  </si>
  <si>
    <t>Bennett</t>
  </si>
  <si>
    <t>ScarlettBennett</t>
  </si>
  <si>
    <t>Coombes Primary</t>
  </si>
  <si>
    <t>Caleb</t>
  </si>
  <si>
    <t>Cook</t>
  </si>
  <si>
    <t>CalebCook</t>
  </si>
  <si>
    <t>Connor</t>
  </si>
  <si>
    <t>Cross</t>
  </si>
  <si>
    <t>ConnorCross</t>
  </si>
  <si>
    <t>Edward-Mark</t>
  </si>
  <si>
    <t>Smith</t>
  </si>
  <si>
    <t>Edward-MarkSmith</t>
  </si>
  <si>
    <t>Elsie</t>
  </si>
  <si>
    <t>ElsieRoberts</t>
  </si>
  <si>
    <t>Harvey</t>
  </si>
  <si>
    <t>Phillips</t>
  </si>
  <si>
    <t>Harvey Phillips</t>
  </si>
  <si>
    <t>Kaylan</t>
  </si>
  <si>
    <t>Watson</t>
  </si>
  <si>
    <t>KaylanWatson</t>
  </si>
  <si>
    <t>Lorena</t>
  </si>
  <si>
    <t>Monteiro E Matos</t>
  </si>
  <si>
    <t>LorenaMonteiro E Matos</t>
  </si>
  <si>
    <t>Price</t>
  </si>
  <si>
    <t>OliverPrice</t>
  </si>
  <si>
    <t>Ralphie-Ray</t>
  </si>
  <si>
    <t>Ralphie-Ray Smith</t>
  </si>
  <si>
    <t>Wraith</t>
  </si>
  <si>
    <t>WraithThomas</t>
  </si>
  <si>
    <t>Crazies Hill CE</t>
  </si>
  <si>
    <t>Cunningham</t>
  </si>
  <si>
    <t>HarveyCunningham</t>
  </si>
  <si>
    <t>Kya</t>
  </si>
  <si>
    <t>Hetherington</t>
  </si>
  <si>
    <t>KyaHetherington</t>
  </si>
  <si>
    <t>Penelope</t>
  </si>
  <si>
    <t>Dunne</t>
  </si>
  <si>
    <t>PenelopeDunne</t>
  </si>
  <si>
    <t>Earley St Peter's Primary</t>
  </si>
  <si>
    <t>Aahaan</t>
  </si>
  <si>
    <t>Chokhani</t>
  </si>
  <si>
    <t>AahaanChokhani</t>
  </si>
  <si>
    <t>Jagjot</t>
  </si>
  <si>
    <t>DULAI</t>
  </si>
  <si>
    <t>Jagjot DULAI</t>
  </si>
  <si>
    <t>Jeff-Wesley</t>
  </si>
  <si>
    <t>Randolph</t>
  </si>
  <si>
    <t>Jeff-WesleyRandolph</t>
  </si>
  <si>
    <t>OliverThomas</t>
  </si>
  <si>
    <t>Tobias</t>
  </si>
  <si>
    <t>Ahmed</t>
  </si>
  <si>
    <t>TobiasAhmed</t>
  </si>
  <si>
    <t>William</t>
  </si>
  <si>
    <t>Hearn</t>
  </si>
  <si>
    <t>WilliamHearn</t>
  </si>
  <si>
    <t>VI</t>
  </si>
  <si>
    <t>Zeeniya</t>
  </si>
  <si>
    <t>Asif</t>
  </si>
  <si>
    <t>ZeeniyaAsif</t>
  </si>
  <si>
    <t>Zak</t>
  </si>
  <si>
    <t>Wheeler</t>
  </si>
  <si>
    <t>ZakWheeler</t>
  </si>
  <si>
    <t>Emmbrook Hearing Impaired Unit</t>
  </si>
  <si>
    <t>Fatima</t>
  </si>
  <si>
    <t>FatimaHussain</t>
  </si>
  <si>
    <t>HIR-BAND6</t>
  </si>
  <si>
    <t>Marcus</t>
  </si>
  <si>
    <t>Wood</t>
  </si>
  <si>
    <t>MarcusWood</t>
  </si>
  <si>
    <t>Oscar</t>
  </si>
  <si>
    <t>O'Grady</t>
  </si>
  <si>
    <t>OscarO'Grady</t>
  </si>
  <si>
    <t>Emmbrook Infant</t>
  </si>
  <si>
    <t>Finley</t>
  </si>
  <si>
    <t>Fletcher</t>
  </si>
  <si>
    <t>FinleyFletcher</t>
  </si>
  <si>
    <t>Yr 2 Infant</t>
  </si>
  <si>
    <t>Jude</t>
  </si>
  <si>
    <t>Gray</t>
  </si>
  <si>
    <t>JudeGray</t>
  </si>
  <si>
    <t>Lacie-Mae</t>
  </si>
  <si>
    <t>Green</t>
  </si>
  <si>
    <t>Lacie-MaeGreen</t>
  </si>
  <si>
    <t>Luca</t>
  </si>
  <si>
    <t>LucaGray</t>
  </si>
  <si>
    <t>Nina</t>
  </si>
  <si>
    <t>Kucieba</t>
  </si>
  <si>
    <t>NinaKucieba</t>
  </si>
  <si>
    <t>Savanna</t>
  </si>
  <si>
    <t>McLoughlin</t>
  </si>
  <si>
    <t>Savanna McLoughlin</t>
  </si>
  <si>
    <t>Tommy</t>
  </si>
  <si>
    <t>Tommy McLoughlin</t>
  </si>
  <si>
    <t>Emmbrook Junior</t>
  </si>
  <si>
    <t>Simmons</t>
  </si>
  <si>
    <t>HarrySimmons</t>
  </si>
  <si>
    <t>Cooper</t>
  </si>
  <si>
    <t>HarveyCooper</t>
  </si>
  <si>
    <t>Jacob</t>
  </si>
  <si>
    <t>Pearce</t>
  </si>
  <si>
    <t>JacobPearce</t>
  </si>
  <si>
    <t>Stott</t>
  </si>
  <si>
    <t>JamesStott</t>
  </si>
  <si>
    <t>Mpofu</t>
  </si>
  <si>
    <t>JudeMpofu</t>
  </si>
  <si>
    <t>Kitty</t>
  </si>
  <si>
    <t>Riches</t>
  </si>
  <si>
    <t>Kitty Riches</t>
  </si>
  <si>
    <t>Langley Hawkins</t>
  </si>
  <si>
    <t>PhoebeLangley Hawkins</t>
  </si>
  <si>
    <t>Marnie</t>
  </si>
  <si>
    <t>Hearnon</t>
  </si>
  <si>
    <t>Abdul Hamid</t>
  </si>
  <si>
    <t>MuhammadAbdul Hamid</t>
  </si>
  <si>
    <t>Noah</t>
  </si>
  <si>
    <t>Loveluck</t>
  </si>
  <si>
    <t>NoahLoveluck</t>
  </si>
  <si>
    <t>Ollie</t>
  </si>
  <si>
    <t>OllieBrown</t>
  </si>
  <si>
    <t>Yates</t>
  </si>
  <si>
    <t>OliverYates</t>
  </si>
  <si>
    <t>Powell</t>
  </si>
  <si>
    <t>Yoofi</t>
  </si>
  <si>
    <t>Enchill</t>
  </si>
  <si>
    <t>YoofiEnchill</t>
  </si>
  <si>
    <t>Emmbrook Secondary</t>
  </si>
  <si>
    <t>Sharda</t>
  </si>
  <si>
    <t>AmberSharda</t>
  </si>
  <si>
    <t>Angel</t>
  </si>
  <si>
    <t>Perrin</t>
  </si>
  <si>
    <t>Allan</t>
  </si>
  <si>
    <t>Masterman</t>
  </si>
  <si>
    <t>AllanMasterman</t>
  </si>
  <si>
    <t>Archie</t>
  </si>
  <si>
    <t>Russell</t>
  </si>
  <si>
    <t>ArchieRussell</t>
  </si>
  <si>
    <t>Athanasios</t>
  </si>
  <si>
    <t>Xanthoulis</t>
  </si>
  <si>
    <t>AthanasiosXanthoulis</t>
  </si>
  <si>
    <t>Batsirai</t>
  </si>
  <si>
    <t>Mutisi</t>
  </si>
  <si>
    <t>BatsiraiMutisi</t>
  </si>
  <si>
    <t>Brooke</t>
  </si>
  <si>
    <t>Carter West</t>
  </si>
  <si>
    <t>BrookeCarter West</t>
  </si>
  <si>
    <t>McCormick</t>
  </si>
  <si>
    <t>CalebMcCormick</t>
  </si>
  <si>
    <t>Charlotte</t>
  </si>
  <si>
    <t>CharlotteEvans</t>
  </si>
  <si>
    <t>Woolford</t>
  </si>
  <si>
    <t>Mallinson</t>
  </si>
  <si>
    <t>DanielMallinson</t>
  </si>
  <si>
    <t>David</t>
  </si>
  <si>
    <t>Cash</t>
  </si>
  <si>
    <t>DavidCash</t>
  </si>
  <si>
    <t>Eddie</t>
  </si>
  <si>
    <t>Shatri</t>
  </si>
  <si>
    <t>Eddie Shatri</t>
  </si>
  <si>
    <t>Spcf LD</t>
  </si>
  <si>
    <t>Beckett</t>
  </si>
  <si>
    <t>EthanBeckett</t>
  </si>
  <si>
    <t>Turner</t>
  </si>
  <si>
    <t>FinleyTurner</t>
  </si>
  <si>
    <t>Gary</t>
  </si>
  <si>
    <t>GarySmith</t>
  </si>
  <si>
    <t>Giorgio</t>
  </si>
  <si>
    <t>Zottarelli</t>
  </si>
  <si>
    <t>GiorgioZottarelli</t>
  </si>
  <si>
    <t>JamesCash</t>
  </si>
  <si>
    <t>Test1</t>
  </si>
  <si>
    <t>JamesTest1</t>
  </si>
  <si>
    <t>Jason</t>
  </si>
  <si>
    <t>Clarke</t>
  </si>
  <si>
    <t>JasonClarke</t>
  </si>
  <si>
    <t>Jayde</t>
  </si>
  <si>
    <t>Ferrier</t>
  </si>
  <si>
    <t>JaydeFerrier</t>
  </si>
  <si>
    <t>Joshua</t>
  </si>
  <si>
    <t>Beighton</t>
  </si>
  <si>
    <t>JoshuaBeighton</t>
  </si>
  <si>
    <t>Kameron</t>
  </si>
  <si>
    <t>Waddon</t>
  </si>
  <si>
    <t>KameronWaddon</t>
  </si>
  <si>
    <t>Kayden</t>
  </si>
  <si>
    <t>Regis-Ellis</t>
  </si>
  <si>
    <t>KaydenRegis-Ellis</t>
  </si>
  <si>
    <t>Keira</t>
  </si>
  <si>
    <t>Bradshaw</t>
  </si>
  <si>
    <t>KeiraBradshaw</t>
  </si>
  <si>
    <t>Lauren</t>
  </si>
  <si>
    <t>Joseph</t>
  </si>
  <si>
    <t>LaurenJoseph</t>
  </si>
  <si>
    <t>Lik Tai</t>
  </si>
  <si>
    <t>Ho</t>
  </si>
  <si>
    <t>Lik TaiHo</t>
  </si>
  <si>
    <t>Gaudreau</t>
  </si>
  <si>
    <t>LouieGaudreau</t>
  </si>
  <si>
    <t>Maiia</t>
  </si>
  <si>
    <t>Falkova</t>
  </si>
  <si>
    <t>MaiiaFalkova</t>
  </si>
  <si>
    <t>Care-McDermott</t>
  </si>
  <si>
    <t>NoahCare-McDermott</t>
  </si>
  <si>
    <t>Phelix</t>
  </si>
  <si>
    <t>Manning</t>
  </si>
  <si>
    <t>PhelixManning</t>
  </si>
  <si>
    <t>Butler-Cook</t>
  </si>
  <si>
    <t>RussellButler-Cook</t>
  </si>
  <si>
    <t>OD</t>
  </si>
  <si>
    <t>Sarah</t>
  </si>
  <si>
    <t>Gwilliam</t>
  </si>
  <si>
    <t>SarahGwilliam</t>
  </si>
  <si>
    <t>Shannon-Grace</t>
  </si>
  <si>
    <t>Grantham</t>
  </si>
  <si>
    <t>Shannon-GraceGrantham</t>
  </si>
  <si>
    <t>Rowe</t>
  </si>
  <si>
    <t>ThomasRowe</t>
  </si>
  <si>
    <t>Troy</t>
  </si>
  <si>
    <t>Dolton</t>
  </si>
  <si>
    <t>TroyDolton</t>
  </si>
  <si>
    <t>Lamb</t>
  </si>
  <si>
    <t>Tyler Lamb</t>
  </si>
  <si>
    <t>Evendons Primary</t>
  </si>
  <si>
    <t>Sturdy</t>
  </si>
  <si>
    <t>Benjamin Sturdy</t>
  </si>
  <si>
    <t>Chinnapat</t>
  </si>
  <si>
    <t>Ruengathitskun</t>
  </si>
  <si>
    <t>ChinnapatRuengathitskun</t>
  </si>
  <si>
    <t>Dylan</t>
  </si>
  <si>
    <t>Yemm</t>
  </si>
  <si>
    <t>DylanYemm</t>
  </si>
  <si>
    <t>Edee</t>
  </si>
  <si>
    <t>Barlow-White</t>
  </si>
  <si>
    <t>EdeeBarlow-White</t>
  </si>
  <si>
    <t xml:space="preserve">Emma </t>
  </si>
  <si>
    <t>Granovsky</t>
  </si>
  <si>
    <t>Emma Granovsky</t>
  </si>
  <si>
    <t>Emmeline</t>
  </si>
  <si>
    <t>Kell</t>
  </si>
  <si>
    <t>EmmelineKell</t>
  </si>
  <si>
    <t>Belas</t>
  </si>
  <si>
    <t>EthanBelas</t>
  </si>
  <si>
    <t>29/01/2013</t>
  </si>
  <si>
    <t>Waite</t>
  </si>
  <si>
    <t>EthanWaite</t>
  </si>
  <si>
    <t>Gallina</t>
  </si>
  <si>
    <t>SEN support</t>
  </si>
  <si>
    <t>Isla</t>
  </si>
  <si>
    <t>Dornan</t>
  </si>
  <si>
    <t>Isla Dornan</t>
  </si>
  <si>
    <t>Jack</t>
  </si>
  <si>
    <t>Armitage</t>
  </si>
  <si>
    <t>JackArmitage</t>
  </si>
  <si>
    <t>Newton</t>
  </si>
  <si>
    <t>SEN</t>
  </si>
  <si>
    <t>Jamie</t>
  </si>
  <si>
    <t>Page</t>
  </si>
  <si>
    <t>JamiePage</t>
  </si>
  <si>
    <t>Dougall</t>
  </si>
  <si>
    <t>JacobDougall</t>
  </si>
  <si>
    <t>Jasmine</t>
  </si>
  <si>
    <t>JasmineTurner</t>
  </si>
  <si>
    <t>Rogers</t>
  </si>
  <si>
    <t>Joshua Rogers</t>
  </si>
  <si>
    <t>Louis</t>
  </si>
  <si>
    <t>Burke</t>
  </si>
  <si>
    <t>LouisBurke</t>
  </si>
  <si>
    <t>Myatt</t>
  </si>
  <si>
    <t>SamuelMyatt</t>
  </si>
  <si>
    <t>Haycock</t>
  </si>
  <si>
    <t>Vincent</t>
  </si>
  <si>
    <t>Severo de Almeida</t>
  </si>
  <si>
    <t>VincentSevero de Almeida</t>
  </si>
  <si>
    <t>Cummings</t>
  </si>
  <si>
    <t>Farley Hill Primary</t>
  </si>
  <si>
    <t>Hutchings</t>
  </si>
  <si>
    <t>CallumHutchings</t>
  </si>
  <si>
    <t>Casian</t>
  </si>
  <si>
    <t>Vieru</t>
  </si>
  <si>
    <t>CasianVieru</t>
  </si>
  <si>
    <t>Butler</t>
  </si>
  <si>
    <t>JackButler</t>
  </si>
  <si>
    <t>JosephManning</t>
  </si>
  <si>
    <t>Finchampstead Primary</t>
  </si>
  <si>
    <t>Christopher</t>
  </si>
  <si>
    <t>Rivers</t>
  </si>
  <si>
    <t>Christopher Rivers</t>
  </si>
  <si>
    <t>Floreat Montague Park Primary School</t>
  </si>
  <si>
    <t>Abhay</t>
  </si>
  <si>
    <t>Gulati</t>
  </si>
  <si>
    <t>AbhayGulati</t>
  </si>
  <si>
    <t>Courtney</t>
  </si>
  <si>
    <t>Robinson</t>
  </si>
  <si>
    <t>Courtney Robinson</t>
  </si>
  <si>
    <t>Colman</t>
  </si>
  <si>
    <t>Elliott</t>
  </si>
  <si>
    <t>Allen</t>
  </si>
  <si>
    <t>Elliott Allen</t>
  </si>
  <si>
    <t>Hunter</t>
  </si>
  <si>
    <t>Booth</t>
  </si>
  <si>
    <t>HunterBooth</t>
  </si>
  <si>
    <t>Tyrrell</t>
  </si>
  <si>
    <t>JacobTyrrell</t>
  </si>
  <si>
    <t>Kailen</t>
  </si>
  <si>
    <t>Hayne</t>
  </si>
  <si>
    <t>KailenHayne</t>
  </si>
  <si>
    <t>McCammick</t>
  </si>
  <si>
    <t>Lincoln McCammick</t>
  </si>
  <si>
    <t>Waters</t>
  </si>
  <si>
    <t>LoganWaters</t>
  </si>
  <si>
    <t>Mohammad</t>
  </si>
  <si>
    <t>Zain</t>
  </si>
  <si>
    <t>MohammadZain</t>
  </si>
  <si>
    <t>Piper</t>
  </si>
  <si>
    <t>Mallett</t>
  </si>
  <si>
    <t>PiperMallett</t>
  </si>
  <si>
    <t>Weaver- Lovell</t>
  </si>
  <si>
    <t>ReeceWeaver- Lovell</t>
  </si>
  <si>
    <t>Muchoki</t>
  </si>
  <si>
    <t>TylerMuchoki</t>
  </si>
  <si>
    <t>Forest</t>
  </si>
  <si>
    <t>Ahmid</t>
  </si>
  <si>
    <t>Bash-Taqi</t>
  </si>
  <si>
    <t>AhmidBash-Taqi</t>
  </si>
  <si>
    <t>Alex</t>
  </si>
  <si>
    <t>AlexGreen</t>
  </si>
  <si>
    <t>Freddie</t>
  </si>
  <si>
    <t>Smallman</t>
  </si>
  <si>
    <t>FreddieSmallman</t>
  </si>
  <si>
    <t>George</t>
  </si>
  <si>
    <t>Forster</t>
  </si>
  <si>
    <t>Jagveer</t>
  </si>
  <si>
    <t>Takhar</t>
  </si>
  <si>
    <t>JagveerTakhar</t>
  </si>
  <si>
    <t>SPLD</t>
  </si>
  <si>
    <t>Barker</t>
  </si>
  <si>
    <t>JamesBarker</t>
  </si>
  <si>
    <t>Kian</t>
  </si>
  <si>
    <t>Coleman</t>
  </si>
  <si>
    <t>KianColeman</t>
  </si>
  <si>
    <t>Montgomery</t>
  </si>
  <si>
    <t>Kenrick</t>
  </si>
  <si>
    <t>Montgomery Kenrick</t>
  </si>
  <si>
    <t>Attwood</t>
  </si>
  <si>
    <t>ThomasAttwood</t>
  </si>
  <si>
    <t>Bolton</t>
  </si>
  <si>
    <t>Thomas Bolton</t>
  </si>
  <si>
    <t>Gorse Ride Infant</t>
  </si>
  <si>
    <t>Alie</t>
  </si>
  <si>
    <t>Sama</t>
  </si>
  <si>
    <t>AlieSama</t>
  </si>
  <si>
    <t>Katy</t>
  </si>
  <si>
    <t>KatyWood</t>
  </si>
  <si>
    <t>Lukas</t>
  </si>
  <si>
    <t>Bardell</t>
  </si>
  <si>
    <t>LukasBardell</t>
  </si>
  <si>
    <t>Barber</t>
  </si>
  <si>
    <t>NathanBarber</t>
  </si>
  <si>
    <t>Gorse Ride Junior</t>
  </si>
  <si>
    <t>Znowski</t>
  </si>
  <si>
    <t>IsabelleZnowski</t>
  </si>
  <si>
    <t>Jaidan</t>
  </si>
  <si>
    <t>JaidanYoung</t>
  </si>
  <si>
    <t>KyleBrown</t>
  </si>
  <si>
    <t>Craker</t>
  </si>
  <si>
    <t>KyleCraker</t>
  </si>
  <si>
    <t>MatthewWood</t>
  </si>
  <si>
    <t>Polly</t>
  </si>
  <si>
    <t>PollyYoung</t>
  </si>
  <si>
    <t>Rose</t>
  </si>
  <si>
    <t>Lansley</t>
  </si>
  <si>
    <t>RoseLansley</t>
  </si>
  <si>
    <t>Grazeley Parochial Primary</t>
  </si>
  <si>
    <t>Anish</t>
  </si>
  <si>
    <t>Kashyap</t>
  </si>
  <si>
    <t>AnishKashyap</t>
  </si>
  <si>
    <t>Charlie</t>
  </si>
  <si>
    <t>Hares</t>
  </si>
  <si>
    <t>CharlieHares</t>
  </si>
  <si>
    <t>John</t>
  </si>
  <si>
    <t>Ibrahim</t>
  </si>
  <si>
    <t>JohnIbrahim</t>
  </si>
  <si>
    <t>Forte</t>
  </si>
  <si>
    <t>LillyForte</t>
  </si>
  <si>
    <t>Hatch Ride Primary</t>
  </si>
  <si>
    <t>Amelia</t>
  </si>
  <si>
    <t>Satchell-Shaw</t>
  </si>
  <si>
    <t>AmeliaSatchell-Shaw</t>
  </si>
  <si>
    <t>Munday</t>
  </si>
  <si>
    <t>DanielMunday</t>
  </si>
  <si>
    <t>Florence</t>
  </si>
  <si>
    <t>Newman-Shepherd</t>
  </si>
  <si>
    <t>FlorenceNewman-Shepherd</t>
  </si>
  <si>
    <t>Imogen</t>
  </si>
  <si>
    <t>Evered</t>
  </si>
  <si>
    <t>ImogenEvered</t>
  </si>
  <si>
    <t>Hawkedon Primary</t>
  </si>
  <si>
    <t>Abbie</t>
  </si>
  <si>
    <t>Shakespeare</t>
  </si>
  <si>
    <t>AbbieShakespeare</t>
  </si>
  <si>
    <t>Anika</t>
  </si>
  <si>
    <t>Ramprasad</t>
  </si>
  <si>
    <t>AnikaRamprasad</t>
  </si>
  <si>
    <t>Inwards</t>
  </si>
  <si>
    <t>CharlotteInwards</t>
  </si>
  <si>
    <t>HarryTurner</t>
  </si>
  <si>
    <t>Inaaya</t>
  </si>
  <si>
    <t>Faraz</t>
  </si>
  <si>
    <t>InaayaFaraz</t>
  </si>
  <si>
    <t>Ishan</t>
  </si>
  <si>
    <t>Tudi</t>
  </si>
  <si>
    <t>Ishan Tudi</t>
  </si>
  <si>
    <t>Toci</t>
  </si>
  <si>
    <t>JasonToci</t>
  </si>
  <si>
    <t>Jessica</t>
  </si>
  <si>
    <t>Eitokpah</t>
  </si>
  <si>
    <t>JessicaEitokpah</t>
  </si>
  <si>
    <t>Madison</t>
  </si>
  <si>
    <t>Pring</t>
  </si>
  <si>
    <t>MadisonPring</t>
  </si>
  <si>
    <t>Tracy</t>
  </si>
  <si>
    <t>MaxTracy</t>
  </si>
  <si>
    <t>Megan</t>
  </si>
  <si>
    <t>Wells</t>
  </si>
  <si>
    <t>MeganWells</t>
  </si>
  <si>
    <t>Bull</t>
  </si>
  <si>
    <t>NathanBull</t>
  </si>
  <si>
    <t>Ryan</t>
  </si>
  <si>
    <t>Neethling</t>
  </si>
  <si>
    <t>RyanNeethling</t>
  </si>
  <si>
    <t>Sofia Lauren</t>
  </si>
  <si>
    <t>Scurtu</t>
  </si>
  <si>
    <t>Sofia LaurenScurtu</t>
  </si>
  <si>
    <t>C</t>
  </si>
  <si>
    <t>Hawthorns Primary</t>
  </si>
  <si>
    <t>Bethany</t>
  </si>
  <si>
    <t>White</t>
  </si>
  <si>
    <t>BethanyWhite</t>
  </si>
  <si>
    <t>Mills</t>
  </si>
  <si>
    <t>FlorenceMills</t>
  </si>
  <si>
    <t>Frederick</t>
  </si>
  <si>
    <t>Musto</t>
  </si>
  <si>
    <t>FrederickMusto</t>
  </si>
  <si>
    <t>Dewis</t>
  </si>
  <si>
    <t>JosephDewis</t>
  </si>
  <si>
    <t>SEN supp no specialist assess</t>
  </si>
  <si>
    <t>Keiron</t>
  </si>
  <si>
    <t>Shand-White</t>
  </si>
  <si>
    <t>KeironShand-White</t>
  </si>
  <si>
    <t>Leo</t>
  </si>
  <si>
    <t>Sindhu</t>
  </si>
  <si>
    <t>LeoSindhu</t>
  </si>
  <si>
    <t>Maya</t>
  </si>
  <si>
    <t>MayaJohn</t>
  </si>
  <si>
    <t>Owen</t>
  </si>
  <si>
    <t>Dare</t>
  </si>
  <si>
    <t>OwenDare</t>
  </si>
  <si>
    <t>Russell-James</t>
  </si>
  <si>
    <t>Pike</t>
  </si>
  <si>
    <t>Russell-JamesPike</t>
  </si>
  <si>
    <t>Theo</t>
  </si>
  <si>
    <t>Wilkins</t>
  </si>
  <si>
    <t>TheoWilkins</t>
  </si>
  <si>
    <t>Highwood Primary</t>
  </si>
  <si>
    <t>Norcutt</t>
  </si>
  <si>
    <t>BenjaminNorcutt</t>
  </si>
  <si>
    <t>HIGR_BAND4</t>
  </si>
  <si>
    <t>Turton</t>
  </si>
  <si>
    <t>BethanyTurton</t>
  </si>
  <si>
    <t>Edward</t>
  </si>
  <si>
    <t>Aston</t>
  </si>
  <si>
    <t>EdwardAston</t>
  </si>
  <si>
    <t>Ella</t>
  </si>
  <si>
    <t>Blowey</t>
  </si>
  <si>
    <t>EllaBlowey</t>
  </si>
  <si>
    <t>Jefferson</t>
  </si>
  <si>
    <t>Ortiz Barba</t>
  </si>
  <si>
    <t>JeffersonOrtiz Barba</t>
  </si>
  <si>
    <t>Cheshire</t>
  </si>
  <si>
    <t>JosephCheshire</t>
  </si>
  <si>
    <t>Kai</t>
  </si>
  <si>
    <t>McAllister</t>
  </si>
  <si>
    <t>KaiMcAllister</t>
  </si>
  <si>
    <t>Selim</t>
  </si>
  <si>
    <t>Topcu</t>
  </si>
  <si>
    <t>SelimTopcu</t>
  </si>
  <si>
    <t>Yeomans</t>
  </si>
  <si>
    <t>ThomasYeomans</t>
  </si>
  <si>
    <t>Tristan</t>
  </si>
  <si>
    <t>Seymour</t>
  </si>
  <si>
    <t>TristanSeymour</t>
  </si>
  <si>
    <t>Zachary</t>
  </si>
  <si>
    <t>Sparks</t>
  </si>
  <si>
    <t>ZacharySparks</t>
  </si>
  <si>
    <t>Ahmad</t>
  </si>
  <si>
    <t>Quraishi</t>
  </si>
  <si>
    <t>AhmadQuraishi</t>
  </si>
  <si>
    <t>Dalakov</t>
  </si>
  <si>
    <t>AlexanderDalakov</t>
  </si>
  <si>
    <t>Ethihash</t>
  </si>
  <si>
    <t>Thineshkumar</t>
  </si>
  <si>
    <t>Ethihash Thineshkumar</t>
  </si>
  <si>
    <t>Hamza</t>
  </si>
  <si>
    <t>Khan</t>
  </si>
  <si>
    <t>HamzaKhan</t>
  </si>
  <si>
    <t>Kendall-Coates</t>
  </si>
  <si>
    <t>IshaqKendall-Coates</t>
  </si>
  <si>
    <t>Kaveer</t>
  </si>
  <si>
    <t>Dave</t>
  </si>
  <si>
    <t>KaveerDave</t>
  </si>
  <si>
    <t>Parker</t>
  </si>
  <si>
    <t>Reeves</t>
  </si>
  <si>
    <t>ParkerReeves</t>
  </si>
  <si>
    <t>Rosalie-Jayde</t>
  </si>
  <si>
    <t>Arding-Thompson</t>
  </si>
  <si>
    <t>Rosalie-JaydeArding-Thompson</t>
  </si>
  <si>
    <t>Sharma</t>
  </si>
  <si>
    <t>RyanSharma</t>
  </si>
  <si>
    <t>Vitoria</t>
  </si>
  <si>
    <t>Ghizi</t>
  </si>
  <si>
    <t>VitoriaGhizi</t>
  </si>
  <si>
    <t>Zarrar</t>
  </si>
  <si>
    <t>Solat</t>
  </si>
  <si>
    <t>ZarrarSolat</t>
  </si>
  <si>
    <t>Hillside Primary</t>
  </si>
  <si>
    <t>Trotman Freeman</t>
  </si>
  <si>
    <t>AlfieTrotman Freeman</t>
  </si>
  <si>
    <t>Ewan</t>
  </si>
  <si>
    <t>Jones-Smallbone</t>
  </si>
  <si>
    <t>EwanJones-Smallbone</t>
  </si>
  <si>
    <t>Isabella</t>
  </si>
  <si>
    <t>Sialwiindi</t>
  </si>
  <si>
    <t>IsabellaSialwiindi</t>
  </si>
  <si>
    <t>Ling</t>
  </si>
  <si>
    <t>JackLing</t>
  </si>
  <si>
    <t>Kristopher</t>
  </si>
  <si>
    <t>Branford</t>
  </si>
  <si>
    <t>KristopherBranford</t>
  </si>
  <si>
    <t>Leyton-Bryce</t>
  </si>
  <si>
    <t>Caston</t>
  </si>
  <si>
    <t>Leyton-BryceCaston</t>
  </si>
  <si>
    <t xml:space="preserve">Marshall </t>
  </si>
  <si>
    <t>Banister-Russell</t>
  </si>
  <si>
    <t>Marshall Banister-Russell</t>
  </si>
  <si>
    <t>Richie</t>
  </si>
  <si>
    <t>Townsend-Borecki</t>
  </si>
  <si>
    <t>RichieTownsend-Borecki</t>
  </si>
  <si>
    <t>Seren</t>
  </si>
  <si>
    <t>Bowman</t>
  </si>
  <si>
    <t>SerenBowman</t>
  </si>
  <si>
    <t>Sophia</t>
  </si>
  <si>
    <t>Morgan Dunne</t>
  </si>
  <si>
    <t>SophiaMorgan Dunne</t>
  </si>
  <si>
    <t>Sukhvir</t>
  </si>
  <si>
    <t>Bhamra</t>
  </si>
  <si>
    <t>SukhvirBhamra</t>
  </si>
  <si>
    <t>Holt</t>
  </si>
  <si>
    <t>Anoushka</t>
  </si>
  <si>
    <t>Bruce</t>
  </si>
  <si>
    <t>Anoushka Bruce</t>
  </si>
  <si>
    <t>Elowen</t>
  </si>
  <si>
    <t>McMaster</t>
  </si>
  <si>
    <t>ElowenMcMaster</t>
  </si>
  <si>
    <t>Sancto</t>
  </si>
  <si>
    <t>FlorenceSancto</t>
  </si>
  <si>
    <t>Brady</t>
  </si>
  <si>
    <t>JessicaBrady</t>
  </si>
  <si>
    <t>Lily</t>
  </si>
  <si>
    <t>LilyPage</t>
  </si>
  <si>
    <t>Michelle</t>
  </si>
  <si>
    <t>Egwuagu</t>
  </si>
  <si>
    <t>Connors</t>
  </si>
  <si>
    <t>RoseConnors</t>
  </si>
  <si>
    <t>Makuyana</t>
  </si>
  <si>
    <t>ZoeMakuyana</t>
  </si>
  <si>
    <t>Keep Hatch Primary</t>
  </si>
  <si>
    <t>Anthony</t>
  </si>
  <si>
    <t>Dzwonkowski</t>
  </si>
  <si>
    <t>AnthonyDzwonkowski</t>
  </si>
  <si>
    <t>Holmes</t>
  </si>
  <si>
    <t>AstonHolmes</t>
  </si>
  <si>
    <t>Ayaan</t>
  </si>
  <si>
    <t>Iqbal</t>
  </si>
  <si>
    <t>AyaanIqbal</t>
  </si>
  <si>
    <t>Bailey</t>
  </si>
  <si>
    <t>Jeune</t>
  </si>
  <si>
    <t>Bailey Jeune</t>
  </si>
  <si>
    <t>Cayden</t>
  </si>
  <si>
    <t>CaydenSeymour</t>
  </si>
  <si>
    <t>Evie</t>
  </si>
  <si>
    <t>Brookes</t>
  </si>
  <si>
    <t>EvieBrookes</t>
  </si>
  <si>
    <t>Tate</t>
  </si>
  <si>
    <t>Jacob Tate</t>
  </si>
  <si>
    <t>Farr</t>
  </si>
  <si>
    <t>JasmineFarr</t>
  </si>
  <si>
    <t>Jayden</t>
  </si>
  <si>
    <t>Savory</t>
  </si>
  <si>
    <t>Jayson</t>
  </si>
  <si>
    <t>Joubran</t>
  </si>
  <si>
    <t>JaysonJoubran</t>
  </si>
  <si>
    <t>Kaydie</t>
  </si>
  <si>
    <t>O'Neill</t>
  </si>
  <si>
    <t>KaydieO'Neill</t>
  </si>
  <si>
    <t>Lacie-Anne</t>
  </si>
  <si>
    <t>Brabon</t>
  </si>
  <si>
    <t>Lacie-AnneBrabon</t>
  </si>
  <si>
    <t>Liam</t>
  </si>
  <si>
    <t>Waistell</t>
  </si>
  <si>
    <t>LiamWaistell</t>
  </si>
  <si>
    <t>Luke</t>
  </si>
  <si>
    <t>Gould Seymour</t>
  </si>
  <si>
    <t>LukeGould Seymour</t>
  </si>
  <si>
    <t>Orson</t>
  </si>
  <si>
    <t>Lewis</t>
  </si>
  <si>
    <t>Connell</t>
  </si>
  <si>
    <t>SamuelConnell</t>
  </si>
  <si>
    <t>Lambs Lane Primary</t>
  </si>
  <si>
    <t>Beatrice</t>
  </si>
  <si>
    <t>Goddard</t>
  </si>
  <si>
    <t>BeatriceGoddard</t>
  </si>
  <si>
    <t>LAL_PD3_Element 3</t>
  </si>
  <si>
    <t>Daisy</t>
  </si>
  <si>
    <t>Gale</t>
  </si>
  <si>
    <t>DaisyGale</t>
  </si>
  <si>
    <t>LAL_PD3_BAND4</t>
  </si>
  <si>
    <t>Dawson</t>
  </si>
  <si>
    <t>Gosling</t>
  </si>
  <si>
    <t>DawsonGosling</t>
  </si>
  <si>
    <t>Alfred</t>
  </si>
  <si>
    <t>Eaton</t>
  </si>
  <si>
    <t>Alyaan</t>
  </si>
  <si>
    <t>Siddiqui</t>
  </si>
  <si>
    <t>AlyaanSiddiqui</t>
  </si>
  <si>
    <t>Jones</t>
  </si>
  <si>
    <t>CharlieJones</t>
  </si>
  <si>
    <t>Francis</t>
  </si>
  <si>
    <t>Keirle</t>
  </si>
  <si>
    <t>FrancisKeirle</t>
  </si>
  <si>
    <t>HenryKeirle</t>
  </si>
  <si>
    <t>Nicol</t>
  </si>
  <si>
    <t>Jacob Nicol</t>
  </si>
  <si>
    <t>JamieCook</t>
  </si>
  <si>
    <t>Behr</t>
  </si>
  <si>
    <t>LoganBehr</t>
  </si>
  <si>
    <t>Saffron</t>
  </si>
  <si>
    <t>SaffronSmith</t>
  </si>
  <si>
    <t>Loddon Primary</t>
  </si>
  <si>
    <t>Habib</t>
  </si>
  <si>
    <t>Ghafoor</t>
  </si>
  <si>
    <t>HabibGhafoor</t>
  </si>
  <si>
    <t>Haroon</t>
  </si>
  <si>
    <t>Haroon Ahmad</t>
  </si>
  <si>
    <t>Taylor-Glover</t>
  </si>
  <si>
    <t>Milway</t>
  </si>
  <si>
    <t>JamesMilway</t>
  </si>
  <si>
    <t>Knipe</t>
  </si>
  <si>
    <t>JoshuaKnipe</t>
  </si>
  <si>
    <t>Jafri</t>
  </si>
  <si>
    <t>ZainJafri</t>
  </si>
  <si>
    <t>Maiden Erlegh</t>
  </si>
  <si>
    <t>Stockle</t>
  </si>
  <si>
    <t>AmberStockle</t>
  </si>
  <si>
    <t>cover in Indigo</t>
  </si>
  <si>
    <t>Indigo</t>
  </si>
  <si>
    <t>Knights</t>
  </si>
  <si>
    <t>AnthonyKnights</t>
  </si>
  <si>
    <t>Eckert</t>
  </si>
  <si>
    <t>LilyEckert</t>
  </si>
  <si>
    <t>Best</t>
  </si>
  <si>
    <t>MatthewBest</t>
  </si>
  <si>
    <t>Oluwatomisin</t>
  </si>
  <si>
    <t>Adekola</t>
  </si>
  <si>
    <t>OluwatomisinAdekola</t>
  </si>
  <si>
    <t>Robert</t>
  </si>
  <si>
    <t>Portwine</t>
  </si>
  <si>
    <t>RobertPortwine</t>
  </si>
  <si>
    <t>Rhea</t>
  </si>
  <si>
    <t>Saini</t>
  </si>
  <si>
    <t>RheaSaini</t>
  </si>
  <si>
    <t>Indigo Budget</t>
  </si>
  <si>
    <t>Indigo Budget Adj</t>
  </si>
  <si>
    <t>Aaliyah</t>
  </si>
  <si>
    <t>Burton</t>
  </si>
  <si>
    <t>AaliyahBurton</t>
  </si>
  <si>
    <t>Aarav</t>
  </si>
  <si>
    <t>Basetti</t>
  </si>
  <si>
    <t>AaravBasetti</t>
  </si>
  <si>
    <t>Adam</t>
  </si>
  <si>
    <t>Mohamed</t>
  </si>
  <si>
    <t>AdamMohamed</t>
  </si>
  <si>
    <t>Adem</t>
  </si>
  <si>
    <t>Adem White</t>
  </si>
  <si>
    <t>Aiden</t>
  </si>
  <si>
    <t>AidenSmith</t>
  </si>
  <si>
    <t>Aisha</t>
  </si>
  <si>
    <t>Oppong</t>
  </si>
  <si>
    <t>AishaOppong</t>
  </si>
  <si>
    <t>Alexia</t>
  </si>
  <si>
    <t>Bennett-Goodchild</t>
  </si>
  <si>
    <t>AlexiaBennett-Goodchild</t>
  </si>
  <si>
    <t>Lockyear</t>
  </si>
  <si>
    <t>Amber Lockyear</t>
  </si>
  <si>
    <t>Arlo</t>
  </si>
  <si>
    <t>Crocombe</t>
  </si>
  <si>
    <t>ArloCrocombe</t>
  </si>
  <si>
    <t>Ben</t>
  </si>
  <si>
    <t>Stockings</t>
  </si>
  <si>
    <t>BenStockings</t>
  </si>
  <si>
    <t>Twigg</t>
  </si>
  <si>
    <t>BenjaminTwigg</t>
  </si>
  <si>
    <t>Evans-Farrar</t>
  </si>
  <si>
    <t>CallumEvans-Farrar</t>
  </si>
  <si>
    <t>Camron</t>
  </si>
  <si>
    <t>Perry</t>
  </si>
  <si>
    <t>CamronPerry</t>
  </si>
  <si>
    <t>Chloe</t>
  </si>
  <si>
    <t>Nagle</t>
  </si>
  <si>
    <t>ChloeNagle</t>
  </si>
  <si>
    <t>Colleen</t>
  </si>
  <si>
    <t>Molson</t>
  </si>
  <si>
    <t>ColleenMolson</t>
  </si>
  <si>
    <t>Emery</t>
  </si>
  <si>
    <t>DaisyEmery</t>
  </si>
  <si>
    <t>Hennessey</t>
  </si>
  <si>
    <t>DanielHennessey</t>
  </si>
  <si>
    <t>Okwelegbe</t>
  </si>
  <si>
    <t>DanielOkwelegbe</t>
  </si>
  <si>
    <t>Bagga</t>
  </si>
  <si>
    <t>DylanBagga</t>
  </si>
  <si>
    <t>ElliottCook</t>
  </si>
  <si>
    <t>Boba</t>
  </si>
  <si>
    <t>EthanBoba</t>
  </si>
  <si>
    <t xml:space="preserve">Frederick </t>
  </si>
  <si>
    <t>Frederick Page</t>
  </si>
  <si>
    <t>Harley</t>
  </si>
  <si>
    <t>Cummins</t>
  </si>
  <si>
    <t>HarleyCummins</t>
  </si>
  <si>
    <t>Isaac</t>
  </si>
  <si>
    <t>Tregunno</t>
  </si>
  <si>
    <t>IsaacTregunno</t>
  </si>
  <si>
    <t>Creaney</t>
  </si>
  <si>
    <t>JamesCreaney</t>
  </si>
  <si>
    <t>Jan</t>
  </si>
  <si>
    <t>Alpar</t>
  </si>
  <si>
    <t>Jan Alpar</t>
  </si>
  <si>
    <t>Olakotan</t>
  </si>
  <si>
    <t>JohnOlakotan</t>
  </si>
  <si>
    <t>Jonathan</t>
  </si>
  <si>
    <t>CHINTA KUNTA</t>
  </si>
  <si>
    <t>JonathanCHINTA KUNTA</t>
  </si>
  <si>
    <t>Justin</t>
  </si>
  <si>
    <t>Cleeton</t>
  </si>
  <si>
    <t>JustinCleeton</t>
  </si>
  <si>
    <t>Nader</t>
  </si>
  <si>
    <t>KaiNader</t>
  </si>
  <si>
    <t>Kassius</t>
  </si>
  <si>
    <t>KassiusClarke</t>
  </si>
  <si>
    <t>Kenenna</t>
  </si>
  <si>
    <t>Ejike</t>
  </si>
  <si>
    <t>KenennaEjike</t>
  </si>
  <si>
    <t>Khabib</t>
  </si>
  <si>
    <t>Gilani</t>
  </si>
  <si>
    <t>KhabibGilani</t>
  </si>
  <si>
    <t>Clow</t>
  </si>
  <si>
    <t>KyleClow</t>
  </si>
  <si>
    <t>Laci-Lou</t>
  </si>
  <si>
    <t>Corby</t>
  </si>
  <si>
    <t>Laci-LouCorby</t>
  </si>
  <si>
    <t>Michael</t>
  </si>
  <si>
    <t>Rostron</t>
  </si>
  <si>
    <t>MichaelRostron</t>
  </si>
  <si>
    <t>Mikhail</t>
  </si>
  <si>
    <t>MikhailJafri</t>
  </si>
  <si>
    <t>Mohammed</t>
  </si>
  <si>
    <t>Saddiq</t>
  </si>
  <si>
    <t>MohammedSaddiq</t>
  </si>
  <si>
    <t>MuhammadKhan</t>
  </si>
  <si>
    <t>Dalby</t>
  </si>
  <si>
    <t>OliverDalby</t>
  </si>
  <si>
    <t>Worth</t>
  </si>
  <si>
    <t>OliverWorth</t>
  </si>
  <si>
    <t>Oliver-James</t>
  </si>
  <si>
    <t>McEwen</t>
  </si>
  <si>
    <t>Oliver-JamesMcEwen</t>
  </si>
  <si>
    <t>Orla</t>
  </si>
  <si>
    <t>OrlaSingh</t>
  </si>
  <si>
    <t>Raffio</t>
  </si>
  <si>
    <t>Mann</t>
  </si>
  <si>
    <t>RaffioMann</t>
  </si>
  <si>
    <t>Razan</t>
  </si>
  <si>
    <t>Somai</t>
  </si>
  <si>
    <t>RazanSomai</t>
  </si>
  <si>
    <t>Reyan</t>
  </si>
  <si>
    <t>Shah</t>
  </si>
  <si>
    <t>Rubina</t>
  </si>
  <si>
    <t>RubinaKhan</t>
  </si>
  <si>
    <t>Keary</t>
  </si>
  <si>
    <t>SamuelKeary</t>
  </si>
  <si>
    <t>Saoirse</t>
  </si>
  <si>
    <t>De chi-Adams</t>
  </si>
  <si>
    <t>SaoirseDe chi-Adams</t>
  </si>
  <si>
    <t>Sreekar</t>
  </si>
  <si>
    <t>Rajen</t>
  </si>
  <si>
    <t>SreekarRajen</t>
  </si>
  <si>
    <t>Sriram</t>
  </si>
  <si>
    <t>Pokala</t>
  </si>
  <si>
    <t>SriramPokala</t>
  </si>
  <si>
    <t>Syeda</t>
  </si>
  <si>
    <t>Taj</t>
  </si>
  <si>
    <t>SyedaTaj</t>
  </si>
  <si>
    <t>Parlour</t>
  </si>
  <si>
    <t>TommyParlour</t>
  </si>
  <si>
    <t>Trey</t>
  </si>
  <si>
    <t>Gurney</t>
  </si>
  <si>
    <t>TreyGurney</t>
  </si>
  <si>
    <t>Veda</t>
  </si>
  <si>
    <t>Gorthy</t>
  </si>
  <si>
    <t>VedaGorthy</t>
  </si>
  <si>
    <t>Xavier</t>
  </si>
  <si>
    <t>Cancela Stokes</t>
  </si>
  <si>
    <t>XavierCancela Stokes</t>
  </si>
  <si>
    <t>Nine Mile Ride Primary</t>
  </si>
  <si>
    <t>Aegon</t>
  </si>
  <si>
    <t>Karthik</t>
  </si>
  <si>
    <t>AegonKarthik</t>
  </si>
  <si>
    <t>CallumPerry</t>
  </si>
  <si>
    <t>Sier-Acinas</t>
  </si>
  <si>
    <t>DanielSier-Acinas</t>
  </si>
  <si>
    <t>Hartaj</t>
  </si>
  <si>
    <t>Grewal</t>
  </si>
  <si>
    <t>Sofia</t>
  </si>
  <si>
    <t>Tinnion</t>
  </si>
  <si>
    <t>SofiaTinnion</t>
  </si>
  <si>
    <t>Oakbank Free School</t>
  </si>
  <si>
    <t>Ahiza</t>
  </si>
  <si>
    <t>Robins</t>
  </si>
  <si>
    <t>Coral-Louise</t>
  </si>
  <si>
    <t>Allum</t>
  </si>
  <si>
    <t>Coral-Louise Allum</t>
  </si>
  <si>
    <t>Curtis</t>
  </si>
  <si>
    <t>Heath</t>
  </si>
  <si>
    <t>CurtisHeath</t>
  </si>
  <si>
    <t>Freya</t>
  </si>
  <si>
    <t>Bayliss-Humphreys</t>
  </si>
  <si>
    <t>FreyaBayliss-Humphreys</t>
  </si>
  <si>
    <t>HollyElliott</t>
  </si>
  <si>
    <t>Jenson</t>
  </si>
  <si>
    <t>Parrish</t>
  </si>
  <si>
    <t>JensonParrish</t>
  </si>
  <si>
    <t>Jeremy</t>
  </si>
  <si>
    <t>Poku</t>
  </si>
  <si>
    <t>JeremyPoku</t>
  </si>
  <si>
    <t>Jessie</t>
  </si>
  <si>
    <t>Flockton</t>
  </si>
  <si>
    <t>JessieFlockton</t>
  </si>
  <si>
    <t>Kyana</t>
  </si>
  <si>
    <t>Roach</t>
  </si>
  <si>
    <t>KyanaRoach</t>
  </si>
  <si>
    <t>Maria</t>
  </si>
  <si>
    <t>Koscheck</t>
  </si>
  <si>
    <t>Maria Koscheck</t>
  </si>
  <si>
    <t>OliviaBurke</t>
  </si>
  <si>
    <t>Rhys</t>
  </si>
  <si>
    <t>Baker</t>
  </si>
  <si>
    <t>RhysBaker</t>
  </si>
  <si>
    <t>Riley-Lukas</t>
  </si>
  <si>
    <t>Riley-LukasHolmes</t>
  </si>
  <si>
    <t>Oaklands Infant</t>
  </si>
  <si>
    <t>Harris</t>
  </si>
  <si>
    <t>CharlieHarris</t>
  </si>
  <si>
    <t>Oaklands Junior</t>
  </si>
  <si>
    <t>Gooch</t>
  </si>
  <si>
    <t>AlfieGooch</t>
  </si>
  <si>
    <t>Gibson</t>
  </si>
  <si>
    <t>HarryGibson</t>
  </si>
  <si>
    <t>Jasper</t>
  </si>
  <si>
    <t>Wright</t>
  </si>
  <si>
    <t>TheoHarris</t>
  </si>
  <si>
    <t>Piggott CE</t>
  </si>
  <si>
    <t>Abdullah</t>
  </si>
  <si>
    <t>Abbas</t>
  </si>
  <si>
    <t>AbdullahAbbas</t>
  </si>
  <si>
    <t>Alfie Cooper</t>
  </si>
  <si>
    <t>Hickman</t>
  </si>
  <si>
    <t>AmelieHickman</t>
  </si>
  <si>
    <t>Kimuli</t>
  </si>
  <si>
    <t>BenjaminKimuli</t>
  </si>
  <si>
    <t>Bethan</t>
  </si>
  <si>
    <t>Coller</t>
  </si>
  <si>
    <t>BethanColler</t>
  </si>
  <si>
    <t>Charles</t>
  </si>
  <si>
    <t>Hookway</t>
  </si>
  <si>
    <t>CharlesHookway</t>
  </si>
  <si>
    <t>Shearsby</t>
  </si>
  <si>
    <t>CharlesShearsby</t>
  </si>
  <si>
    <t>Clara</t>
  </si>
  <si>
    <t>Steuart</t>
  </si>
  <si>
    <t>ClaraSteuart</t>
  </si>
  <si>
    <t>Meadowcroft</t>
  </si>
  <si>
    <t>EwanMeadowcroft</t>
  </si>
  <si>
    <t>Grace</t>
  </si>
  <si>
    <t>Wilkes</t>
  </si>
  <si>
    <t>GraceWilkes</t>
  </si>
  <si>
    <t>Harrison</t>
  </si>
  <si>
    <t>HarrisonGibson</t>
  </si>
  <si>
    <t>Hope</t>
  </si>
  <si>
    <t>HopeWilkes</t>
  </si>
  <si>
    <t>McAndrew</t>
  </si>
  <si>
    <t>IsabelleMcAndrew</t>
  </si>
  <si>
    <t>Leather</t>
  </si>
  <si>
    <t>JackLeather</t>
  </si>
  <si>
    <t>Ford</t>
  </si>
  <si>
    <t>JasmineFord</t>
  </si>
  <si>
    <t>Joe</t>
  </si>
  <si>
    <t>Adams</t>
  </si>
  <si>
    <t>JoeAdams</t>
  </si>
  <si>
    <t>Morris</t>
  </si>
  <si>
    <t>MatthewMorris</t>
  </si>
  <si>
    <t>Awais</t>
  </si>
  <si>
    <t>MohammadAwais</t>
  </si>
  <si>
    <t>Omkar</t>
  </si>
  <si>
    <t>Syam</t>
  </si>
  <si>
    <t>OmkarSyam</t>
  </si>
  <si>
    <t>May</t>
  </si>
  <si>
    <t>OscarMay</t>
  </si>
  <si>
    <t>Lewendon</t>
  </si>
  <si>
    <t>ReeceLewendon</t>
  </si>
  <si>
    <t>Rosina</t>
  </si>
  <si>
    <t>Pearson</t>
  </si>
  <si>
    <t>RosinaPearson</t>
  </si>
  <si>
    <t>Hilling</t>
  </si>
  <si>
    <t>SamuelHilling</t>
  </si>
  <si>
    <t>Skye</t>
  </si>
  <si>
    <t>Henwood</t>
  </si>
  <si>
    <t>SkyeHenwood</t>
  </si>
  <si>
    <t>Toby</t>
  </si>
  <si>
    <t>Beresford</t>
  </si>
  <si>
    <t>Toby Beresford</t>
  </si>
  <si>
    <t>Vedant</t>
  </si>
  <si>
    <t>VedantSyam</t>
  </si>
  <si>
    <t>Polehampton Infant</t>
  </si>
  <si>
    <t>Martin</t>
  </si>
  <si>
    <t>AlexanderMartin</t>
  </si>
  <si>
    <t>Gabriel</t>
  </si>
  <si>
    <t>Hart</t>
  </si>
  <si>
    <t>GabrielHart</t>
  </si>
  <si>
    <t>Hadriel</t>
  </si>
  <si>
    <t>Liu</t>
  </si>
  <si>
    <t>Hadriel Liu</t>
  </si>
  <si>
    <t>Wontner-Smith</t>
  </si>
  <si>
    <t>LewisWontner-Smith</t>
  </si>
  <si>
    <t>Polehampton Junior</t>
  </si>
  <si>
    <t xml:space="preserve">Aiden Roberts </t>
  </si>
  <si>
    <t>Aleah</t>
  </si>
  <si>
    <t>AleahGreen</t>
  </si>
  <si>
    <t>Shepherd</t>
  </si>
  <si>
    <t>ConnorShepherd</t>
  </si>
  <si>
    <t>Elizabeth</t>
  </si>
  <si>
    <t>Glover</t>
  </si>
  <si>
    <t>ElizabethGlover</t>
  </si>
  <si>
    <t>Heidi</t>
  </si>
  <si>
    <t>HeidiRoberts</t>
  </si>
  <si>
    <t>Gomez Elphick</t>
  </si>
  <si>
    <t>JoshuaGomez Elphick</t>
  </si>
  <si>
    <t>Josie</t>
  </si>
  <si>
    <t>Rusher</t>
  </si>
  <si>
    <t>JosieRusher</t>
  </si>
  <si>
    <t>Mason</t>
  </si>
  <si>
    <t>Hicks</t>
  </si>
  <si>
    <t>MasonHicks</t>
  </si>
  <si>
    <t>Searle</t>
  </si>
  <si>
    <t>NoahSearle</t>
  </si>
  <si>
    <t>Buchanan</t>
  </si>
  <si>
    <t>WilliamBuchanan</t>
  </si>
  <si>
    <t>Radstock Primary</t>
  </si>
  <si>
    <t>Akshaj</t>
  </si>
  <si>
    <t>Kalamakuntla</t>
  </si>
  <si>
    <t>AkshajKalamakuntla</t>
  </si>
  <si>
    <t>Albert</t>
  </si>
  <si>
    <t>Miclosoni</t>
  </si>
  <si>
    <t>AlbertMiclosoni</t>
  </si>
  <si>
    <t>Aya</t>
  </si>
  <si>
    <t>Tall</t>
  </si>
  <si>
    <t>AyaTall</t>
  </si>
  <si>
    <t>Bradley</t>
  </si>
  <si>
    <t>Norriss</t>
  </si>
  <si>
    <t>HenryWatson</t>
  </si>
  <si>
    <t>ModLD</t>
  </si>
  <si>
    <t>Hwee</t>
  </si>
  <si>
    <t>Au-Yeung</t>
  </si>
  <si>
    <t>Trinder</t>
  </si>
  <si>
    <t>JacobTrinder</t>
  </si>
  <si>
    <t>Eeles</t>
  </si>
  <si>
    <t>MaxEeles</t>
  </si>
  <si>
    <t>Mehul</t>
  </si>
  <si>
    <t>Mokashi</t>
  </si>
  <si>
    <t>MehulMokashi</t>
  </si>
  <si>
    <t>Anis</t>
  </si>
  <si>
    <t>MuhammadAnis</t>
  </si>
  <si>
    <t>Nicolas</t>
  </si>
  <si>
    <t>Cysneiros Karatzas</t>
  </si>
  <si>
    <t>NicolasCysneiros Karatzas</t>
  </si>
  <si>
    <t>Nicole</t>
  </si>
  <si>
    <t>Burr</t>
  </si>
  <si>
    <t>NicoleBurr</t>
  </si>
  <si>
    <t>OliverTrinder</t>
  </si>
  <si>
    <t>Othniel</t>
  </si>
  <si>
    <t>Nsiah Boateng</t>
  </si>
  <si>
    <t>OthnielNsiah Boateng</t>
  </si>
  <si>
    <t>Rumaan</t>
  </si>
  <si>
    <t>Waseem</t>
  </si>
  <si>
    <t>RumaanWaseem</t>
  </si>
  <si>
    <t>Romell</t>
  </si>
  <si>
    <t>Rivermead Primary</t>
  </si>
  <si>
    <t>Ayla</t>
  </si>
  <si>
    <t>Mirza</t>
  </si>
  <si>
    <t>AylaMirza</t>
  </si>
  <si>
    <t>DaisySmith</t>
  </si>
  <si>
    <t>Eden</t>
  </si>
  <si>
    <t>Close</t>
  </si>
  <si>
    <t>EdenClose</t>
  </si>
  <si>
    <t>Hugo</t>
  </si>
  <si>
    <t>Clair</t>
  </si>
  <si>
    <t>HugoClair</t>
  </si>
  <si>
    <t>Ishaan</t>
  </si>
  <si>
    <t>Honey</t>
  </si>
  <si>
    <t>IshaanHoney</t>
  </si>
  <si>
    <t>Woody</t>
  </si>
  <si>
    <t>Goodall</t>
  </si>
  <si>
    <t>WoodyGoodall</t>
  </si>
  <si>
    <t>Robert Piggott Infant</t>
  </si>
  <si>
    <t>Trimble</t>
  </si>
  <si>
    <t>AlexanderTrimble</t>
  </si>
  <si>
    <t>BenjaminTrimble</t>
  </si>
  <si>
    <t>Barnard</t>
  </si>
  <si>
    <t>HarrisonBarnard</t>
  </si>
  <si>
    <t xml:space="preserve">Hermione </t>
  </si>
  <si>
    <t>Hermione Shaw</t>
  </si>
  <si>
    <t>Keegan</t>
  </si>
  <si>
    <t>JacobKeegan</t>
  </si>
  <si>
    <t>Hemani</t>
  </si>
  <si>
    <t>JackHemani</t>
  </si>
  <si>
    <t>SamuelKeegan</t>
  </si>
  <si>
    <t>Robert Piggott Junior</t>
  </si>
  <si>
    <t>Wyld</t>
  </si>
  <si>
    <t>Arthur Wyld</t>
  </si>
  <si>
    <t>Barnaby</t>
  </si>
  <si>
    <t>BarnabyRoberts</t>
  </si>
  <si>
    <t>Ciara</t>
  </si>
  <si>
    <t>CiaraSmith</t>
  </si>
  <si>
    <t>Vinnie</t>
  </si>
  <si>
    <t>VinnieMartin</t>
  </si>
  <si>
    <t>ZacharyBarnard</t>
  </si>
  <si>
    <t>Shinfield Infant</t>
  </si>
  <si>
    <t>Wasi</t>
  </si>
  <si>
    <t>Aisha Wasi</t>
  </si>
  <si>
    <t>Arvin</t>
  </si>
  <si>
    <t>Gurung</t>
  </si>
  <si>
    <t>ArvinGurung</t>
  </si>
  <si>
    <t>Chaitanya</t>
  </si>
  <si>
    <t>Deepak</t>
  </si>
  <si>
    <t>ChaitanyaDeepak</t>
  </si>
  <si>
    <t>Charvilochana</t>
  </si>
  <si>
    <t>Dundigella</t>
  </si>
  <si>
    <t>CharvilochanaDundigella</t>
  </si>
  <si>
    <t>Don Amandi</t>
  </si>
  <si>
    <t>Jayamanne</t>
  </si>
  <si>
    <t>Don AmandiJayamanne</t>
  </si>
  <si>
    <t>Huntley</t>
  </si>
  <si>
    <t>ElsieHuntley</t>
  </si>
  <si>
    <t>Okeke</t>
  </si>
  <si>
    <t>LaurenOkeke</t>
  </si>
  <si>
    <t>Nesbitt</t>
  </si>
  <si>
    <t>LukeNesbitt</t>
  </si>
  <si>
    <t>Mohammed Zayn</t>
  </si>
  <si>
    <t>Hafiz Gill</t>
  </si>
  <si>
    <t>Mohammed ZaynHafiz Gill</t>
  </si>
  <si>
    <t>Riley Bennett</t>
  </si>
  <si>
    <t>Shinfield St Mary's Junior</t>
  </si>
  <si>
    <t>Alisha</t>
  </si>
  <si>
    <t>Mitra</t>
  </si>
  <si>
    <t>AlishaMitra</t>
  </si>
  <si>
    <t>Rowntree</t>
  </si>
  <si>
    <t>CharlieRowntree</t>
  </si>
  <si>
    <t>Dolly-Marie</t>
  </si>
  <si>
    <t>Darling</t>
  </si>
  <si>
    <t>Dolly-MarieDarling</t>
  </si>
  <si>
    <t>Emilia</t>
  </si>
  <si>
    <t>EmiliaBurke</t>
  </si>
  <si>
    <t>Hewett</t>
  </si>
  <si>
    <t>HarleyHewett</t>
  </si>
  <si>
    <t>Sonning Primary</t>
  </si>
  <si>
    <t>DylanWells</t>
  </si>
  <si>
    <t>Gianfranco</t>
  </si>
  <si>
    <t>Gregorio</t>
  </si>
  <si>
    <t>GianfrancoGregorio</t>
  </si>
  <si>
    <t>Marsden</t>
  </si>
  <si>
    <t>MasonMarsden</t>
  </si>
  <si>
    <t>Southlake Primary</t>
  </si>
  <si>
    <t>Aamari</t>
  </si>
  <si>
    <t>McLean</t>
  </si>
  <si>
    <t>Aamari McLean</t>
  </si>
  <si>
    <t>Quaife</t>
  </si>
  <si>
    <t>AlexanderQuaife</t>
  </si>
  <si>
    <t>Day</t>
  </si>
  <si>
    <t>ArchieDay</t>
  </si>
  <si>
    <t>Pechell</t>
  </si>
  <si>
    <t>Blake Pechell</t>
  </si>
  <si>
    <t>Nobes</t>
  </si>
  <si>
    <t>EthanNobes</t>
  </si>
  <si>
    <t>Banks</t>
  </si>
  <si>
    <t>HarveyBanks</t>
  </si>
  <si>
    <t>Djuric</t>
  </si>
  <si>
    <t>HugoDjuric</t>
  </si>
  <si>
    <t>IbrahimMirza</t>
  </si>
  <si>
    <t>Walsh</t>
  </si>
  <si>
    <t>JamieWalsh</t>
  </si>
  <si>
    <t>Langley</t>
  </si>
  <si>
    <t>MasonLangley</t>
  </si>
  <si>
    <t>MaxNewton</t>
  </si>
  <si>
    <t>Tien</t>
  </si>
  <si>
    <t>Ruqayyah</t>
  </si>
  <si>
    <t>RuqayyahKhan</t>
  </si>
  <si>
    <t>Crick</t>
  </si>
  <si>
    <t>TylerCrick</t>
  </si>
  <si>
    <t>St Crispins</t>
  </si>
  <si>
    <t>Ashton</t>
  </si>
  <si>
    <t>AshtonRowe</t>
  </si>
  <si>
    <t>SCR</t>
  </si>
  <si>
    <t>DylanPitt</t>
  </si>
  <si>
    <t>Emily</t>
  </si>
  <si>
    <t>EmilyBrooks</t>
  </si>
  <si>
    <t>Wickens</t>
  </si>
  <si>
    <t>GeorgeWickens</t>
  </si>
  <si>
    <t>Edmondson</t>
  </si>
  <si>
    <t>JoshuaEdmondson</t>
  </si>
  <si>
    <t>Stamp</t>
  </si>
  <si>
    <t>JoshuaStamp</t>
  </si>
  <si>
    <t>Lake</t>
  </si>
  <si>
    <t>LouisLake</t>
  </si>
  <si>
    <t>Byrne</t>
  </si>
  <si>
    <t>OscarByrne</t>
  </si>
  <si>
    <t>Oskar</t>
  </si>
  <si>
    <t>Vieten</t>
  </si>
  <si>
    <t>OskarVieten</t>
  </si>
  <si>
    <t xml:space="preserve">Ledden </t>
  </si>
  <si>
    <t xml:space="preserve">Riley Ledden </t>
  </si>
  <si>
    <t>Sam</t>
  </si>
  <si>
    <t>Fountain</t>
  </si>
  <si>
    <t>SamFountain</t>
  </si>
  <si>
    <t>Clisby</t>
  </si>
  <si>
    <t>ThomasClisby</t>
  </si>
  <si>
    <t>Oaks Budget</t>
  </si>
  <si>
    <t>Oaks Budget Adj</t>
  </si>
  <si>
    <t>Aagash</t>
  </si>
  <si>
    <t>Thanesh</t>
  </si>
  <si>
    <t>AagashThanesh</t>
  </si>
  <si>
    <t>Aleksandar</t>
  </si>
  <si>
    <t>Saucek</t>
  </si>
  <si>
    <t>AleksandarSaucek</t>
  </si>
  <si>
    <t>Angus</t>
  </si>
  <si>
    <t>Helyer</t>
  </si>
  <si>
    <t>AngusHelyer</t>
  </si>
  <si>
    <t>Annalea</t>
  </si>
  <si>
    <t>Lane</t>
  </si>
  <si>
    <t>AnnaleaLane</t>
  </si>
  <si>
    <t>?</t>
  </si>
  <si>
    <t>Brian-James</t>
  </si>
  <si>
    <t>Brian-JamesClarke</t>
  </si>
  <si>
    <t>Cassy</t>
  </si>
  <si>
    <t>Allwood</t>
  </si>
  <si>
    <t>CassyAllwood</t>
  </si>
  <si>
    <t>Edwards</t>
  </si>
  <si>
    <t>CaydenEdwards</t>
  </si>
  <si>
    <t>Kirkwood</t>
  </si>
  <si>
    <t>CharlieKirkwood</t>
  </si>
  <si>
    <t>Chelsee</t>
  </si>
  <si>
    <t>L'Estrange</t>
  </si>
  <si>
    <t>ChelseeL'Estrange</t>
  </si>
  <si>
    <t>Corey</t>
  </si>
  <si>
    <t>Holland</t>
  </si>
  <si>
    <t>CoreyHolland</t>
  </si>
  <si>
    <t>CourtneyL'Estrange</t>
  </si>
  <si>
    <t>DanielWatson</t>
  </si>
  <si>
    <t>Sudlow</t>
  </si>
  <si>
    <t>EmilySudlow</t>
  </si>
  <si>
    <t>Ormiston</t>
  </si>
  <si>
    <t>EwanOrmiston</t>
  </si>
  <si>
    <t>Farley</t>
  </si>
  <si>
    <t>HarryFarley</t>
  </si>
  <si>
    <t>Bacon-Canning</t>
  </si>
  <si>
    <t>HarrisonBacon-Canning</t>
  </si>
  <si>
    <t>Hei Long</t>
  </si>
  <si>
    <t>Chiang</t>
  </si>
  <si>
    <t>Hei Long Chiang</t>
  </si>
  <si>
    <t>Iwan</t>
  </si>
  <si>
    <t>Winfield</t>
  </si>
  <si>
    <t>IwanWinfield</t>
  </si>
  <si>
    <t>Lloyd</t>
  </si>
  <si>
    <t>JacobLloyd</t>
  </si>
  <si>
    <t>Kaya</t>
  </si>
  <si>
    <t>Beynon</t>
  </si>
  <si>
    <t>KayaBeynon</t>
  </si>
  <si>
    <t>North</t>
  </si>
  <si>
    <t>Leo North</t>
  </si>
  <si>
    <t>Popaya</t>
  </si>
  <si>
    <t>LeoPopaya</t>
  </si>
  <si>
    <t>Leonardo</t>
  </si>
  <si>
    <t>Scales</t>
  </si>
  <si>
    <t>LeonardoScales</t>
  </si>
  <si>
    <t>LewisWood</t>
  </si>
  <si>
    <t>Libby-May</t>
  </si>
  <si>
    <t>Mulcahy-Claridge</t>
  </si>
  <si>
    <t>Libby-MayMulcahy-Claridge</t>
  </si>
  <si>
    <t>Mia</t>
  </si>
  <si>
    <t>Farricker</t>
  </si>
  <si>
    <t>MiaFarricker</t>
  </si>
  <si>
    <t>Morrish</t>
  </si>
  <si>
    <t>Poppy-Irys</t>
  </si>
  <si>
    <t>Pemberton</t>
  </si>
  <si>
    <t>Poppy-IrysPemberton</t>
  </si>
  <si>
    <t>Rahimah</t>
  </si>
  <si>
    <t>Mahmood</t>
  </si>
  <si>
    <t>RahimahMahmood</t>
  </si>
  <si>
    <t>Little</t>
  </si>
  <si>
    <t>RyanLittle</t>
  </si>
  <si>
    <t>Parker-Wood</t>
  </si>
  <si>
    <t>RyanParker-Wood</t>
  </si>
  <si>
    <t>Dolecki</t>
  </si>
  <si>
    <t>Samuel Dolecki</t>
  </si>
  <si>
    <t>Stevie</t>
  </si>
  <si>
    <t>Coulthard</t>
  </si>
  <si>
    <t>StevieCoulthard</t>
  </si>
  <si>
    <t>TylerSavory</t>
  </si>
  <si>
    <t>Zixun</t>
  </si>
  <si>
    <t>Zhu</t>
  </si>
  <si>
    <t>ZixunZhu</t>
  </si>
  <si>
    <t>CWAW</t>
  </si>
  <si>
    <t>St Dominic Savio Primary</t>
  </si>
  <si>
    <t>Abhiram</t>
  </si>
  <si>
    <t>Acharya</t>
  </si>
  <si>
    <t>AbhiramAcharya</t>
  </si>
  <si>
    <t>Adly</t>
  </si>
  <si>
    <t>AnthonyAdly</t>
  </si>
  <si>
    <t>Anay</t>
  </si>
  <si>
    <t>Lakhotia</t>
  </si>
  <si>
    <t>AnayLakhotia</t>
  </si>
  <si>
    <t>TOP 31.75</t>
  </si>
  <si>
    <t>Soscia</t>
  </si>
  <si>
    <t>CharlieSoscia</t>
  </si>
  <si>
    <t>Dawud</t>
  </si>
  <si>
    <t>DawudMuhammad</t>
  </si>
  <si>
    <t>Faryal</t>
  </si>
  <si>
    <t>Matyal</t>
  </si>
  <si>
    <t>FaryalMatyal</t>
  </si>
  <si>
    <t>Hassan</t>
  </si>
  <si>
    <t>Njie</t>
  </si>
  <si>
    <t>HassanNjie</t>
  </si>
  <si>
    <t>HussainNjie</t>
  </si>
  <si>
    <t>Saunders</t>
  </si>
  <si>
    <t>LeoSaunders</t>
  </si>
  <si>
    <t>Linda</t>
  </si>
  <si>
    <t>Sirova</t>
  </si>
  <si>
    <t>Linda Sirova</t>
  </si>
  <si>
    <t>Nazeer</t>
  </si>
  <si>
    <t>MohammadNazeer</t>
  </si>
  <si>
    <t>Raed</t>
  </si>
  <si>
    <t>RaedWaseem</t>
  </si>
  <si>
    <t>TheoSmith</t>
  </si>
  <si>
    <t>Teddy</t>
  </si>
  <si>
    <t>TeddyBrown</t>
  </si>
  <si>
    <t>Yusuf</t>
  </si>
  <si>
    <t>Okuducu</t>
  </si>
  <si>
    <t>St Nicholas Primary</t>
  </si>
  <si>
    <t>Kellan</t>
  </si>
  <si>
    <t>Lazard-Shapland</t>
  </si>
  <si>
    <t>KellanLazard-Shapland</t>
  </si>
  <si>
    <t>No</t>
  </si>
  <si>
    <t>St Paul's Junior</t>
  </si>
  <si>
    <t>Moore</t>
  </si>
  <si>
    <t>Freya Moore</t>
  </si>
  <si>
    <t>Lilley</t>
  </si>
  <si>
    <t>MasonLilley</t>
  </si>
  <si>
    <t>St Teresa's Primary</t>
  </si>
  <si>
    <t>Natalia</t>
  </si>
  <si>
    <t>Glowacka</t>
  </si>
  <si>
    <t>NataliaGlowacka</t>
  </si>
  <si>
    <t>St Sebastian's Primary</t>
  </si>
  <si>
    <t>Felix</t>
  </si>
  <si>
    <t>FelixCash</t>
  </si>
  <si>
    <t>Other Dif</t>
  </si>
  <si>
    <t>Jake</t>
  </si>
  <si>
    <t>Charkham</t>
  </si>
  <si>
    <t>JakeCharkham</t>
  </si>
  <si>
    <t>Waingels College</t>
  </si>
  <si>
    <t>AbbieJohnson</t>
  </si>
  <si>
    <t>Geary</t>
  </si>
  <si>
    <t>AlfieGeary</t>
  </si>
  <si>
    <t>Webb</t>
  </si>
  <si>
    <t>AlfieWebb</t>
  </si>
  <si>
    <t>Cameron</t>
  </si>
  <si>
    <t>Simpson</t>
  </si>
  <si>
    <t>CameronSimpson</t>
  </si>
  <si>
    <t>Cole</t>
  </si>
  <si>
    <t>ColePearce</t>
  </si>
  <si>
    <t>Elena</t>
  </si>
  <si>
    <t>Cowley-Castell</t>
  </si>
  <si>
    <t>ElenaCowley-Castell</t>
  </si>
  <si>
    <t>EllaWilliams</t>
  </si>
  <si>
    <t>Newmarch</t>
  </si>
  <si>
    <t>GeorgeNewmarch</t>
  </si>
  <si>
    <t>Hana</t>
  </si>
  <si>
    <t>Rexhepi</t>
  </si>
  <si>
    <t>HanaRexhepi</t>
  </si>
  <si>
    <t>Harper</t>
  </si>
  <si>
    <t>HarperClose</t>
  </si>
  <si>
    <t>Paice</t>
  </si>
  <si>
    <t>JaydenPaice</t>
  </si>
  <si>
    <t>Radomski</t>
  </si>
  <si>
    <t>JustinRadomski</t>
  </si>
  <si>
    <t>Lexie</t>
  </si>
  <si>
    <t>Donovan</t>
  </si>
  <si>
    <t>LexieDonovan</t>
  </si>
  <si>
    <t>Pereira</t>
  </si>
  <si>
    <t>LeonardoPereira</t>
  </si>
  <si>
    <t xml:space="preserve">Liam </t>
  </si>
  <si>
    <t>Somerville</t>
  </si>
  <si>
    <t>Liam Somerville</t>
  </si>
  <si>
    <t>Marco</t>
  </si>
  <si>
    <t>Gattuso</t>
  </si>
  <si>
    <t>MarcoGattuso</t>
  </si>
  <si>
    <t>Reuben</t>
  </si>
  <si>
    <t>Fisher</t>
  </si>
  <si>
    <t>ReubenFisher</t>
  </si>
  <si>
    <t>Rosario</t>
  </si>
  <si>
    <t>RosarioGattuso</t>
  </si>
  <si>
    <t>Tatenda</t>
  </si>
  <si>
    <t>Gore</t>
  </si>
  <si>
    <t>TatendaGore</t>
  </si>
  <si>
    <t>Smillie</t>
  </si>
  <si>
    <t>TheoSmillie</t>
  </si>
  <si>
    <t>Umar</t>
  </si>
  <si>
    <t>Mehmood</t>
  </si>
  <si>
    <t>UmarMehmood</t>
  </si>
  <si>
    <t>Walter Infant</t>
  </si>
  <si>
    <t xml:space="preserve">Asim </t>
  </si>
  <si>
    <t>Asim Mohammad</t>
  </si>
  <si>
    <t>ChloeEdwards</t>
  </si>
  <si>
    <t>Denyer</t>
  </si>
  <si>
    <t>FrederickDenyer</t>
  </si>
  <si>
    <t>Jidenna</t>
  </si>
  <si>
    <t>Collins</t>
  </si>
  <si>
    <t>JidennaCollins</t>
  </si>
  <si>
    <t>Ronnie</t>
  </si>
  <si>
    <t>Howe</t>
  </si>
  <si>
    <t>RonnieHowe</t>
  </si>
  <si>
    <t>Wescott Infant</t>
  </si>
  <si>
    <t>Aaron</t>
  </si>
  <si>
    <t>Dhillon</t>
  </si>
  <si>
    <t>AaronDhillon</t>
  </si>
  <si>
    <t>WCR_Band 6</t>
  </si>
  <si>
    <t>Hatfield</t>
  </si>
  <si>
    <t>CharlotteHatfield</t>
  </si>
  <si>
    <t>Isobel</t>
  </si>
  <si>
    <t>Boulton</t>
  </si>
  <si>
    <t>IsobelBoulton</t>
  </si>
  <si>
    <t>Joey</t>
  </si>
  <si>
    <t>Lambden</t>
  </si>
  <si>
    <t>JoeyLambden</t>
  </si>
  <si>
    <t>McKendrick</t>
  </si>
  <si>
    <t>MichaelMcKendrick</t>
  </si>
  <si>
    <t>WCR_Band 5</t>
  </si>
  <si>
    <t>WCR</t>
  </si>
  <si>
    <t>Ronald</t>
  </si>
  <si>
    <t>Stone</t>
  </si>
  <si>
    <t>RonaldStone</t>
  </si>
  <si>
    <t>Childs</t>
  </si>
  <si>
    <t>StanleyChilds</t>
  </si>
  <si>
    <t>Usman</t>
  </si>
  <si>
    <t>Haris</t>
  </si>
  <si>
    <t>UsmanHaris</t>
  </si>
  <si>
    <t>Cassells</t>
  </si>
  <si>
    <t>HarryCassells</t>
  </si>
  <si>
    <t>Westende Junior</t>
  </si>
  <si>
    <t>Vorster</t>
  </si>
  <si>
    <t>AaronVorster</t>
  </si>
  <si>
    <t>WESR_BAND 6</t>
  </si>
  <si>
    <t>Cumming</t>
  </si>
  <si>
    <t>AmeliaCumming</t>
  </si>
  <si>
    <t>Bobby</t>
  </si>
  <si>
    <t>Loveridge</t>
  </si>
  <si>
    <t>Codie</t>
  </si>
  <si>
    <t>Murphy</t>
  </si>
  <si>
    <t>CodieMurphy</t>
  </si>
  <si>
    <t>Jensen</t>
  </si>
  <si>
    <t>Barrett</t>
  </si>
  <si>
    <t>JensenBarrett</t>
  </si>
  <si>
    <t>Harding</t>
  </si>
  <si>
    <t>JoshuaHarding</t>
  </si>
  <si>
    <t>Naylor</t>
  </si>
  <si>
    <t>NaylorHughes</t>
  </si>
  <si>
    <t>WESR_BAND 5</t>
  </si>
  <si>
    <t>Omar</t>
  </si>
  <si>
    <t>Abubakar Bhatti</t>
  </si>
  <si>
    <t>OmarAbubakar Bhatti</t>
  </si>
  <si>
    <t>Ryka</t>
  </si>
  <si>
    <t>Chakraborty</t>
  </si>
  <si>
    <t>RykaChakraborty</t>
  </si>
  <si>
    <t>WESR_BAND5</t>
  </si>
  <si>
    <t>Yuanzhan</t>
  </si>
  <si>
    <t>Bai</t>
  </si>
  <si>
    <t>YuanzhanBai</t>
  </si>
  <si>
    <t>Elkes</t>
  </si>
  <si>
    <t>Francesca</t>
  </si>
  <si>
    <t>Matthews</t>
  </si>
  <si>
    <t>FrancescaMatthews</t>
  </si>
  <si>
    <t>GraceBarrett</t>
  </si>
  <si>
    <t>Macie</t>
  </si>
  <si>
    <t>Streich</t>
  </si>
  <si>
    <t>Maisie</t>
  </si>
  <si>
    <t>Bartlett</t>
  </si>
  <si>
    <t>MaisieBartlett</t>
  </si>
  <si>
    <t>Timothy</t>
  </si>
  <si>
    <t>Mansell</t>
  </si>
  <si>
    <t>TimothyMansell</t>
  </si>
  <si>
    <t>TobySutton</t>
  </si>
  <si>
    <t>Wheatfield Primary</t>
  </si>
  <si>
    <t>Advik</t>
  </si>
  <si>
    <t>Udayan</t>
  </si>
  <si>
    <t>AdvikUdayan</t>
  </si>
  <si>
    <t>Annabelle</t>
  </si>
  <si>
    <t>Lucas</t>
  </si>
  <si>
    <t>AnnabelleLucas</t>
  </si>
  <si>
    <t>Wyeth</t>
  </si>
  <si>
    <t>JosephWyeth</t>
  </si>
  <si>
    <t>Whiteknights Primary</t>
  </si>
  <si>
    <t>Travis</t>
  </si>
  <si>
    <t>JackTravis</t>
  </si>
  <si>
    <t>Ruby</t>
  </si>
  <si>
    <t>Memory</t>
  </si>
  <si>
    <t>RubyMemory</t>
  </si>
  <si>
    <t>Willow Bank Infant</t>
  </si>
  <si>
    <t>Aubree</t>
  </si>
  <si>
    <t>Hughman</t>
  </si>
  <si>
    <t>AubreeHughman</t>
  </si>
  <si>
    <t>Evelyn</t>
  </si>
  <si>
    <t>Ward</t>
  </si>
  <si>
    <t>EvelynWard</t>
  </si>
  <si>
    <t>Coles</t>
  </si>
  <si>
    <t>JackColes</t>
  </si>
  <si>
    <t>Hallett</t>
  </si>
  <si>
    <t>LoganHallett</t>
  </si>
  <si>
    <t>Khokhar</t>
  </si>
  <si>
    <t>MayaKhokhar</t>
  </si>
  <si>
    <t>Thalia</t>
  </si>
  <si>
    <t>Bunce</t>
  </si>
  <si>
    <t>ThaliaBunce</t>
  </si>
  <si>
    <t>Wheal</t>
  </si>
  <si>
    <t>RubyWheal</t>
  </si>
  <si>
    <t>Stoney-Channon</t>
  </si>
  <si>
    <t>Willow Bank Junior</t>
  </si>
  <si>
    <t>Amaya</t>
  </si>
  <si>
    <t>Farrell</t>
  </si>
  <si>
    <t>AmayaFarrell</t>
  </si>
  <si>
    <t>Hislop</t>
  </si>
  <si>
    <t>CallumHislop</t>
  </si>
  <si>
    <t>Chase</t>
  </si>
  <si>
    <t>Etchels</t>
  </si>
  <si>
    <t>ChaseEtchels</t>
  </si>
  <si>
    <t>Cora</t>
  </si>
  <si>
    <t>CoraMorris</t>
  </si>
  <si>
    <t>DanielWebb</t>
  </si>
  <si>
    <t>Jak</t>
  </si>
  <si>
    <t>Pengraeve</t>
  </si>
  <si>
    <t>JakPengraeve</t>
  </si>
  <si>
    <t>Wicks</t>
  </si>
  <si>
    <t>Millie</t>
  </si>
  <si>
    <t>Baughan</t>
  </si>
  <si>
    <t>MillieBaughan</t>
  </si>
  <si>
    <t>Nicholas</t>
  </si>
  <si>
    <t>NicholasJones</t>
  </si>
  <si>
    <t>Armson</t>
  </si>
  <si>
    <t>NoahArmson</t>
  </si>
  <si>
    <t xml:space="preserve">Theo </t>
  </si>
  <si>
    <t>Hall</t>
  </si>
  <si>
    <t>Theo Hall</t>
  </si>
  <si>
    <t>Windmill Primary</t>
  </si>
  <si>
    <t>Andrew</t>
  </si>
  <si>
    <t>AndrewGray</t>
  </si>
  <si>
    <t>Queenan</t>
  </si>
  <si>
    <t>Bazely</t>
  </si>
  <si>
    <t>DaisyBazely</t>
  </si>
  <si>
    <t>Evie-Scarlett</t>
  </si>
  <si>
    <t>Haanstra</t>
  </si>
  <si>
    <t>Evie-Scarlett Haanstra</t>
  </si>
  <si>
    <t>Hadassah</t>
  </si>
  <si>
    <t>Kaze</t>
  </si>
  <si>
    <t>HadassahKaze</t>
  </si>
  <si>
    <t>Larkwood</t>
  </si>
  <si>
    <t>JacobLarkwood</t>
  </si>
  <si>
    <t>Joyce</t>
  </si>
  <si>
    <t>Ajiboye</t>
  </si>
  <si>
    <t>Kimberly</t>
  </si>
  <si>
    <t>KimberlyEgwuagu</t>
  </si>
  <si>
    <t>MarcoMartin</t>
  </si>
  <si>
    <t>Ridit</t>
  </si>
  <si>
    <t>Winnersh Primary</t>
  </si>
  <si>
    <t>Monaghan</t>
  </si>
  <si>
    <t>CharlieMonaghan</t>
  </si>
  <si>
    <t>Frankie-Dean</t>
  </si>
  <si>
    <t>Frankie-DeanSmith</t>
  </si>
  <si>
    <t>GabrielJones</t>
  </si>
  <si>
    <t>Hafsa</t>
  </si>
  <si>
    <t>HafsaAhmed</t>
  </si>
  <si>
    <t>MaisieLamb</t>
  </si>
  <si>
    <t>Miller</t>
  </si>
  <si>
    <t>RubyMiller</t>
  </si>
  <si>
    <t>Sedgman</t>
  </si>
  <si>
    <t>TheoSedgman</t>
  </si>
  <si>
    <t>Woodley Primary</t>
  </si>
  <si>
    <t>AlbertSmith</t>
  </si>
  <si>
    <t>Carpenter</t>
  </si>
  <si>
    <t>AlexanderCarpenter</t>
  </si>
  <si>
    <t>ArchieButler</t>
  </si>
  <si>
    <t>DylanGreen</t>
  </si>
  <si>
    <t>HarleyTaylor</t>
  </si>
  <si>
    <t>Goff</t>
  </si>
  <si>
    <t>Harry Goff</t>
  </si>
  <si>
    <t>Jay Curtiss</t>
  </si>
  <si>
    <t>Trussler</t>
  </si>
  <si>
    <t>Jay CurtissTrussler</t>
  </si>
  <si>
    <t>Kieron</t>
  </si>
  <si>
    <t>KieronRadomski</t>
  </si>
  <si>
    <t>O'Brien-Noakes</t>
  </si>
  <si>
    <t>LewisO'Brien-Noakes</t>
  </si>
  <si>
    <t>PS/SS &amp; Acad</t>
  </si>
  <si>
    <t>EY</t>
  </si>
  <si>
    <t>calculate hours for full year</t>
  </si>
  <si>
    <t>deduct £6k</t>
  </si>
  <si>
    <t>DO NOT deduct £6k</t>
  </si>
  <si>
    <t>Pro rata for year</t>
  </si>
  <si>
    <t>Pay monthly Acad, PS/SS termly</t>
  </si>
  <si>
    <t>Pay termly</t>
  </si>
  <si>
    <t>Hourly rate from 23/24</t>
  </si>
  <si>
    <t>new rate</t>
  </si>
  <si>
    <t>INFANT</t>
  </si>
  <si>
    <t>All Saints Primary_Maintained</t>
  </si>
  <si>
    <t>Yes</t>
  </si>
  <si>
    <t>SECONDARY</t>
  </si>
  <si>
    <t>HNB</t>
  </si>
  <si>
    <t>Voules</t>
  </si>
  <si>
    <t>Tegan</t>
  </si>
  <si>
    <t>Knight</t>
  </si>
  <si>
    <t>PV</t>
  </si>
  <si>
    <t>JNL</t>
  </si>
  <si>
    <t>Grand Total</t>
  </si>
  <si>
    <t>PS</t>
  </si>
  <si>
    <t>SS</t>
  </si>
  <si>
    <t>ctrl</t>
  </si>
  <si>
    <t>Provisions</t>
  </si>
  <si>
    <t>20-25</t>
  </si>
  <si>
    <t>26-30</t>
  </si>
  <si>
    <t>30+</t>
  </si>
  <si>
    <t>BAND3</t>
  </si>
  <si>
    <t>BAND4</t>
  </si>
  <si>
    <t>BAND5</t>
  </si>
  <si>
    <t>BAND6</t>
  </si>
  <si>
    <t>RU Banding Annual Value</t>
  </si>
  <si>
    <t>Banding</t>
  </si>
  <si>
    <t>summer23</t>
  </si>
  <si>
    <t>Green Park Day Nursery</t>
  </si>
  <si>
    <t>Happy Hours Pre School</t>
  </si>
  <si>
    <t>Wargrave Pre-School</t>
  </si>
  <si>
    <t>The Willows</t>
  </si>
  <si>
    <t>Ashridge Nursery</t>
  </si>
  <si>
    <t>Cedar Park Day Nursery</t>
  </si>
  <si>
    <t>Dingley Family and Specialist EY Centre -Wokingham</t>
  </si>
  <si>
    <t>The Holme Grange School</t>
  </si>
  <si>
    <t>Holme Park Day Nursery</t>
  </si>
  <si>
    <t>Stepping Stones Day Nursery &amp; Pre-School</t>
  </si>
  <si>
    <t>Cost Centre or BWO ID</t>
  </si>
  <si>
    <t>status</t>
  </si>
  <si>
    <t>SEN Cost centre/ Mnstr or academy</t>
  </si>
  <si>
    <t>Transaction Type</t>
  </si>
  <si>
    <t>Initials</t>
  </si>
  <si>
    <t>START DATE</t>
  </si>
  <si>
    <t>END  SUMMER TERM 23</t>
  </si>
  <si>
    <t>CALCULATED COST - AMBLESIDE full year, OTHER settings termly only PAYABLE</t>
  </si>
  <si>
    <t>Toran</t>
  </si>
  <si>
    <t>Farnan</t>
  </si>
  <si>
    <t>Toran Farnan</t>
  </si>
  <si>
    <t>TF</t>
  </si>
  <si>
    <t>The Ambleside - The Pastures</t>
  </si>
  <si>
    <t>Ava</t>
  </si>
  <si>
    <t>Lau</t>
  </si>
  <si>
    <t>Ava Lau</t>
  </si>
  <si>
    <t>AL</t>
  </si>
  <si>
    <t>The Ambleside Centre</t>
  </si>
  <si>
    <t>Khalil</t>
  </si>
  <si>
    <t>KhalilKetmouli</t>
  </si>
  <si>
    <t>Ketmouli</t>
  </si>
  <si>
    <t>KK</t>
  </si>
  <si>
    <t>Salifu</t>
  </si>
  <si>
    <t>Darboe</t>
  </si>
  <si>
    <t>Salifu Darboe</t>
  </si>
  <si>
    <t>SD</t>
  </si>
  <si>
    <t>Sayana</t>
  </si>
  <si>
    <t>Lohith</t>
  </si>
  <si>
    <t>Sayana Lohith</t>
  </si>
  <si>
    <t>SL</t>
  </si>
  <si>
    <t>The Ambleside Centre_Meadows</t>
  </si>
  <si>
    <t>Theodore</t>
  </si>
  <si>
    <t>McCretton-Palmer</t>
  </si>
  <si>
    <t>Theodorr McCretton-Palmer</t>
  </si>
  <si>
    <t>TMP</t>
  </si>
  <si>
    <t>Barclay</t>
  </si>
  <si>
    <t>Henry Barclay</t>
  </si>
  <si>
    <t>HB</t>
  </si>
  <si>
    <t>Roderick</t>
  </si>
  <si>
    <t>Alfie Roderick</t>
  </si>
  <si>
    <t>AR</t>
  </si>
  <si>
    <t>Freddie Barber</t>
  </si>
  <si>
    <t>FB</t>
  </si>
  <si>
    <t>Cox</t>
  </si>
  <si>
    <t>LouieCox</t>
  </si>
  <si>
    <t>LC</t>
  </si>
  <si>
    <t>Profound LD</t>
  </si>
  <si>
    <t>Margot</t>
  </si>
  <si>
    <t>Philp</t>
  </si>
  <si>
    <t>Margot Philp</t>
  </si>
  <si>
    <t>MP</t>
  </si>
  <si>
    <t>Severe disability</t>
  </si>
  <si>
    <t>Penny</t>
  </si>
  <si>
    <t>Prosser</t>
  </si>
  <si>
    <t>Penny Prosser</t>
  </si>
  <si>
    <t>PP</t>
  </si>
  <si>
    <t>RB</t>
  </si>
  <si>
    <t>Raymond</t>
  </si>
  <si>
    <t>RaymondJOnes</t>
  </si>
  <si>
    <t>RJ</t>
  </si>
  <si>
    <t>Greenwood Pre School</t>
  </si>
  <si>
    <t>MA</t>
  </si>
  <si>
    <t>Happitots Day Nursery</t>
  </si>
  <si>
    <t>Haddy</t>
  </si>
  <si>
    <t>Bittaye</t>
  </si>
  <si>
    <t>HaddyBittaye</t>
  </si>
  <si>
    <t>Lilah-Jean</t>
  </si>
  <si>
    <t>Villa</t>
  </si>
  <si>
    <t>LJV</t>
  </si>
  <si>
    <t>Street</t>
  </si>
  <si>
    <t>Thomas Street</t>
  </si>
  <si>
    <t>TS</t>
  </si>
  <si>
    <t>Gauri</t>
  </si>
  <si>
    <t>Prakash</t>
  </si>
  <si>
    <t>Gauri Prakash</t>
  </si>
  <si>
    <t>GP</t>
  </si>
  <si>
    <t>J. CHARD-Childminder</t>
  </si>
  <si>
    <t>FelixColeman</t>
  </si>
  <si>
    <t>FC</t>
  </si>
  <si>
    <t>Jubilee Day Nursery</t>
  </si>
  <si>
    <t>Chrisp</t>
  </si>
  <si>
    <t>Leo Chrisp</t>
  </si>
  <si>
    <t>Kingsclere Day Nursery</t>
  </si>
  <si>
    <t>Eliza</t>
  </si>
  <si>
    <t>Ihenacho</t>
  </si>
  <si>
    <t>Eliza Ihenacho</t>
  </si>
  <si>
    <t>EI</t>
  </si>
  <si>
    <t>Kilnsea Pre-School (Under Fives)</t>
  </si>
  <si>
    <t>Roman</t>
  </si>
  <si>
    <t>Robson</t>
  </si>
  <si>
    <t>RR</t>
  </si>
  <si>
    <t>LOWER EARLEY DAY NURSERY AND PRE SCHOOL</t>
  </si>
  <si>
    <t>Baha-uddin</t>
  </si>
  <si>
    <t>Baha-uddin Husssain</t>
  </si>
  <si>
    <t>BH</t>
  </si>
  <si>
    <t>MEADOW Nursery school</t>
  </si>
  <si>
    <t>Chloe Edwards</t>
  </si>
  <si>
    <t>CE</t>
  </si>
  <si>
    <t>Merrydale Day Nursery &amp; Pre-School</t>
  </si>
  <si>
    <t>Lenny</t>
  </si>
  <si>
    <t>Wiggins</t>
  </si>
  <si>
    <t>Lenny Wiggins</t>
  </si>
  <si>
    <t>LW</t>
  </si>
  <si>
    <t>Oaktree Day Nursery and Preschool</t>
  </si>
  <si>
    <t>Zayyan</t>
  </si>
  <si>
    <t>Shah Zayyan</t>
  </si>
  <si>
    <t>SZ</t>
  </si>
  <si>
    <t>Poperinghe Pre-School</t>
  </si>
  <si>
    <t>Eta</t>
  </si>
  <si>
    <t>Eta Harris</t>
  </si>
  <si>
    <t>EH</t>
  </si>
  <si>
    <t>Howells-Openshaw</t>
  </si>
  <si>
    <t>Jackson</t>
  </si>
  <si>
    <t>HOJ</t>
  </si>
  <si>
    <t>Doggett</t>
  </si>
  <si>
    <t>GabrielDoggett</t>
  </si>
  <si>
    <t>GD</t>
  </si>
  <si>
    <t>St Nicholas Pre School</t>
  </si>
  <si>
    <t>Maclachlan</t>
  </si>
  <si>
    <t>MaclachlanTheodor</t>
  </si>
  <si>
    <t>TM</t>
  </si>
  <si>
    <t>St Sebastian's Primary/Nursery</t>
  </si>
  <si>
    <t>Montgomerie</t>
  </si>
  <si>
    <t>StanelyMontgomerie</t>
  </si>
  <si>
    <t>SM</t>
  </si>
  <si>
    <t>Swallowfield Pre-School</t>
  </si>
  <si>
    <t>The Willows Nursery</t>
  </si>
  <si>
    <t>Aria</t>
  </si>
  <si>
    <t>Gibling</t>
  </si>
  <si>
    <t>AriaGibling</t>
  </si>
  <si>
    <t>AG</t>
  </si>
  <si>
    <t>Cayvion</t>
  </si>
  <si>
    <t>Shattock-Budd</t>
  </si>
  <si>
    <t>Cayvion Shattock-Budd</t>
  </si>
  <si>
    <t>CSB</t>
  </si>
  <si>
    <t xml:space="preserve">Daniel </t>
  </si>
  <si>
    <t>Khadeem</t>
  </si>
  <si>
    <t>Daniel Khadeem</t>
  </si>
  <si>
    <t>DK</t>
  </si>
  <si>
    <t>Toad Hall Nursery</t>
  </si>
  <si>
    <t>Aydin</t>
  </si>
  <si>
    <t>Sihra</t>
  </si>
  <si>
    <t>Aydin Sihra</t>
  </si>
  <si>
    <t>AS</t>
  </si>
  <si>
    <t>Waterside Early Care &amp; Education Centre</t>
  </si>
  <si>
    <t>Avyaan</t>
  </si>
  <si>
    <t>Kapoor</t>
  </si>
  <si>
    <t>Avyaan Kapoor</t>
  </si>
  <si>
    <t>AK</t>
  </si>
  <si>
    <t>Edwards-Lewis</t>
  </si>
  <si>
    <t>Blake Edwards-Lewis</t>
  </si>
  <si>
    <t>BEL</t>
  </si>
  <si>
    <t>Ruby-Ann</t>
  </si>
  <si>
    <t>Reid</t>
  </si>
  <si>
    <t>Ruby-Ann Reid</t>
  </si>
  <si>
    <t>RAR</t>
  </si>
  <si>
    <t>PAYMENTS OF SEN funding  WBC MNSTR settings:</t>
  </si>
  <si>
    <t>PS/SS/+16 &amp; Acad</t>
  </si>
  <si>
    <t>EY_ EARLY  YEARS</t>
  </si>
  <si>
    <t>DO NOT deduct elelm 1 - £6K</t>
  </si>
  <si>
    <t>Pay monthly Acad, PS/SS annually</t>
  </si>
  <si>
    <t>Pay termly apart Ambleside&amp;MNSTR Nrs</t>
  </si>
  <si>
    <t>Hourly rate from 21-22</t>
  </si>
  <si>
    <t>new rate 23/24</t>
  </si>
  <si>
    <t>Academies_PV</t>
  </si>
  <si>
    <t>Setting number</t>
  </si>
  <si>
    <t xml:space="preserve">supplier/BWO </t>
  </si>
  <si>
    <t>Acorns Day Nursery Ltd</t>
  </si>
  <si>
    <t>Acorn Under Fives</t>
  </si>
  <si>
    <t>Barkham Pre-School</t>
  </si>
  <si>
    <t xml:space="preserve">Bright Horizons Wokingham (formally Kids unlimited ) </t>
  </si>
  <si>
    <t>Bright Horizons Inglewood Day Nursery &amp; PreSchool</t>
  </si>
  <si>
    <t>Busy Bees Day Nursery Woodley</t>
  </si>
  <si>
    <t>Chapel Lane Pre-School</t>
  </si>
  <si>
    <t>Chestnuts Pre-School</t>
  </si>
  <si>
    <t>Crosfields School</t>
  </si>
  <si>
    <t>Dolphin Nursery School</t>
  </si>
  <si>
    <t>Early Montessori</t>
  </si>
  <si>
    <t>Earleybird Pre-School - Hawkedon FSU</t>
  </si>
  <si>
    <t xml:space="preserve">Farm View </t>
  </si>
  <si>
    <t>Finchampsted Day Nursery (ex Bluebird)</t>
  </si>
  <si>
    <t>Finches Pre-School</t>
  </si>
  <si>
    <t>Flying Start Nursery</t>
  </si>
  <si>
    <t>Happy Hours Pre-School</t>
  </si>
  <si>
    <t>Hare Hatch Montessori School</t>
  </si>
  <si>
    <t>Hazebrouck Nursery</t>
  </si>
  <si>
    <t>Holly Cottage Nursery</t>
  </si>
  <si>
    <t>Honeysuckle Day Nursery</t>
  </si>
  <si>
    <t>Kilnsea Pre-School</t>
  </si>
  <si>
    <t>Little Acorns (Colleton) Pre-School</t>
  </si>
  <si>
    <t>Little Ducklings Day Nursery</t>
  </si>
  <si>
    <t>Little Learners (RUSU)</t>
  </si>
  <si>
    <t>Maiden Erlegh Pre-School</t>
  </si>
  <si>
    <t>Meadow Nursery School</t>
  </si>
  <si>
    <t>Merrydale Day Nursery</t>
  </si>
  <si>
    <t xml:space="preserve">Muddy Ducks </t>
  </si>
  <si>
    <t>Oak Tree Day Nursery</t>
  </si>
  <si>
    <t>Our Lady's Preparatory School</t>
  </si>
  <si>
    <t>Reddam House Early Years School</t>
  </si>
  <si>
    <t>St Dominics Playgroup</t>
  </si>
  <si>
    <t>St James Pre-School</t>
  </si>
  <si>
    <t>St Nicholas Playgroup</t>
  </si>
  <si>
    <t>Redwood Early Years (St Pauls Plgrp - previously)</t>
  </si>
  <si>
    <t>The Greenwood Pre-School</t>
  </si>
  <si>
    <t xml:space="preserve">Waingels Gardens </t>
  </si>
  <si>
    <t>Waverley Nursery and Waverley School</t>
  </si>
  <si>
    <t>Wokingham Day Nursery</t>
  </si>
  <si>
    <t xml:space="preserve">Woodley Gardens </t>
  </si>
  <si>
    <t>Woodley Pre-School</t>
  </si>
  <si>
    <t>Lower Early Day Nursery</t>
  </si>
  <si>
    <t>Woosehill Day Nursery</t>
  </si>
  <si>
    <t>setting type</t>
  </si>
  <si>
    <t>Winchcombe</t>
  </si>
  <si>
    <t>Marson</t>
  </si>
  <si>
    <t>Walter Infant School</t>
  </si>
  <si>
    <t>Laranjeira Albuquerque Cunha</t>
  </si>
  <si>
    <t>Lia</t>
  </si>
  <si>
    <t>April</t>
  </si>
  <si>
    <t>Maughan</t>
  </si>
  <si>
    <t>Hamidi</t>
  </si>
  <si>
    <t>Earleybird Pre-School</t>
  </si>
  <si>
    <t>Isagon</t>
  </si>
  <si>
    <t>Patrick</t>
  </si>
  <si>
    <t>Lock</t>
  </si>
  <si>
    <t>Skye-Rose</t>
  </si>
  <si>
    <t>Wheatfield PS</t>
  </si>
  <si>
    <t>28HRS</t>
  </si>
  <si>
    <t>Band 3</t>
  </si>
  <si>
    <t>transitioning to…..</t>
  </si>
  <si>
    <t>value annual</t>
  </si>
  <si>
    <t>MNSTR SS?</t>
  </si>
  <si>
    <t>Forename</t>
  </si>
  <si>
    <t>NCY</t>
  </si>
  <si>
    <t>BCA</t>
  </si>
  <si>
    <t>Arun</t>
  </si>
  <si>
    <t>Rishi</t>
  </si>
  <si>
    <t>Hine</t>
  </si>
  <si>
    <t>Oakbank</t>
  </si>
  <si>
    <t>Rosso</t>
  </si>
  <si>
    <t>Caroline</t>
  </si>
  <si>
    <t>Hepwood</t>
  </si>
  <si>
    <t>Ashton-Levett</t>
  </si>
  <si>
    <t>24HR</t>
  </si>
  <si>
    <t>30HR</t>
  </si>
  <si>
    <t>25HR</t>
  </si>
  <si>
    <t>23HR</t>
  </si>
  <si>
    <t>28HR</t>
  </si>
  <si>
    <t>Shinfield Infant and Nursery School</t>
  </si>
  <si>
    <t>FF</t>
  </si>
  <si>
    <t>Christ the King RC Aided Primary School</t>
  </si>
  <si>
    <t>Majeed</t>
  </si>
  <si>
    <t>Frogmore Community College</t>
  </si>
  <si>
    <t>Rohan</t>
  </si>
  <si>
    <t>Benton</t>
  </si>
  <si>
    <t>Henry Tyndale School</t>
  </si>
  <si>
    <t>John Madejski Academy</t>
  </si>
  <si>
    <t>Sean</t>
  </si>
  <si>
    <t>Townsend</t>
  </si>
  <si>
    <t>Meadowbrook Montessori School</t>
  </si>
  <si>
    <t>New Town Primary school</t>
  </si>
  <si>
    <t>Aarnav</t>
  </si>
  <si>
    <t>Jha</t>
  </si>
  <si>
    <t>2U</t>
  </si>
  <si>
    <t>Nisai Virtual Academy Ltd</t>
  </si>
  <si>
    <t>Conor</t>
  </si>
  <si>
    <t>Lashbrook</t>
  </si>
  <si>
    <t>Aarvi</t>
  </si>
  <si>
    <t>Sedai</t>
  </si>
  <si>
    <t>Rosie</t>
  </si>
  <si>
    <t>Spriggs</t>
  </si>
  <si>
    <t>Ayer</t>
  </si>
  <si>
    <t>Emil</t>
  </si>
  <si>
    <t>Floreat Montague</t>
  </si>
  <si>
    <t>23HRS</t>
  </si>
  <si>
    <t>South Lake PS</t>
  </si>
  <si>
    <t>30HRS</t>
  </si>
  <si>
    <t>Leavers transition to…      in  September 2023</t>
  </si>
  <si>
    <t>Winnersh PS</t>
  </si>
  <si>
    <t>30Hrs</t>
  </si>
  <si>
    <t>New Provison</t>
  </si>
  <si>
    <t>Funding pro-rata FY 23-24</t>
  </si>
  <si>
    <t>Funding annual value</t>
  </si>
  <si>
    <t>CC- new</t>
  </si>
  <si>
    <t>not known yet</t>
  </si>
  <si>
    <t>The Piggott</t>
  </si>
  <si>
    <t>not known</t>
  </si>
  <si>
    <t>change of provison!</t>
  </si>
  <si>
    <t>Chiltern Way_left already</t>
  </si>
  <si>
    <t>AP_TMS- not attenindg</t>
  </si>
  <si>
    <t>No provision on Capita!/further info</t>
  </si>
  <si>
    <t>Mill House Thereutic House_left already</t>
  </si>
  <si>
    <t>Heathermount School - left already</t>
  </si>
  <si>
    <t>Kaerus</t>
  </si>
  <si>
    <t>Oak Tree -FAP V2</t>
  </si>
  <si>
    <t xml:space="preserve">St Paul's Cof E Junior school </t>
  </si>
  <si>
    <t>Willow Bank Junior School</t>
  </si>
  <si>
    <t>Shae</t>
  </si>
  <si>
    <t>Geoffrey Field Infant School</t>
  </si>
  <si>
    <t>Wood (Torr)</t>
  </si>
  <si>
    <t>Oak Tree</t>
  </si>
  <si>
    <t xml:space="preserve">Name Oak Tree </t>
  </si>
  <si>
    <t>Mamouni</t>
  </si>
  <si>
    <t>Civitas Academy</t>
  </si>
  <si>
    <t>Ramesh</t>
  </si>
  <si>
    <t>Joel</t>
  </si>
  <si>
    <t>Marshall</t>
  </si>
  <si>
    <t>Gomes</t>
  </si>
  <si>
    <t>Guillemont Junior School</t>
  </si>
  <si>
    <t>Beech Lodge</t>
  </si>
  <si>
    <t>The Bulmershe</t>
  </si>
  <si>
    <t>Addington</t>
  </si>
  <si>
    <t>Quinn</t>
  </si>
  <si>
    <t>Bracknell</t>
  </si>
  <si>
    <t>JAC's</t>
  </si>
  <si>
    <t>Bracknell college</t>
  </si>
  <si>
    <t>Bracknell &amp; Wokingham</t>
  </si>
  <si>
    <t>Lacey</t>
  </si>
  <si>
    <t>Arbor Vale/OOBS</t>
  </si>
  <si>
    <t>Robert Piggott Jun</t>
  </si>
  <si>
    <t>Westende Ju</t>
  </si>
  <si>
    <t>Shinfield St Marys</t>
  </si>
  <si>
    <t>Gorse Ride Jun</t>
  </si>
  <si>
    <t>Polehampton Jun</t>
  </si>
  <si>
    <t>BNLL Col</t>
  </si>
  <si>
    <t>Reading coll</t>
  </si>
  <si>
    <t>FCT</t>
  </si>
  <si>
    <t>Reading Coll</t>
  </si>
  <si>
    <t>Henley Coll</t>
  </si>
  <si>
    <t>ME MAT</t>
  </si>
  <si>
    <t>Cease</t>
  </si>
  <si>
    <t>JAC</t>
  </si>
  <si>
    <t>St Crispins 6th Form</t>
  </si>
  <si>
    <t>Mover out</t>
  </si>
  <si>
    <t>Farnborough 6th form</t>
  </si>
  <si>
    <t>BNLL&amp;Wok</t>
  </si>
  <si>
    <t>BNLL coll</t>
  </si>
  <si>
    <t>The Piggott schl</t>
  </si>
  <si>
    <t>The Emmbrook</t>
  </si>
  <si>
    <t>Alfriston/ OOBs</t>
  </si>
  <si>
    <t>ME MAT- Indigo</t>
  </si>
  <si>
    <t>TVS</t>
  </si>
  <si>
    <t>CWA</t>
  </si>
  <si>
    <t>Edgebarrow</t>
  </si>
  <si>
    <t>The Bulmersh</t>
  </si>
  <si>
    <t>The Embrook</t>
  </si>
  <si>
    <t>ME MAT_Indigo</t>
  </si>
  <si>
    <t>Waigenls Coll</t>
  </si>
  <si>
    <t>Waingels Coll</t>
  </si>
  <si>
    <t>The Holt</t>
  </si>
  <si>
    <t>Piggott schl</t>
  </si>
  <si>
    <t>Forest schl</t>
  </si>
  <si>
    <t>Emmbrook</t>
  </si>
  <si>
    <t>Ther Piggott</t>
  </si>
  <si>
    <t>Oak Tree (high Close parfental choice)</t>
  </si>
  <si>
    <t>The Pines/OOBs Mnstr</t>
  </si>
  <si>
    <t>ME MAT_ Indigo</t>
  </si>
  <si>
    <t>Henley  Coll</t>
  </si>
  <si>
    <t>BNLL Coll</t>
  </si>
  <si>
    <t>special</t>
  </si>
  <si>
    <t>mainstream (non-special?)</t>
  </si>
  <si>
    <t>SLA</t>
  </si>
  <si>
    <t>transfers Yr2 - in May files</t>
  </si>
  <si>
    <t>transfers Yr6- in May files</t>
  </si>
  <si>
    <t>transfers Yr11 - in May files</t>
  </si>
  <si>
    <t>2 terms of funding to be rduced from the forecast_May</t>
  </si>
  <si>
    <t>2 terms of funding to be rduced from the forecast_May_£££</t>
  </si>
  <si>
    <t>Samarth</t>
  </si>
  <si>
    <t>Mehta</t>
  </si>
  <si>
    <t>SamarthMehta</t>
  </si>
  <si>
    <t>transfers Yr2 - in June files</t>
  </si>
  <si>
    <t>transfers Yr6- in June files</t>
  </si>
  <si>
    <t>transfers Yr11 - in June files</t>
  </si>
  <si>
    <t>CALCULATED COST_JUNE 2023</t>
  </si>
  <si>
    <t>calculated cost JUNE2023 2023_ctrl</t>
  </si>
  <si>
    <t>RhysCraker</t>
  </si>
  <si>
    <t>Erin</t>
  </si>
  <si>
    <t>Bane</t>
  </si>
  <si>
    <t>ErinBane</t>
  </si>
  <si>
    <t>Rebecca</t>
  </si>
  <si>
    <t>RebeccaMorris</t>
  </si>
  <si>
    <t>TeganKnight</t>
  </si>
  <si>
    <t>Leddy</t>
  </si>
  <si>
    <t>FlorenceLeddy</t>
  </si>
  <si>
    <t>Brombley</t>
  </si>
  <si>
    <t>RyanBrombley</t>
  </si>
  <si>
    <t>adjustments/new provisons/clawbacks in JUNE 23</t>
  </si>
  <si>
    <t>CharlotteWoolford</t>
  </si>
  <si>
    <t>Oskaras</t>
  </si>
  <si>
    <t>Mazeika</t>
  </si>
  <si>
    <t>OskarasMazeika</t>
  </si>
  <si>
    <t>Kree</t>
  </si>
  <si>
    <t>KreeClarke</t>
  </si>
  <si>
    <t>Velo</t>
  </si>
  <si>
    <t>LiamVelo</t>
  </si>
  <si>
    <t>Yu Tin Nathanie</t>
  </si>
  <si>
    <t>Shiu</t>
  </si>
  <si>
    <t>Yu Tin NathanieShiu</t>
  </si>
  <si>
    <t>Lucy</t>
  </si>
  <si>
    <t>Dyer</t>
  </si>
  <si>
    <t>LucyDyer</t>
  </si>
  <si>
    <t>Wylde</t>
  </si>
  <si>
    <t>JoshuaWylde</t>
  </si>
  <si>
    <t>Frenny-Jr</t>
  </si>
  <si>
    <t>Frenny-JrGreen</t>
  </si>
  <si>
    <t>Elina</t>
  </si>
  <si>
    <t>Samuels</t>
  </si>
  <si>
    <t>ElinaSamuels</t>
  </si>
  <si>
    <t>Edric</t>
  </si>
  <si>
    <t>Mailula</t>
  </si>
  <si>
    <t>EdricMailula</t>
  </si>
  <si>
    <t>closed</t>
  </si>
  <si>
    <t>Ivil</t>
  </si>
  <si>
    <t>GeorgeIvil</t>
  </si>
  <si>
    <t>Skye-RoseLock</t>
  </si>
  <si>
    <t>Matthew Josh</t>
  </si>
  <si>
    <t>Matthew JoshIsagon</t>
  </si>
  <si>
    <t>MJI</t>
  </si>
  <si>
    <t>AW</t>
  </si>
  <si>
    <t>Dingley</t>
  </si>
  <si>
    <t>EM</t>
  </si>
  <si>
    <t>hours</t>
  </si>
  <si>
    <t>remove from NWPU!!</t>
  </si>
  <si>
    <t>BethanyStockle</t>
  </si>
  <si>
    <t>Rumbold</t>
  </si>
  <si>
    <t>DaisyRumbold</t>
  </si>
  <si>
    <t>Isobella-Mae</t>
  </si>
  <si>
    <t>Budd-Hawkins</t>
  </si>
  <si>
    <t>Isobella-MaeBudd-Hawkins</t>
  </si>
  <si>
    <t>Yr7</t>
  </si>
  <si>
    <t>transitioning to/from…..</t>
  </si>
  <si>
    <t>BlakeEdwards-Lewis</t>
  </si>
  <si>
    <t>Ali</t>
  </si>
  <si>
    <t>AliHamidi</t>
  </si>
  <si>
    <t>Krish</t>
  </si>
  <si>
    <t>KrishValiveti</t>
  </si>
  <si>
    <t>summer leaver</t>
  </si>
  <si>
    <t>Khalil Ketmouli</t>
  </si>
  <si>
    <t>Lexie Donovan</t>
  </si>
  <si>
    <t>Mohammad Ahmed</t>
  </si>
  <si>
    <t>25HRS</t>
  </si>
  <si>
    <t>Sunderland</t>
  </si>
  <si>
    <t>Porter</t>
  </si>
  <si>
    <t>COLL</t>
  </si>
  <si>
    <t>these are EY provisons - to be added to YTD</t>
  </si>
  <si>
    <t>forecast</t>
  </si>
  <si>
    <t>Catherine</t>
  </si>
  <si>
    <t>Hillyard</t>
  </si>
  <si>
    <t>CatherineHillyard</t>
  </si>
  <si>
    <t>CH</t>
  </si>
  <si>
    <t>PatrickCash</t>
  </si>
  <si>
    <t>PC</t>
  </si>
  <si>
    <t>Bright Horizons Abbeymore Nursery and Pre-school</t>
  </si>
  <si>
    <t>KV</t>
  </si>
  <si>
    <t>Vivaan</t>
  </si>
  <si>
    <t>Lala</t>
  </si>
  <si>
    <t>VivaanLala</t>
  </si>
  <si>
    <t>VL</t>
  </si>
  <si>
    <t>Edie</t>
  </si>
  <si>
    <t>Shay</t>
  </si>
  <si>
    <t>EdieShay</t>
  </si>
  <si>
    <t>ES</t>
  </si>
  <si>
    <t>Azarn</t>
  </si>
  <si>
    <t>Akhtar</t>
  </si>
  <si>
    <t>AzarnAkhtar</t>
  </si>
  <si>
    <t>AA</t>
  </si>
  <si>
    <t>Davis</t>
  </si>
  <si>
    <t>AprilDavis</t>
  </si>
  <si>
    <t>AH</t>
  </si>
  <si>
    <t>OM</t>
  </si>
  <si>
    <t>spring24</t>
  </si>
  <si>
    <t>summer24</t>
  </si>
  <si>
    <t>autumn23</t>
  </si>
  <si>
    <t>autumn24</t>
  </si>
  <si>
    <t>spring23</t>
  </si>
  <si>
    <t>reception entry term</t>
  </si>
  <si>
    <t>summer25</t>
  </si>
  <si>
    <t>already in YEAR1 at Walters</t>
  </si>
  <si>
    <t>left</t>
  </si>
  <si>
    <t>27HRS</t>
  </si>
  <si>
    <t>24HRS</t>
  </si>
  <si>
    <t>new setting for yr 6 leavers</t>
  </si>
  <si>
    <t>??</t>
  </si>
  <si>
    <t>new setting for yr 11 leavers</t>
  </si>
  <si>
    <t>new setting for yr 2 leavers</t>
  </si>
  <si>
    <t>JUNE Forecast with transitions</t>
  </si>
  <si>
    <t>WBC Academy</t>
  </si>
  <si>
    <t>HRS/Banding  values CURRENT</t>
  </si>
  <si>
    <t>WBC Spec</t>
  </si>
  <si>
    <t>WBC Mnstr</t>
  </si>
  <si>
    <t>INMSS</t>
  </si>
  <si>
    <t>OOBS Spec</t>
  </si>
  <si>
    <t>OOBS-RU</t>
  </si>
  <si>
    <t>£££ value annual current</t>
  </si>
  <si>
    <t>2 terms of funding to be reduced/added from/to the forecast_JUNE based on current prov values</t>
  </si>
  <si>
    <t>OOBsMnstr</t>
  </si>
  <si>
    <t>WBC Aca_RU_ INDIGO</t>
  </si>
  <si>
    <t>???</t>
  </si>
  <si>
    <t>NWPU</t>
  </si>
  <si>
    <t xml:space="preserve">                                                      </t>
  </si>
  <si>
    <t xml:space="preserve">         </t>
  </si>
  <si>
    <t>Row Labels</t>
  </si>
  <si>
    <t>(blank)</t>
  </si>
  <si>
    <t xml:space="preserve">St Crispin's </t>
  </si>
  <si>
    <t xml:space="preserve">Bohunt </t>
  </si>
  <si>
    <t>Khadem</t>
  </si>
  <si>
    <t>KhademDaniel</t>
  </si>
  <si>
    <t>newly added</t>
  </si>
  <si>
    <t>Rea</t>
  </si>
  <si>
    <t>Hawkins</t>
  </si>
  <si>
    <t>Platt</t>
  </si>
  <si>
    <t>from SHINFnursery and Dingley</t>
  </si>
  <si>
    <t>current</t>
  </si>
  <si>
    <t>all</t>
  </si>
  <si>
    <t>leaver</t>
  </si>
  <si>
    <t>Alder Grove</t>
  </si>
  <si>
    <t>not on NWPU tab</t>
  </si>
  <si>
    <t>The Propller Acad Trust(Bishopswood)</t>
  </si>
  <si>
    <t>OOBs Spec</t>
  </si>
  <si>
    <t>from Willows Nursery (not Radstock!)</t>
  </si>
  <si>
    <t>newly added transfer</t>
  </si>
  <si>
    <t>Thames PS</t>
  </si>
  <si>
    <t>OOBS Mnstr</t>
  </si>
  <si>
    <t>moving from/to CC</t>
  </si>
  <si>
    <t>newly added transfer info - otinallu incorrect onNWPU, should have been in EY</t>
  </si>
  <si>
    <t>Cost May</t>
  </si>
  <si>
    <t>Cost June</t>
  </si>
  <si>
    <t>forecast taking leavers away/Ambleside annual and non leavers annual(where provison is opened) MAY23</t>
  </si>
  <si>
    <t xml:space="preserve">Variance of Cost May to June </t>
  </si>
  <si>
    <t>variance to forecast June to cost of MAY - Leavers are marked a sper dob to show the R start  in correct  term, plus leavers already marked on CAPITA</t>
  </si>
  <si>
    <t>Transitions values - added info if known and vlues in other spreadsheets - NWPU/OOBs</t>
  </si>
  <si>
    <t>Transitions values - added info if NOT known as extimate 25HRS prov prorated to 2 terms in 23-24 for 127 dayes</t>
  </si>
  <si>
    <t>EY forecast based on the EY provison dates and colsed at dob when R should be started from</t>
  </si>
  <si>
    <t>EY forecast based on the EY provison dates and colsed according Capita closed date if available</t>
  </si>
  <si>
    <t>starter in SHNIF</t>
  </si>
  <si>
    <t>from Ashridge Nursery…..</t>
  </si>
  <si>
    <t>estimate to add based@ 25hrs 5,819.25 prorated 2 terms "127 days OR the known level for leavers not yet added into other settings files - in NWPU or OOBs</t>
  </si>
  <si>
    <t>PLUS  incorrectwed prov values in JUNE</t>
  </si>
  <si>
    <t>remove</t>
  </si>
  <si>
    <t>in nursery, transsitoning in Spring4, added to EY</t>
  </si>
  <si>
    <t>in nursery, transsitoning in Summer4, added to EY</t>
  </si>
  <si>
    <t>in nursery, transitioning in Spring4, added to EY</t>
  </si>
  <si>
    <t>not in school history, provision not on Capita</t>
  </si>
  <si>
    <t>on CAPITA - provison already confirmed</t>
  </si>
  <si>
    <t>variance to May Forecast in June</t>
  </si>
  <si>
    <t>JUNE FORECAST with Transitions for leavers</t>
  </si>
  <si>
    <t>RPJUN?</t>
  </si>
  <si>
    <t>Greenwood Nursery</t>
  </si>
  <si>
    <t>action for Oak tree/specials</t>
  </si>
  <si>
    <t>Alder Grove CofE Primary School</t>
  </si>
  <si>
    <t>Lucian</t>
  </si>
  <si>
    <t>Imre</t>
  </si>
  <si>
    <t>LucianImre</t>
  </si>
  <si>
    <t>Ally</t>
  </si>
  <si>
    <t>Makame</t>
  </si>
  <si>
    <t>AllyMakame</t>
  </si>
  <si>
    <t>CALCULATED COST_JULY 2022</t>
  </si>
  <si>
    <t>Forecast JULY 2023</t>
  </si>
  <si>
    <t>Cheyenne</t>
  </si>
  <si>
    <t>Cook-Clarke</t>
  </si>
  <si>
    <t>CheyenneCook-Clarke</t>
  </si>
  <si>
    <t>FinleyMarson</t>
  </si>
  <si>
    <t>Mod LD</t>
  </si>
  <si>
    <t>new provision</t>
  </si>
  <si>
    <t>new additional provision</t>
  </si>
  <si>
    <t>Lyall</t>
  </si>
  <si>
    <t>Haywood</t>
  </si>
  <si>
    <t>LyallHaywood</t>
  </si>
  <si>
    <t>Morton-Visekruna</t>
  </si>
  <si>
    <t>OliviaMorton-Visekruna</t>
  </si>
  <si>
    <t>new provision/newly added</t>
  </si>
  <si>
    <t>LukasWilliams</t>
  </si>
  <si>
    <t>JULY 23 notes</t>
  </si>
  <si>
    <t>CALCULATED COST_MAY 2023</t>
  </si>
  <si>
    <t>Skyla</t>
  </si>
  <si>
    <t>SkylaHolland</t>
  </si>
  <si>
    <t>transitions if known in JULY_ £££ values</t>
  </si>
  <si>
    <t>Bella</t>
  </si>
  <si>
    <t>Cannon</t>
  </si>
  <si>
    <t>BellaCannon</t>
  </si>
  <si>
    <t>IsabelleWood</t>
  </si>
  <si>
    <t>Farley Hill</t>
  </si>
  <si>
    <t>Sultan</t>
  </si>
  <si>
    <t>MohammedSultan</t>
  </si>
  <si>
    <t>conversion to academy</t>
  </si>
  <si>
    <t>new provsion</t>
  </si>
  <si>
    <t>AnaySingh</t>
  </si>
  <si>
    <t>leaver early in year</t>
  </si>
  <si>
    <r>
      <t>in nursery, transitioning in Summer</t>
    </r>
    <r>
      <rPr>
        <sz val="10"/>
        <color rgb="FFFF0000"/>
        <rFont val="Arial"/>
        <family val="2"/>
      </rPr>
      <t>24</t>
    </r>
    <r>
      <rPr>
        <sz val="10"/>
        <color theme="1"/>
        <rFont val="Arial"/>
        <family val="2"/>
      </rPr>
      <t>, added to EY</t>
    </r>
  </si>
  <si>
    <t>FinleyHarris</t>
  </si>
  <si>
    <t>LewisPlatt</t>
  </si>
  <si>
    <t>Gauterin</t>
  </si>
  <si>
    <t>JakeGauterin</t>
  </si>
  <si>
    <t>other additional cost</t>
  </si>
  <si>
    <r>
      <t>in nursery, transitioning in Spring</t>
    </r>
    <r>
      <rPr>
        <sz val="10"/>
        <color rgb="FFFF0000"/>
        <rFont val="Arial"/>
        <family val="2"/>
      </rPr>
      <t>24</t>
    </r>
    <r>
      <rPr>
        <sz val="10"/>
        <color theme="1"/>
        <rFont val="Arial"/>
        <family val="2"/>
      </rPr>
      <t>, added to EY</t>
    </r>
  </si>
  <si>
    <t>OliverGilbert</t>
  </si>
  <si>
    <t>LouieSunderland</t>
  </si>
  <si>
    <t>VincentRea</t>
  </si>
  <si>
    <t>CW</t>
  </si>
  <si>
    <t>moved Feb23! Late Capita update</t>
  </si>
  <si>
    <t>June notes</t>
  </si>
  <si>
    <t>additional notes</t>
  </si>
  <si>
    <t>September transitioning to.. If known in July</t>
  </si>
  <si>
    <t>CC transitioning into</t>
  </si>
  <si>
    <t>JULY FORECAST with Transitions for leavers</t>
  </si>
  <si>
    <t>variance to June Forecast in July</t>
  </si>
  <si>
    <t>JulyNotes</t>
  </si>
  <si>
    <t>MichaelMaughan</t>
  </si>
  <si>
    <t>MM</t>
  </si>
  <si>
    <t>Floreat Montague Park</t>
  </si>
  <si>
    <t>Emerton</t>
  </si>
  <si>
    <t>JakeEmerton</t>
  </si>
  <si>
    <t>JE</t>
  </si>
  <si>
    <t>LiaLaranjeira Albuquerque Cunha</t>
  </si>
  <si>
    <t>LLAC</t>
  </si>
  <si>
    <t>Ambleside - The Pastures</t>
  </si>
  <si>
    <t>HafsaUmar</t>
  </si>
  <si>
    <t>UH</t>
  </si>
  <si>
    <t>summer 25</t>
  </si>
  <si>
    <t>Elan</t>
  </si>
  <si>
    <t>Palabrica</t>
  </si>
  <si>
    <t>ElanPalabrica</t>
  </si>
  <si>
    <t>EP</t>
  </si>
  <si>
    <t>Jannetes Park PS (?)</t>
  </si>
  <si>
    <t>transitions to Jannetts Park_ BNLL PS _ MNSTR OOBs</t>
  </si>
  <si>
    <t>MasonPorter</t>
  </si>
  <si>
    <t>Muhammad-Eisa</t>
  </si>
  <si>
    <t>Muhammad-EisaHussain</t>
  </si>
  <si>
    <t>MEH</t>
  </si>
  <si>
    <t>spring2025</t>
  </si>
  <si>
    <t>Rayyan</t>
  </si>
  <si>
    <t>Rafay</t>
  </si>
  <si>
    <t>RayyanRafay</t>
  </si>
  <si>
    <t>Rivermead PS</t>
  </si>
  <si>
    <t>Englefield PS</t>
  </si>
  <si>
    <t>on NWPU/ transition cost removed</t>
  </si>
  <si>
    <t>Capita:provison from Sep at different setting then the schoool history!</t>
  </si>
  <si>
    <t>Capita_ school history only</t>
  </si>
  <si>
    <t>change of provison</t>
  </si>
  <si>
    <t>Walter infant provision,but  no school history info - mover out? Where is the YP?</t>
  </si>
  <si>
    <t>removed as duplicated estimate</t>
  </si>
  <si>
    <t>Notes</t>
  </si>
  <si>
    <t>Variance to June 23 Forecast</t>
  </si>
  <si>
    <t>IB Allocations</t>
  </si>
  <si>
    <t>Variance to IB  allocations</t>
  </si>
  <si>
    <t>Emmbrook Junior_Academy</t>
  </si>
  <si>
    <t>Hamilton_MAT</t>
  </si>
  <si>
    <t>12484 pa</t>
  </si>
  <si>
    <t>notes</t>
  </si>
  <si>
    <t>17K pa</t>
  </si>
  <si>
    <t>estimate removed as mover to Hamilton</t>
  </si>
  <si>
    <t>Sept transitions to/from if  known in JULY_Setting name</t>
  </si>
  <si>
    <t>Sept transitions if known in JULY_  Setting Type_ CC</t>
  </si>
  <si>
    <t>Forest Bridge</t>
  </si>
  <si>
    <t>mover to OOBs Special</t>
  </si>
  <si>
    <t>Pride Academy</t>
  </si>
  <si>
    <t>OOB Special</t>
  </si>
  <si>
    <t>HighClose</t>
  </si>
  <si>
    <t>mover to INMSS</t>
  </si>
  <si>
    <t>CCF19/07/23_£55K</t>
  </si>
  <si>
    <t>CCF 19/07/2023  £20,700</t>
  </si>
  <si>
    <t>CCF_19/07/2023 £46,884</t>
  </si>
  <si>
    <t>CCF_19/07/2023 £41,965</t>
  </si>
  <si>
    <t>AUG FORECAST with Transitions for leavers</t>
  </si>
  <si>
    <t>variance to July Forecast in Aug</t>
  </si>
  <si>
    <t>Aug Changes</t>
  </si>
  <si>
    <t>Muhammed Yousaf</t>
  </si>
  <si>
    <t>Muhammed YousafAsif</t>
  </si>
  <si>
    <t>Cardno</t>
  </si>
  <si>
    <t>IsobelCardno</t>
  </si>
  <si>
    <t>IC</t>
  </si>
  <si>
    <t>Variance to July</t>
  </si>
  <si>
    <t>Sum of Annual Value 23-24</t>
  </si>
  <si>
    <t>Count of Name</t>
  </si>
  <si>
    <t>Average</t>
  </si>
  <si>
    <t xml:space="preserve">NWPU </t>
  </si>
  <si>
    <t>Aug F/cast</t>
  </si>
  <si>
    <t>July F/cast</t>
  </si>
  <si>
    <t>Less RU</t>
  </si>
  <si>
    <t>Less AP</t>
  </si>
  <si>
    <t>Variance to Aug</t>
  </si>
  <si>
    <t>Hawley</t>
  </si>
  <si>
    <t>Morgan</t>
  </si>
  <si>
    <t>Chester</t>
  </si>
  <si>
    <t>SeptChanges</t>
  </si>
  <si>
    <t>Sept FORECAST with Transitions for leavers</t>
  </si>
  <si>
    <t>variance to Aug Forecast in Sept</t>
  </si>
  <si>
    <t>SEPT F/CAST</t>
  </si>
  <si>
    <t>Changes</t>
  </si>
  <si>
    <t>31/04/2024</t>
  </si>
  <si>
    <t>Hudson</t>
  </si>
  <si>
    <t>Eli</t>
  </si>
  <si>
    <t>Chapaneri</t>
  </si>
  <si>
    <t>Forecast Oct</t>
  </si>
  <si>
    <t>Variance to Sept</t>
  </si>
  <si>
    <t>-</t>
  </si>
  <si>
    <t>Faye</t>
  </si>
  <si>
    <t>Craig</t>
  </si>
  <si>
    <t>Chapman</t>
  </si>
  <si>
    <t>Jaxson</t>
  </si>
  <si>
    <t>Dorrell</t>
  </si>
  <si>
    <t>Frank</t>
  </si>
  <si>
    <t>Chance</t>
  </si>
  <si>
    <t>Drake</t>
  </si>
  <si>
    <t>Nov Forecast</t>
  </si>
  <si>
    <t>Variance to Oct</t>
  </si>
  <si>
    <t>Stevens</t>
  </si>
  <si>
    <t>Levi</t>
  </si>
  <si>
    <t>Hamilton</t>
  </si>
  <si>
    <t>Dec Forecast</t>
  </si>
  <si>
    <t xml:space="preserve">Rivermed Primary </t>
  </si>
  <si>
    <t>Mary Hare INMSS</t>
  </si>
  <si>
    <t>Lambs Lane</t>
  </si>
  <si>
    <t>Addington from 21/7/23</t>
  </si>
  <si>
    <t>HA</t>
  </si>
  <si>
    <t>Evendons</t>
  </si>
  <si>
    <t>Cresswell</t>
  </si>
  <si>
    <t>Hurst</t>
  </si>
  <si>
    <t>Elias</t>
  </si>
  <si>
    <t>pipeline</t>
  </si>
  <si>
    <t>Finlay</t>
  </si>
  <si>
    <t>GraceJohnson</t>
  </si>
  <si>
    <t>GJ</t>
  </si>
  <si>
    <t>Bahauddin</t>
  </si>
  <si>
    <t>BahauddinHussain</t>
  </si>
  <si>
    <t>Donald</t>
  </si>
  <si>
    <t>ParkerDonald</t>
  </si>
  <si>
    <t>spring25</t>
  </si>
  <si>
    <t>Addington 31/10/23</t>
  </si>
  <si>
    <t>Addington 05/09/23</t>
  </si>
  <si>
    <t>Alder Grove 01/09/23</t>
  </si>
  <si>
    <t>Polehampton Infants 01/09/23</t>
  </si>
  <si>
    <t>St Dominic Savio 06/09/23</t>
  </si>
  <si>
    <t>Englefield Primary 01/09/23</t>
  </si>
  <si>
    <t>Keep Hatch Primary 06/09/23</t>
  </si>
  <si>
    <t>Oak Tree 04/09/23</t>
  </si>
  <si>
    <t>Alder Grove 01/09/2023</t>
  </si>
  <si>
    <t>Shinfield Infants 04/09/23</t>
  </si>
  <si>
    <t>Farley Hill 12/09/23</t>
  </si>
  <si>
    <t>Shinfield Infants 21/09/23</t>
  </si>
  <si>
    <t>Grazeley 05/09/23</t>
  </si>
  <si>
    <t>Oak Tree 02/09/23</t>
  </si>
  <si>
    <t>Emmbrook Infants 04/09/23</t>
  </si>
  <si>
    <t>Evendons 01/09/23</t>
  </si>
  <si>
    <t>Nine Mile Ride 04/09/23</t>
  </si>
  <si>
    <t>Holme Grange 01/09/23 INMSS</t>
  </si>
  <si>
    <t>St Nicholas 02/09/23</t>
  </si>
  <si>
    <t>WillowBank Inf 02/09/23</t>
  </si>
  <si>
    <t>Shinfirld Infants 04/09/23</t>
  </si>
  <si>
    <t>Evendons 02/09/23</t>
  </si>
  <si>
    <t>Loddon</t>
  </si>
  <si>
    <t>Addington 1/11/23</t>
  </si>
  <si>
    <t>Damian</t>
  </si>
  <si>
    <t>Lindon</t>
  </si>
  <si>
    <t>DL</t>
  </si>
  <si>
    <t>Woodward</t>
  </si>
  <si>
    <t>JW</t>
  </si>
  <si>
    <t>Jan Forecast</t>
  </si>
  <si>
    <t>agrred to KC</t>
  </si>
  <si>
    <t>Navraj</t>
  </si>
  <si>
    <t>Flora</t>
  </si>
  <si>
    <t>FN</t>
  </si>
  <si>
    <t>Schuite</t>
  </si>
  <si>
    <t>HS</t>
  </si>
  <si>
    <t>change</t>
  </si>
  <si>
    <t>Transition Sept 24</t>
  </si>
  <si>
    <t>Gorse Ride Ifants</t>
  </si>
  <si>
    <t>Winnersh</t>
  </si>
  <si>
    <t>Floreat</t>
  </si>
  <si>
    <t>Walter Infants</t>
  </si>
  <si>
    <t>Wokingham Pupils at Other LA Schools (Mainstream) - 2023-24</t>
  </si>
  <si>
    <t>updated 23-24</t>
  </si>
  <si>
    <t>INVOICES 2023/24</t>
  </si>
  <si>
    <t>2022/23</t>
  </si>
  <si>
    <t>Paid</t>
  </si>
  <si>
    <t>COST CENTRE_ 43013</t>
  </si>
  <si>
    <t>Banding Info LA</t>
  </si>
  <si>
    <t>Banding Info £</t>
  </si>
  <si>
    <t>Additional Support</t>
  </si>
  <si>
    <t>Expected charge</t>
  </si>
  <si>
    <t>Summer 2024</t>
  </si>
  <si>
    <t>Autumn 2024</t>
  </si>
  <si>
    <t>Spring 2024</t>
  </si>
  <si>
    <t>o/s</t>
  </si>
  <si>
    <t>o/s not accounted for</t>
  </si>
  <si>
    <t>22/23</t>
  </si>
  <si>
    <t>23/24</t>
  </si>
  <si>
    <t>PY</t>
  </si>
  <si>
    <t>accrued</t>
  </si>
  <si>
    <t>total</t>
  </si>
  <si>
    <t>2023/24</t>
  </si>
  <si>
    <t>Septemebr 2023</t>
  </si>
  <si>
    <r>
      <t>To be deducted from</t>
    </r>
    <r>
      <rPr>
        <b/>
        <sz val="10"/>
        <rFont val="Arial"/>
        <family val="2"/>
      </rPr>
      <t xml:space="preserve"> MAY</t>
    </r>
    <r>
      <rPr>
        <sz val="10"/>
        <rFont val="Arial"/>
        <family val="2"/>
      </rPr>
      <t xml:space="preserve"> Forecast/applied</t>
    </r>
  </si>
  <si>
    <r>
      <t xml:space="preserve">To be </t>
    </r>
    <r>
      <rPr>
        <u/>
        <sz val="10"/>
        <color rgb="FFFF0000"/>
        <rFont val="Arial"/>
        <family val="2"/>
      </rPr>
      <t>deducted</t>
    </r>
    <r>
      <rPr>
        <sz val="10"/>
        <color rgb="FFFF0000"/>
        <rFont val="Arial"/>
        <family val="2"/>
      </rPr>
      <t xml:space="preserve"> from </t>
    </r>
    <r>
      <rPr>
        <b/>
        <sz val="10"/>
        <color rgb="FFFF0000"/>
        <rFont val="Arial"/>
        <family val="2"/>
      </rPr>
      <t>JUNE</t>
    </r>
    <r>
      <rPr>
        <sz val="10"/>
        <color rgb="FFFF0000"/>
        <rFont val="Arial"/>
        <family val="2"/>
      </rPr>
      <t xml:space="preserve"> Forecast</t>
    </r>
  </si>
  <si>
    <r>
      <t>Amendment to</t>
    </r>
    <r>
      <rPr>
        <u/>
        <sz val="10"/>
        <color rgb="FFFF0000"/>
        <rFont val="Arial"/>
        <family val="2"/>
      </rPr>
      <t xml:space="preserve"> add</t>
    </r>
    <r>
      <rPr>
        <sz val="10"/>
        <color rgb="FFFF0000"/>
        <rFont val="Arial"/>
        <family val="2"/>
      </rPr>
      <t xml:space="preserve"> to JUNE forecast</t>
    </r>
  </si>
  <si>
    <t xml:space="preserve">accruals submitted </t>
  </si>
  <si>
    <t>Current pupils</t>
  </si>
  <si>
    <t>LA</t>
  </si>
  <si>
    <t>BWO Suplier ID</t>
  </si>
  <si>
    <t>Current School</t>
  </si>
  <si>
    <t>Academy?  Y/N</t>
  </si>
  <si>
    <t>Student ID_ CAPITA/One</t>
  </si>
  <si>
    <t>NCY 23-24</t>
  </si>
  <si>
    <t>Age</t>
  </si>
  <si>
    <t>PS/  SS/ +16</t>
  </si>
  <si>
    <t>Primary need</t>
  </si>
  <si>
    <t>BANDING CAPITA</t>
  </si>
  <si>
    <t>CAPITA Annual Value  £</t>
  </si>
  <si>
    <t>CAPITA/    SENDFinance/SEN  NOTES/QUERIES_DATE</t>
  </si>
  <si>
    <t>scheduled 23-24</t>
  </si>
  <si>
    <t>Prev Year(s)</t>
  </si>
  <si>
    <t>Prov START DATED</t>
  </si>
  <si>
    <t>Start no</t>
  </si>
  <si>
    <t>Prov END DATED</t>
  </si>
  <si>
    <t>End</t>
  </si>
  <si>
    <t>No of Days</t>
  </si>
  <si>
    <t>Days Pro Rata</t>
  </si>
  <si>
    <t>CalcFTE</t>
  </si>
  <si>
    <t>Calculated Cost</t>
  </si>
  <si>
    <t>F LA</t>
  </si>
  <si>
    <t>H LA</t>
  </si>
  <si>
    <t>ADDITIONAL</t>
  </si>
  <si>
    <t>PO  23-24</t>
  </si>
  <si>
    <t>Requisition #</t>
  </si>
  <si>
    <t>23-24 total</t>
  </si>
  <si>
    <t>23-24</t>
  </si>
  <si>
    <t>22-23</t>
  </si>
  <si>
    <t>£0-£5K</t>
  </si>
  <si>
    <t>£5001-£10,000</t>
  </si>
  <si>
    <t>£10,001+</t>
  </si>
  <si>
    <t>Inv #</t>
  </si>
  <si>
    <t>Inv ££</t>
  </si>
  <si>
    <t>in received date</t>
  </si>
  <si>
    <t>inv paid</t>
  </si>
  <si>
    <t>accrual 22/23</t>
  </si>
  <si>
    <t>Receipted 22/23</t>
  </si>
  <si>
    <t>Old PO 22-23</t>
  </si>
  <si>
    <t>PO closed? Y/N</t>
  </si>
  <si>
    <t>43013 - Pos value</t>
  </si>
  <si>
    <t>receipted</t>
  </si>
  <si>
    <t>43013  adjustments for MAY - known trasnfers from SEP 23</t>
  </si>
  <si>
    <t>TOTAL Forecast April/May2022</t>
  </si>
  <si>
    <t>CCF Check AMOUNT</t>
  </si>
  <si>
    <t>decision</t>
  </si>
  <si>
    <t>transfer from/provison to  be closed</t>
  </si>
  <si>
    <t>Phased Transfer &amp; Final plan</t>
  </si>
  <si>
    <t>Final</t>
  </si>
  <si>
    <t>Forecast tobe reduced if known transfer!  COLLEGE or INMSS ( 2 terms less)</t>
  </si>
  <si>
    <t>provision value</t>
  </si>
  <si>
    <t>provisoin dates</t>
  </si>
  <si>
    <t>adjustments to JUNE forecast</t>
  </si>
  <si>
    <t>TOTAL Forecast JUNE 2023</t>
  </si>
  <si>
    <t>missing accruals from spreadsheet!!</t>
  </si>
  <si>
    <t>variance to May</t>
  </si>
  <si>
    <t>notes for June</t>
  </si>
  <si>
    <t>Transitions in JULY to/from</t>
  </si>
  <si>
    <t>adjustment for transition JULY</t>
  </si>
  <si>
    <t>Any additional cost JULY</t>
  </si>
  <si>
    <t>Total forecast JULY 2023</t>
  </si>
  <si>
    <t>Variance to JUNE</t>
  </si>
  <si>
    <t>Notes JULY</t>
  </si>
  <si>
    <t>Transitions in AUG to/from</t>
  </si>
  <si>
    <t>adjustment for transition AUG</t>
  </si>
  <si>
    <t>Any additional cost AUG</t>
  </si>
  <si>
    <t>Total forecast AUG 2023</t>
  </si>
  <si>
    <t>Variance to JULY</t>
  </si>
  <si>
    <t>Notes AUG</t>
  </si>
  <si>
    <t>adjustment for transition Sept</t>
  </si>
  <si>
    <t>Changes Sept</t>
  </si>
  <si>
    <t>Total forecast Sept 2023</t>
  </si>
  <si>
    <t>Changes Oct</t>
  </si>
  <si>
    <t>Total forecast Oct 2023</t>
  </si>
  <si>
    <t>Checked for OCT F/CAST</t>
  </si>
  <si>
    <t>Changes Nov</t>
  </si>
  <si>
    <t>Total forecast Nov 2023</t>
  </si>
  <si>
    <t>Changes Dec</t>
  </si>
  <si>
    <t>Total forecast Dec 2023</t>
  </si>
  <si>
    <t>Changes Jan</t>
  </si>
  <si>
    <t>Total forecast Jan 2023</t>
  </si>
  <si>
    <t>Reading</t>
  </si>
  <si>
    <t>Alfred Sutton Primary School</t>
  </si>
  <si>
    <t>Ndlovu</t>
  </si>
  <si>
    <t>Musawenkosi</t>
  </si>
  <si>
    <t>Birch Copse PS</t>
  </si>
  <si>
    <t>Hulboj</t>
  </si>
  <si>
    <t>Aleksandra</t>
  </si>
  <si>
    <t>MOdLD</t>
  </si>
  <si>
    <t>21HRS</t>
  </si>
  <si>
    <t>£3313.5 Pd 22/23 Jan&gt;Dec 22</t>
  </si>
  <si>
    <t>Wokingham</t>
  </si>
  <si>
    <t>Spring 23 Inv O/S £1104?</t>
  </si>
  <si>
    <t>Hants</t>
  </si>
  <si>
    <t>Charles Kingsley Primary</t>
  </si>
  <si>
    <t>Field</t>
  </si>
  <si>
    <t>30hrs</t>
  </si>
  <si>
    <t>+ £1457.20 additional</t>
  </si>
  <si>
    <t>no</t>
  </si>
  <si>
    <t>yes</t>
  </si>
  <si>
    <t>RBWM</t>
  </si>
  <si>
    <t>Charters Academy Secondary</t>
  </si>
  <si>
    <t>Sherratt</t>
  </si>
  <si>
    <t>Medical</t>
  </si>
  <si>
    <t>10,000ESFA +9000 top up</t>
  </si>
  <si>
    <t>Spr inv o/s £2788 - total £9k?</t>
  </si>
  <si>
    <t xml:space="preserve">Spr inv o/s £2788 </t>
  </si>
  <si>
    <t>Churchend Academy  Primary School</t>
  </si>
  <si>
    <t>Parris</t>
  </si>
  <si>
    <t>32.5 hrs £7,727.25</t>
  </si>
  <si>
    <t>21HRs Inv'd 3,832 *3 Spr Inv Unp</t>
  </si>
  <si>
    <t>Inv £6,804 O/s (8/12/21&gt;)</t>
  </si>
  <si>
    <t>incl £6804 prev yr inv</t>
  </si>
  <si>
    <t>5100063</t>
  </si>
  <si>
    <t>Prior yr inv £6,804</t>
  </si>
  <si>
    <t>Cranbourne Primary School</t>
  </si>
  <si>
    <t>Eva</t>
  </si>
  <si>
    <t>Spring addt inv £2188.33</t>
  </si>
  <si>
    <t>new supplier link sent</t>
  </si>
  <si>
    <t>Crown Wood Priamary</t>
  </si>
  <si>
    <t>SEN agreed/no capita update,new supplier</t>
  </si>
  <si>
    <t>no provision on Capita</t>
  </si>
  <si>
    <t>Crowthorne CE Controlled Primary School</t>
  </si>
  <si>
    <t>Bahl</t>
  </si>
  <si>
    <t>Tanya</t>
  </si>
  <si>
    <t>35Hrs</t>
  </si>
  <si>
    <t>£13,300 paid 22/23</t>
  </si>
  <si>
    <t>£308.80 hoist servicing</t>
  </si>
  <si>
    <t>East Sussex</t>
  </si>
  <si>
    <t>Eastbourne Academy (The)</t>
  </si>
  <si>
    <t>BESD</t>
  </si>
  <si>
    <t>?? Outdated info on Capita  - Leaver??</t>
  </si>
  <si>
    <t>Edgbarrow Secondary School</t>
  </si>
  <si>
    <t>Coates</t>
  </si>
  <si>
    <t>Alannah</t>
  </si>
  <si>
    <t>AY 23/24</t>
  </si>
  <si>
    <t>Curtis-Powell</t>
  </si>
  <si>
    <t>3945.08 +7379.19</t>
  </si>
  <si>
    <t>BC391</t>
  </si>
  <si>
    <t>28HRS &amp; TOP</t>
  </si>
  <si>
    <t>7237.56 + 1537.48</t>
  </si>
  <si>
    <t>Newman-Sheppherd</t>
  </si>
  <si>
    <t>Fudulache</t>
  </si>
  <si>
    <t>Cosmin</t>
  </si>
  <si>
    <t>Groves</t>
  </si>
  <si>
    <t>Isabel</t>
  </si>
  <si>
    <t>Itta</t>
  </si>
  <si>
    <t>Caitlin</t>
  </si>
  <si>
    <t>Harwood</t>
  </si>
  <si>
    <t>Anna</t>
  </si>
  <si>
    <t>28 HRS</t>
  </si>
  <si>
    <t>from Hatch Ride - MNSTR</t>
  </si>
  <si>
    <t>16/12./2022</t>
  </si>
  <si>
    <t>provision £7,237.56+£1,537.48</t>
  </si>
  <si>
    <t>Low</t>
  </si>
  <si>
    <t>22Hrs</t>
  </si>
  <si>
    <t>McGill</t>
  </si>
  <si>
    <t>Maizey</t>
  </si>
  <si>
    <t>Riley-Marsh</t>
  </si>
  <si>
    <t>Aysha</t>
  </si>
  <si>
    <t>25Hrs</t>
  </si>
  <si>
    <t>No summer 23 Inv</t>
  </si>
  <si>
    <t>Not on 23/24 schedule</t>
  </si>
  <si>
    <t>Rivera-Oughton</t>
  </si>
  <si>
    <t>Erika</t>
  </si>
  <si>
    <t>BNLL</t>
  </si>
  <si>
    <t>Slatter</t>
  </si>
  <si>
    <t>Abigail</t>
  </si>
  <si>
    <t>TOP UP</t>
  </si>
  <si>
    <t>St George</t>
  </si>
  <si>
    <t>Reggie</t>
  </si>
  <si>
    <t>Slater-Cooke</t>
  </si>
  <si>
    <t>Raya</t>
  </si>
  <si>
    <t>From 10Feb23 +£1203.64</t>
  </si>
  <si>
    <t>o/s invoice</t>
  </si>
  <si>
    <t>Provision 5531+1203</t>
  </si>
  <si>
    <t>SEN Agreed, not aproved/not on Capita</t>
  </si>
  <si>
    <t>Wareham</t>
  </si>
  <si>
    <t>Ashleigh</t>
  </si>
  <si>
    <t>West Berks</t>
  </si>
  <si>
    <t>estimate, transition from EY</t>
  </si>
  <si>
    <t>new</t>
  </si>
  <si>
    <t>+ £350 SLT</t>
  </si>
  <si>
    <t>From 24/10/2022 £3555</t>
  </si>
  <si>
    <t>Garth Hill College</t>
  </si>
  <si>
    <t>GFIS000312</t>
  </si>
  <si>
    <t>Ilyas</t>
  </si>
  <si>
    <t>Sumayyah</t>
  </si>
  <si>
    <t>D'Costa</t>
  </si>
  <si>
    <t>Zalandro</t>
  </si>
  <si>
    <t>no provision and no setting</t>
  </si>
  <si>
    <t>no provision confirmed, only reimbursement for lesson and tuition  I June</t>
  </si>
  <si>
    <t>tutor cost to be reimbursed, panel agreed £4473.77</t>
  </si>
  <si>
    <t>Geoffrey Field Junior School</t>
  </si>
  <si>
    <t>Lee</t>
  </si>
  <si>
    <t>2023-02</t>
  </si>
  <si>
    <t>SPFC LD</t>
  </si>
  <si>
    <t>Reading from 24/10/22</t>
  </si>
  <si>
    <t>other LA</t>
  </si>
  <si>
    <t>N. Somerset</t>
  </si>
  <si>
    <t>Hannah More Infants</t>
  </si>
  <si>
    <t>Guard (Goodwin)</t>
  </si>
  <si>
    <t>Ryder</t>
  </si>
  <si>
    <t>new provisin, on Capita,not in school history??</t>
  </si>
  <si>
    <t>£3881 summer 23 &amp;£14,761.25 AY 23/24</t>
  </si>
  <si>
    <t>Goodwin</t>
  </si>
  <si>
    <t>not on Capita, estimate</t>
  </si>
  <si>
    <t>£10,189.2 28/2&gt;28/7 &amp; £14761.25 23-24AY</t>
  </si>
  <si>
    <t>£4,254 top up</t>
  </si>
  <si>
    <t>sep/22-open</t>
  </si>
  <si>
    <t>Jannette's Park PS</t>
  </si>
  <si>
    <t>no provisoin just school history</t>
  </si>
  <si>
    <t>transition from EY Meadows Nursery</t>
  </si>
  <si>
    <t>new provision - not on Capita/transition from 43012</t>
  </si>
  <si>
    <t>Adjusted for actual Capita</t>
  </si>
  <si>
    <t>34HRS</t>
  </si>
  <si>
    <t>8,239.91 provision on capita</t>
  </si>
  <si>
    <t>NEW</t>
  </si>
  <si>
    <t>Kings Academy Binfield</t>
  </si>
  <si>
    <t>Symonds</t>
  </si>
  <si>
    <t>Coby</t>
  </si>
  <si>
    <t>£9079PA</t>
  </si>
  <si>
    <t>From 01/09/22 not on 22/23 SS</t>
  </si>
  <si>
    <t>From 01/09/2022</t>
  </si>
  <si>
    <t>correction on acccured vlaue</t>
  </si>
  <si>
    <t>Provision 9079+5300</t>
  </si>
  <si>
    <t>Kings Academy Prospect Reading</t>
  </si>
  <si>
    <t>Yerlikaya</t>
  </si>
  <si>
    <t>Hediyenaz</t>
  </si>
  <si>
    <t>5819.25 PA</t>
  </si>
  <si>
    <t>Provision 5819.25</t>
  </si>
  <si>
    <t>New Christ Church VA Primary School</t>
  </si>
  <si>
    <t>Runde</t>
  </si>
  <si>
    <t>22HRS</t>
  </si>
  <si>
    <t>NCSI21</t>
  </si>
  <si>
    <t>£5120 PA</t>
  </si>
  <si>
    <t>From 9/11/2022 not on 22/23 SS</t>
  </si>
  <si>
    <t>From 09/11/2022</t>
  </si>
  <si>
    <t>NTSI 15</t>
  </si>
  <si>
    <t>Peta</t>
  </si>
  <si>
    <t>Rishaan</t>
  </si>
  <si>
    <t>no info</t>
  </si>
  <si>
    <t>No provision</t>
  </si>
  <si>
    <t>email to SEND FIN</t>
  </si>
  <si>
    <t>waiting for capita update</t>
  </si>
  <si>
    <t>Oakwood Infant School</t>
  </si>
  <si>
    <t>Fleetwood</t>
  </si>
  <si>
    <t>Inv OLA tio Jan-Aug 22 Unpaid EOTAS from 05/09/22</t>
  </si>
  <si>
    <t>Accrual</t>
  </si>
  <si>
    <t>Jan -Aug 22</t>
  </si>
  <si>
    <t>3611625965</t>
  </si>
  <si>
    <t>expected charge</t>
  </si>
  <si>
    <t>Ranelagh School (Academy)</t>
  </si>
  <si>
    <t>Hutson</t>
  </si>
  <si>
    <t>no inv paid 22/23</t>
  </si>
  <si>
    <t xml:space="preserve"> £8KAccrual for prev yr</t>
  </si>
  <si>
    <t>8280 pa</t>
  </si>
  <si>
    <t>£8KAccrual for prev yr</t>
  </si>
  <si>
    <t>Redlands Primary School</t>
  </si>
  <si>
    <t>Martellosio</t>
  </si>
  <si>
    <t>Edoardo</t>
  </si>
  <si>
    <t>Sen June Funding</t>
  </si>
  <si>
    <t>Sandhurst Secondary School</t>
  </si>
  <si>
    <t>Anders</t>
  </si>
  <si>
    <t>Wadehn</t>
  </si>
  <si>
    <t>Tom</t>
  </si>
  <si>
    <t>Tutor costs only on capita</t>
  </si>
  <si>
    <t>on roll, but not attending, not to be chargedAlso no invoices 2021/22</t>
  </si>
  <si>
    <t>Tutor costs £480 x 12 wks should this be here?</t>
  </si>
  <si>
    <t>Bournemouth</t>
  </si>
  <si>
    <t>St Aldhelms Academy</t>
  </si>
  <si>
    <t>Bobby-Jo</t>
  </si>
  <si>
    <t>CLA -  Bournemouth to clawback</t>
  </si>
  <si>
    <t>St John's CE Primary School</t>
  </si>
  <si>
    <t>From 13/02/23 £1250</t>
  </si>
  <si>
    <t>St Joseph's RC Primary</t>
  </si>
  <si>
    <t>Santiago</t>
  </si>
  <si>
    <t>St Lukes CE Controlled Primary School</t>
  </si>
  <si>
    <t>Moreira</t>
  </si>
  <si>
    <t>Manni</t>
  </si>
  <si>
    <t>Funding Harmony to Spring 23  Prov ends 31/3/23?</t>
  </si>
  <si>
    <t>email to SEND FIN  - annual</t>
  </si>
  <si>
    <t>SLSI 635</t>
  </si>
  <si>
    <t>CCF</t>
  </si>
  <si>
    <t>OOB MNSTR to close, transfer to INMSS/  Autumn?</t>
  </si>
  <si>
    <t>02/05/2023 -</t>
  </si>
  <si>
    <t>termly invoices agreed</t>
  </si>
  <si>
    <t>St. Michael’s C. of E. Aided Primary School</t>
  </si>
  <si>
    <t>Newman</t>
  </si>
  <si>
    <t>The Ridgeway Primary School</t>
  </si>
  <si>
    <t>No inv received 22/23</t>
  </si>
  <si>
    <t>No supplier ID Accrual £5069.76</t>
  </si>
  <si>
    <t>leaver - no invoice yet, supplier has not registered with WBC</t>
  </si>
  <si>
    <t>Thameside Primary</t>
  </si>
  <si>
    <t>Clarke-Dye</t>
  </si>
  <si>
    <t>+Accrual for Prev YR</t>
  </si>
  <si>
    <t>new provison but adjusted due to change of level and dates</t>
  </si>
  <si>
    <t>Hibberd-Thomson</t>
  </si>
  <si>
    <t>Tigers Day Nursery</t>
  </si>
  <si>
    <t>20Hrs</t>
  </si>
  <si>
    <t>LCEHCP3</t>
  </si>
  <si>
    <t>n/a</t>
  </si>
  <si>
    <t>no setting in history</t>
  </si>
  <si>
    <t>No provison on Capita YET! SEN agreed only</t>
  </si>
  <si>
    <t>UTC Reading</t>
  </si>
  <si>
    <t xml:space="preserve">Clarke </t>
  </si>
  <si>
    <t>o/s priviosn claimed this year</t>
  </si>
  <si>
    <t>Provision £6764.79</t>
  </si>
  <si>
    <t>Phoebe (preferred T)</t>
  </si>
  <si>
    <t>Mchunga</t>
  </si>
  <si>
    <t>Ealing</t>
  </si>
  <si>
    <t>Vicar's Green</t>
  </si>
  <si>
    <t>Parma</t>
  </si>
  <si>
    <t>No supplier ID Accrual £17,043</t>
  </si>
  <si>
    <t>not invoiced, expected charge</t>
  </si>
  <si>
    <t>Whitley Park Primary and Nursery School</t>
  </si>
  <si>
    <t>Yateley School</t>
  </si>
  <si>
    <t>Argyle- Walker</t>
  </si>
  <si>
    <t>Accrual  £4559</t>
  </si>
  <si>
    <t>Meadow Vale Primary School</t>
  </si>
  <si>
    <t>Fong</t>
  </si>
  <si>
    <t>Yin Ching</t>
  </si>
  <si>
    <t>16/04/02013</t>
  </si>
  <si>
    <t>30HRs</t>
  </si>
  <si>
    <t>CCF AUGNot on Capita</t>
  </si>
  <si>
    <t>Budget 23/24 on BWO</t>
  </si>
  <si>
    <t>OCT F/CAST</t>
  </si>
  <si>
    <t>check</t>
  </si>
  <si>
    <t>Variance to budget in June</t>
  </si>
  <si>
    <t>Variance to budget in July</t>
  </si>
  <si>
    <t>Variance due to new provisions and SEN agreed future funding, although majority  not on SEN database yet.</t>
  </si>
  <si>
    <t>Sept</t>
  </si>
  <si>
    <t>Oct</t>
  </si>
  <si>
    <t>Nov</t>
  </si>
  <si>
    <t>Budget on BWO</t>
  </si>
  <si>
    <t>Some agreed fundin difficult to determine the setting.</t>
  </si>
  <si>
    <t>Non Academies</t>
  </si>
  <si>
    <t>Forecast _May23</t>
  </si>
  <si>
    <t>removed:</t>
  </si>
  <si>
    <t>Easthampstead Park Secondary School</t>
  </si>
  <si>
    <t>_427724</t>
  </si>
  <si>
    <t>provisoin closed july22 for</t>
  </si>
  <si>
    <t xml:space="preserve"> late Capita update!</t>
  </si>
  <si>
    <t>in INMSS</t>
  </si>
  <si>
    <t>Academies</t>
  </si>
  <si>
    <t>_445708</t>
  </si>
  <si>
    <t>setting is INMSS</t>
  </si>
  <si>
    <t>Total Current</t>
  </si>
  <si>
    <t>Variance to budget</t>
  </si>
  <si>
    <t>Willink Secondary School (The)</t>
  </si>
  <si>
    <t>_367772</t>
  </si>
  <si>
    <t>provision closed july22 for</t>
  </si>
  <si>
    <t>In Foundry but no provison on Capita for 23-24</t>
  </si>
  <si>
    <t>variance to budget due to new provisions,</t>
  </si>
  <si>
    <t>_452039</t>
  </si>
  <si>
    <t>provision closed Jan23!</t>
  </si>
  <si>
    <t>In Bohunt 19/01/2023 onwrds, PY paid</t>
  </si>
  <si>
    <t>leavers</t>
  </si>
  <si>
    <t>Dec</t>
  </si>
  <si>
    <t>_445768</t>
  </si>
  <si>
    <t>provison closed Oct22!</t>
  </si>
  <si>
    <t>In Bohunt Nov 22 onwrds, PY paid</t>
  </si>
  <si>
    <t>total accruals OOBS MNSTR</t>
  </si>
  <si>
    <t>agreed to y/end accruals in BWO</t>
  </si>
  <si>
    <t>Wokingham Pupils at Other LA Schools (Resource) - 2023-24</t>
  </si>
  <si>
    <t>COST CENTRE_ 43016</t>
  </si>
  <si>
    <t>Additiional Support</t>
  </si>
  <si>
    <t>To repaeat for other types OOBs</t>
  </si>
  <si>
    <r>
      <t xml:space="preserve">To be deducted from </t>
    </r>
    <r>
      <rPr>
        <b/>
        <sz val="10"/>
        <color rgb="FFFF0000"/>
        <rFont val="Arial"/>
        <family val="2"/>
      </rPr>
      <t>MAY</t>
    </r>
    <r>
      <rPr>
        <sz val="10"/>
        <color rgb="FFFF0000"/>
        <rFont val="Arial"/>
        <family val="2"/>
      </rPr>
      <t xml:space="preserve"> Forecast</t>
    </r>
  </si>
  <si>
    <t>To be deducted from JUNE Forecast</t>
  </si>
  <si>
    <t>Amendment to add to JUNE forecast</t>
  </si>
  <si>
    <t>CAPITA £</t>
  </si>
  <si>
    <t>Calc FTE</t>
  </si>
  <si>
    <t>PO#  23-24</t>
  </si>
  <si>
    <t>Calculated cost for year</t>
  </si>
  <si>
    <t>Capita Annual  value</t>
  </si>
  <si>
    <t>PO value  23-24 total</t>
  </si>
  <si>
    <t>current PO for 23-24 analysis</t>
  </si>
  <si>
    <t>PY o/s value</t>
  </si>
  <si>
    <t>£0-£10K</t>
  </si>
  <si>
    <t>£10001-£20,000</t>
  </si>
  <si>
    <t>£20,001+</t>
  </si>
  <si>
    <t>43016  adjustments for MAY - known trasnfers from SEP 23</t>
  </si>
  <si>
    <t>Forecast April/May2023</t>
  </si>
  <si>
    <t>Forecast tobe reduced if known transfer!  COLLEGE or INMSS</t>
  </si>
  <si>
    <t>Total June Forecast</t>
  </si>
  <si>
    <t>Variance to May 23</t>
  </si>
  <si>
    <t>additional cost/adjustments for July</t>
  </si>
  <si>
    <t>Total July Forecast</t>
  </si>
  <si>
    <t>Notes July</t>
  </si>
  <si>
    <t>Changes Aug</t>
  </si>
  <si>
    <t>Total AUG Forecast</t>
  </si>
  <si>
    <t>Changes for Sept</t>
  </si>
  <si>
    <t>Total SEPT Forecast</t>
  </si>
  <si>
    <t>Variance to AUG</t>
  </si>
  <si>
    <t>Changes for Oct</t>
  </si>
  <si>
    <t>Total OCT Forecast</t>
  </si>
  <si>
    <t>Variance to SEPT</t>
  </si>
  <si>
    <t>Changes for Nov</t>
  </si>
  <si>
    <t>Total NOV Forecast</t>
  </si>
  <si>
    <t>Variance to OCT</t>
  </si>
  <si>
    <t>Changes for Dec</t>
  </si>
  <si>
    <t>Total DEC Forecast</t>
  </si>
  <si>
    <t>Changes for Jan</t>
  </si>
  <si>
    <t>Total JAN Forecast</t>
  </si>
  <si>
    <t>The Ark ASD Resource - from25/10/22( not on 22/23 SS</t>
  </si>
  <si>
    <t>Email SEND fin</t>
  </si>
  <si>
    <t>Ishmail</t>
  </si>
  <si>
    <t>Maleeha</t>
  </si>
  <si>
    <t>from 27/09/2022  not on 22/23 S/S</t>
  </si>
  <si>
    <t>22/23 5172.28</t>
  </si>
  <si>
    <t>Penn Greenaway</t>
  </si>
  <si>
    <t>Finbar</t>
  </si>
  <si>
    <t>25hrs</t>
  </si>
  <si>
    <t>From 06/03/23  not on 22/23 S/S</t>
  </si>
  <si>
    <t>Full yr + 1 Month</t>
  </si>
  <si>
    <t>Includes one off paymen £660</t>
  </si>
  <si>
    <t>CTK2023006</t>
  </si>
  <si>
    <t>bursar@christtheking.reading.sch.uk</t>
  </si>
  <si>
    <t>Blessed Hugh Faringdon Special Resource GM</t>
  </si>
  <si>
    <t>no invoices - accrual £17k</t>
  </si>
  <si>
    <t>17000 Accrual 2 years @ £8.5K</t>
  </si>
  <si>
    <t xml:space="preserve">UTC Reading	</t>
  </si>
  <si>
    <t>Blessed Hugh Faringdon Catholic School</t>
  </si>
  <si>
    <t>Oladapo</t>
  </si>
  <si>
    <t>Promise</t>
  </si>
  <si>
    <t>West Berk</t>
  </si>
  <si>
    <t>Kennet School Hearing Impaired Resource</t>
  </si>
  <si>
    <t>Proud</t>
  </si>
  <si>
    <t>Barney</t>
  </si>
  <si>
    <t>HIR3 ?</t>
  </si>
  <si>
    <t>£21,446 paid 22/23</t>
  </si>
  <si>
    <t>Slough</t>
  </si>
  <si>
    <t>Marish Primary School Resource Unit</t>
  </si>
  <si>
    <t>Fraga</t>
  </si>
  <si>
    <t>Miguel</t>
  </si>
  <si>
    <t>The Pines Resource Unit</t>
  </si>
  <si>
    <t>Fowler</t>
  </si>
  <si>
    <t>£5725 Inv 22/23 - in dispute</t>
  </si>
  <si>
    <t>5725.44 Accrul</t>
  </si>
  <si>
    <t>new provisoin</t>
  </si>
  <si>
    <t>The Rise - Garth Hill College</t>
  </si>
  <si>
    <t>Conway</t>
  </si>
  <si>
    <t>GAR</t>
  </si>
  <si>
    <t>addt £22,721 22/23 paid</t>
  </si>
  <si>
    <t>Paid 3 Apr 23</t>
  </si>
  <si>
    <t>428722&amp;3</t>
  </si>
  <si>
    <t>Laura</t>
  </si>
  <si>
    <t>TOP…2,700</t>
  </si>
  <si>
    <t>addt £20,683 22/23 paid</t>
  </si>
  <si>
    <t>Way</t>
  </si>
  <si>
    <t>Memo £13,312( 22/23 2 terms £8,967pd)</t>
  </si>
  <si>
    <t>addt £13,312( 22/23 2 terms £8,967pd)</t>
  </si>
  <si>
    <t>GAR +TOP</t>
  </si>
  <si>
    <t>memo £21,339</t>
  </si>
  <si>
    <t>Check</t>
  </si>
  <si>
    <t>Variance to BWO budget</t>
  </si>
  <si>
    <t>SEPT</t>
  </si>
  <si>
    <t>OCT</t>
  </si>
  <si>
    <t>NOV</t>
  </si>
  <si>
    <t>Forecast  has taken into account theleavers/transfers from SEP 23 where known, this may change  in summer and beginning of autumn!</t>
  </si>
  <si>
    <t>Maintianed</t>
  </si>
  <si>
    <t>Leavers/reductions</t>
  </si>
  <si>
    <t>New/Increases</t>
  </si>
  <si>
    <t>Wokingham Pupils at Other LA Schools (PRU) - 2023-24</t>
  </si>
  <si>
    <t>COST CENTRE_ 43019</t>
  </si>
  <si>
    <t>PO value  23-24</t>
  </si>
  <si>
    <t>Forecast June 2023</t>
  </si>
  <si>
    <t>new costs</t>
  </si>
  <si>
    <t>Forecast JULY</t>
  </si>
  <si>
    <t>Forecast AUG</t>
  </si>
  <si>
    <t>Forecast SEPT</t>
  </si>
  <si>
    <t>Forecast Nov</t>
  </si>
  <si>
    <t>Forecast Dec</t>
  </si>
  <si>
    <t>Leeds City Council</t>
  </si>
  <si>
    <t>Alt Prov</t>
  </si>
  <si>
    <t>Logue</t>
  </si>
  <si>
    <t>Jonjo</t>
  </si>
  <si>
    <t>22/23 £57330 Inv paid</t>
  </si>
  <si>
    <t>£1890 panel aug</t>
  </si>
  <si>
    <t>BWO 43019</t>
  </si>
  <si>
    <t>T</t>
  </si>
  <si>
    <t>Order Num</t>
  </si>
  <si>
    <t>Directorate(T)</t>
  </si>
  <si>
    <t>TT</t>
  </si>
  <si>
    <t>TransNo</t>
  </si>
  <si>
    <t>#</t>
  </si>
  <si>
    <t>Trans.date</t>
  </si>
  <si>
    <t>Period</t>
  </si>
  <si>
    <t>Account</t>
  </si>
  <si>
    <t>Account(T)</t>
  </si>
  <si>
    <t>Cost Centre(T)</t>
  </si>
  <si>
    <t>Project</t>
  </si>
  <si>
    <t>Cat3</t>
  </si>
  <si>
    <t>Cat3(T)</t>
  </si>
  <si>
    <t>Cat4</t>
  </si>
  <si>
    <t>Cat4(T)</t>
  </si>
  <si>
    <t>Cat5</t>
  </si>
  <si>
    <t>Cat5(T)</t>
  </si>
  <si>
    <t>Cat6</t>
  </si>
  <si>
    <t>Analysis</t>
  </si>
  <si>
    <t>Analysis(T)</t>
  </si>
  <si>
    <t>Ap/Ar ID</t>
  </si>
  <si>
    <t>Ap/Ar ID(T)</t>
  </si>
  <si>
    <t>InvoiceNo</t>
  </si>
  <si>
    <t>TC</t>
  </si>
  <si>
    <t>Text</t>
  </si>
  <si>
    <t>Amount</t>
  </si>
  <si>
    <t>Forecast SEPT 23 - no change to previous month</t>
  </si>
  <si>
    <t>B</t>
  </si>
  <si>
    <t>Children´s Services - School Block</t>
  </si>
  <si>
    <t>II</t>
  </si>
  <si>
    <t>R5600</t>
  </si>
  <si>
    <t>TPP - Other Establishments</t>
  </si>
  <si>
    <t>43019</t>
  </si>
  <si>
    <t>Other LA PRUs</t>
  </si>
  <si>
    <t>99999</t>
  </si>
  <si>
    <t/>
  </si>
  <si>
    <t>99999-999</t>
  </si>
  <si>
    <t>Blank Work Order</t>
  </si>
  <si>
    <t>205288</t>
  </si>
  <si>
    <t>6810160949</t>
  </si>
  <si>
    <t>P3</t>
  </si>
  <si>
    <t>8071841</t>
  </si>
  <si>
    <t>October 2021 (11 days) - £2,310</t>
  </si>
  <si>
    <t>November 2021 (19 days) - £3,990</t>
  </si>
  <si>
    <t>December 2021 (13 days) - £2,730</t>
  </si>
  <si>
    <t>January 2022 (18 days) - £3,780</t>
  </si>
  <si>
    <t>February 2022 ( 14 days) - £2,940</t>
  </si>
  <si>
    <t>March 2022 (21 days) - £4,410</t>
  </si>
  <si>
    <t>April 2022 (10 days) - £2,100</t>
  </si>
  <si>
    <t>May 2022 (19 days) - £3,990</t>
  </si>
  <si>
    <t>June 2022 (19 days) - £3,990</t>
  </si>
  <si>
    <t>BWO _ PO receipted payments</t>
  </si>
  <si>
    <t>scheduled 23-24  £</t>
  </si>
  <si>
    <t>Prev Year(s)        £</t>
  </si>
  <si>
    <t>Requisition#</t>
  </si>
  <si>
    <t>23-24 value only for analysis</t>
  </si>
  <si>
    <t>PY 22-23</t>
  </si>
  <si>
    <t>0-15K</t>
  </si>
  <si>
    <t>15001-20,000</t>
  </si>
  <si>
    <t>20001=</t>
  </si>
  <si>
    <t>new Pos</t>
  </si>
  <si>
    <t>Inv</t>
  </si>
  <si>
    <t>PY receipts</t>
  </si>
  <si>
    <t>43009 Accrual</t>
  </si>
  <si>
    <t>43009 (copy paste values only)</t>
  </si>
  <si>
    <t>43009  adjustments for MAY - known trasnfers from SEP 23</t>
  </si>
  <si>
    <t>43009  adjustments for MAY - known trasnfers from SEP 23 (copy values only)</t>
  </si>
  <si>
    <t>Total Forecast April/May2023</t>
  </si>
  <si>
    <t>decision sheet date</t>
  </si>
  <si>
    <t>New provisons</t>
  </si>
  <si>
    <t>Forecast June</t>
  </si>
  <si>
    <t>variance to May forecast</t>
  </si>
  <si>
    <t>notes JUNE</t>
  </si>
  <si>
    <t>transtion</t>
  </si>
  <si>
    <t>additional cost July</t>
  </si>
  <si>
    <t>JULY forecast</t>
  </si>
  <si>
    <t>Variance to JUNE forecast</t>
  </si>
  <si>
    <t>additional cost AUG</t>
  </si>
  <si>
    <t>AUG forecast</t>
  </si>
  <si>
    <t>Variance to JULY forecast</t>
  </si>
  <si>
    <t>Changes SEPT</t>
  </si>
  <si>
    <t>SEPT forecast</t>
  </si>
  <si>
    <t>Variance to AUG forecast</t>
  </si>
  <si>
    <t>Changes OCT</t>
  </si>
  <si>
    <t>OCT forecast</t>
  </si>
  <si>
    <t>Variance to SEPT forecast</t>
  </si>
  <si>
    <t>Nov forecast</t>
  </si>
  <si>
    <t>Variance to Oct forecast</t>
  </si>
  <si>
    <t>Dec forecast</t>
  </si>
  <si>
    <t>Variance to Nov forecast</t>
  </si>
  <si>
    <t>Jan forecast</t>
  </si>
  <si>
    <t>Bucks</t>
  </si>
  <si>
    <t>new supplier</t>
  </si>
  <si>
    <t>Alfriston</t>
  </si>
  <si>
    <t>Godwin</t>
  </si>
  <si>
    <t>newly added, provision start june 2022, values for 23-24 and 2.5 terms for 22-23</t>
  </si>
  <si>
    <t>check these invoices</t>
  </si>
  <si>
    <t>Arbour Vale Special School (Orchard Hill College Academy Trust)</t>
  </si>
  <si>
    <t>from Gorse ride Inf</t>
  </si>
  <si>
    <t>newly added as transfer</t>
  </si>
  <si>
    <t>Maryam</t>
  </si>
  <si>
    <t>No inv 22/23</t>
  </si>
  <si>
    <t>Start 27/01/2023 - Spr inv Inc</t>
  </si>
  <si>
    <t>Start 27/01/2023 - no inv 22/23</t>
  </si>
  <si>
    <t>Kwok</t>
  </si>
  <si>
    <t>Ya HIN</t>
  </si>
  <si>
    <t>start 15/02/2023- no inv 22/23</t>
  </si>
  <si>
    <t>start 15/02/2023- Spr inv inc</t>
  </si>
  <si>
    <t>Avenue Special Academy</t>
  </si>
  <si>
    <t>Aslam</t>
  </si>
  <si>
    <t>Ayan</t>
  </si>
  <si>
    <t>ASD5</t>
  </si>
  <si>
    <t>Langham</t>
  </si>
  <si>
    <t>SLD3</t>
  </si>
  <si>
    <t>leaver no destination</t>
  </si>
  <si>
    <t>Fattah Abdul</t>
  </si>
  <si>
    <t>ASD3</t>
  </si>
  <si>
    <t>Mya</t>
  </si>
  <si>
    <t>PMLD3</t>
  </si>
  <si>
    <t>Namba</t>
  </si>
  <si>
    <t>Mark</t>
  </si>
  <si>
    <t>Funding LA is NOT WBC</t>
  </si>
  <si>
    <t>Queen</t>
  </si>
  <si>
    <t>ASD4</t>
  </si>
  <si>
    <t>No LA</t>
  </si>
  <si>
    <t>Rajpal</t>
  </si>
  <si>
    <t>Amanveer Singh</t>
  </si>
  <si>
    <t>PLMD</t>
  </si>
  <si>
    <t>PLMD3</t>
  </si>
  <si>
    <t>Oxfordshire</t>
  </si>
  <si>
    <t>The Propeller Academy TRUST(formerBishopswood School)</t>
  </si>
  <si>
    <t>West Berkshire</t>
  </si>
  <si>
    <t>Brookfields Special School</t>
  </si>
  <si>
    <t>Amos</t>
  </si>
  <si>
    <t>LEV4</t>
  </si>
  <si>
    <t>Binkowska</t>
  </si>
  <si>
    <t>Victoria</t>
  </si>
  <si>
    <t>MLD3</t>
  </si>
  <si>
    <t>why has Sue got £10,362? Agreed to annual invoice</t>
  </si>
  <si>
    <t>Sue has £19,531 - based in annula invoice</t>
  </si>
  <si>
    <t>Hadid</t>
  </si>
  <si>
    <t>Talha</t>
  </si>
  <si>
    <t>30630 sue invoice for year</t>
  </si>
  <si>
    <t>Hill</t>
  </si>
  <si>
    <t>Longmate John</t>
  </si>
  <si>
    <t>ASD6</t>
  </si>
  <si>
    <t>Zachariah</t>
  </si>
  <si>
    <t>Saim</t>
  </si>
  <si>
    <t>Saeed</t>
  </si>
  <si>
    <t>PLMD2</t>
  </si>
  <si>
    <t>Brookfields special school</t>
  </si>
  <si>
    <t>Tek</t>
  </si>
  <si>
    <t>Asil</t>
  </si>
  <si>
    <t>Sue has £30,630</t>
  </si>
  <si>
    <t>Tigwell</t>
  </si>
  <si>
    <t>PMLD</t>
  </si>
  <si>
    <t>BRB4</t>
  </si>
  <si>
    <t>Surrey</t>
  </si>
  <si>
    <t>Carwarden House School</t>
  </si>
  <si>
    <t>Farnborough Coll</t>
  </si>
  <si>
    <t>Kelvin</t>
  </si>
  <si>
    <t>Conner</t>
  </si>
  <si>
    <t>Harman</t>
  </si>
  <si>
    <t>Lara</t>
  </si>
  <si>
    <t>Holdstock</t>
  </si>
  <si>
    <t>ss</t>
  </si>
  <si>
    <t>Reason</t>
  </si>
  <si>
    <t>ModDL</t>
  </si>
  <si>
    <t>Check with Sue</t>
  </si>
  <si>
    <t>What have we paid to date?</t>
  </si>
  <si>
    <t>Rezk</t>
  </si>
  <si>
    <t>RUDGE</t>
  </si>
  <si>
    <t>JOHN</t>
  </si>
  <si>
    <t>Rudge</t>
  </si>
  <si>
    <t>Kiera</t>
  </si>
  <si>
    <t>Clarendon School</t>
  </si>
  <si>
    <t>Fitzgerald</t>
  </si>
  <si>
    <t>Stevielee</t>
  </si>
  <si>
    <t>Chadwick</t>
  </si>
  <si>
    <t>Fraser</t>
  </si>
  <si>
    <t>1:2</t>
  </si>
  <si>
    <t>FOSI772</t>
  </si>
  <si>
    <t>1:1.5</t>
  </si>
  <si>
    <t>FOSI771</t>
  </si>
  <si>
    <t>Amough</t>
  </si>
  <si>
    <t>Colleton_43012</t>
  </si>
  <si>
    <t>Kalomar</t>
  </si>
  <si>
    <t>Mohamad</t>
  </si>
  <si>
    <t>FOSI770</t>
  </si>
  <si>
    <t>Lagos-Gorritti</t>
  </si>
  <si>
    <t>Daniel Alexande</t>
  </si>
  <si>
    <t>1:1</t>
  </si>
  <si>
    <t>FOSI769</t>
  </si>
  <si>
    <t>Naqvi</t>
  </si>
  <si>
    <t>Azlan</t>
  </si>
  <si>
    <t>FOSI768</t>
  </si>
  <si>
    <t>Uwaragira</t>
  </si>
  <si>
    <t>FOSI773</t>
  </si>
  <si>
    <t>Yardley</t>
  </si>
  <si>
    <t>FOSI767</t>
  </si>
  <si>
    <t>Hamilton School (MET)</t>
  </si>
  <si>
    <t>Adamson</t>
  </si>
  <si>
    <t>Theodor</t>
  </si>
  <si>
    <t>HASI57</t>
  </si>
  <si>
    <t xml:space="preserve"> Hamilton School (MET)</t>
  </si>
  <si>
    <t>Alder</t>
  </si>
  <si>
    <t>Corran</t>
  </si>
  <si>
    <t>Dean Smith</t>
  </si>
  <si>
    <t>Winnersh PS_43011</t>
  </si>
  <si>
    <t>Gaylor</t>
  </si>
  <si>
    <t>Guard</t>
  </si>
  <si>
    <t>Leyton</t>
  </si>
  <si>
    <t>Not on Hamilton Schedule 22/23</t>
  </si>
  <si>
    <t>Karokohe</t>
  </si>
  <si>
    <t>Nuko</t>
  </si>
  <si>
    <t>special, not named</t>
  </si>
  <si>
    <t>Law</t>
  </si>
  <si>
    <t>The Mile House</t>
  </si>
  <si>
    <t>1 Month</t>
  </si>
  <si>
    <t>Mile House 01/05/2023</t>
  </si>
  <si>
    <t>Trent</t>
  </si>
  <si>
    <t>Queensmead from06/01/23</t>
  </si>
  <si>
    <t>Queensmead from 06/01/2023</t>
  </si>
  <si>
    <t>Queeensmead from Jan23</t>
  </si>
  <si>
    <t>Durning</t>
  </si>
  <si>
    <t>curently in Foundry/ no start date for Hamilton</t>
  </si>
  <si>
    <t>Middlesex</t>
  </si>
  <si>
    <t>Hedgewood School</t>
  </si>
  <si>
    <t>Unwin</t>
  </si>
  <si>
    <t>£15,000 pa</t>
  </si>
  <si>
    <t>Hampshire</t>
  </si>
  <si>
    <t>Halcrow</t>
  </si>
  <si>
    <t>No inv 22/23 £9630.67 accrual</t>
  </si>
  <si>
    <t>Henry Tyndale</t>
  </si>
  <si>
    <t>Holy Brook School</t>
  </si>
  <si>
    <t>Dexter-Smith</t>
  </si>
  <si>
    <t>Leonard</t>
  </si>
  <si>
    <t xml:space="preserve">Ruttle </t>
  </si>
  <si>
    <t>Yaxley</t>
  </si>
  <si>
    <t>Kennel Lane Special School</t>
  </si>
  <si>
    <t>Abdou</t>
  </si>
  <si>
    <t>KEN4</t>
  </si>
  <si>
    <t>Single Kennel Lane Band 5 - previously had double band 5 from 1/4/23 - 1/9/23</t>
  </si>
  <si>
    <t>Tutor cost</t>
  </si>
  <si>
    <t>Bevan</t>
  </si>
  <si>
    <t>Clyde</t>
  </si>
  <si>
    <t>Everley</t>
  </si>
  <si>
    <t>SpLang</t>
  </si>
  <si>
    <t>Dishann</t>
  </si>
  <si>
    <t>CCF prorated value - no Capita update yet of new provision placement</t>
  </si>
  <si>
    <t>Fernandes</t>
  </si>
  <si>
    <t xml:space="preserve">Grattan </t>
  </si>
  <si>
    <t>Ryan (GRY)</t>
  </si>
  <si>
    <t xml:space="preserve">Grozev </t>
  </si>
  <si>
    <t>Niko</t>
  </si>
  <si>
    <t>Grundy</t>
  </si>
  <si>
    <t>Rhys (GR)</t>
  </si>
  <si>
    <t>Kennel Lane</t>
  </si>
  <si>
    <t>ADH</t>
  </si>
  <si>
    <t>Mamica</t>
  </si>
  <si>
    <t>Ernest</t>
  </si>
  <si>
    <t xml:space="preserve">Mbiine </t>
  </si>
  <si>
    <t>Oyo</t>
  </si>
  <si>
    <t>Milo</t>
  </si>
  <si>
    <t>Warren-Searle</t>
  </si>
  <si>
    <t>Rory</t>
  </si>
  <si>
    <t>Whiteside</t>
  </si>
  <si>
    <t>Hollie</t>
  </si>
  <si>
    <t>Littledown School</t>
  </si>
  <si>
    <t>LDSS000820</t>
  </si>
  <si>
    <t>Meadow High School</t>
  </si>
  <si>
    <t>Windsor &amp; Maidenhead</t>
  </si>
  <si>
    <t>Manor Green Special School</t>
  </si>
  <si>
    <t>Finch</t>
  </si>
  <si>
    <t>Fox</t>
  </si>
  <si>
    <t xml:space="preserve"> - </t>
  </si>
  <si>
    <t>Covey</t>
  </si>
  <si>
    <t>BAND7</t>
  </si>
  <si>
    <t>leroy</t>
  </si>
  <si>
    <t>Cross-Tolley</t>
  </si>
  <si>
    <t>unplaced, previously in INMSS,acrued</t>
  </si>
  <si>
    <t>Jordan</t>
  </si>
  <si>
    <t>Mays</t>
  </si>
  <si>
    <t>PhyDis</t>
  </si>
  <si>
    <t>Madyson-Leigh</t>
  </si>
  <si>
    <t>Capita £15k plus £10k for first year (9/20 -7/21)</t>
  </si>
  <si>
    <t>Moved to RBWM 31/10/22</t>
  </si>
  <si>
    <t>Moved to RBWM</t>
  </si>
  <si>
    <t>Funding LA RBWM</t>
  </si>
  <si>
    <t>BAND8</t>
  </si>
  <si>
    <t>Manor Green Special School/Link</t>
  </si>
  <si>
    <t>Marsh</t>
  </si>
  <si>
    <t>Jos</t>
  </si>
  <si>
    <t>4218770&amp;1&amp;2&amp;3&amp;4</t>
  </si>
  <si>
    <t>#123/124/129/164/166/195</t>
  </si>
  <si>
    <t>Maiden Erlegh/The LINK</t>
  </si>
  <si>
    <t>#123/124/129/164/166/196</t>
  </si>
  <si>
    <t>provison confirmed as ended 12th March 2023</t>
  </si>
  <si>
    <t>Manor Green Special School/The LINK</t>
  </si>
  <si>
    <t>Stanway</t>
  </si>
  <si>
    <t>Zara</t>
  </si>
  <si>
    <t>#123/124/129/164/166/197</t>
  </si>
  <si>
    <t>Manor Green Special School /Link</t>
  </si>
  <si>
    <t>Tonner</t>
  </si>
  <si>
    <t>Piggott / The Link</t>
  </si>
  <si>
    <t>#123/124/129/164/166/198</t>
  </si>
  <si>
    <t>Manor Green/Link</t>
  </si>
  <si>
    <t>Valecha</t>
  </si>
  <si>
    <t>4218770&amp;1&amp;2&amp;3&amp;5</t>
  </si>
  <si>
    <t>#123/124/129/164/166/199</t>
  </si>
  <si>
    <t>Bohunt/THE LINK</t>
  </si>
  <si>
    <t>Walker</t>
  </si>
  <si>
    <t>Molly</t>
  </si>
  <si>
    <t>LINK requested</t>
  </si>
  <si>
    <t>Manor Green Special School/The LINK(on roll at ME MAT)</t>
  </si>
  <si>
    <t>transfer from Hurst Lodge/ no start date yet/no Ca;pita info!</t>
  </si>
  <si>
    <t xml:space="preserve">new provision </t>
  </si>
  <si>
    <t>Samuel Cody Specialist Sports College</t>
  </si>
  <si>
    <t>Rotherham</t>
  </si>
  <si>
    <t>Accrual £1258(scheduled invoices Aut/Spr)</t>
  </si>
  <si>
    <t>Wareing</t>
  </si>
  <si>
    <t>HANTS</t>
  </si>
  <si>
    <t xml:space="preserve"> Moved 05/10/2022</t>
  </si>
  <si>
    <t>Funding &amp; Home LA is NOT WBC</t>
  </si>
  <si>
    <t>Thames Valley School/NAS Academies Trust</t>
  </si>
  <si>
    <t>Top Up &amp; Uplift Spr Sum 22/23</t>
  </si>
  <si>
    <t>Includes 6% uplift</t>
  </si>
  <si>
    <t>Burn</t>
  </si>
  <si>
    <t>Collum</t>
  </si>
  <si>
    <t>Accrual £13365.67 - request CRN- Alternative provision</t>
  </si>
  <si>
    <t>YP has not attended</t>
  </si>
  <si>
    <t>PAGE</t>
  </si>
  <si>
    <t>RORY</t>
  </si>
  <si>
    <t>Phillips-Kelleway</t>
  </si>
  <si>
    <t>transfer to Green Room, no start date</t>
  </si>
  <si>
    <t>Sue has 7737</t>
  </si>
  <si>
    <t>Rae</t>
  </si>
  <si>
    <t>Iain</t>
  </si>
  <si>
    <t>12/09/2010</t>
  </si>
  <si>
    <t>Tofts</t>
  </si>
  <si>
    <t>19/10/2011</t>
  </si>
  <si>
    <t>Hillingdon</t>
  </si>
  <si>
    <t>The PRIDE Academy (OHCAT)</t>
  </si>
  <si>
    <t>transfer from Piggott charvill</t>
  </si>
  <si>
    <t>May/June/23</t>
  </si>
  <si>
    <t>new provison from Sep23 - transfer from WBC MNSTR acd</t>
  </si>
  <si>
    <t>provision ended, inv awatiting - acrued already</t>
  </si>
  <si>
    <t>transer from Shifield Infants</t>
  </si>
  <si>
    <t>Moved to Reading 07/03/23 O/s invoices for prev years</t>
  </si>
  <si>
    <t>prov ended 22-23, accrued for the time with WBC, after that FundingLA changedon Capita</t>
  </si>
  <si>
    <t>Harrow</t>
  </si>
  <si>
    <t>Seva Special School</t>
  </si>
  <si>
    <t>Chiu</t>
  </si>
  <si>
    <t>Chin Chun</t>
  </si>
  <si>
    <t>unknown</t>
  </si>
  <si>
    <t>Odessey</t>
  </si>
  <si>
    <t>The Willows Academy Trust</t>
  </si>
  <si>
    <t>BUDGET23/24 on BWO</t>
  </si>
  <si>
    <t>NOV F/CAST</t>
  </si>
  <si>
    <t>DEC F/CAST</t>
  </si>
  <si>
    <t>Budget BWO 23-24</t>
  </si>
  <si>
    <t>Wokingham Pupils at Other LA Schools (SPECIAL) - 2023-24</t>
  </si>
  <si>
    <t>JUNE:</t>
  </si>
  <si>
    <t>JULY:</t>
  </si>
  <si>
    <t>Non Academied</t>
  </si>
  <si>
    <t>COST CENTRE_ 43009</t>
  </si>
  <si>
    <t>Variance due to new provisons of values £30K+ pa for 4 YP</t>
  </si>
  <si>
    <t>Variance due to small number of high value provisions, one via CCF</t>
  </si>
  <si>
    <t>Some is offset with YP provisons being met by other LAs as financially responsible</t>
  </si>
  <si>
    <t>Academy</t>
  </si>
  <si>
    <t>JAN F/CAST</t>
  </si>
  <si>
    <t>Non Academy</t>
  </si>
  <si>
    <t xml:space="preserve">2 new provisions </t>
  </si>
  <si>
    <t xml:space="preserve">duplicate entry </t>
  </si>
  <si>
    <t>1 exisitng previously missed off</t>
  </si>
  <si>
    <t>5 Changes in capita provision</t>
  </si>
  <si>
    <t>leavers/reductions</t>
  </si>
  <si>
    <t>removal of provision not due until 24</t>
  </si>
  <si>
    <t>new/increases</t>
  </si>
  <si>
    <t>SEND Benchmarking Return 24.10.23</t>
  </si>
  <si>
    <t>43601 and 43606 - Previous Forecast</t>
  </si>
  <si>
    <t>DIFFERENCE</t>
  </si>
  <si>
    <t>Current</t>
  </si>
  <si>
    <t>Mainstream/Special</t>
  </si>
  <si>
    <t>Location</t>
  </si>
  <si>
    <t>Stud_ID</t>
  </si>
  <si>
    <t>Provision start date</t>
  </si>
  <si>
    <t>Provision end date</t>
  </si>
  <si>
    <t>Annual cost</t>
  </si>
  <si>
    <t>Calc cost</t>
  </si>
  <si>
    <t>note</t>
  </si>
  <si>
    <t>Annual Cost</t>
  </si>
  <si>
    <t>Changes Nov 23</t>
  </si>
  <si>
    <t>Sum of 2024.25 FULL YEAR</t>
  </si>
  <si>
    <t>Sum of 2023.24 FORECAST</t>
  </si>
  <si>
    <t>Sum of 2022.23 REVERSALS</t>
  </si>
  <si>
    <t>Sum of 2023.24 INVOICES</t>
  </si>
  <si>
    <t>Sum of 2023.24 "ACCRUALS"</t>
  </si>
  <si>
    <t>Sum of 2023.24 TOTAL</t>
  </si>
  <si>
    <t>INVOICES PLUS "ACCRUALS"</t>
  </si>
  <si>
    <t>Dec Changes</t>
  </si>
  <si>
    <t>Jan Changes</t>
  </si>
  <si>
    <t>Beechwood College</t>
  </si>
  <si>
    <t>Buttery</t>
  </si>
  <si>
    <t>No cost info on capita</t>
  </si>
  <si>
    <t>Shelling College</t>
  </si>
  <si>
    <t>Bowley</t>
  </si>
  <si>
    <t>Rachel</t>
  </si>
  <si>
    <t>Derwen College</t>
  </si>
  <si>
    <t>Stonehouse</t>
  </si>
  <si>
    <t>Duncan</t>
  </si>
  <si>
    <t>Capita £19,533.96</t>
  </si>
  <si>
    <t>Hue</t>
  </si>
  <si>
    <t>Jan- July £18,279</t>
  </si>
  <si>
    <t>Cambrian Wing College</t>
  </si>
  <si>
    <t>Labbani</t>
  </si>
  <si>
    <t>Navid</t>
  </si>
  <si>
    <t>£80,406.20 per school year</t>
  </si>
  <si>
    <t>Treloar School</t>
  </si>
  <si>
    <t>Katerina</t>
  </si>
  <si>
    <t>Unclear possibly £174,917.07</t>
  </si>
  <si>
    <t>Nazer</t>
  </si>
  <si>
    <t>Exeter Royal Academy</t>
  </si>
  <si>
    <t>Maule</t>
  </si>
  <si>
    <t>The Deaf Academy</t>
  </si>
  <si>
    <t>Farleigh College</t>
  </si>
  <si>
    <t>Hare</t>
  </si>
  <si>
    <t>Bunney</t>
  </si>
  <si>
    <t>Barnwell</t>
  </si>
  <si>
    <t>Hollings</t>
  </si>
  <si>
    <t>Lennarz</t>
  </si>
  <si>
    <t>Emma</t>
  </si>
  <si>
    <t>Sammour</t>
  </si>
  <si>
    <t>Kane</t>
  </si>
  <si>
    <t>Hoyle</t>
  </si>
  <si>
    <t>Sousa</t>
  </si>
  <si>
    <t>Laurie</t>
  </si>
  <si>
    <t>Tyrone</t>
  </si>
  <si>
    <t>Woods</t>
  </si>
  <si>
    <t>Kieran</t>
  </si>
  <si>
    <t>Welch</t>
  </si>
  <si>
    <t>Moors</t>
  </si>
  <si>
    <t>Bauge</t>
  </si>
  <si>
    <t>Rzysko</t>
  </si>
  <si>
    <t>Wyman-Reeve</t>
  </si>
  <si>
    <t>Philip</t>
  </si>
  <si>
    <t>Kelly</t>
  </si>
  <si>
    <t>Bentley</t>
  </si>
  <si>
    <t>Lucy agreed</t>
  </si>
  <si>
    <t>McKeever</t>
  </si>
  <si>
    <t>Brine</t>
  </si>
  <si>
    <t>Knighton</t>
  </si>
  <si>
    <t>Parsons</t>
  </si>
  <si>
    <t>Laurence</t>
  </si>
  <si>
    <t>Thames</t>
  </si>
  <si>
    <t>Slaughter</t>
  </si>
  <si>
    <t>Hambleton</t>
  </si>
  <si>
    <t>Kirby</t>
  </si>
  <si>
    <t>Ellis Graham</t>
  </si>
  <si>
    <t>Kadyn</t>
  </si>
  <si>
    <t>Nurse</t>
  </si>
  <si>
    <t>Jevai</t>
  </si>
  <si>
    <t>Harvey Tyler</t>
  </si>
  <si>
    <t>Simmonds</t>
  </si>
  <si>
    <t>Jameson</t>
  </si>
  <si>
    <t>Jasminerose</t>
  </si>
  <si>
    <t>Aslett</t>
  </si>
  <si>
    <t>Narancic</t>
  </si>
  <si>
    <t>Leach</t>
  </si>
  <si>
    <t>Pindoria</t>
  </si>
  <si>
    <t>Bush</t>
  </si>
  <si>
    <t>Hurst Lodge School</t>
  </si>
  <si>
    <t>Bolt</t>
  </si>
  <si>
    <t>Sexton</t>
  </si>
  <si>
    <t>Leon-James</t>
  </si>
  <si>
    <t>Lander</t>
  </si>
  <si>
    <t>Predgen</t>
  </si>
  <si>
    <t>Zakary</t>
  </si>
  <si>
    <t>Macaulay</t>
  </si>
  <si>
    <t>Mitchell</t>
  </si>
  <si>
    <t>Sol</t>
  </si>
  <si>
    <t>Ross</t>
  </si>
  <si>
    <t>Harradine</t>
  </si>
  <si>
    <t>Patrick-East</t>
  </si>
  <si>
    <t>Richards</t>
  </si>
  <si>
    <t>Stephen</t>
  </si>
  <si>
    <t>Ruby-Rose</t>
  </si>
  <si>
    <t>McMahon</t>
  </si>
  <si>
    <t>Conall</t>
  </si>
  <si>
    <t>Bray</t>
  </si>
  <si>
    <t>Gent</t>
  </si>
  <si>
    <t>McDowell</t>
  </si>
  <si>
    <t>Caragh</t>
  </si>
  <si>
    <t>Meen</t>
  </si>
  <si>
    <t>Brodzinski</t>
  </si>
  <si>
    <t>Dowling</t>
  </si>
  <si>
    <t>Gamblen</t>
  </si>
  <si>
    <t>Freddy</t>
  </si>
  <si>
    <t>Ruben</t>
  </si>
  <si>
    <t>Hobbis</t>
  </si>
  <si>
    <t>Gill</t>
  </si>
  <si>
    <t>Kamran</t>
  </si>
  <si>
    <t>Cullen</t>
  </si>
  <si>
    <t>Sara-Hannah</t>
  </si>
  <si>
    <t>Kobi</t>
  </si>
  <si>
    <t>Pepper</t>
  </si>
  <si>
    <t>Corrado</t>
  </si>
  <si>
    <t>Martindale</t>
  </si>
  <si>
    <t>Sood</t>
  </si>
  <si>
    <t>Jaiden</t>
  </si>
  <si>
    <t>Kiaan</t>
  </si>
  <si>
    <t>Priest</t>
  </si>
  <si>
    <t>Tuckwell-Newman</t>
  </si>
  <si>
    <t>Storey</t>
  </si>
  <si>
    <t>McNaughton-Pearce</t>
  </si>
  <si>
    <t>Willow</t>
  </si>
  <si>
    <t>Taylor-Foulds</t>
  </si>
  <si>
    <t>Walton</t>
  </si>
  <si>
    <t>Sharp</t>
  </si>
  <si>
    <t>Christian</t>
  </si>
  <si>
    <t>Frickleton</t>
  </si>
  <si>
    <t>Grove</t>
  </si>
  <si>
    <t>High Close School</t>
  </si>
  <si>
    <t>Alaia</t>
  </si>
  <si>
    <t>Cotton</t>
  </si>
  <si>
    <t>Alder-Wassell</t>
  </si>
  <si>
    <t>Marston</t>
  </si>
  <si>
    <t>Bearpark</t>
  </si>
  <si>
    <t>Morley</t>
  </si>
  <si>
    <t>Baggaley</t>
  </si>
  <si>
    <t>McCaugherty</t>
  </si>
  <si>
    <t>Maddison</t>
  </si>
  <si>
    <t>Blossom</t>
  </si>
  <si>
    <t>Lexi</t>
  </si>
  <si>
    <t>Lucy weekly £2340</t>
  </si>
  <si>
    <t>Holms</t>
  </si>
  <si>
    <t>Neill</t>
  </si>
  <si>
    <t>Duke</t>
  </si>
  <si>
    <t>Garlick</t>
  </si>
  <si>
    <t>Oxley</t>
  </si>
  <si>
    <t>Lucy agreed £2834/week</t>
  </si>
  <si>
    <t>Lyon</t>
  </si>
  <si>
    <t>Alexa</t>
  </si>
  <si>
    <t>McKenzie</t>
  </si>
  <si>
    <t>Hawthorne</t>
  </si>
  <si>
    <t>Rodgers</t>
  </si>
  <si>
    <t>Damien</t>
  </si>
  <si>
    <t>moving to OakTree Sept 24</t>
  </si>
  <si>
    <t>Chambers</t>
  </si>
  <si>
    <t>Aimee</t>
  </si>
  <si>
    <t>Lawrance</t>
  </si>
  <si>
    <t>Meston</t>
  </si>
  <si>
    <t>Pollock</t>
  </si>
  <si>
    <t>Charley</t>
  </si>
  <si>
    <t>Rosier</t>
  </si>
  <si>
    <t>Opiela</t>
  </si>
  <si>
    <t>Susanna</t>
  </si>
  <si>
    <t>Rocco</t>
  </si>
  <si>
    <t>Lucy  agreed we pay 25%</t>
  </si>
  <si>
    <t>Ackroyd</t>
  </si>
  <si>
    <t>Tanzy</t>
  </si>
  <si>
    <t>Madamala</t>
  </si>
  <si>
    <t>Fairbrass</t>
  </si>
  <si>
    <t>Solomons</t>
  </si>
  <si>
    <t>Lydia</t>
  </si>
  <si>
    <t>Pritchard</t>
  </si>
  <si>
    <t>Zawadzki</t>
  </si>
  <si>
    <t>Pascal</t>
  </si>
  <si>
    <t>Tanner</t>
  </si>
  <si>
    <t>Muller</t>
  </si>
  <si>
    <t>Pieter-Brian</t>
  </si>
  <si>
    <t>Dommett</t>
  </si>
  <si>
    <t>Yuven</t>
  </si>
  <si>
    <t>Amaraboina</t>
  </si>
  <si>
    <t>Yash</t>
  </si>
  <si>
    <t>Laszuk</t>
  </si>
  <si>
    <t>Dymitr</t>
  </si>
  <si>
    <t>Amin</t>
  </si>
  <si>
    <t>Darius</t>
  </si>
  <si>
    <t>Leroy</t>
  </si>
  <si>
    <t>Currently at Amegreen Childrens placement. Check</t>
  </si>
  <si>
    <t>Snape</t>
  </si>
  <si>
    <t>Thomson</t>
  </si>
  <si>
    <t>Mihalache</t>
  </si>
  <si>
    <t>Norris</t>
  </si>
  <si>
    <t>Phillips Kelleway</t>
  </si>
  <si>
    <t>Rafael</t>
  </si>
  <si>
    <t>Nancy</t>
  </si>
  <si>
    <t>Mai</t>
  </si>
  <si>
    <t>Szeto</t>
  </si>
  <si>
    <t>Oyegbata</t>
  </si>
  <si>
    <t>Hodgson</t>
  </si>
  <si>
    <t>Zaheer</t>
  </si>
  <si>
    <t>Neville</t>
  </si>
  <si>
    <t>Louveaux</t>
  </si>
  <si>
    <t>Cruz</t>
  </si>
  <si>
    <t>Zaky</t>
  </si>
  <si>
    <t>Hannah</t>
  </si>
  <si>
    <t>Rufus</t>
  </si>
  <si>
    <t>Stuart</t>
  </si>
  <si>
    <t>Carlos</t>
  </si>
  <si>
    <t>Horne</t>
  </si>
  <si>
    <t>Opoku</t>
  </si>
  <si>
    <t>Micah</t>
  </si>
  <si>
    <t>Derakhshan</t>
  </si>
  <si>
    <t>Jeffries</t>
  </si>
  <si>
    <t>Paige</t>
  </si>
  <si>
    <t xml:space="preserve">Rowan </t>
  </si>
  <si>
    <t>Holme Grange School</t>
  </si>
  <si>
    <t>Sycha</t>
  </si>
  <si>
    <t>Odyssey House School</t>
  </si>
  <si>
    <t>Caden</t>
  </si>
  <si>
    <t>The Grange School</t>
  </si>
  <si>
    <t>Income</t>
  </si>
  <si>
    <t>UIFSM 2023-24_First Payment_ June 2023_#Alternative Provision</t>
  </si>
  <si>
    <t>Change Dec 23</t>
  </si>
  <si>
    <t>Grant Income on 43601</t>
  </si>
  <si>
    <t>Pupil Premium Grant 2023-24 _Annual Allocation_June 2023 Payment_ #AP_ISS</t>
  </si>
  <si>
    <t>10 new provisions</t>
  </si>
  <si>
    <t>Recovery Premium grant 2023-24 _ Quarter 1_ Sept 2023#Pupils placed in ISS</t>
  </si>
  <si>
    <t>Changes in Capita/provision not previously included</t>
  </si>
  <si>
    <t>National Tutoring Programme AY 2023-24 grant_ 1st Payment _ Sept 2023#AP-ISS</t>
  </si>
  <si>
    <t xml:space="preserve">Net </t>
  </si>
  <si>
    <t>4 provisions not previously included</t>
  </si>
  <si>
    <t>INMSS Mainstream</t>
  </si>
  <si>
    <t>Grant Income</t>
  </si>
  <si>
    <t>Net</t>
  </si>
  <si>
    <t>Net total</t>
  </si>
  <si>
    <t>Change Nov 23</t>
  </si>
  <si>
    <t>one new provision</t>
  </si>
  <si>
    <t>Ave</t>
  </si>
  <si>
    <t>Changes in Capita</t>
  </si>
  <si>
    <t>Annual cost Ave</t>
  </si>
  <si>
    <t>6810162934 - 9 days Apr23</t>
  </si>
  <si>
    <t>6810164440 - 10 days May 23&amp; 9 addt days</t>
  </si>
  <si>
    <t>6810165669- 20 days June 23</t>
  </si>
  <si>
    <t>Reminder Invoice</t>
  </si>
  <si>
    <t>6810166558 - 10 days Jul 23</t>
  </si>
  <si>
    <t>6810167243 - 12 days Aug 23</t>
  </si>
  <si>
    <t>6810170023 -  19 days Sept 23</t>
  </si>
  <si>
    <t xml:space="preserve">6810171394 - 15 days Oct 23 </t>
  </si>
  <si>
    <t>6810172416 - 18 Days Nov23</t>
  </si>
  <si>
    <t>SW Requested copies 30/11/23 &amp; HS requested copy invoices 11/01/24</t>
  </si>
  <si>
    <t>December 11 days</t>
  </si>
  <si>
    <t>Jan 21 days</t>
  </si>
  <si>
    <t>Feb 16 days</t>
  </si>
  <si>
    <t>March 20 days</t>
  </si>
  <si>
    <t>22/23 amount</t>
  </si>
  <si>
    <t>Forecast Amount 23-24</t>
  </si>
  <si>
    <t>did not accrue</t>
  </si>
  <si>
    <t>current rate</t>
  </si>
  <si>
    <t>est</t>
  </si>
  <si>
    <t>Forecast Feb</t>
  </si>
  <si>
    <t xml:space="preserve">Variance </t>
  </si>
  <si>
    <t>Total forecast Feb 2023</t>
  </si>
  <si>
    <t>Changes Feb</t>
  </si>
  <si>
    <t>Brookside Pre-School</t>
  </si>
  <si>
    <t>Meaker</t>
  </si>
  <si>
    <t>Somerset</t>
  </si>
  <si>
    <t>Preston CofE Primary</t>
  </si>
  <si>
    <t>New Bridge Nursery</t>
  </si>
  <si>
    <t xml:space="preserve">Hurst </t>
  </si>
  <si>
    <t>Rreading</t>
  </si>
  <si>
    <t>John Madejski Academy (White Horse Federation</t>
  </si>
  <si>
    <t>26HRS</t>
  </si>
  <si>
    <t>23hrs</t>
  </si>
  <si>
    <t>Just Around The Corner</t>
  </si>
  <si>
    <t>FebChanges</t>
  </si>
  <si>
    <t>Feb Forecast</t>
  </si>
  <si>
    <t>The Mile House Therapeutic School</t>
  </si>
  <si>
    <t>Yes - moving to Farley Hill - shown on NWPU spreadsheet</t>
  </si>
  <si>
    <t>De Mesquita</t>
  </si>
  <si>
    <t>St Elizabeth's School</t>
  </si>
  <si>
    <t>Mary Hare School</t>
  </si>
  <si>
    <t>Cotswold Chine School</t>
  </si>
  <si>
    <t>Red Balloon Learner Centre Reading</t>
  </si>
  <si>
    <t>Heathermount School</t>
  </si>
  <si>
    <t>Hillingdon Manor School</t>
  </si>
  <si>
    <t>The Loddon School</t>
  </si>
  <si>
    <t>The Green Room Windsor</t>
  </si>
  <si>
    <t>The Green Room Kingsley</t>
  </si>
  <si>
    <t>Beech Lodge School</t>
  </si>
  <si>
    <t>Queensmead House</t>
  </si>
  <si>
    <t>Tadley Court School</t>
  </si>
  <si>
    <t>The Children’s Trust School</t>
  </si>
  <si>
    <t>Blossom House School</t>
  </si>
  <si>
    <t>Chilworth House School</t>
  </si>
  <si>
    <t>Eton - Dorney School</t>
  </si>
  <si>
    <t>Royal National College for the Blind</t>
  </si>
  <si>
    <t>Fernways School</t>
  </si>
  <si>
    <t>Luckley House School</t>
  </si>
  <si>
    <t>Falkland House School</t>
  </si>
  <si>
    <t>More House School</t>
  </si>
  <si>
    <t>New Barn School</t>
  </si>
  <si>
    <t>Chilworth House Upper School</t>
  </si>
  <si>
    <t>St Neot's Preparatory School</t>
  </si>
  <si>
    <t>Waverley Preparatory School and Nursery</t>
  </si>
  <si>
    <t>Blooming Tree Pre-Preparatory School</t>
  </si>
  <si>
    <t>The Davenport School</t>
  </si>
  <si>
    <t>Seva Education</t>
  </si>
  <si>
    <t>Unsted Park School</t>
  </si>
  <si>
    <t>The Serendipity School</t>
  </si>
  <si>
    <t>Groveside</t>
  </si>
  <si>
    <t>Haywards Farm</t>
  </si>
  <si>
    <t>Cambian Wing College</t>
  </si>
  <si>
    <t>Reading Football Club</t>
  </si>
  <si>
    <t>Reading College</t>
  </si>
  <si>
    <t>The Cherwell School</t>
  </si>
  <si>
    <t>Muntham House School</t>
  </si>
  <si>
    <t>The Green Room</t>
  </si>
  <si>
    <t>Newbury Manor School</t>
  </si>
  <si>
    <t>The PRIDE Academy</t>
  </si>
  <si>
    <t>OneSchool Global Reading Senior Campus</t>
  </si>
  <si>
    <t>UNPLACED</t>
  </si>
  <si>
    <t>Meath School</t>
  </si>
  <si>
    <t>Huckleberry Therapeutic School</t>
  </si>
  <si>
    <t>Haywards Farm School</t>
  </si>
  <si>
    <t>The Earthsea School</t>
  </si>
  <si>
    <t xml:space="preserve">Heathermount School moved to Oak Tree School </t>
  </si>
  <si>
    <t>UNPLACED previously at Cotswold Chine left 19/1/22022</t>
  </si>
  <si>
    <t>Unstead Park School</t>
  </si>
  <si>
    <t>Huckleberry Theraputic School</t>
  </si>
  <si>
    <t>The Avenue Special School</t>
  </si>
  <si>
    <t>Grateley House School</t>
  </si>
  <si>
    <t>Pupil Count (ASD or SLD Primary Need)</t>
  </si>
  <si>
    <t>Weekly Costs</t>
  </si>
  <si>
    <t>500 - 749</t>
  </si>
  <si>
    <t>750 - 999</t>
  </si>
  <si>
    <t>1000 - 1249</t>
  </si>
  <si>
    <t>1250 - 1499</t>
  </si>
  <si>
    <t>1500 - 1999</t>
  </si>
  <si>
    <t>2000 - 2499</t>
  </si>
  <si>
    <t>2500&lt;</t>
  </si>
  <si>
    <t>500&gt;</t>
  </si>
  <si>
    <t>Fewer than 5</t>
  </si>
  <si>
    <t>WBC Placement Expenditure - (Education costs) 01/04/25 - 31/07/25 (ASD or SLD placements only)</t>
  </si>
  <si>
    <t>1. Please could you supply the name, job title, email address and telephone number of the commissioner with responsibility for children and young people's Special Educational Needs (SEN) school placements.</t>
  </si>
  <si>
    <t>School placements for children with EHCPs are agreed through a multi-agency SEND forum.</t>
  </si>
  <si>
    <t>2. Please provide the total number of children and young people with a Statement of SEN or Education, Health and Care (EHC) Plan who are in placement at an Independent Special School, as at 31 March, with a primary diagnosis of;</t>
  </si>
  <si>
    <t>a) Severe Learning Difficulty (SLD)</t>
  </si>
  <si>
    <t>b) Autism Spectrum Disorder (ASD)</t>
  </si>
  <si>
    <t>Please provide data as at 31 March for the five years from 2020/21 to 2024/25.</t>
  </si>
  <si>
    <t>Day placement</t>
  </si>
  <si>
    <t>less than 5</t>
  </si>
  <si>
    <t>Residential</t>
  </si>
  <si>
    <t>3. Please provide the total number of children and young people with a Statement of SEN or EHC Plan who are in placement at an Independent Special School: day placement, as at 31 March, with a primary diagnosis of; a) Severe Learning Difficulty (SLD)</t>
  </si>
  <si>
    <t>Please see response to Q2</t>
  </si>
  <si>
    <t>4. Please provide the total number of children and young people with a Statement of SEN or EHC Plan who are in placement at an Independent Special School: 38 or 52 week placement, as at 31 March, with a primary diagnosis of;</t>
  </si>
  <si>
    <t>5. Please provide a list of Independent Special School providers used by the council, as at 31 July 2025, to place children and young people with a Statement of SEN or EHC Plan, in a day placement, with a primary support need of a SLD or ASD, with fees per child or young person of £2,000 or more per week</t>
  </si>
  <si>
    <t>a) Please provide the number of children and young people being funded by the Council with each provider, as at 31 July 2025</t>
  </si>
  <si>
    <t>b) Please provide total Council expenditure with each provider, as at 31 July 2025</t>
  </si>
  <si>
    <t>Please state which timescale was used if data as at 31 July 2025 wasn't available.</t>
  </si>
  <si>
    <t>6. Please provide the number of children and young people with a Statement of SEN or EHC Plan with a primary support need of a SLD or ASD, in a day placement at an Independent Special School, with fees per week, as at 31 July 2025, of:</t>
  </si>
  <si>
    <t>a) Less than £500</t>
  </si>
  <si>
    <t>b) £500 to £749</t>
  </si>
  <si>
    <t>c) £750 to £999</t>
  </si>
  <si>
    <t>d) £1,000 to £1,249 e) £1,250 to £1,499</t>
  </si>
  <si>
    <t>f) £1,500 to £1,999</t>
  </si>
  <si>
    <t>g) £2,000 to £2,499</t>
  </si>
  <si>
    <t>h) £2,500 or more</t>
  </si>
  <si>
    <t>See second tab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</si>
</sst>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&quot;£&quot;#,##0_);[Red]\(&quot;£&quot;#,##0\)"/>
    <numFmt numFmtId="165" formatCode="&quot;£&quot;#,##0.00_);[Red]\(&quot;£&quot;#,##0.00\)"/>
    <numFmt numFmtId="166" formatCode="_(&quot;£&quot;* #,##0.00_);_(&quot;£&quot;* \(#,##0.00\);_(&quot;£&quot;* &quot;-&quot;??_);_(@_)"/>
    <numFmt numFmtId="167" formatCode="_(* #,##0.00_);_(* \(#,##0.00\);_(* &quot;-&quot;??_);_(@_)"/>
    <numFmt numFmtId="168" formatCode="0_);\(0\)"/>
    <numFmt numFmtId="169" formatCode="dd/mm/yyyy;@"/>
    <numFmt numFmtId="170" formatCode="0.0"/>
    <numFmt numFmtId="171" formatCode="_-* #,##0_-;\-* #,##0_-;_-* &quot;-&quot;??_-;_-@_-"/>
    <numFmt numFmtId="172" formatCode="_-* #,##0.0000_-;\-* #,##0.0000_-;_-* &quot;-&quot;??_-;_-@_-"/>
    <numFmt numFmtId="173" formatCode="&quot;£&quot;#,##0.00"/>
    <numFmt numFmtId="174" formatCode="#,##0.00_ ;[Red]\-#,##0.00\ "/>
    <numFmt numFmtId="175" formatCode="#,##0_ ;[Red]\-#,##0\ "/>
    <numFmt numFmtId="176" formatCode="\ dd\/mm\/yyyy"/>
  </numFmts>
  <fonts count="104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b/>
      <u/>
      <sz val="10"/>
      <color indexed="8"/>
      <name val="ARIAL"/>
      <family val="2"/>
    </font>
    <font>
      <b/>
      <sz val="10"/>
      <color indexed="8"/>
      <name val="Arial"/>
      <family val="2"/>
    </font>
    <font>
      <b/>
      <u/>
      <sz val="10"/>
      <name val="Arial"/>
      <family val="2"/>
    </font>
    <font>
      <b/>
      <u/>
      <sz val="9"/>
      <color indexed="8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0"/>
      <color theme="1" tint="4.9989318521683403E-2"/>
      <name val="Arial"/>
      <family val="2"/>
    </font>
    <font>
      <sz val="10.5"/>
      <color indexed="8"/>
      <name val="Arial"/>
      <family val="2"/>
    </font>
    <font>
      <sz val="12"/>
      <color indexed="8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name val="Arial"/>
      <family val="2"/>
    </font>
    <font>
      <b/>
      <sz val="11"/>
      <color indexed="8"/>
      <name val="Arial"/>
      <family val="2"/>
    </font>
    <font>
      <sz val="11"/>
      <color theme="1"/>
      <name val="Arial"/>
      <family val="2"/>
    </font>
    <font>
      <sz val="9"/>
      <color indexed="8"/>
      <name val="Arial"/>
      <family val="2"/>
    </font>
    <font>
      <sz val="8"/>
      <name val="Arial"/>
      <family val="2"/>
    </font>
    <font>
      <sz val="8"/>
      <color theme="1"/>
      <name val="Arial"/>
      <family val="2"/>
    </font>
    <font>
      <sz val="10"/>
      <color theme="8" tint="-0.249977111117893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10"/>
      <color rgb="FF7030A0"/>
      <name val="Arial"/>
      <family val="2"/>
    </font>
    <font>
      <sz val="10"/>
      <color rgb="FF00B0F0"/>
      <name val="Arial"/>
      <family val="2"/>
    </font>
    <font>
      <sz val="10"/>
      <color rgb="FF00B050"/>
      <name val="Arial"/>
      <family val="2"/>
    </font>
    <font>
      <sz val="10"/>
      <color theme="5" tint="-0.249977111117893"/>
      <name val="Arial"/>
      <family val="2"/>
    </font>
    <font>
      <i/>
      <sz val="11"/>
      <color theme="1"/>
      <name val="Calibri"/>
      <family val="2"/>
      <scheme val="minor"/>
    </font>
    <font>
      <i/>
      <sz val="10"/>
      <color theme="1"/>
      <name val="Arial"/>
      <family val="2"/>
    </font>
    <font>
      <sz val="10"/>
      <color theme="4" tint="-0.499984740745262"/>
      <name val="Arial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10"/>
      <color indexed="8"/>
      <name val="Arial"/>
      <family val="2"/>
    </font>
    <font>
      <b/>
      <u/>
      <sz val="11"/>
      <color indexed="8"/>
      <name val="Arial"/>
      <family val="2"/>
    </font>
    <font>
      <b/>
      <sz val="10.5"/>
      <color indexed="8"/>
      <name val="Arial"/>
      <family val="2"/>
    </font>
    <font>
      <b/>
      <u/>
      <sz val="9"/>
      <name val="Arial"/>
      <family val="2"/>
    </font>
    <font>
      <sz val="6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0"/>
      <color rgb="FFFF0000"/>
      <name val="Arial"/>
      <family val="2"/>
    </font>
    <font>
      <sz val="10"/>
      <color theme="4" tint="-0.249977111117893"/>
      <name val="Arial"/>
      <family val="2"/>
    </font>
    <font>
      <b/>
      <sz val="10"/>
      <color rgb="FF7030A0"/>
      <name val="Arial"/>
      <family val="2"/>
    </font>
    <font>
      <sz val="11"/>
      <name val="Calibri"/>
      <family val="2"/>
      <scheme val="minor"/>
    </font>
    <font>
      <i/>
      <sz val="11"/>
      <color rgb="FF7030A0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i/>
      <sz val="9"/>
      <color rgb="FF7030A0"/>
      <name val="Arial"/>
      <family val="2"/>
    </font>
    <font>
      <sz val="8"/>
      <color theme="1"/>
      <name val="Calibri"/>
      <family val="2"/>
      <scheme val="minor"/>
    </font>
    <font>
      <i/>
      <sz val="10"/>
      <color rgb="FF7030A0"/>
      <name val="Arial"/>
      <family val="2"/>
    </font>
    <font>
      <b/>
      <i/>
      <sz val="10"/>
      <color rgb="FF7030A0"/>
      <name val="Arial"/>
      <family val="2"/>
    </font>
    <font>
      <i/>
      <sz val="8"/>
      <color rgb="FF7030A0"/>
      <name val="Calibri"/>
      <family val="2"/>
      <scheme val="minor"/>
    </font>
    <font>
      <sz val="11"/>
      <color rgb="FF7030A0"/>
      <name val="Calibri"/>
      <family val="2"/>
      <scheme val="minor"/>
    </font>
    <font>
      <sz val="9"/>
      <name val="Arial"/>
      <family val="2"/>
    </font>
    <font>
      <sz val="8"/>
      <name val="Calibri"/>
      <family val="2"/>
      <scheme val="minor"/>
    </font>
    <font>
      <i/>
      <sz val="11"/>
      <name val="Calibri"/>
      <family val="2"/>
      <scheme val="minor"/>
    </font>
    <font>
      <i/>
      <sz val="9"/>
      <name val="Arial"/>
      <family val="2"/>
    </font>
    <font>
      <sz val="8"/>
      <color rgb="FF7030A0"/>
      <name val="Calibri"/>
      <family val="2"/>
      <scheme val="minor"/>
    </font>
    <font>
      <sz val="8"/>
      <color theme="4" tint="-0.249977111117893"/>
      <name val="Calibri"/>
      <family val="2"/>
      <scheme val="minor"/>
    </font>
    <font>
      <sz val="11"/>
      <color indexed="8"/>
      <name val="Calibri"/>
      <family val="2"/>
    </font>
    <font>
      <sz val="12"/>
      <color theme="1"/>
      <name val="Calibri"/>
      <family val="2"/>
      <scheme val="minor"/>
    </font>
    <font>
      <sz val="11"/>
      <name val="Calibri"/>
      <family val="2"/>
    </font>
    <font>
      <sz val="12"/>
      <color theme="4" tint="-0.249977111117893"/>
      <name val="Calibri"/>
      <family val="2"/>
      <scheme val="minor"/>
    </font>
    <font>
      <i/>
      <sz val="9"/>
      <color rgb="FF7030A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i/>
      <sz val="10"/>
      <color indexed="8"/>
      <name val="Arial"/>
      <family val="2"/>
    </font>
    <font>
      <b/>
      <sz val="9"/>
      <color indexed="8"/>
      <name val="Arial"/>
      <family val="2"/>
    </font>
    <font>
      <sz val="8"/>
      <color theme="4" tint="-0.249977111117893"/>
      <name val="Arial"/>
      <family val="2"/>
    </font>
    <font>
      <sz val="9"/>
      <color theme="1"/>
      <name val="Calibri"/>
      <family val="2"/>
      <scheme val="minor"/>
    </font>
    <font>
      <sz val="9"/>
      <color rgb="FF7030A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rgb="FFFF0000"/>
      <name val="Arial"/>
      <family val="2"/>
    </font>
    <font>
      <b/>
      <sz val="10"/>
      <color theme="4" tint="-0.249977111117893"/>
      <name val="Arial"/>
      <family val="2"/>
    </font>
    <font>
      <i/>
      <sz val="11"/>
      <color theme="4" tint="-0.249977111117893"/>
      <name val="Calibri"/>
      <family val="2"/>
      <scheme val="minor"/>
    </font>
    <font>
      <sz val="10"/>
      <name val="Calibri"/>
      <family val="2"/>
      <scheme val="minor"/>
    </font>
    <font>
      <i/>
      <sz val="10"/>
      <name val="Arial"/>
      <family val="2"/>
    </font>
    <font>
      <sz val="10"/>
      <color theme="4" tint="-0.249977111117893"/>
      <name val="Calibri"/>
      <family val="2"/>
      <scheme val="minor"/>
    </font>
    <font>
      <b/>
      <i/>
      <sz val="10"/>
      <color indexed="8"/>
      <name val="ARIAL"/>
      <family val="2"/>
    </font>
    <font>
      <b/>
      <sz val="11"/>
      <color theme="1"/>
      <name val="Calibri Light"/>
      <family val="2"/>
      <scheme val="major"/>
    </font>
    <font>
      <sz val="11"/>
      <color theme="1"/>
      <name val="Calibri Light"/>
      <family val="2"/>
      <scheme val="major"/>
    </font>
    <font>
      <sz val="11"/>
      <color rgb="FFEE0000"/>
      <name val="Calibri Light"/>
      <family val="2"/>
      <scheme val="major"/>
    </font>
    <font>
      <sz val="11"/>
      <name val="Calibri Light"/>
      <family val="2"/>
      <scheme val="major"/>
    </font>
  </fonts>
  <fills count="29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0FAFA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ECF5E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0"/>
        <bgColor indexed="64"/>
      </patternFill>
    </fill>
  </fills>
  <borders count="5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06">
    <xf numFmtId="0" fontId="0" fillId="0" borderId="0"/>
    <xf numFmtId="167" fontId="17" fillId="0" borderId="0" applyFont="0" applyFill="0" applyBorder="0" applyAlignment="0" applyProtection="0"/>
    <xf numFmtId="0" fontId="16" fillId="0" borderId="0"/>
    <xf numFmtId="0" fontId="17" fillId="0" borderId="0">
      <alignment vertical="top"/>
    </xf>
    <xf numFmtId="0" fontId="17" fillId="0" borderId="0"/>
    <xf numFmtId="0" fontId="16" fillId="0" borderId="0"/>
    <xf numFmtId="167" fontId="17" fillId="0" borderId="0" applyFont="0" applyFill="0" applyBorder="0" applyAlignment="0" applyProtection="0"/>
    <xf numFmtId="0" fontId="17" fillId="0" borderId="0">
      <alignment vertical="top"/>
    </xf>
    <xf numFmtId="0" fontId="15" fillId="0" borderId="0"/>
    <xf numFmtId="9" fontId="22" fillId="0" borderId="0" applyFont="0" applyFill="0" applyBorder="0" applyAlignment="0" applyProtection="0"/>
    <xf numFmtId="0" fontId="22" fillId="0" borderId="0"/>
    <xf numFmtId="0" fontId="17" fillId="0" borderId="0">
      <alignment vertical="top"/>
    </xf>
    <xf numFmtId="0" fontId="17" fillId="0" borderId="0">
      <alignment vertical="top"/>
    </xf>
    <xf numFmtId="167" fontId="15" fillId="0" borderId="0" applyFont="0" applyFill="0" applyBorder="0" applyAlignment="0" applyProtection="0"/>
    <xf numFmtId="0" fontId="17" fillId="0" borderId="0">
      <alignment vertical="top"/>
    </xf>
    <xf numFmtId="167" fontId="15" fillId="0" borderId="0" applyFont="0" applyFill="0" applyBorder="0" applyAlignment="0" applyProtection="0"/>
    <xf numFmtId="0" fontId="17" fillId="0" borderId="0">
      <alignment vertical="top"/>
    </xf>
    <xf numFmtId="0" fontId="17" fillId="0" borderId="0">
      <alignment vertical="top"/>
    </xf>
    <xf numFmtId="0" fontId="14" fillId="0" borderId="0"/>
    <xf numFmtId="167" fontId="14" fillId="0" borderId="0" applyFont="0" applyFill="0" applyBorder="0" applyAlignment="0" applyProtection="0"/>
    <xf numFmtId="0" fontId="13" fillId="0" borderId="0"/>
    <xf numFmtId="0" fontId="12" fillId="0" borderId="0"/>
    <xf numFmtId="0" fontId="11" fillId="0" borderId="0"/>
    <xf numFmtId="167" fontId="11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38" fillId="0" borderId="0">
      <alignment horizontal="center" vertical="center" wrapText="1"/>
    </xf>
    <xf numFmtId="0" fontId="35" fillId="0" borderId="27">
      <alignment horizontal="center" vertical="center" wrapText="1"/>
    </xf>
    <xf numFmtId="0" fontId="38" fillId="0" borderId="0">
      <alignment horizontal="left" wrapText="1"/>
    </xf>
    <xf numFmtId="0" fontId="35" fillId="0" borderId="0">
      <alignment horizontal="left" vertical="center"/>
    </xf>
    <xf numFmtId="0" fontId="35" fillId="0" borderId="0">
      <alignment horizontal="center" vertical="center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51" fillId="0" borderId="0">
      <alignment vertical="top"/>
    </xf>
    <xf numFmtId="0" fontId="16" fillId="0" borderId="0"/>
    <xf numFmtId="0" fontId="17" fillId="0" borderId="0">
      <alignment vertical="top"/>
    </xf>
    <xf numFmtId="0" fontId="11" fillId="0" borderId="0"/>
    <xf numFmtId="0" fontId="11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3" fontId="35" fillId="0" borderId="0">
      <alignment horizontal="right"/>
    </xf>
    <xf numFmtId="40" fontId="47" fillId="15" borderId="0">
      <alignment horizontal="right"/>
    </xf>
    <xf numFmtId="0" fontId="48" fillId="15" borderId="0">
      <alignment horizontal="right"/>
    </xf>
    <xf numFmtId="0" fontId="49" fillId="15" borderId="24"/>
    <xf numFmtId="0" fontId="49" fillId="0" borderId="0" applyBorder="0">
      <alignment horizontal="centerContinuous"/>
    </xf>
    <xf numFmtId="0" fontId="50" fillId="0" borderId="0" applyBorder="0">
      <alignment horizontal="centerContinuous"/>
    </xf>
    <xf numFmtId="9" fontId="17" fillId="0" borderId="0" applyFont="0" applyFill="0" applyBorder="0" applyAlignment="0" applyProtection="0">
      <alignment vertical="top"/>
    </xf>
    <xf numFmtId="0" fontId="10" fillId="0" borderId="0"/>
    <xf numFmtId="0" fontId="9" fillId="0" borderId="0"/>
    <xf numFmtId="167" fontId="8" fillId="0" borderId="0" applyFont="0" applyFill="0" applyBorder="0" applyAlignment="0" applyProtection="0"/>
    <xf numFmtId="0" fontId="8" fillId="0" borderId="0"/>
    <xf numFmtId="167" fontId="17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17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" fillId="27" borderId="0" applyNumberFormat="0" applyBorder="0" applyAlignment="0" applyProtection="0"/>
  </cellStyleXfs>
  <cellXfs count="2119">
    <xf numFmtId="0" fontId="0" fillId="0" borderId="0" xfId="0"/>
    <xf numFmtId="0" fontId="16" fillId="0" borderId="0" xfId="2" applyAlignment="1">
      <alignment wrapText="1"/>
    </xf>
    <xf numFmtId="0" fontId="17" fillId="0" borderId="0" xfId="3" applyAlignment="1">
      <alignment horizontal="center" vertical="top" wrapText="1"/>
    </xf>
    <xf numFmtId="0" fontId="19" fillId="0" borderId="0" xfId="3" applyFont="1">
      <alignment vertical="top"/>
    </xf>
    <xf numFmtId="0" fontId="16" fillId="0" borderId="0" xfId="2"/>
    <xf numFmtId="0" fontId="19" fillId="0" borderId="1" xfId="3" applyFont="1" applyBorder="1">
      <alignment vertical="top"/>
    </xf>
    <xf numFmtId="0" fontId="17" fillId="0" borderId="1" xfId="3" applyBorder="1">
      <alignment vertical="top"/>
    </xf>
    <xf numFmtId="0" fontId="17" fillId="0" borderId="1" xfId="3" applyBorder="1" applyAlignment="1">
      <alignment horizontal="center" vertical="top"/>
    </xf>
    <xf numFmtId="0" fontId="17" fillId="0" borderId="1" xfId="3" applyBorder="1" applyAlignment="1">
      <alignment horizontal="center" vertical="top" wrapText="1"/>
    </xf>
    <xf numFmtId="0" fontId="17" fillId="0" borderId="1" xfId="3" applyBorder="1" applyAlignment="1">
      <alignment horizontal="center" vertical="center" wrapText="1"/>
    </xf>
    <xf numFmtId="0" fontId="16" fillId="0" borderId="1" xfId="2" applyBorder="1"/>
    <xf numFmtId="168" fontId="17" fillId="0" borderId="1" xfId="2" applyNumberFormat="1" applyFont="1" applyBorder="1" applyAlignment="1">
      <alignment horizontal="left" vertical="top"/>
    </xf>
    <xf numFmtId="169" fontId="16" fillId="0" borderId="1" xfId="2" applyNumberFormat="1" applyBorder="1" applyAlignment="1">
      <alignment horizontal="right"/>
    </xf>
    <xf numFmtId="170" fontId="16" fillId="0" borderId="1" xfId="2" applyNumberFormat="1" applyBorder="1" applyAlignment="1">
      <alignment horizontal="center"/>
    </xf>
    <xf numFmtId="0" fontId="16" fillId="0" borderId="1" xfId="2" applyBorder="1" applyAlignment="1">
      <alignment horizontal="center" vertical="center"/>
    </xf>
    <xf numFmtId="0" fontId="17" fillId="0" borderId="1" xfId="3" applyBorder="1" applyAlignment="1">
      <alignment horizontal="center" vertical="top" wrapText="1" readingOrder="1"/>
    </xf>
    <xf numFmtId="14" fontId="17" fillId="0" borderId="1" xfId="3" applyNumberFormat="1" applyBorder="1" applyAlignment="1">
      <alignment horizontal="center" vertical="top" wrapText="1"/>
    </xf>
    <xf numFmtId="171" fontId="22" fillId="0" borderId="1" xfId="1" applyNumberFormat="1" applyFont="1" applyFill="1" applyBorder="1" applyAlignment="1">
      <alignment vertical="center"/>
    </xf>
    <xf numFmtId="170" fontId="17" fillId="0" borderId="1" xfId="3" applyNumberFormat="1" applyBorder="1" applyAlignment="1">
      <alignment horizontal="center" vertical="top" wrapText="1"/>
    </xf>
    <xf numFmtId="0" fontId="17" fillId="0" borderId="1" xfId="3" applyBorder="1" applyAlignment="1">
      <alignment horizontal="right" vertical="top" wrapText="1" readingOrder="1"/>
    </xf>
    <xf numFmtId="4" fontId="17" fillId="0" borderId="1" xfId="3" applyNumberFormat="1" applyBorder="1" applyAlignment="1">
      <alignment horizontal="center" vertical="top" wrapText="1" readingOrder="1"/>
    </xf>
    <xf numFmtId="4" fontId="17" fillId="0" borderId="1" xfId="3" applyNumberFormat="1" applyBorder="1">
      <alignment vertical="top"/>
    </xf>
    <xf numFmtId="4" fontId="17" fillId="0" borderId="1" xfId="3" applyNumberFormat="1" applyBorder="1" applyAlignment="1">
      <alignment horizontal="left" vertical="top" wrapText="1" readingOrder="1"/>
    </xf>
    <xf numFmtId="0" fontId="22" fillId="0" borderId="0" xfId="4" applyFont="1"/>
    <xf numFmtId="168" fontId="16" fillId="0" borderId="1" xfId="2" applyNumberFormat="1" applyBorder="1" applyAlignment="1">
      <alignment horizontal="center" vertical="center"/>
    </xf>
    <xf numFmtId="168" fontId="16" fillId="0" borderId="1" xfId="2" applyNumberFormat="1" applyBorder="1" applyAlignment="1">
      <alignment horizontal="left" vertical="top"/>
    </xf>
    <xf numFmtId="0" fontId="16" fillId="0" borderId="1" xfId="2" applyBorder="1" applyAlignment="1">
      <alignment horizontal="right"/>
    </xf>
    <xf numFmtId="4" fontId="17" fillId="0" borderId="1" xfId="3" applyNumberFormat="1" applyBorder="1" applyAlignment="1">
      <alignment horizontal="left" vertical="top"/>
    </xf>
    <xf numFmtId="0" fontId="22" fillId="0" borderId="1" xfId="3" applyFont="1" applyBorder="1" applyAlignment="1">
      <alignment horizontal="center" vertical="center"/>
    </xf>
    <xf numFmtId="0" fontId="17" fillId="0" borderId="1" xfId="3" applyBorder="1" applyAlignment="1">
      <alignment horizontal="center" vertical="center"/>
    </xf>
    <xf numFmtId="168" fontId="17" fillId="0" borderId="1" xfId="2" applyNumberFormat="1" applyFont="1" applyBorder="1" applyAlignment="1">
      <alignment horizontal="center" vertical="top"/>
    </xf>
    <xf numFmtId="0" fontId="17" fillId="0" borderId="1" xfId="2" applyFont="1" applyBorder="1" applyAlignment="1">
      <alignment horizontal="left" vertical="top"/>
    </xf>
    <xf numFmtId="14" fontId="17" fillId="0" borderId="1" xfId="2" applyNumberFormat="1" applyFont="1" applyBorder="1" applyAlignment="1">
      <alignment horizontal="right" vertical="top"/>
    </xf>
    <xf numFmtId="4" fontId="17" fillId="0" borderId="1" xfId="3" applyNumberFormat="1" applyBorder="1" applyAlignment="1">
      <alignment horizontal="center" vertical="top"/>
    </xf>
    <xf numFmtId="0" fontId="17" fillId="0" borderId="1" xfId="3" applyBorder="1" applyAlignment="1">
      <alignment vertical="top" wrapText="1"/>
    </xf>
    <xf numFmtId="168" fontId="17" fillId="0" borderId="1" xfId="2" applyNumberFormat="1" applyFont="1" applyBorder="1" applyAlignment="1">
      <alignment horizontal="center" vertical="center"/>
    </xf>
    <xf numFmtId="4" fontId="16" fillId="0" borderId="1" xfId="2" applyNumberFormat="1" applyBorder="1" applyAlignment="1">
      <alignment horizontal="right"/>
    </xf>
    <xf numFmtId="0" fontId="19" fillId="0" borderId="1" xfId="3" applyFont="1" applyBorder="1" applyAlignment="1">
      <alignment horizontal="center" vertical="top"/>
    </xf>
    <xf numFmtId="3" fontId="17" fillId="0" borderId="1" xfId="3" applyNumberFormat="1" applyBorder="1">
      <alignment vertical="top"/>
    </xf>
    <xf numFmtId="14" fontId="22" fillId="0" borderId="1" xfId="3" applyNumberFormat="1" applyFont="1" applyBorder="1" applyAlignment="1">
      <alignment horizontal="center" vertical="top" wrapText="1"/>
    </xf>
    <xf numFmtId="0" fontId="17" fillId="0" borderId="0" xfId="3" applyAlignment="1">
      <alignment horizontal="center" vertical="center"/>
    </xf>
    <xf numFmtId="4" fontId="17" fillId="0" borderId="1" xfId="3" applyNumberFormat="1" applyBorder="1" applyAlignment="1">
      <alignment horizontal="right" vertical="top"/>
    </xf>
    <xf numFmtId="4" fontId="16" fillId="0" borderId="1" xfId="2" applyNumberFormat="1" applyBorder="1" applyAlignment="1">
      <alignment horizontal="left"/>
    </xf>
    <xf numFmtId="0" fontId="16" fillId="0" borderId="2" xfId="2" applyBorder="1"/>
    <xf numFmtId="4" fontId="17" fillId="0" borderId="0" xfId="3" applyNumberFormat="1">
      <alignment vertical="top"/>
    </xf>
    <xf numFmtId="0" fontId="17" fillId="0" borderId="2" xfId="3" applyBorder="1" applyAlignment="1">
      <alignment vertical="top" wrapText="1"/>
    </xf>
    <xf numFmtId="3" fontId="16" fillId="0" borderId="1" xfId="5" applyNumberFormat="1" applyBorder="1"/>
    <xf numFmtId="0" fontId="24" fillId="0" borderId="1" xfId="2" applyFont="1" applyBorder="1"/>
    <xf numFmtId="4" fontId="22" fillId="0" borderId="1" xfId="3" applyNumberFormat="1" applyFont="1" applyBorder="1">
      <alignment vertical="top"/>
    </xf>
    <xf numFmtId="0" fontId="16" fillId="0" borderId="3" xfId="2" applyBorder="1"/>
    <xf numFmtId="169" fontId="16" fillId="0" borderId="0" xfId="2" applyNumberFormat="1" applyAlignment="1">
      <alignment horizontal="right"/>
    </xf>
    <xf numFmtId="167" fontId="22" fillId="0" borderId="1" xfId="6" applyFont="1" applyFill="1" applyBorder="1" applyAlignment="1">
      <alignment horizontal="right"/>
    </xf>
    <xf numFmtId="0" fontId="16" fillId="0" borderId="1" xfId="3" applyFont="1" applyBorder="1" applyAlignment="1">
      <alignment horizontal="center" vertical="top"/>
    </xf>
    <xf numFmtId="0" fontId="26" fillId="0" borderId="1" xfId="3" applyFont="1" applyBorder="1" applyAlignment="1">
      <alignment horizontal="center" vertical="center"/>
    </xf>
    <xf numFmtId="0" fontId="26" fillId="0" borderId="1" xfId="2" applyFont="1" applyBorder="1"/>
    <xf numFmtId="168" fontId="26" fillId="0" borderId="1" xfId="2" applyNumberFormat="1" applyFont="1" applyBorder="1" applyAlignment="1">
      <alignment horizontal="left" vertical="top"/>
    </xf>
    <xf numFmtId="0" fontId="16" fillId="0" borderId="1" xfId="3" applyFont="1" applyBorder="1" applyAlignment="1">
      <alignment horizontal="center" vertical="top" wrapText="1" readingOrder="1"/>
    </xf>
    <xf numFmtId="0" fontId="16" fillId="0" borderId="1" xfId="3" applyFont="1" applyBorder="1" applyAlignment="1">
      <alignment horizontal="center" vertical="top" wrapText="1"/>
    </xf>
    <xf numFmtId="0" fontId="17" fillId="0" borderId="1" xfId="3" applyBorder="1" applyAlignment="1">
      <alignment horizontal="left" vertical="top" wrapText="1"/>
    </xf>
    <xf numFmtId="0" fontId="23" fillId="0" borderId="1" xfId="3" applyFont="1" applyBorder="1">
      <alignment vertical="top"/>
    </xf>
    <xf numFmtId="0" fontId="22" fillId="0" borderId="1" xfId="3" applyFont="1" applyBorder="1">
      <alignment vertical="top"/>
    </xf>
    <xf numFmtId="0" fontId="22" fillId="0" borderId="1" xfId="3" applyFont="1" applyBorder="1" applyAlignment="1">
      <alignment horizontal="center" vertical="top"/>
    </xf>
    <xf numFmtId="0" fontId="22" fillId="0" borderId="1" xfId="3" applyFont="1" applyBorder="1" applyAlignment="1">
      <alignment horizontal="center" vertical="top" wrapText="1" readingOrder="1"/>
    </xf>
    <xf numFmtId="0" fontId="22" fillId="0" borderId="1" xfId="3" applyFont="1" applyBorder="1" applyAlignment="1">
      <alignment horizontal="center" vertical="top" wrapText="1"/>
    </xf>
    <xf numFmtId="170" fontId="22" fillId="0" borderId="1" xfId="3" applyNumberFormat="1" applyFont="1" applyBorder="1" applyAlignment="1">
      <alignment horizontal="center" vertical="top" wrapText="1"/>
    </xf>
    <xf numFmtId="4" fontId="22" fillId="0" borderId="1" xfId="3" applyNumberFormat="1" applyFont="1" applyBorder="1" applyAlignment="1">
      <alignment horizontal="left" vertical="top"/>
    </xf>
    <xf numFmtId="2" fontId="16" fillId="0" borderId="1" xfId="2" applyNumberFormat="1" applyBorder="1" applyAlignment="1">
      <alignment horizontal="right"/>
    </xf>
    <xf numFmtId="3" fontId="16" fillId="0" borderId="1" xfId="2" applyNumberFormat="1" applyBorder="1" applyAlignment="1">
      <alignment horizontal="right"/>
    </xf>
    <xf numFmtId="0" fontId="17" fillId="0" borderId="4" xfId="3" applyBorder="1" applyAlignment="1">
      <alignment horizontal="center" vertical="top"/>
    </xf>
    <xf numFmtId="0" fontId="17" fillId="0" borderId="4" xfId="3" applyBorder="1" applyAlignment="1">
      <alignment horizontal="center" vertical="center"/>
    </xf>
    <xf numFmtId="4" fontId="22" fillId="0" borderId="1" xfId="3" applyNumberFormat="1" applyFont="1" applyBorder="1" applyAlignment="1">
      <alignment horizontal="right" vertical="top"/>
    </xf>
    <xf numFmtId="4" fontId="22" fillId="0" borderId="1" xfId="3" quotePrefix="1" applyNumberFormat="1" applyFont="1" applyBorder="1" applyAlignment="1">
      <alignment horizontal="right" vertical="top"/>
    </xf>
    <xf numFmtId="0" fontId="17" fillId="0" borderId="0" xfId="3">
      <alignment vertical="top"/>
    </xf>
    <xf numFmtId="0" fontId="17" fillId="0" borderId="0" xfId="3" applyAlignment="1">
      <alignment horizontal="center" vertical="top"/>
    </xf>
    <xf numFmtId="168" fontId="17" fillId="0" borderId="0" xfId="2" applyNumberFormat="1" applyFont="1" applyAlignment="1">
      <alignment horizontal="left" vertical="top"/>
    </xf>
    <xf numFmtId="170" fontId="16" fillId="0" borderId="0" xfId="2" applyNumberFormat="1" applyAlignment="1">
      <alignment horizontal="center"/>
    </xf>
    <xf numFmtId="0" fontId="16" fillId="0" borderId="0" xfId="2" applyAlignment="1">
      <alignment horizontal="center" vertical="center"/>
    </xf>
    <xf numFmtId="0" fontId="17" fillId="0" borderId="0" xfId="3" applyAlignment="1">
      <alignment horizontal="center" vertical="top" wrapText="1" readingOrder="1"/>
    </xf>
    <xf numFmtId="14" fontId="17" fillId="0" borderId="0" xfId="3" applyNumberFormat="1" applyAlignment="1">
      <alignment horizontal="center" vertical="top" wrapText="1"/>
    </xf>
    <xf numFmtId="170" fontId="17" fillId="0" borderId="0" xfId="3" applyNumberFormat="1" applyAlignment="1">
      <alignment horizontal="center" vertical="top" wrapText="1"/>
    </xf>
    <xf numFmtId="0" fontId="16" fillId="0" borderId="0" xfId="2" applyAlignment="1">
      <alignment horizontal="right"/>
    </xf>
    <xf numFmtId="4" fontId="17" fillId="0" borderId="0" xfId="3" applyNumberFormat="1" applyAlignment="1">
      <alignment horizontal="left" vertical="top"/>
    </xf>
    <xf numFmtId="17" fontId="17" fillId="0" borderId="0" xfId="3" applyNumberFormat="1">
      <alignment vertical="top"/>
    </xf>
    <xf numFmtId="0" fontId="17" fillId="0" borderId="0" xfId="3" applyAlignment="1">
      <alignment horizontal="left" vertical="top" wrapText="1"/>
    </xf>
    <xf numFmtId="2" fontId="17" fillId="0" borderId="0" xfId="3" applyNumberFormat="1" applyAlignment="1">
      <alignment horizontal="right" vertical="top" wrapText="1" readingOrder="1"/>
    </xf>
    <xf numFmtId="2" fontId="17" fillId="0" borderId="0" xfId="3" applyNumberFormat="1" applyAlignment="1">
      <alignment horizontal="center" vertical="top" wrapText="1"/>
    </xf>
    <xf numFmtId="1" fontId="17" fillId="0" borderId="0" xfId="3" applyNumberFormat="1" applyAlignment="1">
      <alignment horizontal="center" vertical="top" wrapText="1"/>
    </xf>
    <xf numFmtId="2" fontId="17" fillId="0" borderId="0" xfId="3" applyNumberFormat="1">
      <alignment vertical="top"/>
    </xf>
    <xf numFmtId="0" fontId="19" fillId="0" borderId="5" xfId="3" applyFont="1" applyBorder="1" applyAlignment="1">
      <alignment horizontal="left" vertical="top" wrapText="1"/>
    </xf>
    <xf numFmtId="2" fontId="19" fillId="0" borderId="5" xfId="3" applyNumberFormat="1" applyFont="1" applyBorder="1" applyAlignment="1">
      <alignment horizontal="left" vertical="top" wrapText="1" readingOrder="1"/>
    </xf>
    <xf numFmtId="0" fontId="17" fillId="0" borderId="6" xfId="3" applyBorder="1" applyAlignment="1">
      <alignment horizontal="left" vertical="top" wrapText="1"/>
    </xf>
    <xf numFmtId="2" fontId="17" fillId="0" borderId="6" xfId="3" applyNumberFormat="1" applyBorder="1" applyAlignment="1">
      <alignment horizontal="left" vertical="top" wrapText="1" readingOrder="1"/>
    </xf>
    <xf numFmtId="4" fontId="28" fillId="0" borderId="0" xfId="3" applyNumberFormat="1" applyFont="1">
      <alignment vertical="top"/>
    </xf>
    <xf numFmtId="0" fontId="17" fillId="0" borderId="6" xfId="3" applyBorder="1" applyAlignment="1">
      <alignment horizontal="left" vertical="top" wrapText="1" readingOrder="1"/>
    </xf>
    <xf numFmtId="14" fontId="17" fillId="0" borderId="0" xfId="3" applyNumberFormat="1" applyAlignment="1">
      <alignment horizontal="left"/>
    </xf>
    <xf numFmtId="0" fontId="17" fillId="0" borderId="7" xfId="3" applyBorder="1" applyAlignment="1">
      <alignment horizontal="left" vertical="top" wrapText="1"/>
    </xf>
    <xf numFmtId="0" fontId="17" fillId="0" borderId="7" xfId="3" applyBorder="1" applyAlignment="1">
      <alignment horizontal="left" vertical="top" wrapText="1" readingOrder="1"/>
    </xf>
    <xf numFmtId="0" fontId="17" fillId="0" borderId="0" xfId="3" applyAlignment="1">
      <alignment horizontal="left" vertical="top" wrapText="1" readingOrder="1"/>
    </xf>
    <xf numFmtId="167" fontId="22" fillId="0" borderId="0" xfId="1" applyFont="1" applyFill="1"/>
    <xf numFmtId="3" fontId="22" fillId="0" borderId="1" xfId="5" applyNumberFormat="1" applyFont="1" applyBorder="1"/>
    <xf numFmtId="0" fontId="16" fillId="0" borderId="0" xfId="5"/>
    <xf numFmtId="0" fontId="24" fillId="0" borderId="1" xfId="3" applyFont="1" applyBorder="1" applyAlignment="1">
      <alignment horizontal="center" vertical="top"/>
    </xf>
    <xf numFmtId="14" fontId="24" fillId="0" borderId="1" xfId="3" applyNumberFormat="1" applyFont="1" applyBorder="1" applyAlignment="1">
      <alignment horizontal="center" vertical="top" wrapText="1"/>
    </xf>
    <xf numFmtId="0" fontId="24" fillId="0" borderId="1" xfId="2" applyFont="1" applyBorder="1" applyAlignment="1">
      <alignment horizontal="right"/>
    </xf>
    <xf numFmtId="0" fontId="24" fillId="0" borderId="0" xfId="2" applyFont="1"/>
    <xf numFmtId="0" fontId="0" fillId="0" borderId="0" xfId="0" applyAlignment="1">
      <alignment horizontal="left"/>
    </xf>
    <xf numFmtId="167" fontId="0" fillId="0" borderId="0" xfId="1" applyFont="1"/>
    <xf numFmtId="0" fontId="22" fillId="0" borderId="0" xfId="2" applyFont="1"/>
    <xf numFmtId="0" fontId="0" fillId="0" borderId="0" xfId="0" applyAlignment="1">
      <alignment horizontal="center"/>
    </xf>
    <xf numFmtId="3" fontId="0" fillId="0" borderId="0" xfId="0" applyNumberFormat="1"/>
    <xf numFmtId="0" fontId="24" fillId="0" borderId="0" xfId="0" applyFont="1"/>
    <xf numFmtId="167" fontId="0" fillId="0" borderId="0" xfId="1" applyFont="1" applyFill="1"/>
    <xf numFmtId="167" fontId="16" fillId="0" borderId="0" xfId="2" applyNumberFormat="1"/>
    <xf numFmtId="0" fontId="22" fillId="0" borderId="1" xfId="2" applyFont="1" applyBorder="1"/>
    <xf numFmtId="168" fontId="22" fillId="0" borderId="1" xfId="2" applyNumberFormat="1" applyFont="1" applyBorder="1" applyAlignment="1">
      <alignment horizontal="left" vertical="top"/>
    </xf>
    <xf numFmtId="169" fontId="22" fillId="0" borderId="1" xfId="2" applyNumberFormat="1" applyFont="1" applyBorder="1" applyAlignment="1">
      <alignment horizontal="right"/>
    </xf>
    <xf numFmtId="170" fontId="22" fillId="0" borderId="1" xfId="2" applyNumberFormat="1" applyFont="1" applyBorder="1" applyAlignment="1">
      <alignment horizontal="center"/>
    </xf>
    <xf numFmtId="0" fontId="22" fillId="0" borderId="1" xfId="2" applyFont="1" applyBorder="1" applyAlignment="1">
      <alignment horizontal="center" vertical="center"/>
    </xf>
    <xf numFmtId="0" fontId="22" fillId="0" borderId="1" xfId="3" applyFont="1" applyBorder="1" applyAlignment="1">
      <alignment horizontal="right" vertical="top" wrapText="1" readingOrder="1"/>
    </xf>
    <xf numFmtId="4" fontId="22" fillId="0" borderId="1" xfId="3" applyNumberFormat="1" applyFont="1" applyBorder="1" applyAlignment="1">
      <alignment horizontal="center" vertical="top" wrapText="1" readingOrder="1"/>
    </xf>
    <xf numFmtId="4" fontId="22" fillId="0" borderId="1" xfId="3" applyNumberFormat="1" applyFont="1" applyBorder="1" applyAlignment="1">
      <alignment horizontal="left" vertical="top" wrapText="1" readingOrder="1"/>
    </xf>
    <xf numFmtId="0" fontId="22" fillId="0" borderId="1" xfId="3" applyFont="1" applyBorder="1" applyAlignment="1">
      <alignment horizontal="right" vertical="top"/>
    </xf>
    <xf numFmtId="0" fontId="17" fillId="0" borderId="1" xfId="0" applyFont="1" applyBorder="1" applyAlignment="1">
      <alignment horizontal="left" vertical="top"/>
    </xf>
    <xf numFmtId="0" fontId="17" fillId="0" borderId="0" xfId="0" applyFont="1" applyAlignment="1">
      <alignment horizontal="left" vertical="top"/>
    </xf>
    <xf numFmtId="4" fontId="25" fillId="0" borderId="1" xfId="3" applyNumberFormat="1" applyFont="1" applyBorder="1">
      <alignment vertical="top"/>
    </xf>
    <xf numFmtId="14" fontId="17" fillId="0" borderId="0" xfId="0" applyNumberFormat="1" applyFont="1" applyAlignment="1">
      <alignment horizontal="right" vertical="top"/>
    </xf>
    <xf numFmtId="0" fontId="22" fillId="0" borderId="1" xfId="3" applyFont="1" applyBorder="1" applyAlignment="1">
      <alignment horizontal="left" vertical="top" wrapText="1"/>
    </xf>
    <xf numFmtId="0" fontId="22" fillId="0" borderId="1" xfId="2" applyFont="1" applyBorder="1" applyAlignment="1">
      <alignment horizontal="right"/>
    </xf>
    <xf numFmtId="0" fontId="17" fillId="0" borderId="0" xfId="7">
      <alignment vertical="top"/>
    </xf>
    <xf numFmtId="167" fontId="17" fillId="0" borderId="0" xfId="1" applyFont="1" applyFill="1" applyAlignment="1">
      <alignment vertical="top"/>
    </xf>
    <xf numFmtId="167" fontId="16" fillId="0" borderId="0" xfId="1" applyFont="1" applyFill="1"/>
    <xf numFmtId="0" fontId="0" fillId="0" borderId="1" xfId="0" applyBorder="1"/>
    <xf numFmtId="0" fontId="18" fillId="10" borderId="1" xfId="3" applyFont="1" applyFill="1" applyBorder="1" applyAlignment="1">
      <alignment horizontal="center" vertical="center" wrapText="1" readingOrder="1"/>
    </xf>
    <xf numFmtId="0" fontId="19" fillId="0" borderId="8" xfId="3" applyFont="1" applyBorder="1">
      <alignment vertical="top"/>
    </xf>
    <xf numFmtId="0" fontId="17" fillId="0" borderId="8" xfId="3" applyBorder="1">
      <alignment vertical="top"/>
    </xf>
    <xf numFmtId="0" fontId="17" fillId="0" borderId="8" xfId="3" applyBorder="1" applyAlignment="1">
      <alignment horizontal="center" vertical="top"/>
    </xf>
    <xf numFmtId="0" fontId="17" fillId="0" borderId="8" xfId="3" applyBorder="1" applyAlignment="1">
      <alignment horizontal="center" vertical="top" wrapText="1"/>
    </xf>
    <xf numFmtId="0" fontId="17" fillId="0" borderId="8" xfId="3" applyBorder="1" applyAlignment="1">
      <alignment horizontal="center" vertical="center" wrapText="1"/>
    </xf>
    <xf numFmtId="0" fontId="16" fillId="0" borderId="8" xfId="2" applyBorder="1"/>
    <xf numFmtId="168" fontId="17" fillId="0" borderId="8" xfId="2" applyNumberFormat="1" applyFont="1" applyBorder="1" applyAlignment="1">
      <alignment horizontal="left" vertical="top"/>
    </xf>
    <xf numFmtId="169" fontId="16" fillId="0" borderId="8" xfId="2" applyNumberFormat="1" applyBorder="1" applyAlignment="1">
      <alignment horizontal="right"/>
    </xf>
    <xf numFmtId="170" fontId="16" fillId="0" borderId="8" xfId="2" applyNumberFormat="1" applyBorder="1" applyAlignment="1">
      <alignment horizontal="center"/>
    </xf>
    <xf numFmtId="0" fontId="16" fillId="0" borderId="8" xfId="2" applyBorder="1" applyAlignment="1">
      <alignment horizontal="center" vertical="center"/>
    </xf>
    <xf numFmtId="0" fontId="17" fillId="0" borderId="8" xfId="3" applyBorder="1" applyAlignment="1">
      <alignment horizontal="center" vertical="top" wrapText="1" readingOrder="1"/>
    </xf>
    <xf numFmtId="14" fontId="17" fillId="0" borderId="8" xfId="3" applyNumberFormat="1" applyBorder="1" applyAlignment="1">
      <alignment horizontal="center" vertical="top" wrapText="1"/>
    </xf>
    <xf numFmtId="171" fontId="22" fillId="0" borderId="8" xfId="1" applyNumberFormat="1" applyFont="1" applyFill="1" applyBorder="1" applyAlignment="1">
      <alignment vertical="center"/>
    </xf>
    <xf numFmtId="170" fontId="17" fillId="0" borderId="8" xfId="3" applyNumberFormat="1" applyBorder="1" applyAlignment="1">
      <alignment horizontal="center" vertical="top" wrapText="1"/>
    </xf>
    <xf numFmtId="0" fontId="17" fillId="0" borderId="8" xfId="3" applyBorder="1" applyAlignment="1">
      <alignment horizontal="right" vertical="top" wrapText="1" readingOrder="1"/>
    </xf>
    <xf numFmtId="4" fontId="17" fillId="0" borderId="8" xfId="3" applyNumberFormat="1" applyBorder="1" applyAlignment="1">
      <alignment horizontal="center" vertical="top" wrapText="1" readingOrder="1"/>
    </xf>
    <xf numFmtId="4" fontId="17" fillId="0" borderId="8" xfId="3" applyNumberFormat="1" applyBorder="1">
      <alignment vertical="top"/>
    </xf>
    <xf numFmtId="4" fontId="17" fillId="0" borderId="8" xfId="3" applyNumberFormat="1" applyBorder="1" applyAlignment="1">
      <alignment horizontal="left" vertical="top" wrapText="1" readingOrder="1"/>
    </xf>
    <xf numFmtId="0" fontId="16" fillId="0" borderId="1" xfId="2" applyBorder="1" applyAlignment="1">
      <alignment horizontal="center" vertical="center" wrapText="1"/>
    </xf>
    <xf numFmtId="0" fontId="18" fillId="0" borderId="1" xfId="3" applyFont="1" applyBorder="1" applyAlignment="1">
      <alignment horizontal="center" vertical="top" wrapText="1" readingOrder="1"/>
    </xf>
    <xf numFmtId="0" fontId="18" fillId="0" borderId="1" xfId="3" applyFont="1" applyBorder="1" applyAlignment="1">
      <alignment horizontal="center" vertical="center" wrapText="1" readingOrder="1"/>
    </xf>
    <xf numFmtId="0" fontId="19" fillId="0" borderId="1" xfId="3" applyFont="1" applyBorder="1" applyAlignment="1">
      <alignment horizontal="center" vertical="top" wrapText="1"/>
    </xf>
    <xf numFmtId="0" fontId="19" fillId="0" borderId="1" xfId="3" applyFont="1" applyBorder="1" applyAlignment="1">
      <alignment vertical="top" wrapText="1"/>
    </xf>
    <xf numFmtId="0" fontId="18" fillId="0" borderId="1" xfId="3" applyFont="1" applyBorder="1">
      <alignment vertical="top"/>
    </xf>
    <xf numFmtId="0" fontId="18" fillId="0" borderId="1" xfId="3" applyFont="1" applyBorder="1" applyAlignment="1">
      <alignment horizontal="left" vertical="top" wrapText="1" readingOrder="1"/>
    </xf>
    <xf numFmtId="0" fontId="20" fillId="0" borderId="1" xfId="3" applyFont="1" applyBorder="1" applyAlignment="1">
      <alignment horizontal="center" vertical="top" wrapText="1" readingOrder="1"/>
    </xf>
    <xf numFmtId="2" fontId="18" fillId="0" borderId="1" xfId="3" applyNumberFormat="1" applyFont="1" applyBorder="1" applyAlignment="1">
      <alignment horizontal="center" vertical="top" wrapText="1" readingOrder="1"/>
    </xf>
    <xf numFmtId="1" fontId="18" fillId="0" borderId="1" xfId="3" applyNumberFormat="1" applyFont="1" applyBorder="1" applyAlignment="1">
      <alignment horizontal="center" vertical="top" wrapText="1" readingOrder="1"/>
    </xf>
    <xf numFmtId="4" fontId="18" fillId="0" borderId="1" xfId="3" applyNumberFormat="1" applyFont="1" applyBorder="1" applyAlignment="1">
      <alignment horizontal="center" vertical="top" wrapText="1" readingOrder="1"/>
    </xf>
    <xf numFmtId="4" fontId="18" fillId="0" borderId="1" xfId="3" applyNumberFormat="1" applyFont="1" applyBorder="1" applyAlignment="1">
      <alignment horizontal="left" vertical="top" wrapText="1" readingOrder="1"/>
    </xf>
    <xf numFmtId="0" fontId="21" fillId="0" borderId="1" xfId="3" applyFont="1" applyBorder="1" applyAlignment="1">
      <alignment horizontal="center" vertical="top" wrapText="1" readingOrder="1"/>
    </xf>
    <xf numFmtId="4" fontId="21" fillId="0" borderId="1" xfId="3" applyNumberFormat="1" applyFont="1" applyBorder="1" applyAlignment="1">
      <alignment horizontal="center" vertical="top" wrapText="1" readingOrder="1"/>
    </xf>
    <xf numFmtId="0" fontId="0" fillId="0" borderId="25" xfId="0" applyBorder="1"/>
    <xf numFmtId="167" fontId="0" fillId="0" borderId="0" xfId="0" applyNumberFormat="1"/>
    <xf numFmtId="0" fontId="0" fillId="0" borderId="1" xfId="0" applyBorder="1" applyAlignment="1">
      <alignment horizontal="center"/>
    </xf>
    <xf numFmtId="2" fontId="0" fillId="0" borderId="1" xfId="0" applyNumberFormat="1" applyBorder="1" applyAlignment="1">
      <alignment horizontal="center"/>
    </xf>
    <xf numFmtId="14" fontId="17" fillId="0" borderId="2" xfId="3" applyNumberFormat="1" applyBorder="1" applyAlignment="1">
      <alignment horizontal="center" vertical="top" wrapText="1"/>
    </xf>
    <xf numFmtId="0" fontId="17" fillId="0" borderId="0" xfId="12" applyAlignment="1">
      <alignment horizontal="left" vertical="top"/>
    </xf>
    <xf numFmtId="3" fontId="16" fillId="0" borderId="0" xfId="5" applyNumberFormat="1"/>
    <xf numFmtId="1" fontId="31" fillId="0" borderId="0" xfId="5" applyNumberFormat="1" applyFont="1"/>
    <xf numFmtId="0" fontId="16" fillId="0" borderId="0" xfId="0" applyFont="1"/>
    <xf numFmtId="0" fontId="16" fillId="0" borderId="1" xfId="0" applyFont="1" applyBorder="1" applyAlignment="1">
      <alignment horizontal="right"/>
    </xf>
    <xf numFmtId="0" fontId="16" fillId="0" borderId="1" xfId="3" applyFont="1" applyBorder="1">
      <alignment vertical="top"/>
    </xf>
    <xf numFmtId="0" fontId="16" fillId="0" borderId="1" xfId="0" applyFont="1" applyBorder="1" applyAlignment="1">
      <alignment horizontal="center"/>
    </xf>
    <xf numFmtId="0" fontId="16" fillId="0" borderId="1" xfId="0" applyFont="1" applyBorder="1"/>
    <xf numFmtId="14" fontId="16" fillId="0" borderId="1" xfId="0" applyNumberFormat="1" applyFont="1" applyBorder="1" applyAlignment="1">
      <alignment horizontal="center" vertical="top"/>
    </xf>
    <xf numFmtId="170" fontId="16" fillId="0" borderId="1" xfId="0" applyNumberFormat="1" applyFont="1" applyBorder="1" applyAlignment="1">
      <alignment horizontal="center"/>
    </xf>
    <xf numFmtId="0" fontId="16" fillId="0" borderId="1" xfId="0" applyFont="1" applyBorder="1" applyAlignment="1">
      <alignment readingOrder="1"/>
    </xf>
    <xf numFmtId="14" fontId="16" fillId="0" borderId="1" xfId="3" applyNumberFormat="1" applyFont="1" applyBorder="1" applyAlignment="1">
      <alignment horizontal="center" vertical="top" wrapText="1"/>
    </xf>
    <xf numFmtId="1" fontId="16" fillId="0" borderId="1" xfId="3" applyNumberFormat="1" applyFont="1" applyBorder="1" applyAlignment="1">
      <alignment horizontal="center" vertical="top" wrapText="1"/>
    </xf>
    <xf numFmtId="14" fontId="16" fillId="0" borderId="1" xfId="3" applyNumberFormat="1" applyFont="1" applyBorder="1" applyAlignment="1">
      <alignment horizontal="center" vertical="top" wrapText="1" readingOrder="1"/>
    </xf>
    <xf numFmtId="4" fontId="16" fillId="0" borderId="1" xfId="3" applyNumberFormat="1" applyFont="1" applyBorder="1" applyAlignment="1">
      <alignment horizontal="center" vertical="top" wrapText="1" readingOrder="1"/>
    </xf>
    <xf numFmtId="4" fontId="16" fillId="0" borderId="1" xfId="3" applyNumberFormat="1" applyFont="1" applyBorder="1" applyAlignment="1">
      <alignment horizontal="right" vertical="top"/>
    </xf>
    <xf numFmtId="2" fontId="16" fillId="0" borderId="1" xfId="0" applyNumberFormat="1" applyFont="1" applyBorder="1" applyAlignment="1">
      <alignment horizontal="center"/>
    </xf>
    <xf numFmtId="0" fontId="16" fillId="0" borderId="1" xfId="3" applyFont="1" applyBorder="1" applyAlignment="1">
      <alignment horizontal="right" vertical="top"/>
    </xf>
    <xf numFmtId="2" fontId="16" fillId="0" borderId="1" xfId="3" applyNumberFormat="1" applyFont="1" applyBorder="1" applyAlignment="1">
      <alignment horizontal="center" vertical="top"/>
    </xf>
    <xf numFmtId="0" fontId="16" fillId="0" borderId="1" xfId="7" applyFont="1" applyBorder="1" applyAlignment="1">
      <alignment horizontal="left" vertical="top"/>
    </xf>
    <xf numFmtId="0" fontId="16" fillId="0" borderId="1" xfId="7" applyFont="1" applyBorder="1" applyAlignment="1">
      <alignment horizontal="center" vertical="top"/>
    </xf>
    <xf numFmtId="14" fontId="16" fillId="0" borderId="1" xfId="7" applyNumberFormat="1" applyFont="1" applyBorder="1" applyAlignment="1">
      <alignment horizontal="center" vertical="top"/>
    </xf>
    <xf numFmtId="167" fontId="16" fillId="0" borderId="0" xfId="1" applyFont="1" applyFill="1" applyBorder="1" applyAlignment="1">
      <alignment horizontal="right"/>
    </xf>
    <xf numFmtId="167" fontId="16" fillId="0" borderId="0" xfId="1" applyFont="1" applyFill="1" applyBorder="1"/>
    <xf numFmtId="167" fontId="16" fillId="0" borderId="0" xfId="1" applyFont="1" applyFill="1" applyBorder="1" applyAlignment="1">
      <alignment horizontal="center"/>
    </xf>
    <xf numFmtId="167" fontId="31" fillId="0" borderId="0" xfId="1" applyFont="1" applyFill="1" applyBorder="1" applyAlignment="1">
      <alignment horizontal="center"/>
    </xf>
    <xf numFmtId="167" fontId="16" fillId="0" borderId="0" xfId="1" applyFont="1" applyFill="1" applyBorder="1" applyAlignment="1">
      <alignment readingOrder="1"/>
    </xf>
    <xf numFmtId="167" fontId="16" fillId="0" borderId="0" xfId="1" applyFont="1" applyFill="1" applyBorder="1" applyAlignment="1">
      <alignment horizontal="left" vertical="top" wrapText="1" readingOrder="1"/>
    </xf>
    <xf numFmtId="167" fontId="16" fillId="0" borderId="0" xfId="1" applyFont="1" applyFill="1" applyBorder="1" applyAlignment="1">
      <alignment horizontal="center" vertical="top" wrapText="1"/>
    </xf>
    <xf numFmtId="167" fontId="16" fillId="0" borderId="0" xfId="1" applyFont="1" applyFill="1" applyBorder="1" applyAlignment="1">
      <alignment vertical="top"/>
    </xf>
    <xf numFmtId="0" fontId="16" fillId="0" borderId="0" xfId="3" applyFont="1" applyAlignment="1">
      <alignment horizontal="right" vertical="top"/>
    </xf>
    <xf numFmtId="0" fontId="16" fillId="0" borderId="0" xfId="3" applyFont="1">
      <alignment vertical="top"/>
    </xf>
    <xf numFmtId="0" fontId="16" fillId="0" borderId="0" xfId="3" applyFont="1" applyAlignment="1">
      <alignment horizontal="center" vertical="top"/>
    </xf>
    <xf numFmtId="4" fontId="16" fillId="0" borderId="0" xfId="3" applyNumberFormat="1" applyFont="1" applyAlignment="1">
      <alignment horizontal="center" vertical="top"/>
    </xf>
    <xf numFmtId="169" fontId="16" fillId="0" borderId="0" xfId="3" applyNumberFormat="1" applyFont="1" applyAlignment="1">
      <alignment horizontal="center" vertical="top"/>
    </xf>
    <xf numFmtId="0" fontId="31" fillId="0" borderId="0" xfId="3" applyFont="1">
      <alignment vertical="top"/>
    </xf>
    <xf numFmtId="0" fontId="16" fillId="0" borderId="0" xfId="3" applyFont="1" applyAlignment="1">
      <alignment vertical="top" readingOrder="1"/>
    </xf>
    <xf numFmtId="2" fontId="16" fillId="0" borderId="0" xfId="3" applyNumberFormat="1" applyFont="1">
      <alignment vertical="top"/>
    </xf>
    <xf numFmtId="1" fontId="16" fillId="0" borderId="0" xfId="3" applyNumberFormat="1" applyFont="1">
      <alignment vertical="top"/>
    </xf>
    <xf numFmtId="4" fontId="16" fillId="0" borderId="0" xfId="3" applyNumberFormat="1" applyFont="1">
      <alignment vertical="top"/>
    </xf>
    <xf numFmtId="4" fontId="16" fillId="0" borderId="0" xfId="3" applyNumberFormat="1" applyFont="1" applyAlignment="1">
      <alignment horizontal="right" vertical="top"/>
    </xf>
    <xf numFmtId="172" fontId="16" fillId="0" borderId="0" xfId="1" applyNumberFormat="1" applyFont="1" applyFill="1" applyAlignment="1">
      <alignment horizontal="right" vertical="top"/>
    </xf>
    <xf numFmtId="0" fontId="16" fillId="0" borderId="0" xfId="5" applyAlignment="1">
      <alignment horizontal="center"/>
    </xf>
    <xf numFmtId="169" fontId="16" fillId="0" borderId="0" xfId="5" applyNumberFormat="1" applyAlignment="1">
      <alignment horizontal="center"/>
    </xf>
    <xf numFmtId="0" fontId="16" fillId="0" borderId="0" xfId="3" applyFont="1" applyAlignment="1">
      <alignment readingOrder="1"/>
    </xf>
    <xf numFmtId="0" fontId="31" fillId="0" borderId="0" xfId="3" applyFont="1" applyAlignment="1">
      <alignment horizontal="center" vertical="top"/>
    </xf>
    <xf numFmtId="4" fontId="31" fillId="0" borderId="0" xfId="3" applyNumberFormat="1" applyFont="1">
      <alignment vertical="top"/>
    </xf>
    <xf numFmtId="0" fontId="16" fillId="0" borderId="0" xfId="3" applyFont="1" applyAlignment="1">
      <alignment horizontal="left" vertical="top"/>
    </xf>
    <xf numFmtId="0" fontId="31" fillId="0" borderId="11" xfId="3" applyFont="1" applyBorder="1" applyAlignment="1">
      <alignment horizontal="left" vertical="top"/>
    </xf>
    <xf numFmtId="0" fontId="16" fillId="0" borderId="10" xfId="3" applyFont="1" applyBorder="1" applyAlignment="1">
      <alignment horizontal="left" vertical="top" wrapText="1"/>
    </xf>
    <xf numFmtId="0" fontId="16" fillId="0" borderId="10" xfId="3" applyFont="1" applyBorder="1" applyAlignment="1">
      <alignment horizontal="center" vertical="top" wrapText="1"/>
    </xf>
    <xf numFmtId="2" fontId="31" fillId="0" borderId="14" xfId="3" applyNumberFormat="1" applyFont="1" applyBorder="1" applyAlignment="1">
      <alignment horizontal="left" vertical="top" readingOrder="1"/>
    </xf>
    <xf numFmtId="2" fontId="16" fillId="0" borderId="15" xfId="3" applyNumberFormat="1" applyFont="1" applyBorder="1" applyAlignment="1">
      <alignment horizontal="center" vertical="top" wrapText="1"/>
    </xf>
    <xf numFmtId="4" fontId="16" fillId="0" borderId="0" xfId="3" applyNumberFormat="1" applyFont="1" applyAlignment="1">
      <alignment horizontal="left" vertical="top"/>
    </xf>
    <xf numFmtId="0" fontId="16" fillId="0" borderId="25" xfId="3" applyFont="1" applyBorder="1" applyAlignment="1">
      <alignment horizontal="left" vertical="top"/>
    </xf>
    <xf numFmtId="0" fontId="16" fillId="0" borderId="0" xfId="3" applyFont="1" applyAlignment="1">
      <alignment horizontal="left" vertical="top" wrapText="1"/>
    </xf>
    <xf numFmtId="0" fontId="16" fillId="0" borderId="0" xfId="3" applyFont="1" applyAlignment="1">
      <alignment horizontal="center" vertical="top" wrapText="1"/>
    </xf>
    <xf numFmtId="2" fontId="16" fillId="0" borderId="18" xfId="3" applyNumberFormat="1" applyFont="1" applyBorder="1" applyAlignment="1">
      <alignment horizontal="left" vertical="top" readingOrder="1"/>
    </xf>
    <xf numFmtId="2" fontId="16" fillId="0" borderId="19" xfId="3" applyNumberFormat="1" applyFont="1" applyBorder="1" applyAlignment="1">
      <alignment horizontal="center" vertical="top" wrapText="1"/>
    </xf>
    <xf numFmtId="0" fontId="16" fillId="0" borderId="25" xfId="3" applyFont="1" applyBorder="1" applyAlignment="1">
      <alignment horizontal="left" vertical="top" wrapText="1"/>
    </xf>
    <xf numFmtId="0" fontId="16" fillId="0" borderId="18" xfId="3" applyFont="1" applyBorder="1" applyAlignment="1">
      <alignment horizontal="left" vertical="top" readingOrder="1"/>
    </xf>
    <xf numFmtId="14" fontId="16" fillId="0" borderId="19" xfId="3" applyNumberFormat="1" applyFont="1" applyBorder="1" applyAlignment="1">
      <alignment horizontal="left"/>
    </xf>
    <xf numFmtId="14" fontId="16" fillId="0" borderId="19" xfId="3" applyNumberFormat="1" applyFont="1" applyBorder="1" applyAlignment="1">
      <alignment horizontal="center" vertical="top" wrapText="1"/>
    </xf>
    <xf numFmtId="0" fontId="16" fillId="0" borderId="28" xfId="3" applyFont="1" applyBorder="1" applyAlignment="1">
      <alignment horizontal="left" vertical="top"/>
    </xf>
    <xf numFmtId="0" fontId="16" fillId="0" borderId="13" xfId="3" applyFont="1" applyBorder="1" applyAlignment="1">
      <alignment horizontal="left" vertical="top" wrapText="1"/>
    </xf>
    <xf numFmtId="0" fontId="16" fillId="0" borderId="13" xfId="3" applyFont="1" applyBorder="1" applyAlignment="1">
      <alignment horizontal="center" vertical="top" wrapText="1"/>
    </xf>
    <xf numFmtId="0" fontId="38" fillId="0" borderId="21" xfId="3" applyFont="1" applyBorder="1" applyAlignment="1">
      <alignment horizontal="left" vertical="top" readingOrder="1"/>
    </xf>
    <xf numFmtId="14" fontId="16" fillId="0" borderId="20" xfId="3" applyNumberFormat="1" applyFont="1" applyBorder="1" applyAlignment="1">
      <alignment horizontal="center" vertical="top" wrapText="1"/>
    </xf>
    <xf numFmtId="0" fontId="16" fillId="0" borderId="0" xfId="3" applyFont="1" applyAlignment="1">
      <alignment horizontal="left" vertical="top" wrapText="1" readingOrder="1"/>
    </xf>
    <xf numFmtId="14" fontId="16" fillId="0" borderId="0" xfId="3" applyNumberFormat="1" applyFont="1" applyAlignment="1">
      <alignment horizontal="center" vertical="top" wrapText="1"/>
    </xf>
    <xf numFmtId="0" fontId="16" fillId="0" borderId="22" xfId="3" applyFont="1" applyBorder="1" applyAlignment="1">
      <alignment horizontal="left" vertical="top" wrapText="1"/>
    </xf>
    <xf numFmtId="0" fontId="16" fillId="0" borderId="22" xfId="3" applyFont="1" applyBorder="1" applyAlignment="1">
      <alignment horizontal="center" vertical="top" wrapText="1"/>
    </xf>
    <xf numFmtId="0" fontId="16" fillId="0" borderId="23" xfId="3" applyFont="1" applyBorder="1" applyAlignment="1">
      <alignment horizontal="left" vertical="top" wrapText="1" readingOrder="1"/>
    </xf>
    <xf numFmtId="14" fontId="16" fillId="0" borderId="23" xfId="3" applyNumberFormat="1" applyFont="1" applyBorder="1" applyAlignment="1">
      <alignment horizontal="center" vertical="top" wrapText="1"/>
    </xf>
    <xf numFmtId="0" fontId="31" fillId="0" borderId="0" xfId="3" applyFont="1" applyAlignment="1">
      <alignment horizontal="left" vertical="top"/>
    </xf>
    <xf numFmtId="1" fontId="16" fillId="0" borderId="0" xfId="5" applyNumberFormat="1" applyAlignment="1">
      <alignment horizontal="center"/>
    </xf>
    <xf numFmtId="0" fontId="16" fillId="0" borderId="0" xfId="0" applyFont="1" applyAlignment="1">
      <alignment horizontal="left" vertical="top"/>
    </xf>
    <xf numFmtId="2" fontId="16" fillId="0" borderId="8" xfId="3" applyNumberFormat="1" applyFont="1" applyBorder="1" applyAlignment="1">
      <alignment horizontal="center" vertical="top" wrapText="1"/>
    </xf>
    <xf numFmtId="0" fontId="0" fillId="12" borderId="0" xfId="0" applyFill="1"/>
    <xf numFmtId="0" fontId="0" fillId="2" borderId="0" xfId="0" applyFill="1"/>
    <xf numFmtId="0" fontId="31" fillId="0" borderId="0" xfId="2" applyFont="1" applyAlignment="1">
      <alignment horizontal="center" vertical="center"/>
    </xf>
    <xf numFmtId="0" fontId="17" fillId="0" borderId="0" xfId="12">
      <alignment vertical="top"/>
    </xf>
    <xf numFmtId="168" fontId="17" fillId="0" borderId="0" xfId="12" applyNumberFormat="1" applyAlignment="1">
      <alignment horizontal="right" vertical="top"/>
    </xf>
    <xf numFmtId="14" fontId="17" fillId="0" borderId="0" xfId="12" applyNumberFormat="1" applyAlignment="1">
      <alignment horizontal="left" vertical="top"/>
    </xf>
    <xf numFmtId="167" fontId="16" fillId="0" borderId="0" xfId="1" applyFont="1" applyFill="1" applyAlignment="1">
      <alignment vertical="top"/>
    </xf>
    <xf numFmtId="0" fontId="31" fillId="7" borderId="1" xfId="0" applyFont="1" applyFill="1" applyBorder="1" applyAlignment="1">
      <alignment horizontal="center" vertical="center" wrapText="1"/>
    </xf>
    <xf numFmtId="0" fontId="16" fillId="13" borderId="1" xfId="0" applyFont="1" applyFill="1" applyBorder="1" applyAlignment="1">
      <alignment horizontal="center" vertical="center" wrapText="1"/>
    </xf>
    <xf numFmtId="167" fontId="16" fillId="13" borderId="1" xfId="1" applyFont="1" applyFill="1" applyBorder="1" applyAlignment="1">
      <alignment horizontal="center" vertical="center" wrapText="1"/>
    </xf>
    <xf numFmtId="167" fontId="16" fillId="0" borderId="28" xfId="1" applyFont="1" applyFill="1" applyBorder="1" applyAlignment="1">
      <alignment horizontal="right" vertical="top"/>
    </xf>
    <xf numFmtId="167" fontId="16" fillId="0" borderId="1" xfId="1" applyFont="1" applyFill="1" applyBorder="1"/>
    <xf numFmtId="0" fontId="17" fillId="9" borderId="1" xfId="3" applyFill="1" applyBorder="1" applyAlignment="1">
      <alignment horizontal="center" vertical="center"/>
    </xf>
    <xf numFmtId="0" fontId="16" fillId="9" borderId="1" xfId="2" applyFill="1" applyBorder="1"/>
    <xf numFmtId="0" fontId="24" fillId="0" borderId="0" xfId="4" applyFont="1"/>
    <xf numFmtId="0" fontId="41" fillId="0" borderId="0" xfId="4" applyFont="1"/>
    <xf numFmtId="0" fontId="42" fillId="0" borderId="0" xfId="4" applyFont="1"/>
    <xf numFmtId="0" fontId="40" fillId="0" borderId="0" xfId="4" applyFont="1"/>
    <xf numFmtId="0" fontId="43" fillId="0" borderId="0" xfId="4" applyFont="1"/>
    <xf numFmtId="0" fontId="24" fillId="0" borderId="0" xfId="2" applyFont="1" applyAlignment="1">
      <alignment wrapText="1"/>
    </xf>
    <xf numFmtId="0" fontId="43" fillId="0" borderId="0" xfId="2" applyFont="1"/>
    <xf numFmtId="4" fontId="0" fillId="0" borderId="0" xfId="0" applyNumberFormat="1"/>
    <xf numFmtId="0" fontId="40" fillId="0" borderId="0" xfId="2" applyFont="1" applyAlignment="1">
      <alignment wrapText="1"/>
    </xf>
    <xf numFmtId="0" fontId="31" fillId="0" borderId="0" xfId="2" applyFont="1" applyAlignment="1">
      <alignment horizontal="center" vertical="center" wrapText="1"/>
    </xf>
    <xf numFmtId="0" fontId="36" fillId="0" borderId="0" xfId="0" applyFont="1"/>
    <xf numFmtId="4" fontId="36" fillId="0" borderId="0" xfId="0" applyNumberFormat="1" applyFont="1"/>
    <xf numFmtId="167" fontId="36" fillId="0" borderId="0" xfId="0" applyNumberFormat="1" applyFont="1"/>
    <xf numFmtId="0" fontId="19" fillId="0" borderId="2" xfId="3" applyFont="1" applyBorder="1">
      <alignment vertical="top"/>
    </xf>
    <xf numFmtId="0" fontId="17" fillId="0" borderId="2" xfId="3" applyBorder="1">
      <alignment vertical="top"/>
    </xf>
    <xf numFmtId="0" fontId="17" fillId="0" borderId="2" xfId="3" applyBorder="1" applyAlignment="1">
      <alignment horizontal="center" vertical="top"/>
    </xf>
    <xf numFmtId="0" fontId="17" fillId="0" borderId="2" xfId="3" applyBorder="1" applyAlignment="1">
      <alignment horizontal="center" vertical="center"/>
    </xf>
    <xf numFmtId="168" fontId="17" fillId="0" borderId="2" xfId="2" applyNumberFormat="1" applyFont="1" applyBorder="1" applyAlignment="1">
      <alignment horizontal="left" vertical="top"/>
    </xf>
    <xf numFmtId="169" fontId="16" fillId="0" borderId="2" xfId="2" applyNumberFormat="1" applyBorder="1" applyAlignment="1">
      <alignment horizontal="right"/>
    </xf>
    <xf numFmtId="170" fontId="16" fillId="0" borderId="2" xfId="2" applyNumberFormat="1" applyBorder="1" applyAlignment="1">
      <alignment horizontal="center"/>
    </xf>
    <xf numFmtId="0" fontId="16" fillId="0" borderId="2" xfId="2" applyBorder="1" applyAlignment="1">
      <alignment horizontal="center" vertical="center"/>
    </xf>
    <xf numFmtId="0" fontId="17" fillId="0" borderId="2" xfId="3" applyBorder="1" applyAlignment="1">
      <alignment horizontal="center" vertical="top" wrapText="1" readingOrder="1"/>
    </xf>
    <xf numFmtId="0" fontId="17" fillId="0" borderId="2" xfId="3" applyBorder="1" applyAlignment="1">
      <alignment horizontal="center" vertical="top" wrapText="1"/>
    </xf>
    <xf numFmtId="171" fontId="22" fillId="0" borderId="2" xfId="1" applyNumberFormat="1" applyFont="1" applyFill="1" applyBorder="1" applyAlignment="1">
      <alignment vertical="center"/>
    </xf>
    <xf numFmtId="170" fontId="17" fillId="0" borderId="2" xfId="3" applyNumberFormat="1" applyBorder="1" applyAlignment="1">
      <alignment horizontal="center" vertical="top" wrapText="1"/>
    </xf>
    <xf numFmtId="0" fontId="16" fillId="0" borderId="2" xfId="2" applyBorder="1" applyAlignment="1">
      <alignment horizontal="right"/>
    </xf>
    <xf numFmtId="0" fontId="17" fillId="0" borderId="26" xfId="3" applyBorder="1" applyAlignment="1">
      <alignment horizontal="right" vertical="top" wrapText="1" readingOrder="1"/>
    </xf>
    <xf numFmtId="4" fontId="17" fillId="0" borderId="2" xfId="3" applyNumberFormat="1" applyBorder="1">
      <alignment vertical="top"/>
    </xf>
    <xf numFmtId="4" fontId="17" fillId="0" borderId="2" xfId="3" applyNumberFormat="1" applyBorder="1" applyAlignment="1">
      <alignment horizontal="left" vertical="top"/>
    </xf>
    <xf numFmtId="0" fontId="16" fillId="0" borderId="29" xfId="2" applyBorder="1"/>
    <xf numFmtId="0" fontId="19" fillId="0" borderId="29" xfId="3" applyFont="1" applyBorder="1">
      <alignment vertical="top"/>
    </xf>
    <xf numFmtId="0" fontId="17" fillId="0" borderId="29" xfId="3" applyBorder="1">
      <alignment vertical="top"/>
    </xf>
    <xf numFmtId="0" fontId="17" fillId="0" borderId="29" xfId="3" applyBorder="1" applyAlignment="1">
      <alignment horizontal="center" vertical="top"/>
    </xf>
    <xf numFmtId="0" fontId="17" fillId="0" borderId="29" xfId="3" applyBorder="1" applyAlignment="1">
      <alignment horizontal="center" vertical="center"/>
    </xf>
    <xf numFmtId="168" fontId="17" fillId="0" borderId="29" xfId="2" applyNumberFormat="1" applyFont="1" applyBorder="1" applyAlignment="1">
      <alignment horizontal="left" vertical="top"/>
    </xf>
    <xf numFmtId="169" fontId="16" fillId="0" borderId="29" xfId="2" applyNumberFormat="1" applyBorder="1" applyAlignment="1">
      <alignment horizontal="right"/>
    </xf>
    <xf numFmtId="170" fontId="16" fillId="0" borderId="29" xfId="2" applyNumberFormat="1" applyBorder="1" applyAlignment="1">
      <alignment horizontal="center"/>
    </xf>
    <xf numFmtId="0" fontId="16" fillId="0" borderId="29" xfId="2" applyBorder="1" applyAlignment="1">
      <alignment horizontal="center" vertical="center"/>
    </xf>
    <xf numFmtId="0" fontId="17" fillId="0" borderId="29" xfId="3" applyBorder="1" applyAlignment="1">
      <alignment horizontal="center" vertical="top" wrapText="1" readingOrder="1"/>
    </xf>
    <xf numFmtId="0" fontId="17" fillId="0" borderId="29" xfId="3" applyBorder="1" applyAlignment="1">
      <alignment horizontal="center" vertical="top" wrapText="1"/>
    </xf>
    <xf numFmtId="14" fontId="17" fillId="0" borderId="29" xfId="3" applyNumberFormat="1" applyBorder="1" applyAlignment="1">
      <alignment horizontal="center" vertical="top" wrapText="1"/>
    </xf>
    <xf numFmtId="170" fontId="17" fillId="0" borderId="29" xfId="3" applyNumberFormat="1" applyBorder="1" applyAlignment="1">
      <alignment horizontal="center" vertical="top" wrapText="1"/>
    </xf>
    <xf numFmtId="0" fontId="16" fillId="0" borderId="29" xfId="2" applyBorder="1" applyAlignment="1">
      <alignment horizontal="right"/>
    </xf>
    <xf numFmtId="4" fontId="17" fillId="0" borderId="29" xfId="3" applyNumberFormat="1" applyBorder="1">
      <alignment vertical="top"/>
    </xf>
    <xf numFmtId="4" fontId="27" fillId="0" borderId="29" xfId="3" applyNumberFormat="1" applyFont="1" applyBorder="1">
      <alignment vertical="top"/>
    </xf>
    <xf numFmtId="4" fontId="27" fillId="0" borderId="29" xfId="3" applyNumberFormat="1" applyFont="1" applyBorder="1" applyAlignment="1">
      <alignment horizontal="left" vertical="top"/>
    </xf>
    <xf numFmtId="167" fontId="27" fillId="0" borderId="29" xfId="1" applyFont="1" applyFill="1" applyBorder="1" applyAlignment="1">
      <alignment vertical="top"/>
    </xf>
    <xf numFmtId="167" fontId="16" fillId="0" borderId="0" xfId="1" applyFont="1"/>
    <xf numFmtId="167" fontId="31" fillId="9" borderId="0" xfId="1" applyFont="1" applyFill="1"/>
    <xf numFmtId="0" fontId="0" fillId="2" borderId="23" xfId="0" applyFill="1" applyBorder="1" applyAlignment="1">
      <alignment wrapText="1"/>
    </xf>
    <xf numFmtId="0" fontId="23" fillId="0" borderId="1" xfId="3" applyFont="1" applyBorder="1" applyAlignment="1">
      <alignment horizontal="right" vertical="top"/>
    </xf>
    <xf numFmtId="167" fontId="36" fillId="0" borderId="0" xfId="1" applyFont="1"/>
    <xf numFmtId="0" fontId="17" fillId="9" borderId="1" xfId="3" applyFill="1" applyBorder="1">
      <alignment vertical="top"/>
    </xf>
    <xf numFmtId="0" fontId="16" fillId="9" borderId="1" xfId="2" applyFill="1" applyBorder="1" applyAlignment="1">
      <alignment horizontal="center" vertical="center"/>
    </xf>
    <xf numFmtId="0" fontId="0" fillId="9" borderId="0" xfId="0" applyFill="1"/>
    <xf numFmtId="167" fontId="24" fillId="0" borderId="0" xfId="1" applyFont="1" applyAlignment="1">
      <alignment wrapText="1"/>
    </xf>
    <xf numFmtId="167" fontId="36" fillId="0" borderId="0" xfId="1" applyFont="1" applyFill="1"/>
    <xf numFmtId="167" fontId="27" fillId="0" borderId="29" xfId="1" applyFont="1" applyBorder="1" applyAlignment="1">
      <alignment vertical="top"/>
    </xf>
    <xf numFmtId="0" fontId="16" fillId="9" borderId="2" xfId="2" applyFill="1" applyBorder="1"/>
    <xf numFmtId="14" fontId="22" fillId="14" borderId="1" xfId="3" applyNumberFormat="1" applyFont="1" applyFill="1" applyBorder="1" applyAlignment="1">
      <alignment horizontal="center" vertical="top" wrapText="1"/>
    </xf>
    <xf numFmtId="14" fontId="16" fillId="0" borderId="0" xfId="1" applyNumberFormat="1" applyFont="1" applyFill="1" applyBorder="1" applyAlignment="1">
      <alignment horizontal="center" vertical="top" wrapText="1"/>
    </xf>
    <xf numFmtId="14" fontId="16" fillId="0" borderId="0" xfId="3" applyNumberFormat="1" applyFont="1">
      <alignment vertical="top"/>
    </xf>
    <xf numFmtId="167" fontId="16" fillId="0" borderId="0" xfId="1" applyFont="1" applyAlignment="1">
      <alignment vertical="top"/>
    </xf>
    <xf numFmtId="0" fontId="17" fillId="0" borderId="1" xfId="7" applyBorder="1">
      <alignment vertical="top"/>
    </xf>
    <xf numFmtId="0" fontId="17" fillId="0" borderId="4" xfId="7" applyBorder="1">
      <alignment vertical="top"/>
    </xf>
    <xf numFmtId="14" fontId="17" fillId="0" borderId="0" xfId="7" applyNumberFormat="1">
      <alignment vertical="top"/>
    </xf>
    <xf numFmtId="0" fontId="25" fillId="0" borderId="0" xfId="2" applyFont="1" applyAlignment="1">
      <alignment wrapText="1"/>
    </xf>
    <xf numFmtId="170" fontId="16" fillId="0" borderId="1" xfId="2" applyNumberFormat="1" applyBorder="1" applyAlignment="1">
      <alignment horizontal="center" vertical="center"/>
    </xf>
    <xf numFmtId="14" fontId="17" fillId="0" borderId="0" xfId="0" applyNumberFormat="1" applyFont="1" applyAlignment="1">
      <alignment horizontal="left" vertical="top"/>
    </xf>
    <xf numFmtId="14" fontId="16" fillId="0" borderId="0" xfId="0" applyNumberFormat="1" applyFont="1"/>
    <xf numFmtId="14" fontId="16" fillId="0" borderId="0" xfId="1" applyNumberFormat="1" applyFont="1" applyFill="1"/>
    <xf numFmtId="0" fontId="16" fillId="0" borderId="0" xfId="1" applyNumberFormat="1" applyFont="1" applyFill="1" applyBorder="1" applyAlignment="1">
      <alignment horizontal="center"/>
    </xf>
    <xf numFmtId="0" fontId="16" fillId="0" borderId="0" xfId="1" applyNumberFormat="1" applyFont="1" applyFill="1" applyBorder="1" applyAlignment="1">
      <alignment horizontal="right"/>
    </xf>
    <xf numFmtId="1" fontId="16" fillId="0" borderId="4" xfId="3" applyNumberFormat="1" applyFont="1" applyBorder="1" applyAlignment="1">
      <alignment horizontal="center" vertical="top" wrapText="1"/>
    </xf>
    <xf numFmtId="0" fontId="16" fillId="0" borderId="1" xfId="1" applyNumberFormat="1" applyFont="1" applyFill="1" applyBorder="1"/>
    <xf numFmtId="0" fontId="16" fillId="0" borderId="1" xfId="1" applyNumberFormat="1" applyFont="1" applyFill="1" applyBorder="1" applyAlignment="1">
      <alignment horizontal="center"/>
    </xf>
    <xf numFmtId="167" fontId="16" fillId="0" borderId="1" xfId="1" applyFont="1" applyFill="1" applyBorder="1" applyAlignment="1">
      <alignment horizontal="center"/>
    </xf>
    <xf numFmtId="14" fontId="16" fillId="0" borderId="1" xfId="1" applyNumberFormat="1" applyFont="1" applyFill="1" applyBorder="1" applyAlignment="1">
      <alignment horizontal="center" vertical="top" wrapText="1"/>
    </xf>
    <xf numFmtId="0" fontId="16" fillId="0" borderId="1" xfId="1" applyNumberFormat="1" applyFont="1" applyFill="1" applyBorder="1" applyAlignment="1">
      <alignment horizontal="right"/>
    </xf>
    <xf numFmtId="0" fontId="16" fillId="0" borderId="1" xfId="3" applyFont="1" applyBorder="1" applyAlignment="1">
      <alignment horizontal="left" vertical="top"/>
    </xf>
    <xf numFmtId="14" fontId="16" fillId="0" borderId="1" xfId="3" applyNumberFormat="1" applyFont="1" applyBorder="1" applyAlignment="1">
      <alignment horizontal="center" vertical="top"/>
    </xf>
    <xf numFmtId="0" fontId="16" fillId="0" borderId="1" xfId="3" applyFont="1" applyBorder="1" applyAlignment="1">
      <alignment vertical="top" readingOrder="1"/>
    </xf>
    <xf numFmtId="2" fontId="16" fillId="0" borderId="1" xfId="3" applyNumberFormat="1" applyFont="1" applyBorder="1">
      <alignment vertical="top"/>
    </xf>
    <xf numFmtId="167" fontId="16" fillId="0" borderId="1" xfId="1" applyFont="1" applyFill="1" applyBorder="1" applyAlignment="1">
      <alignment horizontal="center" vertical="top" wrapText="1"/>
    </xf>
    <xf numFmtId="2" fontId="16" fillId="0" borderId="1" xfId="1" applyNumberFormat="1" applyFont="1" applyFill="1" applyBorder="1" applyAlignment="1">
      <alignment horizontal="center"/>
    </xf>
    <xf numFmtId="167" fontId="16" fillId="0" borderId="1" xfId="1" applyFont="1" applyFill="1" applyBorder="1" applyAlignment="1">
      <alignment vertical="top"/>
    </xf>
    <xf numFmtId="4" fontId="16" fillId="0" borderId="1" xfId="3" applyNumberFormat="1" applyFont="1" applyBorder="1">
      <alignment vertical="top"/>
    </xf>
    <xf numFmtId="4" fontId="16" fillId="0" borderId="1" xfId="3" applyNumberFormat="1" applyFont="1" applyBorder="1" applyAlignment="1">
      <alignment horizontal="left" vertical="top"/>
    </xf>
    <xf numFmtId="167" fontId="16" fillId="0" borderId="1" xfId="1" applyFont="1" applyBorder="1" applyAlignment="1">
      <alignment vertical="top"/>
    </xf>
    <xf numFmtId="14" fontId="16" fillId="0" borderId="1" xfId="1" applyNumberFormat="1" applyFont="1" applyFill="1" applyBorder="1" applyAlignment="1">
      <alignment horizontal="center"/>
    </xf>
    <xf numFmtId="170" fontId="25" fillId="0" borderId="1" xfId="0" applyNumberFormat="1" applyFont="1" applyBorder="1" applyAlignment="1">
      <alignment horizontal="center"/>
    </xf>
    <xf numFmtId="0" fontId="0" fillId="0" borderId="0" xfId="0" applyAlignment="1">
      <alignment horizontal="center" vertical="center"/>
    </xf>
    <xf numFmtId="0" fontId="31" fillId="0" borderId="0" xfId="2" applyFont="1" applyAlignment="1">
      <alignment wrapText="1"/>
    </xf>
    <xf numFmtId="0" fontId="0" fillId="0" borderId="0" xfId="0" pivotButton="1"/>
    <xf numFmtId="167" fontId="0" fillId="9" borderId="0" xfId="0" applyNumberFormat="1" applyFill="1"/>
    <xf numFmtId="167" fontId="16" fillId="0" borderId="1" xfId="1" applyFont="1" applyBorder="1" applyAlignment="1">
      <alignment horizontal="right"/>
    </xf>
    <xf numFmtId="14" fontId="24" fillId="0" borderId="1" xfId="3" applyNumberFormat="1" applyFont="1" applyBorder="1" applyAlignment="1">
      <alignment horizontal="center" vertical="top" wrapText="1" readingOrder="1"/>
    </xf>
    <xf numFmtId="14" fontId="46" fillId="0" borderId="1" xfId="3" applyNumberFormat="1" applyFont="1" applyBorder="1" applyAlignment="1">
      <alignment horizontal="center" vertical="top" wrapText="1"/>
    </xf>
    <xf numFmtId="0" fontId="40" fillId="0" borderId="0" xfId="2" applyFont="1" applyAlignment="1">
      <alignment horizontal="center" wrapText="1"/>
    </xf>
    <xf numFmtId="4" fontId="27" fillId="0" borderId="29" xfId="3" applyNumberFormat="1" applyFont="1" applyBorder="1" applyAlignment="1">
      <alignment horizontal="center" vertical="top"/>
    </xf>
    <xf numFmtId="0" fontId="16" fillId="3" borderId="0" xfId="2" applyFill="1"/>
    <xf numFmtId="0" fontId="19" fillId="3" borderId="1" xfId="3" applyFont="1" applyFill="1" applyBorder="1">
      <alignment vertical="top"/>
    </xf>
    <xf numFmtId="0" fontId="17" fillId="3" borderId="1" xfId="3" applyFill="1" applyBorder="1">
      <alignment vertical="top"/>
    </xf>
    <xf numFmtId="0" fontId="22" fillId="3" borderId="1" xfId="3" applyFont="1" applyFill="1" applyBorder="1" applyAlignment="1">
      <alignment horizontal="right" vertical="top"/>
    </xf>
    <xf numFmtId="0" fontId="17" fillId="3" borderId="1" xfId="3" applyFill="1" applyBorder="1" applyAlignment="1">
      <alignment horizontal="center" vertical="top"/>
    </xf>
    <xf numFmtId="0" fontId="17" fillId="3" borderId="1" xfId="3" applyFill="1" applyBorder="1" applyAlignment="1">
      <alignment horizontal="center" vertical="center"/>
    </xf>
    <xf numFmtId="168" fontId="17" fillId="3" borderId="1" xfId="2" applyNumberFormat="1" applyFont="1" applyFill="1" applyBorder="1" applyAlignment="1">
      <alignment horizontal="left" vertical="top"/>
    </xf>
    <xf numFmtId="169" fontId="16" fillId="3" borderId="1" xfId="2" applyNumberFormat="1" applyFill="1" applyBorder="1" applyAlignment="1">
      <alignment horizontal="right"/>
    </xf>
    <xf numFmtId="170" fontId="16" fillId="3" borderId="1" xfId="2" applyNumberFormat="1" applyFill="1" applyBorder="1" applyAlignment="1">
      <alignment horizontal="center"/>
    </xf>
    <xf numFmtId="0" fontId="16" fillId="3" borderId="1" xfId="2" applyFill="1" applyBorder="1" applyAlignment="1">
      <alignment horizontal="center" vertical="center"/>
    </xf>
    <xf numFmtId="0" fontId="17" fillId="3" borderId="1" xfId="3" applyFill="1" applyBorder="1" applyAlignment="1">
      <alignment horizontal="center" vertical="top" wrapText="1" readingOrder="1"/>
    </xf>
    <xf numFmtId="0" fontId="17" fillId="3" borderId="1" xfId="3" applyFill="1" applyBorder="1" applyAlignment="1">
      <alignment horizontal="center" vertical="top" wrapText="1"/>
    </xf>
    <xf numFmtId="14" fontId="17" fillId="3" borderId="1" xfId="3" applyNumberFormat="1" applyFill="1" applyBorder="1" applyAlignment="1">
      <alignment horizontal="center" vertical="top" wrapText="1"/>
    </xf>
    <xf numFmtId="171" fontId="22" fillId="3" borderId="1" xfId="1" applyNumberFormat="1" applyFont="1" applyFill="1" applyBorder="1" applyAlignment="1">
      <alignment vertical="center"/>
    </xf>
    <xf numFmtId="170" fontId="17" fillId="3" borderId="1" xfId="3" applyNumberFormat="1" applyFill="1" applyBorder="1" applyAlignment="1">
      <alignment horizontal="center" vertical="top" wrapText="1"/>
    </xf>
    <xf numFmtId="0" fontId="16" fillId="3" borderId="1" xfId="2" applyFill="1" applyBorder="1" applyAlignment="1">
      <alignment horizontal="right"/>
    </xf>
    <xf numFmtId="0" fontId="17" fillId="3" borderId="8" xfId="3" applyFill="1" applyBorder="1" applyAlignment="1">
      <alignment horizontal="right" vertical="top" wrapText="1" readingOrder="1"/>
    </xf>
    <xf numFmtId="4" fontId="17" fillId="3" borderId="1" xfId="3" applyNumberFormat="1" applyFill="1" applyBorder="1">
      <alignment vertical="top"/>
    </xf>
    <xf numFmtId="4" fontId="17" fillId="3" borderId="1" xfId="3" applyNumberFormat="1" applyFill="1" applyBorder="1" applyAlignment="1">
      <alignment horizontal="left" vertical="top"/>
    </xf>
    <xf numFmtId="167" fontId="16" fillId="3" borderId="0" xfId="2" applyNumberFormat="1" applyFill="1"/>
    <xf numFmtId="0" fontId="22" fillId="3" borderId="0" xfId="4" applyFont="1" applyFill="1"/>
    <xf numFmtId="167" fontId="36" fillId="3" borderId="0" xfId="1" applyFont="1" applyFill="1"/>
    <xf numFmtId="4" fontId="0" fillId="3" borderId="0" xfId="0" applyNumberFormat="1" applyFill="1"/>
    <xf numFmtId="0" fontId="0" fillId="3" borderId="0" xfId="0" applyFill="1"/>
    <xf numFmtId="0" fontId="0" fillId="3" borderId="0" xfId="0" applyFill="1" applyAlignment="1">
      <alignment horizontal="center"/>
    </xf>
    <xf numFmtId="167" fontId="0" fillId="3" borderId="0" xfId="0" applyNumberFormat="1" applyFill="1"/>
    <xf numFmtId="0" fontId="19" fillId="3" borderId="1" xfId="3" applyFont="1" applyFill="1" applyBorder="1" applyAlignment="1">
      <alignment horizontal="center" vertical="top"/>
    </xf>
    <xf numFmtId="0" fontId="16" fillId="3" borderId="1" xfId="2" applyFill="1" applyBorder="1"/>
    <xf numFmtId="14" fontId="24" fillId="3" borderId="1" xfId="3" applyNumberFormat="1" applyFont="1" applyFill="1" applyBorder="1" applyAlignment="1">
      <alignment horizontal="center" vertical="top" wrapText="1"/>
    </xf>
    <xf numFmtId="14" fontId="31" fillId="0" borderId="0" xfId="1" applyNumberFormat="1" applyFont="1" applyFill="1"/>
    <xf numFmtId="167" fontId="16" fillId="2" borderId="0" xfId="1" applyFont="1" applyFill="1"/>
    <xf numFmtId="0" fontId="16" fillId="0" borderId="2" xfId="1" applyNumberFormat="1" applyFont="1" applyFill="1" applyBorder="1" applyAlignment="1">
      <alignment horizontal="right"/>
    </xf>
    <xf numFmtId="0" fontId="16" fillId="0" borderId="2" xfId="1" applyNumberFormat="1" applyFont="1" applyFill="1" applyBorder="1" applyAlignment="1">
      <alignment horizontal="center"/>
    </xf>
    <xf numFmtId="167" fontId="16" fillId="0" borderId="2" xfId="1" applyFont="1" applyFill="1" applyBorder="1" applyAlignment="1">
      <alignment horizontal="center"/>
    </xf>
    <xf numFmtId="167" fontId="16" fillId="0" borderId="2" xfId="1" applyFont="1" applyFill="1" applyBorder="1"/>
    <xf numFmtId="14" fontId="16" fillId="0" borderId="2" xfId="1" applyNumberFormat="1" applyFont="1" applyFill="1" applyBorder="1" applyAlignment="1">
      <alignment horizontal="center"/>
    </xf>
    <xf numFmtId="14" fontId="16" fillId="0" borderId="2" xfId="1" applyNumberFormat="1" applyFont="1" applyFill="1" applyBorder="1" applyAlignment="1">
      <alignment horizontal="center" vertical="top" wrapText="1"/>
    </xf>
    <xf numFmtId="167" fontId="16" fillId="0" borderId="0" xfId="1" applyFont="1" applyAlignment="1">
      <alignment horizontal="right" vertical="top"/>
    </xf>
    <xf numFmtId="167" fontId="16" fillId="0" borderId="1" xfId="1" applyFont="1" applyFill="1" applyBorder="1" applyAlignment="1">
      <alignment vertical="top" wrapText="1" readingOrder="1"/>
    </xf>
    <xf numFmtId="1" fontId="16" fillId="0" borderId="2" xfId="3" applyNumberFormat="1" applyFont="1" applyBorder="1" applyAlignment="1">
      <alignment horizontal="center" vertical="top" wrapText="1"/>
    </xf>
    <xf numFmtId="167" fontId="16" fillId="9" borderId="1" xfId="1" applyFont="1" applyFill="1" applyBorder="1"/>
    <xf numFmtId="167" fontId="24" fillId="0" borderId="0" xfId="1" applyFont="1" applyFill="1" applyBorder="1" applyAlignment="1">
      <alignment vertical="top"/>
    </xf>
    <xf numFmtId="167" fontId="16" fillId="0" borderId="1" xfId="1" applyFont="1" applyFill="1" applyBorder="1" applyAlignment="1">
      <alignment horizontal="right"/>
    </xf>
    <xf numFmtId="0" fontId="24" fillId="13" borderId="1" xfId="0" applyFont="1" applyFill="1" applyBorder="1" applyAlignment="1">
      <alignment vertical="center" wrapText="1"/>
    </xf>
    <xf numFmtId="0" fontId="31" fillId="0" borderId="1" xfId="3" applyFont="1" applyBorder="1" applyAlignment="1">
      <alignment vertical="top" wrapText="1"/>
    </xf>
    <xf numFmtId="0" fontId="31" fillId="0" borderId="1" xfId="3" applyFont="1" applyBorder="1" applyAlignment="1">
      <alignment horizontal="center" vertical="top" wrapText="1"/>
    </xf>
    <xf numFmtId="0" fontId="31" fillId="0" borderId="1" xfId="3" applyFont="1" applyBorder="1" applyAlignment="1">
      <alignment horizontal="left" vertical="top" wrapText="1"/>
    </xf>
    <xf numFmtId="0" fontId="20" fillId="0" borderId="1" xfId="3" applyFont="1" applyBorder="1">
      <alignment vertical="top"/>
    </xf>
    <xf numFmtId="0" fontId="20" fillId="0" borderId="1" xfId="3" applyFont="1" applyBorder="1" applyAlignment="1">
      <alignment horizontal="left" vertical="top" wrapText="1" readingOrder="1"/>
    </xf>
    <xf numFmtId="0" fontId="20" fillId="0" borderId="8" xfId="3" applyFont="1" applyBorder="1" applyAlignment="1">
      <alignment horizontal="center" vertical="top" wrapText="1" readingOrder="1"/>
    </xf>
    <xf numFmtId="0" fontId="20" fillId="0" borderId="8" xfId="3" applyFont="1" applyBorder="1" applyAlignment="1">
      <alignment vertical="top" wrapText="1" readingOrder="1"/>
    </xf>
    <xf numFmtId="14" fontId="20" fillId="0" borderId="8" xfId="3" applyNumberFormat="1" applyFont="1" applyBorder="1" applyAlignment="1">
      <alignment horizontal="center" vertical="top" wrapText="1" readingOrder="1"/>
    </xf>
    <xf numFmtId="2" fontId="20" fillId="0" borderId="8" xfId="3" applyNumberFormat="1" applyFont="1" applyBorder="1" applyAlignment="1">
      <alignment horizontal="center" vertical="top" wrapText="1" readingOrder="1"/>
    </xf>
    <xf numFmtId="1" fontId="20" fillId="0" borderId="8" xfId="3" applyNumberFormat="1" applyFont="1" applyBorder="1" applyAlignment="1">
      <alignment horizontal="center" vertical="top" wrapText="1" readingOrder="1"/>
    </xf>
    <xf numFmtId="4" fontId="20" fillId="0" borderId="8" xfId="3" applyNumberFormat="1" applyFont="1" applyBorder="1" applyAlignment="1">
      <alignment horizontal="center" vertical="top" wrapText="1" readingOrder="1"/>
    </xf>
    <xf numFmtId="4" fontId="20" fillId="0" borderId="8" xfId="3" applyNumberFormat="1" applyFont="1" applyBorder="1" applyAlignment="1">
      <alignment horizontal="left" vertical="top" wrapText="1" readingOrder="1"/>
    </xf>
    <xf numFmtId="167" fontId="20" fillId="0" borderId="8" xfId="1" applyFont="1" applyFill="1" applyBorder="1" applyAlignment="1">
      <alignment horizontal="center" vertical="top" wrapText="1" readingOrder="1"/>
    </xf>
    <xf numFmtId="167" fontId="20" fillId="0" borderId="8" xfId="1" applyFont="1" applyFill="1" applyBorder="1" applyAlignment="1">
      <alignment vertical="top" wrapText="1" readingOrder="1"/>
    </xf>
    <xf numFmtId="4" fontId="20" fillId="0" borderId="28" xfId="3" applyNumberFormat="1" applyFont="1" applyBorder="1" applyAlignment="1">
      <alignment horizontal="center" vertical="top" wrapText="1" readingOrder="1"/>
    </xf>
    <xf numFmtId="0" fontId="16" fillId="0" borderId="1" xfId="3" applyFont="1" applyBorder="1" applyAlignment="1">
      <alignment horizontal="left" vertical="top" wrapText="1" readingOrder="1"/>
    </xf>
    <xf numFmtId="0" fontId="16" fillId="0" borderId="8" xfId="3" applyFont="1" applyBorder="1" applyAlignment="1">
      <alignment horizontal="center" vertical="top" wrapText="1" readingOrder="1"/>
    </xf>
    <xf numFmtId="0" fontId="16" fillId="0" borderId="2" xfId="0" applyFont="1" applyBorder="1" applyAlignment="1">
      <alignment horizontal="center"/>
    </xf>
    <xf numFmtId="170" fontId="16" fillId="0" borderId="2" xfId="0" applyNumberFormat="1" applyFont="1" applyBorder="1" applyAlignment="1">
      <alignment horizontal="center"/>
    </xf>
    <xf numFmtId="0" fontId="16" fillId="0" borderId="2" xfId="0" applyFont="1" applyBorder="1" applyAlignment="1">
      <alignment readingOrder="1"/>
    </xf>
    <xf numFmtId="14" fontId="16" fillId="0" borderId="2" xfId="3" applyNumberFormat="1" applyFont="1" applyBorder="1" applyAlignment="1">
      <alignment horizontal="center" vertical="top" wrapText="1"/>
    </xf>
    <xf numFmtId="0" fontId="16" fillId="0" borderId="1" xfId="11" applyFont="1" applyBorder="1" applyAlignment="1">
      <alignment horizontal="left" vertical="top"/>
    </xf>
    <xf numFmtId="0" fontId="16" fillId="0" borderId="1" xfId="11" applyFont="1" applyBorder="1" applyAlignment="1">
      <alignment horizontal="center" vertical="top"/>
    </xf>
    <xf numFmtId="14" fontId="16" fillId="0" borderId="1" xfId="11" applyNumberFormat="1" applyFont="1" applyBorder="1" applyAlignment="1">
      <alignment horizontal="center" vertical="top"/>
    </xf>
    <xf numFmtId="1" fontId="16" fillId="0" borderId="1" xfId="11" applyNumberFormat="1" applyFont="1" applyBorder="1" applyAlignment="1">
      <alignment horizontal="right" vertical="top"/>
    </xf>
    <xf numFmtId="0" fontId="16" fillId="0" borderId="1" xfId="3" applyFont="1" applyBorder="1" applyAlignment="1">
      <alignment horizontal="center" vertical="center"/>
    </xf>
    <xf numFmtId="0" fontId="16" fillId="0" borderId="1" xfId="3" applyFont="1" applyBorder="1" applyAlignment="1">
      <alignment horizontal="left" vertical="top" wrapText="1"/>
    </xf>
    <xf numFmtId="167" fontId="16" fillId="8" borderId="1" xfId="1" applyFont="1" applyFill="1" applyBorder="1" applyAlignment="1">
      <alignment horizontal="right" vertical="top"/>
    </xf>
    <xf numFmtId="167" fontId="16" fillId="8" borderId="28" xfId="1" applyFont="1" applyFill="1" applyBorder="1" applyAlignment="1">
      <alignment horizontal="right" vertical="top"/>
    </xf>
    <xf numFmtId="167" fontId="16" fillId="8" borderId="1" xfId="1" applyFont="1" applyFill="1" applyBorder="1" applyAlignment="1">
      <alignment vertical="top"/>
    </xf>
    <xf numFmtId="4" fontId="16" fillId="8" borderId="1" xfId="3" applyNumberFormat="1" applyFont="1" applyFill="1" applyBorder="1">
      <alignment vertical="top"/>
    </xf>
    <xf numFmtId="4" fontId="20" fillId="8" borderId="1" xfId="3" applyNumberFormat="1" applyFont="1" applyFill="1" applyBorder="1" applyAlignment="1">
      <alignment horizontal="center" vertical="top" wrapText="1" readingOrder="1"/>
    </xf>
    <xf numFmtId="0" fontId="16" fillId="0" borderId="2" xfId="1" applyNumberFormat="1" applyFont="1" applyFill="1" applyBorder="1"/>
    <xf numFmtId="167" fontId="25" fillId="0" borderId="2" xfId="1" applyFont="1" applyFill="1" applyBorder="1" applyAlignment="1">
      <alignment horizontal="center"/>
    </xf>
    <xf numFmtId="1" fontId="16" fillId="0" borderId="12" xfId="3" applyNumberFormat="1" applyFont="1" applyBorder="1" applyAlignment="1">
      <alignment horizontal="center" vertical="top" wrapText="1"/>
    </xf>
    <xf numFmtId="167" fontId="16" fillId="0" borderId="2" xfId="1" applyFont="1" applyFill="1" applyBorder="1" applyAlignment="1">
      <alignment vertical="top"/>
    </xf>
    <xf numFmtId="167" fontId="16" fillId="8" borderId="2" xfId="1" applyFont="1" applyFill="1" applyBorder="1" applyAlignment="1">
      <alignment vertical="top"/>
    </xf>
    <xf numFmtId="167" fontId="16" fillId="8" borderId="2" xfId="1" applyFont="1" applyFill="1" applyBorder="1" applyAlignment="1">
      <alignment horizontal="right" vertical="top"/>
    </xf>
    <xf numFmtId="0" fontId="16" fillId="0" borderId="9" xfId="1" applyNumberFormat="1" applyFont="1" applyFill="1" applyBorder="1" applyAlignment="1">
      <alignment horizontal="right"/>
    </xf>
    <xf numFmtId="167" fontId="16" fillId="0" borderId="9" xfId="1" applyFont="1" applyFill="1" applyBorder="1"/>
    <xf numFmtId="0" fontId="16" fillId="0" borderId="9" xfId="1" applyNumberFormat="1" applyFont="1" applyFill="1" applyBorder="1" applyAlignment="1">
      <alignment horizontal="center"/>
    </xf>
    <xf numFmtId="167" fontId="16" fillId="0" borderId="9" xfId="1" applyFont="1" applyFill="1" applyBorder="1" applyAlignment="1">
      <alignment horizontal="center"/>
    </xf>
    <xf numFmtId="167" fontId="31" fillId="0" borderId="9" xfId="1" applyFont="1" applyFill="1" applyBorder="1" applyAlignment="1">
      <alignment horizontal="center"/>
    </xf>
    <xf numFmtId="167" fontId="16" fillId="0" borderId="9" xfId="1" applyFont="1" applyFill="1" applyBorder="1" applyAlignment="1">
      <alignment readingOrder="1"/>
    </xf>
    <xf numFmtId="167" fontId="16" fillId="0" borderId="9" xfId="1" applyFont="1" applyFill="1" applyBorder="1" applyAlignment="1">
      <alignment horizontal="left" vertical="top" wrapText="1" readingOrder="1"/>
    </xf>
    <xf numFmtId="167" fontId="16" fillId="0" borderId="9" xfId="1" applyFont="1" applyFill="1" applyBorder="1" applyAlignment="1">
      <alignment horizontal="center" vertical="top" wrapText="1"/>
    </xf>
    <xf numFmtId="14" fontId="16" fillId="0" borderId="9" xfId="1" applyNumberFormat="1" applyFont="1" applyFill="1" applyBorder="1" applyAlignment="1">
      <alignment horizontal="center" vertical="top" wrapText="1"/>
    </xf>
    <xf numFmtId="167" fontId="16" fillId="0" borderId="29" xfId="1" applyFont="1" applyFill="1" applyBorder="1" applyAlignment="1">
      <alignment horizontal="center" vertical="top" wrapText="1"/>
    </xf>
    <xf numFmtId="167" fontId="16" fillId="0" borderId="29" xfId="1" applyFont="1" applyFill="1" applyBorder="1" applyAlignment="1">
      <alignment horizontal="center"/>
    </xf>
    <xf numFmtId="167" fontId="16" fillId="0" borderId="29" xfId="1" applyFont="1" applyFill="1" applyBorder="1"/>
    <xf numFmtId="167" fontId="16" fillId="0" borderId="29" xfId="1" applyFont="1" applyFill="1" applyBorder="1" applyAlignment="1">
      <alignment vertical="top"/>
    </xf>
    <xf numFmtId="167" fontId="31" fillId="0" borderId="29" xfId="1" applyFont="1" applyFill="1" applyBorder="1" applyAlignment="1">
      <alignment vertical="top"/>
    </xf>
    <xf numFmtId="167" fontId="31" fillId="8" borderId="9" xfId="1" applyFont="1" applyFill="1" applyBorder="1" applyAlignment="1">
      <alignment vertical="top"/>
    </xf>
    <xf numFmtId="0" fontId="31" fillId="9" borderId="1" xfId="0" applyFont="1" applyFill="1" applyBorder="1" applyAlignment="1">
      <alignment vertical="center" wrapText="1"/>
    </xf>
    <xf numFmtId="0" fontId="25" fillId="9" borderId="0" xfId="0" applyFont="1" applyFill="1" applyAlignment="1">
      <alignment vertical="center" wrapText="1"/>
    </xf>
    <xf numFmtId="167" fontId="31" fillId="9" borderId="29" xfId="1" applyFont="1" applyFill="1" applyBorder="1" applyAlignment="1">
      <alignment vertical="top"/>
    </xf>
    <xf numFmtId="0" fontId="31" fillId="9" borderId="0" xfId="0" applyFont="1" applyFill="1" applyAlignment="1">
      <alignment horizontal="center" vertical="center" wrapText="1"/>
    </xf>
    <xf numFmtId="17" fontId="24" fillId="9" borderId="0" xfId="0" applyNumberFormat="1" applyFont="1" applyFill="1"/>
    <xf numFmtId="0" fontId="24" fillId="9" borderId="0" xfId="3" applyFont="1" applyFill="1">
      <alignment vertical="top"/>
    </xf>
    <xf numFmtId="0" fontId="24" fillId="9" borderId="0" xfId="3" applyFont="1" applyFill="1" applyAlignment="1">
      <alignment horizontal="left" vertical="top"/>
    </xf>
    <xf numFmtId="0" fontId="24" fillId="9" borderId="0" xfId="3" applyFont="1" applyFill="1" applyAlignment="1">
      <alignment horizontal="center" vertical="top"/>
    </xf>
    <xf numFmtId="0" fontId="25" fillId="9" borderId="0" xfId="3" applyFont="1" applyFill="1">
      <alignment vertical="top"/>
    </xf>
    <xf numFmtId="0" fontId="24" fillId="9" borderId="0" xfId="3" applyFont="1" applyFill="1" applyAlignment="1">
      <alignment vertical="top" readingOrder="1"/>
    </xf>
    <xf numFmtId="2" fontId="24" fillId="9" borderId="0" xfId="3" applyNumberFormat="1" applyFont="1" applyFill="1">
      <alignment vertical="top"/>
    </xf>
    <xf numFmtId="14" fontId="24" fillId="9" borderId="0" xfId="3" applyNumberFormat="1" applyFont="1" applyFill="1">
      <alignment vertical="top"/>
    </xf>
    <xf numFmtId="1" fontId="24" fillId="9" borderId="0" xfId="3" applyNumberFormat="1" applyFont="1" applyFill="1">
      <alignment vertical="top"/>
    </xf>
    <xf numFmtId="4" fontId="24" fillId="9" borderId="0" xfId="3" applyNumberFormat="1" applyFont="1" applyFill="1">
      <alignment vertical="top"/>
    </xf>
    <xf numFmtId="4" fontId="24" fillId="9" borderId="0" xfId="3" applyNumberFormat="1" applyFont="1" applyFill="1" applyAlignment="1">
      <alignment horizontal="left" vertical="top"/>
    </xf>
    <xf numFmtId="167" fontId="24" fillId="9" borderId="0" xfId="1" applyFont="1" applyFill="1" applyAlignment="1">
      <alignment vertical="top"/>
    </xf>
    <xf numFmtId="0" fontId="24" fillId="9" borderId="0" xfId="0" applyFont="1" applyFill="1"/>
    <xf numFmtId="167" fontId="24" fillId="9" borderId="0" xfId="1" applyFont="1" applyFill="1"/>
    <xf numFmtId="14" fontId="24" fillId="9" borderId="0" xfId="3" applyNumberFormat="1" applyFont="1" applyFill="1" applyAlignment="1">
      <alignment horizontal="center" vertical="top"/>
    </xf>
    <xf numFmtId="167" fontId="25" fillId="9" borderId="0" xfId="1" applyFont="1" applyFill="1" applyAlignment="1">
      <alignment vertical="top"/>
    </xf>
    <xf numFmtId="167" fontId="19" fillId="0" borderId="0" xfId="12" applyNumberFormat="1" applyFont="1">
      <alignment vertical="top"/>
    </xf>
    <xf numFmtId="0" fontId="17" fillId="0" borderId="1" xfId="12" applyBorder="1">
      <alignment vertical="top"/>
    </xf>
    <xf numFmtId="0" fontId="17" fillId="9" borderId="0" xfId="12" applyFill="1">
      <alignment vertical="top"/>
    </xf>
    <xf numFmtId="0" fontId="17" fillId="0" borderId="26" xfId="12" applyBorder="1">
      <alignment vertical="top"/>
    </xf>
    <xf numFmtId="0" fontId="19" fillId="0" borderId="0" xfId="12" applyFont="1">
      <alignment vertical="top"/>
    </xf>
    <xf numFmtId="4" fontId="0" fillId="2" borderId="0" xfId="0" applyNumberFormat="1" applyFill="1"/>
    <xf numFmtId="0" fontId="31" fillId="9" borderId="1" xfId="0" applyFont="1" applyFill="1" applyBorder="1" applyAlignment="1">
      <alignment horizontal="center" vertical="center" wrapText="1"/>
    </xf>
    <xf numFmtId="0" fontId="17" fillId="0" borderId="8" xfId="3" applyBorder="1" applyAlignment="1">
      <alignment horizontal="center" vertical="center" wrapText="1" readingOrder="1"/>
    </xf>
    <xf numFmtId="0" fontId="17" fillId="0" borderId="8" xfId="3" applyBorder="1" applyAlignment="1">
      <alignment vertical="top" wrapText="1"/>
    </xf>
    <xf numFmtId="0" fontId="17" fillId="0" borderId="8" xfId="3" applyBorder="1" applyAlignment="1">
      <alignment horizontal="left" vertical="top" wrapText="1" readingOrder="1"/>
    </xf>
    <xf numFmtId="0" fontId="16" fillId="0" borderId="0" xfId="2" applyAlignment="1">
      <alignment horizontal="center" vertical="center" wrapText="1"/>
    </xf>
    <xf numFmtId="4" fontId="34" fillId="0" borderId="8" xfId="3" applyNumberFormat="1" applyFont="1" applyBorder="1" applyAlignment="1">
      <alignment horizontal="center" vertical="top" wrapText="1" readingOrder="1"/>
    </xf>
    <xf numFmtId="0" fontId="22" fillId="0" borderId="0" xfId="0" applyFont="1" applyAlignment="1">
      <alignment horizontal="center" wrapText="1"/>
    </xf>
    <xf numFmtId="0" fontId="22" fillId="0" borderId="0" xfId="0" applyFont="1"/>
    <xf numFmtId="14" fontId="17" fillId="0" borderId="8" xfId="3" applyNumberFormat="1" applyBorder="1" applyAlignment="1">
      <alignment horizontal="center" vertical="top" wrapText="1" readingOrder="1"/>
    </xf>
    <xf numFmtId="4" fontId="39" fillId="0" borderId="29" xfId="3" applyNumberFormat="1" applyFont="1" applyBorder="1">
      <alignment vertical="top"/>
    </xf>
    <xf numFmtId="167" fontId="23" fillId="0" borderId="26" xfId="1" applyFont="1" applyBorder="1"/>
    <xf numFmtId="167" fontId="53" fillId="0" borderId="9" xfId="1" applyFont="1" applyBorder="1" applyAlignment="1">
      <alignment vertical="top"/>
    </xf>
    <xf numFmtId="167" fontId="23" fillId="0" borderId="0" xfId="1" applyFont="1"/>
    <xf numFmtId="0" fontId="16" fillId="0" borderId="0" xfId="2" applyAlignment="1">
      <alignment horizontal="right" vertical="center" wrapText="1"/>
    </xf>
    <xf numFmtId="0" fontId="16" fillId="9" borderId="0" xfId="2" applyFill="1"/>
    <xf numFmtId="0" fontId="19" fillId="9" borderId="1" xfId="3" applyFont="1" applyFill="1" applyBorder="1">
      <alignment vertical="top"/>
    </xf>
    <xf numFmtId="0" fontId="17" fillId="9" borderId="1" xfId="3" applyFill="1" applyBorder="1" applyAlignment="1">
      <alignment horizontal="center" vertical="top"/>
    </xf>
    <xf numFmtId="0" fontId="17" fillId="9" borderId="1" xfId="3" applyFill="1" applyBorder="1" applyAlignment="1">
      <alignment horizontal="center" vertical="top" wrapText="1"/>
    </xf>
    <xf numFmtId="168" fontId="17" fillId="9" borderId="1" xfId="2" applyNumberFormat="1" applyFont="1" applyFill="1" applyBorder="1" applyAlignment="1">
      <alignment horizontal="left" vertical="top"/>
    </xf>
    <xf numFmtId="169" fontId="16" fillId="9" borderId="1" xfId="2" applyNumberFormat="1" applyFill="1" applyBorder="1" applyAlignment="1">
      <alignment horizontal="right"/>
    </xf>
    <xf numFmtId="170" fontId="16" fillId="9" borderId="1" xfId="2" applyNumberFormat="1" applyFill="1" applyBorder="1" applyAlignment="1">
      <alignment horizontal="center"/>
    </xf>
    <xf numFmtId="0" fontId="17" fillId="9" borderId="1" xfId="3" applyFill="1" applyBorder="1" applyAlignment="1">
      <alignment horizontal="center" vertical="top" wrapText="1" readingOrder="1"/>
    </xf>
    <xf numFmtId="14" fontId="17" fillId="9" borderId="1" xfId="3" applyNumberFormat="1" applyFill="1" applyBorder="1" applyAlignment="1">
      <alignment horizontal="center" vertical="top" wrapText="1"/>
    </xf>
    <xf numFmtId="171" fontId="22" fillId="9" borderId="1" xfId="1" applyNumberFormat="1" applyFont="1" applyFill="1" applyBorder="1" applyAlignment="1">
      <alignment vertical="center"/>
    </xf>
    <xf numFmtId="170" fontId="17" fillId="9" borderId="1" xfId="3" applyNumberFormat="1" applyFill="1" applyBorder="1" applyAlignment="1">
      <alignment horizontal="center" vertical="top" wrapText="1"/>
    </xf>
    <xf numFmtId="0" fontId="16" fillId="9" borderId="1" xfId="2" applyFill="1" applyBorder="1" applyAlignment="1">
      <alignment horizontal="right"/>
    </xf>
    <xf numFmtId="0" fontId="17" fillId="9" borderId="8" xfId="3" applyFill="1" applyBorder="1" applyAlignment="1">
      <alignment horizontal="right" vertical="top" wrapText="1" readingOrder="1"/>
    </xf>
    <xf numFmtId="4" fontId="17" fillId="9" borderId="1" xfId="3" applyNumberFormat="1" applyFill="1" applyBorder="1">
      <alignment vertical="top"/>
    </xf>
    <xf numFmtId="4" fontId="17" fillId="9" borderId="1" xfId="3" applyNumberFormat="1" applyFill="1" applyBorder="1" applyAlignment="1">
      <alignment horizontal="left" vertical="top"/>
    </xf>
    <xf numFmtId="4" fontId="17" fillId="9" borderId="8" xfId="3" applyNumberFormat="1" applyFill="1" applyBorder="1">
      <alignment vertical="top"/>
    </xf>
    <xf numFmtId="167" fontId="16" fillId="9" borderId="0" xfId="2" applyNumberFormat="1" applyFill="1"/>
    <xf numFmtId="0" fontId="22" fillId="9" borderId="0" xfId="4" applyFont="1" applyFill="1"/>
    <xf numFmtId="167" fontId="36" fillId="9" borderId="0" xfId="1" applyFont="1" applyFill="1"/>
    <xf numFmtId="4" fontId="0" fillId="9" borderId="0" xfId="0" applyNumberFormat="1" applyFill="1"/>
    <xf numFmtId="167" fontId="0" fillId="9" borderId="0" xfId="1" applyFont="1" applyFill="1"/>
    <xf numFmtId="167" fontId="23" fillId="9" borderId="26" xfId="1" applyFont="1" applyFill="1" applyBorder="1"/>
    <xf numFmtId="0" fontId="36" fillId="9" borderId="0" xfId="0" applyFont="1" applyFill="1"/>
    <xf numFmtId="0" fontId="0" fillId="0" borderId="0" xfId="0" applyAlignment="1">
      <alignment wrapText="1"/>
    </xf>
    <xf numFmtId="0" fontId="22" fillId="0" borderId="25" xfId="0" applyFont="1" applyBorder="1"/>
    <xf numFmtId="0" fontId="0" fillId="3" borderId="25" xfId="0" applyFill="1" applyBorder="1"/>
    <xf numFmtId="4" fontId="52" fillId="12" borderId="1" xfId="3" applyNumberFormat="1" applyFont="1" applyFill="1" applyBorder="1" applyAlignment="1">
      <alignment horizontal="center" vertical="top" wrapText="1" readingOrder="1"/>
    </xf>
    <xf numFmtId="0" fontId="54" fillId="0" borderId="1" xfId="2" applyFont="1" applyBorder="1" applyAlignment="1">
      <alignment horizontal="center" vertical="top" wrapText="1"/>
    </xf>
    <xf numFmtId="167" fontId="21" fillId="2" borderId="1" xfId="1" applyFont="1" applyFill="1" applyBorder="1" applyAlignment="1">
      <alignment horizontal="center" vertical="top" wrapText="1" readingOrder="1"/>
    </xf>
    <xf numFmtId="4" fontId="19" fillId="9" borderId="0" xfId="3" applyNumberFormat="1" applyFont="1" applyFill="1">
      <alignment vertical="top"/>
    </xf>
    <xf numFmtId="0" fontId="16" fillId="2" borderId="0" xfId="2" applyFill="1"/>
    <xf numFmtId="0" fontId="19" fillId="2" borderId="1" xfId="3" applyFont="1" applyFill="1" applyBorder="1">
      <alignment vertical="top"/>
    </xf>
    <xf numFmtId="0" fontId="17" fillId="2" borderId="1" xfId="3" applyFill="1" applyBorder="1">
      <alignment vertical="top"/>
    </xf>
    <xf numFmtId="0" fontId="17" fillId="2" borderId="1" xfId="3" applyFill="1" applyBorder="1" applyAlignment="1">
      <alignment horizontal="center" vertical="top"/>
    </xf>
    <xf numFmtId="0" fontId="17" fillId="2" borderId="1" xfId="3" applyFill="1" applyBorder="1" applyAlignment="1">
      <alignment horizontal="center" vertical="center"/>
    </xf>
    <xf numFmtId="0" fontId="16" fillId="2" borderId="1" xfId="2" applyFill="1" applyBorder="1"/>
    <xf numFmtId="168" fontId="17" fillId="2" borderId="1" xfId="2" applyNumberFormat="1" applyFont="1" applyFill="1" applyBorder="1" applyAlignment="1">
      <alignment horizontal="left" vertical="top"/>
    </xf>
    <xf numFmtId="169" fontId="16" fillId="2" borderId="1" xfId="2" applyNumberFormat="1" applyFill="1" applyBorder="1" applyAlignment="1">
      <alignment horizontal="right"/>
    </xf>
    <xf numFmtId="170" fontId="16" fillId="2" borderId="1" xfId="2" applyNumberFormat="1" applyFill="1" applyBorder="1" applyAlignment="1">
      <alignment horizontal="center"/>
    </xf>
    <xf numFmtId="0" fontId="16" fillId="2" borderId="1" xfId="2" applyFill="1" applyBorder="1" applyAlignment="1">
      <alignment horizontal="center" vertical="center"/>
    </xf>
    <xf numFmtId="0" fontId="17" fillId="2" borderId="1" xfId="3" applyFill="1" applyBorder="1" applyAlignment="1">
      <alignment horizontal="center" vertical="top" wrapText="1" readingOrder="1"/>
    </xf>
    <xf numFmtId="0" fontId="17" fillId="2" borderId="1" xfId="3" applyFill="1" applyBorder="1" applyAlignment="1">
      <alignment horizontal="center" vertical="top" wrapText="1"/>
    </xf>
    <xf numFmtId="14" fontId="17" fillId="2" borderId="1" xfId="3" applyNumberFormat="1" applyFill="1" applyBorder="1" applyAlignment="1">
      <alignment horizontal="center" vertical="top" wrapText="1"/>
    </xf>
    <xf numFmtId="171" fontId="22" fillId="2" borderId="1" xfId="1" applyNumberFormat="1" applyFont="1" applyFill="1" applyBorder="1" applyAlignment="1">
      <alignment vertical="center"/>
    </xf>
    <xf numFmtId="170" fontId="17" fillId="2" borderId="1" xfId="3" applyNumberFormat="1" applyFill="1" applyBorder="1" applyAlignment="1">
      <alignment horizontal="center" vertical="top" wrapText="1"/>
    </xf>
    <xf numFmtId="0" fontId="16" fillId="2" borderId="1" xfId="2" applyFill="1" applyBorder="1" applyAlignment="1">
      <alignment horizontal="right"/>
    </xf>
    <xf numFmtId="0" fontId="17" fillId="2" borderId="8" xfId="3" applyFill="1" applyBorder="1" applyAlignment="1">
      <alignment horizontal="right" vertical="top" wrapText="1" readingOrder="1"/>
    </xf>
    <xf numFmtId="4" fontId="16" fillId="2" borderId="1" xfId="2" applyNumberFormat="1" applyFill="1" applyBorder="1"/>
    <xf numFmtId="4" fontId="17" fillId="2" borderId="1" xfId="3" applyNumberFormat="1" applyFill="1" applyBorder="1">
      <alignment vertical="top"/>
    </xf>
    <xf numFmtId="4" fontId="16" fillId="2" borderId="1" xfId="2" applyNumberFormat="1" applyFill="1" applyBorder="1" applyAlignment="1">
      <alignment horizontal="left"/>
    </xf>
    <xf numFmtId="4" fontId="17" fillId="2" borderId="8" xfId="3" applyNumberFormat="1" applyFill="1" applyBorder="1">
      <alignment vertical="top"/>
    </xf>
    <xf numFmtId="167" fontId="16" fillId="2" borderId="0" xfId="2" applyNumberFormat="1" applyFill="1"/>
    <xf numFmtId="0" fontId="22" fillId="2" borderId="0" xfId="4" applyFont="1" applyFill="1"/>
    <xf numFmtId="0" fontId="36" fillId="2" borderId="0" xfId="0" applyFont="1" applyFill="1"/>
    <xf numFmtId="167" fontId="36" fillId="2" borderId="0" xfId="1" applyFont="1" applyFill="1"/>
    <xf numFmtId="0" fontId="0" fillId="2" borderId="0" xfId="0" applyFill="1" applyAlignment="1">
      <alignment horizontal="center"/>
    </xf>
    <xf numFmtId="167" fontId="0" fillId="2" borderId="0" xfId="0" applyNumberFormat="1" applyFill="1"/>
    <xf numFmtId="0" fontId="0" fillId="2" borderId="25" xfId="0" applyFill="1" applyBorder="1"/>
    <xf numFmtId="167" fontId="23" fillId="2" borderId="26" xfId="1" applyFont="1" applyFill="1" applyBorder="1"/>
    <xf numFmtId="4" fontId="16" fillId="9" borderId="1" xfId="2" applyNumberFormat="1" applyFill="1" applyBorder="1"/>
    <xf numFmtId="4" fontId="16" fillId="9" borderId="1" xfId="2" applyNumberFormat="1" applyFill="1" applyBorder="1" applyAlignment="1">
      <alignment horizontal="left"/>
    </xf>
    <xf numFmtId="0" fontId="0" fillId="9" borderId="0" xfId="0" applyFill="1" applyAlignment="1">
      <alignment horizontal="center"/>
    </xf>
    <xf numFmtId="0" fontId="0" fillId="9" borderId="25" xfId="0" applyFill="1" applyBorder="1"/>
    <xf numFmtId="4" fontId="17" fillId="2" borderId="1" xfId="3" applyNumberFormat="1" applyFill="1" applyBorder="1" applyAlignment="1">
      <alignment horizontal="left" vertical="top"/>
    </xf>
    <xf numFmtId="0" fontId="42" fillId="2" borderId="0" xfId="4" applyFont="1" applyFill="1"/>
    <xf numFmtId="167" fontId="0" fillId="2" borderId="0" xfId="1" applyFont="1" applyFill="1"/>
    <xf numFmtId="0" fontId="22" fillId="2" borderId="1" xfId="3" applyFont="1" applyFill="1" applyBorder="1" applyAlignment="1">
      <alignment horizontal="center" vertical="center"/>
    </xf>
    <xf numFmtId="168" fontId="16" fillId="2" borderId="1" xfId="2" applyNumberFormat="1" applyFill="1" applyBorder="1" applyAlignment="1">
      <alignment horizontal="left" vertical="top"/>
    </xf>
    <xf numFmtId="3" fontId="17" fillId="2" borderId="1" xfId="3" applyNumberFormat="1" applyFill="1" applyBorder="1">
      <alignment vertical="top"/>
    </xf>
    <xf numFmtId="4" fontId="17" fillId="2" borderId="1" xfId="3" applyNumberFormat="1" applyFill="1" applyBorder="1" applyAlignment="1">
      <alignment horizontal="right" vertical="top"/>
    </xf>
    <xf numFmtId="0" fontId="17" fillId="9" borderId="1" xfId="0" applyFont="1" applyFill="1" applyBorder="1" applyAlignment="1">
      <alignment horizontal="left" vertical="top"/>
    </xf>
    <xf numFmtId="0" fontId="17" fillId="2" borderId="1" xfId="0" applyFont="1" applyFill="1" applyBorder="1" applyAlignment="1">
      <alignment horizontal="left" vertical="top"/>
    </xf>
    <xf numFmtId="0" fontId="17" fillId="2" borderId="0" xfId="0" applyFont="1" applyFill="1" applyAlignment="1">
      <alignment horizontal="left" vertical="top"/>
    </xf>
    <xf numFmtId="0" fontId="16" fillId="12" borderId="0" xfId="2" applyFill="1"/>
    <xf numFmtId="0" fontId="19" fillId="12" borderId="1" xfId="3" applyFont="1" applyFill="1" applyBorder="1">
      <alignment vertical="top"/>
    </xf>
    <xf numFmtId="0" fontId="17" fillId="12" borderId="1" xfId="3" applyFill="1" applyBorder="1">
      <alignment vertical="top"/>
    </xf>
    <xf numFmtId="0" fontId="17" fillId="12" borderId="1" xfId="3" applyFill="1" applyBorder="1" applyAlignment="1">
      <alignment horizontal="center" vertical="top"/>
    </xf>
    <xf numFmtId="0" fontId="17" fillId="12" borderId="1" xfId="3" applyFill="1" applyBorder="1" applyAlignment="1">
      <alignment horizontal="center" vertical="center"/>
    </xf>
    <xf numFmtId="0" fontId="16" fillId="12" borderId="1" xfId="2" applyFill="1" applyBorder="1"/>
    <xf numFmtId="0" fontId="17" fillId="12" borderId="1" xfId="0" applyFont="1" applyFill="1" applyBorder="1" applyAlignment="1">
      <alignment horizontal="left" vertical="top"/>
    </xf>
    <xf numFmtId="0" fontId="17" fillId="12" borderId="0" xfId="0" applyFont="1" applyFill="1" applyAlignment="1">
      <alignment horizontal="left" vertical="top"/>
    </xf>
    <xf numFmtId="169" fontId="16" fillId="12" borderId="1" xfId="2" applyNumberFormat="1" applyFill="1" applyBorder="1" applyAlignment="1">
      <alignment horizontal="right"/>
    </xf>
    <xf numFmtId="170" fontId="16" fillId="12" borderId="1" xfId="2" applyNumberFormat="1" applyFill="1" applyBorder="1" applyAlignment="1">
      <alignment horizontal="center"/>
    </xf>
    <xf numFmtId="0" fontId="16" fillId="12" borderId="1" xfId="2" applyFill="1" applyBorder="1" applyAlignment="1">
      <alignment horizontal="center" vertical="center"/>
    </xf>
    <xf numFmtId="0" fontId="17" fillId="12" borderId="1" xfId="3" applyFill="1" applyBorder="1" applyAlignment="1">
      <alignment horizontal="center" vertical="top" wrapText="1" readingOrder="1"/>
    </xf>
    <xf numFmtId="0" fontId="17" fillId="12" borderId="1" xfId="3" applyFill="1" applyBorder="1" applyAlignment="1">
      <alignment horizontal="center" vertical="top" wrapText="1"/>
    </xf>
    <xf numFmtId="14" fontId="17" fillId="12" borderId="1" xfId="3" applyNumberFormat="1" applyFill="1" applyBorder="1" applyAlignment="1">
      <alignment horizontal="center" vertical="top" wrapText="1"/>
    </xf>
    <xf numFmtId="171" fontId="22" fillId="12" borderId="1" xfId="1" applyNumberFormat="1" applyFont="1" applyFill="1" applyBorder="1" applyAlignment="1">
      <alignment vertical="center"/>
    </xf>
    <xf numFmtId="170" fontId="17" fillId="12" borderId="1" xfId="3" applyNumberFormat="1" applyFill="1" applyBorder="1" applyAlignment="1">
      <alignment horizontal="center" vertical="top" wrapText="1"/>
    </xf>
    <xf numFmtId="0" fontId="16" fillId="12" borderId="1" xfId="2" applyFill="1" applyBorder="1" applyAlignment="1">
      <alignment horizontal="right"/>
    </xf>
    <xf numFmtId="0" fontId="17" fillId="12" borderId="8" xfId="3" applyFill="1" applyBorder="1" applyAlignment="1">
      <alignment horizontal="right" vertical="top" wrapText="1" readingOrder="1"/>
    </xf>
    <xf numFmtId="4" fontId="17" fillId="12" borderId="1" xfId="3" applyNumberFormat="1" applyFill="1" applyBorder="1">
      <alignment vertical="top"/>
    </xf>
    <xf numFmtId="4" fontId="17" fillId="12" borderId="1" xfId="3" applyNumberFormat="1" applyFill="1" applyBorder="1" applyAlignment="1">
      <alignment horizontal="left" vertical="top"/>
    </xf>
    <xf numFmtId="4" fontId="17" fillId="12" borderId="8" xfId="3" applyNumberFormat="1" applyFill="1" applyBorder="1">
      <alignment vertical="top"/>
    </xf>
    <xf numFmtId="167" fontId="16" fillId="12" borderId="0" xfId="2" applyNumberFormat="1" applyFill="1"/>
    <xf numFmtId="0" fontId="22" fillId="12" borderId="0" xfId="4" applyFont="1" applyFill="1"/>
    <xf numFmtId="0" fontId="36" fillId="12" borderId="0" xfId="0" applyFont="1" applyFill="1"/>
    <xf numFmtId="167" fontId="36" fillId="12" borderId="0" xfId="1" applyFont="1" applyFill="1"/>
    <xf numFmtId="4" fontId="0" fillId="12" borderId="0" xfId="0" applyNumberFormat="1" applyFill="1"/>
    <xf numFmtId="0" fontId="0" fillId="12" borderId="0" xfId="0" applyFill="1" applyAlignment="1">
      <alignment horizontal="center"/>
    </xf>
    <xf numFmtId="167" fontId="0" fillId="12" borderId="0" xfId="1" applyFont="1" applyFill="1"/>
    <xf numFmtId="167" fontId="0" fillId="12" borderId="0" xfId="0" applyNumberFormat="1" applyFill="1"/>
    <xf numFmtId="0" fontId="0" fillId="12" borderId="25" xfId="0" applyFill="1" applyBorder="1"/>
    <xf numFmtId="167" fontId="23" fillId="12" borderId="26" xfId="1" applyFont="1" applyFill="1" applyBorder="1"/>
    <xf numFmtId="0" fontId="0" fillId="2" borderId="0" xfId="0" applyFill="1" applyAlignment="1">
      <alignment horizontal="center" vertical="center"/>
    </xf>
    <xf numFmtId="4" fontId="36" fillId="2" borderId="0" xfId="0" applyNumberFormat="1" applyFont="1" applyFill="1"/>
    <xf numFmtId="0" fontId="45" fillId="2" borderId="0" xfId="0" applyFont="1" applyFill="1"/>
    <xf numFmtId="14" fontId="22" fillId="2" borderId="1" xfId="3" applyNumberFormat="1" applyFont="1" applyFill="1" applyBorder="1" applyAlignment="1">
      <alignment horizontal="center" vertical="top" wrapText="1"/>
    </xf>
    <xf numFmtId="3" fontId="17" fillId="2" borderId="1" xfId="3" applyNumberFormat="1" applyFill="1" applyBorder="1" applyAlignment="1">
      <alignment horizontal="right" vertical="top"/>
    </xf>
    <xf numFmtId="167" fontId="34" fillId="11" borderId="8" xfId="1" applyFont="1" applyFill="1" applyBorder="1" applyAlignment="1">
      <alignment horizontal="center" vertical="top" wrapText="1" readingOrder="1"/>
    </xf>
    <xf numFmtId="167" fontId="17" fillId="11" borderId="8" xfId="1" applyFont="1" applyFill="1" applyBorder="1" applyAlignment="1">
      <alignment vertical="top"/>
    </xf>
    <xf numFmtId="167" fontId="17" fillId="11" borderId="1" xfId="1" applyFont="1" applyFill="1" applyBorder="1" applyAlignment="1">
      <alignment vertical="top"/>
    </xf>
    <xf numFmtId="167" fontId="22" fillId="11" borderId="1" xfId="1" applyFont="1" applyFill="1" applyBorder="1" applyAlignment="1">
      <alignment vertical="top"/>
    </xf>
    <xf numFmtId="167" fontId="17" fillId="11" borderId="2" xfId="1" applyFont="1" applyFill="1" applyBorder="1" applyAlignment="1">
      <alignment vertical="top"/>
    </xf>
    <xf numFmtId="167" fontId="32" fillId="11" borderId="0" xfId="1" applyFont="1" applyFill="1" applyAlignment="1">
      <alignment vertical="top"/>
    </xf>
    <xf numFmtId="0" fontId="23" fillId="16" borderId="25" xfId="0" applyFont="1" applyFill="1" applyBorder="1" applyAlignment="1">
      <alignment wrapText="1"/>
    </xf>
    <xf numFmtId="0" fontId="23" fillId="16" borderId="0" xfId="0" applyFont="1" applyFill="1" applyAlignment="1">
      <alignment wrapText="1"/>
    </xf>
    <xf numFmtId="14" fontId="16" fillId="0" borderId="10" xfId="1" applyNumberFormat="1" applyFont="1" applyFill="1" applyBorder="1" applyAlignment="1">
      <alignment horizontal="center" vertical="top" wrapText="1"/>
    </xf>
    <xf numFmtId="167" fontId="16" fillId="0" borderId="1" xfId="0" applyNumberFormat="1" applyFont="1" applyBorder="1"/>
    <xf numFmtId="0" fontId="16" fillId="0" borderId="0" xfId="0" applyFont="1" applyAlignment="1">
      <alignment horizontal="center" vertical="center"/>
    </xf>
    <xf numFmtId="0" fontId="31" fillId="0" borderId="0" xfId="0" applyFont="1" applyAlignment="1">
      <alignment horizontal="center" vertical="center" wrapText="1"/>
    </xf>
    <xf numFmtId="0" fontId="31" fillId="0" borderId="25" xfId="0" applyFont="1" applyBorder="1" applyAlignment="1">
      <alignment horizontal="center" vertical="center" wrapText="1"/>
    </xf>
    <xf numFmtId="0" fontId="31" fillId="2" borderId="26" xfId="0" applyFont="1" applyFill="1" applyBorder="1" applyAlignment="1">
      <alignment horizontal="center" vertical="center" wrapText="1"/>
    </xf>
    <xf numFmtId="167" fontId="16" fillId="2" borderId="26" xfId="1" applyFont="1" applyFill="1" applyBorder="1"/>
    <xf numFmtId="167" fontId="31" fillId="2" borderId="9" xfId="1" applyFont="1" applyFill="1" applyBorder="1" applyAlignment="1">
      <alignment vertical="top"/>
    </xf>
    <xf numFmtId="167" fontId="16" fillId="9" borderId="10" xfId="1" applyFont="1" applyFill="1" applyBorder="1"/>
    <xf numFmtId="167" fontId="16" fillId="2" borderId="26" xfId="0" applyNumberFormat="1" applyFont="1" applyFill="1" applyBorder="1"/>
    <xf numFmtId="14" fontId="16" fillId="0" borderId="4" xfId="1" applyNumberFormat="1" applyFont="1" applyFill="1" applyBorder="1" applyAlignment="1">
      <alignment horizontal="center" vertical="top" wrapText="1"/>
    </xf>
    <xf numFmtId="167" fontId="16" fillId="0" borderId="2" xfId="1" applyFont="1" applyFill="1" applyBorder="1" applyAlignment="1">
      <alignment horizontal="center" vertical="center"/>
    </xf>
    <xf numFmtId="167" fontId="16" fillId="0" borderId="25" xfId="1" applyFont="1" applyFill="1" applyBorder="1"/>
    <xf numFmtId="167" fontId="16" fillId="0" borderId="0" xfId="0" applyNumberFormat="1" applyFont="1"/>
    <xf numFmtId="167" fontId="31" fillId="2" borderId="1" xfId="1" applyFont="1" applyFill="1" applyBorder="1" applyAlignment="1">
      <alignment horizontal="center" vertical="center" wrapText="1"/>
    </xf>
    <xf numFmtId="167" fontId="31" fillId="0" borderId="1" xfId="0" applyNumberFormat="1" applyFont="1" applyBorder="1"/>
    <xf numFmtId="0" fontId="16" fillId="0" borderId="0" xfId="1" applyNumberFormat="1" applyFont="1" applyFill="1" applyBorder="1"/>
    <xf numFmtId="167" fontId="22" fillId="0" borderId="24" xfId="0" applyNumberFormat="1" applyFont="1" applyBorder="1"/>
    <xf numFmtId="167" fontId="53" fillId="0" borderId="33" xfId="1" applyFont="1" applyBorder="1" applyAlignment="1">
      <alignment vertical="top"/>
    </xf>
    <xf numFmtId="167" fontId="53" fillId="0" borderId="34" xfId="1" applyFont="1" applyBorder="1" applyAlignment="1">
      <alignment vertical="top"/>
    </xf>
    <xf numFmtId="167" fontId="22" fillId="0" borderId="26" xfId="0" applyNumberFormat="1" applyFont="1" applyBorder="1"/>
    <xf numFmtId="167" fontId="0" fillId="0" borderId="0" xfId="1" applyFont="1" applyAlignment="1">
      <alignment horizontal="right"/>
    </xf>
    <xf numFmtId="167" fontId="0" fillId="0" borderId="13" xfId="1" applyFont="1" applyBorder="1" applyAlignment="1">
      <alignment horizontal="right"/>
    </xf>
    <xf numFmtId="167" fontId="22" fillId="0" borderId="0" xfId="1" applyFont="1"/>
    <xf numFmtId="167" fontId="23" fillId="12" borderId="26" xfId="1" applyFont="1" applyFill="1" applyBorder="1" applyAlignment="1">
      <alignment vertical="center"/>
    </xf>
    <xf numFmtId="0" fontId="23" fillId="12" borderId="26" xfId="0" applyFont="1" applyFill="1" applyBorder="1" applyAlignment="1">
      <alignment vertical="center" wrapText="1"/>
    </xf>
    <xf numFmtId="0" fontId="23" fillId="12" borderId="24" xfId="0" applyFont="1" applyFill="1" applyBorder="1" applyAlignment="1">
      <alignment vertical="center" wrapText="1"/>
    </xf>
    <xf numFmtId="4" fontId="39" fillId="0" borderId="33" xfId="3" applyNumberFormat="1" applyFont="1" applyBorder="1">
      <alignment vertical="top"/>
    </xf>
    <xf numFmtId="167" fontId="16" fillId="0" borderId="26" xfId="0" applyNumberFormat="1" applyFont="1" applyBorder="1"/>
    <xf numFmtId="167" fontId="16" fillId="0" borderId="26" xfId="1" applyFont="1" applyFill="1" applyBorder="1"/>
    <xf numFmtId="167" fontId="16" fillId="0" borderId="2" xfId="1" applyFont="1" applyFill="1" applyBorder="1" applyAlignment="1">
      <alignment horizontal="right" vertical="top"/>
    </xf>
    <xf numFmtId="167" fontId="16" fillId="0" borderId="10" xfId="1" applyFont="1" applyFill="1" applyBorder="1"/>
    <xf numFmtId="173" fontId="0" fillId="0" borderId="0" xfId="0" applyNumberFormat="1"/>
    <xf numFmtId="173" fontId="0" fillId="0" borderId="0" xfId="0" pivotButton="1" applyNumberFormat="1"/>
    <xf numFmtId="14" fontId="16" fillId="3" borderId="0" xfId="0" applyNumberFormat="1" applyFont="1" applyFill="1"/>
    <xf numFmtId="0" fontId="16" fillId="3" borderId="0" xfId="0" applyFont="1" applyFill="1"/>
    <xf numFmtId="0" fontId="16" fillId="3" borderId="1" xfId="0" applyFont="1" applyFill="1" applyBorder="1" applyAlignment="1">
      <alignment horizontal="right"/>
    </xf>
    <xf numFmtId="0" fontId="16" fillId="3" borderId="1" xfId="3" applyFont="1" applyFill="1" applyBorder="1">
      <alignment vertical="top"/>
    </xf>
    <xf numFmtId="0" fontId="16" fillId="3" borderId="1" xfId="0" applyFont="1" applyFill="1" applyBorder="1" applyAlignment="1">
      <alignment horizontal="center"/>
    </xf>
    <xf numFmtId="0" fontId="16" fillId="3" borderId="1" xfId="3" applyFont="1" applyFill="1" applyBorder="1" applyAlignment="1">
      <alignment horizontal="center" vertical="top" wrapText="1"/>
    </xf>
    <xf numFmtId="0" fontId="16" fillId="3" borderId="1" xfId="7" applyFont="1" applyFill="1" applyBorder="1" applyAlignment="1">
      <alignment horizontal="left" vertical="top"/>
    </xf>
    <xf numFmtId="170" fontId="16" fillId="3" borderId="1" xfId="0" applyNumberFormat="1" applyFont="1" applyFill="1" applyBorder="1" applyAlignment="1">
      <alignment horizontal="center"/>
    </xf>
    <xf numFmtId="0" fontId="16" fillId="3" borderId="1" xfId="0" applyFont="1" applyFill="1" applyBorder="1" applyAlignment="1">
      <alignment readingOrder="1"/>
    </xf>
    <xf numFmtId="14" fontId="16" fillId="3" borderId="1" xfId="3" applyNumberFormat="1" applyFont="1" applyFill="1" applyBorder="1" applyAlignment="1">
      <alignment horizontal="center" vertical="top" wrapText="1"/>
    </xf>
    <xf numFmtId="1" fontId="16" fillId="3" borderId="1" xfId="3" applyNumberFormat="1" applyFont="1" applyFill="1" applyBorder="1" applyAlignment="1">
      <alignment horizontal="center" vertical="top" wrapText="1"/>
    </xf>
    <xf numFmtId="14" fontId="16" fillId="3" borderId="1" xfId="3" applyNumberFormat="1" applyFont="1" applyFill="1" applyBorder="1" applyAlignment="1">
      <alignment horizontal="center" vertical="top" wrapText="1" readingOrder="1"/>
    </xf>
    <xf numFmtId="2" fontId="16" fillId="3" borderId="8" xfId="3" applyNumberFormat="1" applyFont="1" applyFill="1" applyBorder="1" applyAlignment="1">
      <alignment horizontal="center" vertical="top" wrapText="1"/>
    </xf>
    <xf numFmtId="2" fontId="16" fillId="3" borderId="1" xfId="0" applyNumberFormat="1" applyFont="1" applyFill="1" applyBorder="1" applyAlignment="1">
      <alignment horizontal="center"/>
    </xf>
    <xf numFmtId="4" fontId="16" fillId="3" borderId="1" xfId="3" applyNumberFormat="1" applyFont="1" applyFill="1" applyBorder="1" applyAlignment="1">
      <alignment horizontal="center" vertical="top" wrapText="1" readingOrder="1"/>
    </xf>
    <xf numFmtId="4" fontId="16" fillId="3" borderId="1" xfId="3" applyNumberFormat="1" applyFont="1" applyFill="1" applyBorder="1" applyAlignment="1">
      <alignment horizontal="right" vertical="top"/>
    </xf>
    <xf numFmtId="167" fontId="16" fillId="3" borderId="1" xfId="1" applyFont="1" applyFill="1" applyBorder="1" applyAlignment="1">
      <alignment horizontal="right"/>
    </xf>
    <xf numFmtId="167" fontId="16" fillId="3" borderId="1" xfId="1" applyFont="1" applyFill="1" applyBorder="1" applyAlignment="1">
      <alignment vertical="top" wrapText="1" readingOrder="1"/>
    </xf>
    <xf numFmtId="167" fontId="16" fillId="3" borderId="28" xfId="1" applyFont="1" applyFill="1" applyBorder="1" applyAlignment="1">
      <alignment horizontal="right" vertical="top"/>
    </xf>
    <xf numFmtId="167" fontId="16" fillId="3" borderId="1" xfId="1" applyFont="1" applyFill="1" applyBorder="1" applyAlignment="1">
      <alignment horizontal="right" vertical="top"/>
    </xf>
    <xf numFmtId="167" fontId="16" fillId="3" borderId="1" xfId="1" applyFont="1" applyFill="1" applyBorder="1"/>
    <xf numFmtId="167" fontId="16" fillId="3" borderId="0" xfId="1" applyFont="1" applyFill="1"/>
    <xf numFmtId="167" fontId="31" fillId="3" borderId="1" xfId="0" applyNumberFormat="1" applyFont="1" applyFill="1" applyBorder="1"/>
    <xf numFmtId="167" fontId="16" fillId="3" borderId="1" xfId="0" applyNumberFormat="1" applyFont="1" applyFill="1" applyBorder="1"/>
    <xf numFmtId="167" fontId="16" fillId="3" borderId="26" xfId="0" applyNumberFormat="1" applyFont="1" applyFill="1" applyBorder="1"/>
    <xf numFmtId="167" fontId="16" fillId="3" borderId="26" xfId="1" applyFont="1" applyFill="1" applyBorder="1"/>
    <xf numFmtId="167" fontId="16" fillId="3" borderId="0" xfId="0" applyNumberFormat="1" applyFont="1" applyFill="1"/>
    <xf numFmtId="173" fontId="16" fillId="0" borderId="0" xfId="1" applyNumberFormat="1" applyFont="1" applyFill="1" applyBorder="1"/>
    <xf numFmtId="0" fontId="22" fillId="0" borderId="1" xfId="3" applyFont="1" applyBorder="1" applyAlignment="1">
      <alignment horizontal="left" vertical="top" wrapText="1" readingOrder="1"/>
    </xf>
    <xf numFmtId="167" fontId="16" fillId="3" borderId="0" xfId="1" applyFont="1" applyFill="1" applyBorder="1"/>
    <xf numFmtId="167" fontId="31" fillId="2" borderId="3" xfId="1" applyFont="1" applyFill="1" applyBorder="1" applyAlignment="1">
      <alignment horizontal="center" vertical="center" wrapText="1"/>
    </xf>
    <xf numFmtId="173" fontId="16" fillId="0" borderId="0" xfId="0" applyNumberFormat="1" applyFont="1" applyAlignment="1">
      <alignment horizontal="center" vertical="center"/>
    </xf>
    <xf numFmtId="167" fontId="31" fillId="0" borderId="0" xfId="1" applyFont="1" applyFill="1" applyBorder="1" applyAlignment="1">
      <alignment horizontal="center" vertical="center" wrapText="1"/>
    </xf>
    <xf numFmtId="173" fontId="16" fillId="0" borderId="0" xfId="0" applyNumberFormat="1" applyFont="1"/>
    <xf numFmtId="173" fontId="16" fillId="0" borderId="0" xfId="3" applyNumberFormat="1" applyFont="1">
      <alignment vertical="top"/>
    </xf>
    <xf numFmtId="173" fontId="24" fillId="0" borderId="0" xfId="0" applyNumberFormat="1" applyFont="1"/>
    <xf numFmtId="167" fontId="16" fillId="0" borderId="33" xfId="0" applyNumberFormat="1" applyFont="1" applyBorder="1"/>
    <xf numFmtId="173" fontId="16" fillId="3" borderId="29" xfId="1" applyNumberFormat="1" applyFont="1" applyFill="1" applyBorder="1"/>
    <xf numFmtId="167" fontId="16" fillId="3" borderId="29" xfId="0" applyNumberFormat="1" applyFont="1" applyFill="1" applyBorder="1"/>
    <xf numFmtId="173" fontId="16" fillId="3" borderId="0" xfId="1" applyNumberFormat="1" applyFont="1" applyFill="1" applyBorder="1"/>
    <xf numFmtId="167" fontId="16" fillId="3" borderId="29" xfId="1" applyFont="1" applyFill="1" applyBorder="1"/>
    <xf numFmtId="173" fontId="31" fillId="5" borderId="0" xfId="0" applyNumberFormat="1" applyFont="1" applyFill="1" applyAlignment="1">
      <alignment wrapText="1"/>
    </xf>
    <xf numFmtId="173" fontId="16" fillId="5" borderId="0" xfId="0" applyNumberFormat="1" applyFont="1" applyFill="1"/>
    <xf numFmtId="173" fontId="16" fillId="5" borderId="29" xfId="1" applyNumberFormat="1" applyFont="1" applyFill="1" applyBorder="1"/>
    <xf numFmtId="173" fontId="16" fillId="5" borderId="0" xfId="1" applyNumberFormat="1" applyFont="1" applyFill="1" applyBorder="1"/>
    <xf numFmtId="173" fontId="16" fillId="5" borderId="0" xfId="3" applyNumberFormat="1" applyFont="1" applyFill="1">
      <alignment vertical="top"/>
    </xf>
    <xf numFmtId="173" fontId="24" fillId="5" borderId="0" xfId="0" applyNumberFormat="1" applyFont="1" applyFill="1"/>
    <xf numFmtId="0" fontId="16" fillId="3" borderId="2" xfId="0" applyFont="1" applyFill="1" applyBorder="1" applyAlignment="1">
      <alignment horizontal="right"/>
    </xf>
    <xf numFmtId="0" fontId="22" fillId="3" borderId="1" xfId="3" applyFont="1" applyFill="1" applyBorder="1">
      <alignment vertical="top"/>
    </xf>
    <xf numFmtId="0" fontId="0" fillId="3" borderId="1" xfId="0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22" fillId="3" borderId="1" xfId="3" applyFont="1" applyFill="1" applyBorder="1" applyAlignment="1">
      <alignment horizontal="center" vertical="top" wrapText="1"/>
    </xf>
    <xf numFmtId="0" fontId="22" fillId="3" borderId="1" xfId="3" applyFont="1" applyFill="1" applyBorder="1" applyAlignment="1">
      <alignment horizontal="center" vertical="top" wrapText="1" readingOrder="1"/>
    </xf>
    <xf numFmtId="14" fontId="22" fillId="3" borderId="1" xfId="3" applyNumberFormat="1" applyFont="1" applyFill="1" applyBorder="1" applyAlignment="1">
      <alignment horizontal="center" vertical="top" wrapText="1" readingOrder="1"/>
    </xf>
    <xf numFmtId="170" fontId="0" fillId="3" borderId="1" xfId="0" applyNumberFormat="1" applyFill="1" applyBorder="1" applyAlignment="1">
      <alignment horizontal="center"/>
    </xf>
    <xf numFmtId="170" fontId="24" fillId="3" borderId="8" xfId="0" applyNumberFormat="1" applyFont="1" applyFill="1" applyBorder="1" applyAlignment="1">
      <alignment horizontal="center"/>
    </xf>
    <xf numFmtId="0" fontId="16" fillId="3" borderId="2" xfId="3" applyFont="1" applyFill="1" applyBorder="1" applyAlignment="1">
      <alignment vertical="top" wrapText="1" readingOrder="1"/>
    </xf>
    <xf numFmtId="0" fontId="16" fillId="3" borderId="2" xfId="3" applyFont="1" applyFill="1" applyBorder="1" applyAlignment="1">
      <alignment horizontal="center" vertical="top" wrapText="1" readingOrder="1"/>
    </xf>
    <xf numFmtId="1" fontId="16" fillId="3" borderId="2" xfId="3" applyNumberFormat="1" applyFont="1" applyFill="1" applyBorder="1" applyAlignment="1">
      <alignment horizontal="center" vertical="top" wrapText="1"/>
    </xf>
    <xf numFmtId="2" fontId="16" fillId="3" borderId="26" xfId="0" applyNumberFormat="1" applyFont="1" applyFill="1" applyBorder="1" applyAlignment="1">
      <alignment horizontal="center"/>
    </xf>
    <xf numFmtId="4" fontId="16" fillId="3" borderId="1" xfId="3" applyNumberFormat="1" applyFont="1" applyFill="1" applyBorder="1" applyAlignment="1">
      <alignment horizontal="right" vertical="top" wrapText="1" readingOrder="1"/>
    </xf>
    <xf numFmtId="167" fontId="16" fillId="3" borderId="0" xfId="1" applyFont="1" applyFill="1" applyBorder="1" applyAlignment="1">
      <alignment horizontal="right"/>
    </xf>
    <xf numFmtId="173" fontId="16" fillId="3" borderId="0" xfId="0" applyNumberFormat="1" applyFont="1" applyFill="1"/>
    <xf numFmtId="14" fontId="16" fillId="5" borderId="0" xfId="0" applyNumberFormat="1" applyFont="1" applyFill="1"/>
    <xf numFmtId="0" fontId="16" fillId="5" borderId="0" xfId="0" applyFont="1" applyFill="1"/>
    <xf numFmtId="0" fontId="16" fillId="5" borderId="8" xfId="0" applyFont="1" applyFill="1" applyBorder="1" applyAlignment="1">
      <alignment horizontal="right"/>
    </xf>
    <xf numFmtId="0" fontId="16" fillId="5" borderId="8" xfId="3" applyFont="1" applyFill="1" applyBorder="1">
      <alignment vertical="top"/>
    </xf>
    <xf numFmtId="0" fontId="16" fillId="5" borderId="8" xfId="0" applyFont="1" applyFill="1" applyBorder="1" applyAlignment="1">
      <alignment horizontal="center"/>
    </xf>
    <xf numFmtId="0" fontId="16" fillId="5" borderId="8" xfId="3" applyFont="1" applyFill="1" applyBorder="1" applyAlignment="1">
      <alignment horizontal="center" vertical="top" wrapText="1"/>
    </xf>
    <xf numFmtId="0" fontId="16" fillId="5" borderId="8" xfId="0" applyFont="1" applyFill="1" applyBorder="1"/>
    <xf numFmtId="0" fontId="16" fillId="5" borderId="1" xfId="0" applyFont="1" applyFill="1" applyBorder="1" applyAlignment="1">
      <alignment horizontal="center"/>
    </xf>
    <xf numFmtId="14" fontId="16" fillId="5" borderId="1" xfId="0" applyNumberFormat="1" applyFont="1" applyFill="1" applyBorder="1" applyAlignment="1">
      <alignment horizontal="center" vertical="top"/>
    </xf>
    <xf numFmtId="170" fontId="16" fillId="5" borderId="1" xfId="0" applyNumberFormat="1" applyFont="1" applyFill="1" applyBorder="1" applyAlignment="1">
      <alignment horizontal="center"/>
    </xf>
    <xf numFmtId="0" fontId="16" fillId="5" borderId="1" xfId="0" applyFont="1" applyFill="1" applyBorder="1" applyAlignment="1">
      <alignment readingOrder="1"/>
    </xf>
    <xf numFmtId="14" fontId="16" fillId="5" borderId="1" xfId="3" applyNumberFormat="1" applyFont="1" applyFill="1" applyBorder="1" applyAlignment="1">
      <alignment horizontal="center" vertical="top" wrapText="1"/>
    </xf>
    <xf numFmtId="1" fontId="16" fillId="5" borderId="1" xfId="3" applyNumberFormat="1" applyFont="1" applyFill="1" applyBorder="1" applyAlignment="1">
      <alignment horizontal="center" vertical="top" wrapText="1"/>
    </xf>
    <xf numFmtId="14" fontId="16" fillId="5" borderId="1" xfId="3" applyNumberFormat="1" applyFont="1" applyFill="1" applyBorder="1" applyAlignment="1">
      <alignment horizontal="center" vertical="top" wrapText="1" readingOrder="1"/>
    </xf>
    <xf numFmtId="2" fontId="16" fillId="5" borderId="1" xfId="3" applyNumberFormat="1" applyFont="1" applyFill="1" applyBorder="1" applyAlignment="1">
      <alignment horizontal="center" vertical="top" wrapText="1"/>
    </xf>
    <xf numFmtId="2" fontId="16" fillId="5" borderId="1" xfId="0" applyNumberFormat="1" applyFont="1" applyFill="1" applyBorder="1" applyAlignment="1">
      <alignment horizontal="center"/>
    </xf>
    <xf numFmtId="4" fontId="16" fillId="5" borderId="1" xfId="3" applyNumberFormat="1" applyFont="1" applyFill="1" applyBorder="1" applyAlignment="1">
      <alignment horizontal="center" vertical="top" wrapText="1" readingOrder="1"/>
    </xf>
    <xf numFmtId="4" fontId="16" fillId="5" borderId="1" xfId="3" applyNumberFormat="1" applyFont="1" applyFill="1" applyBorder="1" applyAlignment="1">
      <alignment horizontal="right" vertical="top"/>
    </xf>
    <xf numFmtId="0" fontId="16" fillId="5" borderId="1" xfId="0" applyFont="1" applyFill="1" applyBorder="1" applyAlignment="1">
      <alignment horizontal="right"/>
    </xf>
    <xf numFmtId="167" fontId="16" fillId="5" borderId="1" xfId="1" applyFont="1" applyFill="1" applyBorder="1" applyAlignment="1">
      <alignment horizontal="right"/>
    </xf>
    <xf numFmtId="167" fontId="16" fillId="5" borderId="1" xfId="1" applyFont="1" applyFill="1" applyBorder="1" applyAlignment="1">
      <alignment vertical="top" wrapText="1" readingOrder="1"/>
    </xf>
    <xf numFmtId="167" fontId="16" fillId="5" borderId="1" xfId="1" applyFont="1" applyFill="1" applyBorder="1" applyAlignment="1">
      <alignment horizontal="right" vertical="top"/>
    </xf>
    <xf numFmtId="167" fontId="16" fillId="5" borderId="1" xfId="1" applyFont="1" applyFill="1" applyBorder="1"/>
    <xf numFmtId="167" fontId="16" fillId="5" borderId="0" xfId="1" applyFont="1" applyFill="1" applyBorder="1"/>
    <xf numFmtId="167" fontId="16" fillId="5" borderId="0" xfId="1" applyFont="1" applyFill="1"/>
    <xf numFmtId="167" fontId="31" fillId="5" borderId="1" xfId="0" applyNumberFormat="1" applyFont="1" applyFill="1" applyBorder="1"/>
    <xf numFmtId="167" fontId="16" fillId="5" borderId="1" xfId="0" applyNumberFormat="1" applyFont="1" applyFill="1" applyBorder="1"/>
    <xf numFmtId="167" fontId="16" fillId="5" borderId="26" xfId="0" applyNumberFormat="1" applyFont="1" applyFill="1" applyBorder="1"/>
    <xf numFmtId="167" fontId="16" fillId="5" borderId="26" xfId="1" applyFont="1" applyFill="1" applyBorder="1"/>
    <xf numFmtId="167" fontId="16" fillId="5" borderId="0" xfId="0" applyNumberFormat="1" applyFont="1" applyFill="1"/>
    <xf numFmtId="0" fontId="16" fillId="5" borderId="1" xfId="3" applyFont="1" applyFill="1" applyBorder="1">
      <alignment vertical="top"/>
    </xf>
    <xf numFmtId="0" fontId="16" fillId="5" borderId="1" xfId="3" applyFont="1" applyFill="1" applyBorder="1" applyAlignment="1">
      <alignment horizontal="center" vertical="top" wrapText="1"/>
    </xf>
    <xf numFmtId="0" fontId="16" fillId="5" borderId="1" xfId="3" applyFont="1" applyFill="1" applyBorder="1" applyAlignment="1">
      <alignment horizontal="left" vertical="top" wrapText="1" readingOrder="1"/>
    </xf>
    <xf numFmtId="0" fontId="16" fillId="5" borderId="1" xfId="3" applyFont="1" applyFill="1" applyBorder="1" applyAlignment="1">
      <alignment horizontal="center" vertical="top" wrapText="1" readingOrder="1"/>
    </xf>
    <xf numFmtId="170" fontId="16" fillId="5" borderId="8" xfId="0" applyNumberFormat="1" applyFont="1" applyFill="1" applyBorder="1" applyAlignment="1">
      <alignment horizontal="center"/>
    </xf>
    <xf numFmtId="0" fontId="16" fillId="5" borderId="1" xfId="3" applyFont="1" applyFill="1" applyBorder="1" applyAlignment="1">
      <alignment vertical="top" wrapText="1" readingOrder="1"/>
    </xf>
    <xf numFmtId="2" fontId="16" fillId="5" borderId="8" xfId="3" applyNumberFormat="1" applyFont="1" applyFill="1" applyBorder="1" applyAlignment="1">
      <alignment horizontal="center" vertical="top" wrapText="1"/>
    </xf>
    <xf numFmtId="2" fontId="16" fillId="5" borderId="8" xfId="0" applyNumberFormat="1" applyFont="1" applyFill="1" applyBorder="1" applyAlignment="1">
      <alignment horizontal="center"/>
    </xf>
    <xf numFmtId="4" fontId="16" fillId="5" borderId="1" xfId="3" applyNumberFormat="1" applyFont="1" applyFill="1" applyBorder="1" applyAlignment="1">
      <alignment horizontal="right" vertical="top" wrapText="1" readingOrder="1"/>
    </xf>
    <xf numFmtId="167" fontId="16" fillId="5" borderId="8" xfId="1" applyFont="1" applyFill="1" applyBorder="1" applyAlignment="1">
      <alignment horizontal="right"/>
    </xf>
    <xf numFmtId="167" fontId="16" fillId="5" borderId="28" xfId="1" applyFont="1" applyFill="1" applyBorder="1" applyAlignment="1">
      <alignment horizontal="right" vertical="top"/>
    </xf>
    <xf numFmtId="0" fontId="16" fillId="3" borderId="8" xfId="0" applyFont="1" applyFill="1" applyBorder="1"/>
    <xf numFmtId="0" fontId="16" fillId="3" borderId="8" xfId="3" applyFont="1" applyFill="1" applyBorder="1">
      <alignment vertical="top"/>
    </xf>
    <xf numFmtId="0" fontId="16" fillId="3" borderId="8" xfId="3" applyFont="1" applyFill="1" applyBorder="1" applyAlignment="1">
      <alignment horizontal="center" vertical="top"/>
    </xf>
    <xf numFmtId="14" fontId="16" fillId="3" borderId="8" xfId="3" applyNumberFormat="1" applyFont="1" applyFill="1" applyBorder="1" applyAlignment="1">
      <alignment horizontal="center" vertical="top" wrapText="1" readingOrder="1"/>
    </xf>
    <xf numFmtId="0" fontId="16" fillId="3" borderId="1" xfId="3" applyFont="1" applyFill="1" applyBorder="1" applyAlignment="1">
      <alignment vertical="top" wrapText="1" readingOrder="1"/>
    </xf>
    <xf numFmtId="0" fontId="16" fillId="3" borderId="1" xfId="3" applyFont="1" applyFill="1" applyBorder="1" applyAlignment="1">
      <alignment horizontal="center" vertical="top" wrapText="1" readingOrder="1"/>
    </xf>
    <xf numFmtId="14" fontId="24" fillId="3" borderId="1" xfId="3" applyNumberFormat="1" applyFont="1" applyFill="1" applyBorder="1" applyAlignment="1">
      <alignment horizontal="center" vertical="top" wrapText="1" readingOrder="1"/>
    </xf>
    <xf numFmtId="2" fontId="16" fillId="3" borderId="8" xfId="0" applyNumberFormat="1" applyFont="1" applyFill="1" applyBorder="1" applyAlignment="1">
      <alignment horizontal="center"/>
    </xf>
    <xf numFmtId="167" fontId="16" fillId="3" borderId="8" xfId="1" applyFont="1" applyFill="1" applyBorder="1" applyAlignment="1">
      <alignment horizontal="right"/>
    </xf>
    <xf numFmtId="0" fontId="16" fillId="5" borderId="8" xfId="3" applyFont="1" applyFill="1" applyBorder="1" applyAlignment="1">
      <alignment horizontal="left" vertical="top" wrapText="1" readingOrder="1"/>
    </xf>
    <xf numFmtId="0" fontId="16" fillId="5" borderId="8" xfId="3" applyFont="1" applyFill="1" applyBorder="1" applyAlignment="1">
      <alignment horizontal="center" vertical="top" wrapText="1" readingOrder="1"/>
    </xf>
    <xf numFmtId="14" fontId="16" fillId="5" borderId="8" xfId="3" applyNumberFormat="1" applyFont="1" applyFill="1" applyBorder="1" applyAlignment="1">
      <alignment horizontal="center" vertical="top" wrapText="1" readingOrder="1"/>
    </xf>
    <xf numFmtId="14" fontId="16" fillId="5" borderId="8" xfId="0" applyNumberFormat="1" applyFont="1" applyFill="1" applyBorder="1" applyAlignment="1">
      <alignment horizontal="center"/>
    </xf>
    <xf numFmtId="0" fontId="16" fillId="5" borderId="8" xfId="3" applyFont="1" applyFill="1" applyBorder="1" applyAlignment="1">
      <alignment vertical="top" wrapText="1" readingOrder="1"/>
    </xf>
    <xf numFmtId="1" fontId="16" fillId="5" borderId="8" xfId="3" applyNumberFormat="1" applyFont="1" applyFill="1" applyBorder="1" applyAlignment="1">
      <alignment horizontal="center" vertical="top" wrapText="1"/>
    </xf>
    <xf numFmtId="14" fontId="16" fillId="4" borderId="0" xfId="0" applyNumberFormat="1" applyFont="1" applyFill="1"/>
    <xf numFmtId="0" fontId="16" fillId="4" borderId="0" xfId="0" applyFont="1" applyFill="1"/>
    <xf numFmtId="0" fontId="16" fillId="4" borderId="8" xfId="0" applyFont="1" applyFill="1" applyBorder="1" applyAlignment="1">
      <alignment horizontal="right"/>
    </xf>
    <xf numFmtId="0" fontId="16" fillId="4" borderId="1" xfId="3" applyFont="1" applyFill="1" applyBorder="1">
      <alignment vertical="top"/>
    </xf>
    <xf numFmtId="0" fontId="16" fillId="4" borderId="8" xfId="0" applyFont="1" applyFill="1" applyBorder="1" applyAlignment="1">
      <alignment horizontal="center"/>
    </xf>
    <xf numFmtId="0" fontId="16" fillId="4" borderId="1" xfId="3" applyFont="1" applyFill="1" applyBorder="1" applyAlignment="1">
      <alignment horizontal="center" vertical="top" wrapText="1"/>
    </xf>
    <xf numFmtId="0" fontId="16" fillId="4" borderId="8" xfId="0" applyFont="1" applyFill="1" applyBorder="1"/>
    <xf numFmtId="14" fontId="16" fillId="4" borderId="8" xfId="0" applyNumberFormat="1" applyFont="1" applyFill="1" applyBorder="1" applyAlignment="1">
      <alignment horizontal="center"/>
    </xf>
    <xf numFmtId="170" fontId="16" fillId="4" borderId="1" xfId="0" applyNumberFormat="1" applyFont="1" applyFill="1" applyBorder="1" applyAlignment="1">
      <alignment horizontal="center"/>
    </xf>
    <xf numFmtId="170" fontId="24" fillId="4" borderId="8" xfId="0" applyNumberFormat="1" applyFont="1" applyFill="1" applyBorder="1" applyAlignment="1">
      <alignment horizontal="center"/>
    </xf>
    <xf numFmtId="0" fontId="16" fillId="4" borderId="8" xfId="3" applyFont="1" applyFill="1" applyBorder="1" applyAlignment="1">
      <alignment vertical="top" wrapText="1" readingOrder="1"/>
    </xf>
    <xf numFmtId="0" fontId="16" fillId="4" borderId="8" xfId="3" applyFont="1" applyFill="1" applyBorder="1" applyAlignment="1">
      <alignment horizontal="center" vertical="top" wrapText="1" readingOrder="1"/>
    </xf>
    <xf numFmtId="0" fontId="16" fillId="4" borderId="8" xfId="3" applyFont="1" applyFill="1" applyBorder="1" applyAlignment="1">
      <alignment horizontal="center" vertical="top" wrapText="1"/>
    </xf>
    <xf numFmtId="14" fontId="16" fillId="4" borderId="1" xfId="3" applyNumberFormat="1" applyFont="1" applyFill="1" applyBorder="1" applyAlignment="1">
      <alignment horizontal="center" vertical="top" wrapText="1" readingOrder="1"/>
    </xf>
    <xf numFmtId="1" fontId="16" fillId="4" borderId="1" xfId="3" applyNumberFormat="1" applyFont="1" applyFill="1" applyBorder="1" applyAlignment="1">
      <alignment horizontal="center" vertical="top" wrapText="1"/>
    </xf>
    <xf numFmtId="1" fontId="16" fillId="4" borderId="8" xfId="3" applyNumberFormat="1" applyFont="1" applyFill="1" applyBorder="1" applyAlignment="1">
      <alignment horizontal="center" vertical="top" wrapText="1"/>
    </xf>
    <xf numFmtId="2" fontId="16" fillId="4" borderId="8" xfId="3" applyNumberFormat="1" applyFont="1" applyFill="1" applyBorder="1" applyAlignment="1">
      <alignment horizontal="center" vertical="top" wrapText="1"/>
    </xf>
    <xf numFmtId="14" fontId="16" fillId="4" borderId="8" xfId="3" applyNumberFormat="1" applyFont="1" applyFill="1" applyBorder="1" applyAlignment="1">
      <alignment horizontal="center" vertical="top" wrapText="1"/>
    </xf>
    <xf numFmtId="2" fontId="16" fillId="4" borderId="8" xfId="0" applyNumberFormat="1" applyFont="1" applyFill="1" applyBorder="1" applyAlignment="1">
      <alignment horizontal="center"/>
    </xf>
    <xf numFmtId="4" fontId="16" fillId="4" borderId="1" xfId="3" applyNumberFormat="1" applyFont="1" applyFill="1" applyBorder="1" applyAlignment="1">
      <alignment horizontal="center" vertical="top" wrapText="1" readingOrder="1"/>
    </xf>
    <xf numFmtId="4" fontId="16" fillId="4" borderId="1" xfId="3" applyNumberFormat="1" applyFont="1" applyFill="1" applyBorder="1" applyAlignment="1">
      <alignment horizontal="right" vertical="top"/>
    </xf>
    <xf numFmtId="0" fontId="16" fillId="4" borderId="1" xfId="0" applyFont="1" applyFill="1" applyBorder="1" applyAlignment="1">
      <alignment horizontal="right"/>
    </xf>
    <xf numFmtId="167" fontId="16" fillId="4" borderId="8" xfId="1" applyFont="1" applyFill="1" applyBorder="1" applyAlignment="1">
      <alignment horizontal="right"/>
    </xf>
    <xf numFmtId="167" fontId="16" fillId="4" borderId="1" xfId="1" applyFont="1" applyFill="1" applyBorder="1" applyAlignment="1">
      <alignment vertical="top" wrapText="1" readingOrder="1"/>
    </xf>
    <xf numFmtId="167" fontId="16" fillId="4" borderId="28" xfId="1" applyFont="1" applyFill="1" applyBorder="1" applyAlignment="1">
      <alignment horizontal="right" vertical="top"/>
    </xf>
    <xf numFmtId="167" fontId="16" fillId="4" borderId="1" xfId="1" applyFont="1" applyFill="1" applyBorder="1" applyAlignment="1">
      <alignment horizontal="right" vertical="top"/>
    </xf>
    <xf numFmtId="167" fontId="16" fillId="4" borderId="1" xfId="1" applyFont="1" applyFill="1" applyBorder="1"/>
    <xf numFmtId="167" fontId="16" fillId="4" borderId="0" xfId="1" applyFont="1" applyFill="1"/>
    <xf numFmtId="167" fontId="31" fillId="4" borderId="1" xfId="0" applyNumberFormat="1" applyFont="1" applyFill="1" applyBorder="1"/>
    <xf numFmtId="167" fontId="16" fillId="4" borderId="1" xfId="0" applyNumberFormat="1" applyFont="1" applyFill="1" applyBorder="1"/>
    <xf numFmtId="167" fontId="16" fillId="4" borderId="26" xfId="0" applyNumberFormat="1" applyFont="1" applyFill="1" applyBorder="1"/>
    <xf numFmtId="167" fontId="16" fillId="4" borderId="26" xfId="1" applyFont="1" applyFill="1" applyBorder="1"/>
    <xf numFmtId="167" fontId="16" fillId="4" borderId="0" xfId="0" applyNumberFormat="1" applyFont="1" applyFill="1"/>
    <xf numFmtId="0" fontId="31" fillId="4" borderId="0" xfId="0" applyFont="1" applyFill="1" applyAlignment="1">
      <alignment wrapText="1"/>
    </xf>
    <xf numFmtId="173" fontId="16" fillId="4" borderId="0" xfId="0" applyNumberFormat="1" applyFont="1" applyFill="1"/>
    <xf numFmtId="0" fontId="16" fillId="4" borderId="1" xfId="0" applyFont="1" applyFill="1" applyBorder="1" applyAlignment="1">
      <alignment horizontal="center"/>
    </xf>
    <xf numFmtId="0" fontId="16" fillId="4" borderId="2" xfId="0" applyFont="1" applyFill="1" applyBorder="1" applyAlignment="1">
      <alignment horizontal="center"/>
    </xf>
    <xf numFmtId="0" fontId="16" fillId="4" borderId="1" xfId="3" applyFont="1" applyFill="1" applyBorder="1" applyAlignment="1">
      <alignment horizontal="left" vertical="top" wrapText="1" readingOrder="1"/>
    </xf>
    <xf numFmtId="0" fontId="16" fillId="4" borderId="1" xfId="3" applyFont="1" applyFill="1" applyBorder="1" applyAlignment="1">
      <alignment horizontal="center" vertical="top" wrapText="1" readingOrder="1"/>
    </xf>
    <xf numFmtId="0" fontId="16" fillId="4" borderId="1" xfId="3" applyFont="1" applyFill="1" applyBorder="1" applyAlignment="1">
      <alignment vertical="top" wrapText="1" readingOrder="1"/>
    </xf>
    <xf numFmtId="4" fontId="16" fillId="4" borderId="1" xfId="3" applyNumberFormat="1" applyFont="1" applyFill="1" applyBorder="1" applyAlignment="1">
      <alignment horizontal="right" vertical="top" wrapText="1" readingOrder="1"/>
    </xf>
    <xf numFmtId="167" fontId="16" fillId="4" borderId="0" xfId="1" applyFont="1" applyFill="1" applyBorder="1"/>
    <xf numFmtId="0" fontId="16" fillId="4" borderId="2" xfId="3" applyFont="1" applyFill="1" applyBorder="1">
      <alignment vertical="top"/>
    </xf>
    <xf numFmtId="0" fontId="16" fillId="4" borderId="2" xfId="3" applyFont="1" applyFill="1" applyBorder="1" applyAlignment="1">
      <alignment horizontal="center" vertical="top" wrapText="1" readingOrder="1"/>
    </xf>
    <xf numFmtId="14" fontId="16" fillId="4" borderId="2" xfId="3" applyNumberFormat="1" applyFont="1" applyFill="1" applyBorder="1" applyAlignment="1">
      <alignment horizontal="center" vertical="top" wrapText="1" readingOrder="1"/>
    </xf>
    <xf numFmtId="0" fontId="16" fillId="4" borderId="2" xfId="3" applyFont="1" applyFill="1" applyBorder="1" applyAlignment="1">
      <alignment vertical="top" wrapText="1" readingOrder="1"/>
    </xf>
    <xf numFmtId="1" fontId="16" fillId="4" borderId="2" xfId="3" applyNumberFormat="1" applyFont="1" applyFill="1" applyBorder="1" applyAlignment="1">
      <alignment horizontal="center" vertical="top" wrapText="1"/>
    </xf>
    <xf numFmtId="2" fontId="16" fillId="4" borderId="26" xfId="0" applyNumberFormat="1" applyFont="1" applyFill="1" applyBorder="1" applyAlignment="1">
      <alignment horizontal="center"/>
    </xf>
    <xf numFmtId="167" fontId="16" fillId="4" borderId="0" xfId="1" applyFont="1" applyFill="1" applyBorder="1" applyAlignment="1">
      <alignment horizontal="right"/>
    </xf>
    <xf numFmtId="0" fontId="16" fillId="4" borderId="2" xfId="0" applyFont="1" applyFill="1" applyBorder="1" applyAlignment="1">
      <alignment horizontal="right"/>
    </xf>
    <xf numFmtId="0" fontId="16" fillId="4" borderId="2" xfId="3" applyFont="1" applyFill="1" applyBorder="1" applyAlignment="1">
      <alignment horizontal="left" vertical="top" wrapText="1" readingOrder="1"/>
    </xf>
    <xf numFmtId="2" fontId="16" fillId="4" borderId="2" xfId="0" applyNumberFormat="1" applyFont="1" applyFill="1" applyBorder="1" applyAlignment="1">
      <alignment horizontal="center"/>
    </xf>
    <xf numFmtId="167" fontId="16" fillId="4" borderId="10" xfId="1" applyFont="1" applyFill="1" applyBorder="1" applyAlignment="1">
      <alignment horizontal="right"/>
    </xf>
    <xf numFmtId="0" fontId="16" fillId="3" borderId="2" xfId="0" applyFont="1" applyFill="1" applyBorder="1" applyAlignment="1">
      <alignment horizontal="center"/>
    </xf>
    <xf numFmtId="0" fontId="16" fillId="3" borderId="1" xfId="0" applyFont="1" applyFill="1" applyBorder="1"/>
    <xf numFmtId="0" fontId="16" fillId="3" borderId="2" xfId="0" applyFont="1" applyFill="1" applyBorder="1"/>
    <xf numFmtId="14" fontId="16" fillId="3" borderId="2" xfId="0" applyNumberFormat="1" applyFont="1" applyFill="1" applyBorder="1" applyAlignment="1">
      <alignment horizontal="center" vertical="top"/>
    </xf>
    <xf numFmtId="170" fontId="16" fillId="3" borderId="2" xfId="0" applyNumberFormat="1" applyFont="1" applyFill="1" applyBorder="1" applyAlignment="1">
      <alignment horizontal="center"/>
    </xf>
    <xf numFmtId="0" fontId="16" fillId="3" borderId="2" xfId="0" applyFont="1" applyFill="1" applyBorder="1" applyAlignment="1">
      <alignment readingOrder="1"/>
    </xf>
    <xf numFmtId="2" fontId="16" fillId="3" borderId="2" xfId="0" applyNumberFormat="1" applyFont="1" applyFill="1" applyBorder="1" applyAlignment="1">
      <alignment horizontal="center"/>
    </xf>
    <xf numFmtId="167" fontId="16" fillId="3" borderId="10" xfId="1" applyFont="1" applyFill="1" applyBorder="1" applyAlignment="1">
      <alignment horizontal="right"/>
    </xf>
    <xf numFmtId="173" fontId="24" fillId="9" borderId="0" xfId="0" applyNumberFormat="1" applyFont="1" applyFill="1"/>
    <xf numFmtId="13" fontId="16" fillId="0" borderId="0" xfId="1" applyNumberFormat="1" applyFont="1" applyFill="1" applyBorder="1" applyAlignment="1">
      <alignment vertical="top"/>
    </xf>
    <xf numFmtId="0" fontId="16" fillId="4" borderId="2" xfId="0" applyFont="1" applyFill="1" applyBorder="1"/>
    <xf numFmtId="14" fontId="16" fillId="4" borderId="2" xfId="0" applyNumberFormat="1" applyFont="1" applyFill="1" applyBorder="1" applyAlignment="1">
      <alignment horizontal="center" vertical="top"/>
    </xf>
    <xf numFmtId="170" fontId="24" fillId="4" borderId="2" xfId="0" applyNumberFormat="1" applyFont="1" applyFill="1" applyBorder="1" applyAlignment="1">
      <alignment horizontal="center"/>
    </xf>
    <xf numFmtId="0" fontId="16" fillId="4" borderId="2" xfId="0" applyFont="1" applyFill="1" applyBorder="1" applyAlignment="1">
      <alignment readingOrder="1"/>
    </xf>
    <xf numFmtId="14" fontId="16" fillId="4" borderId="1" xfId="3" applyNumberFormat="1" applyFont="1" applyFill="1" applyBorder="1" applyAlignment="1">
      <alignment horizontal="center" vertical="top" wrapText="1"/>
    </xf>
    <xf numFmtId="170" fontId="24" fillId="3" borderId="2" xfId="0" applyNumberFormat="1" applyFont="1" applyFill="1" applyBorder="1" applyAlignment="1">
      <alignment horizontal="center"/>
    </xf>
    <xf numFmtId="2" fontId="16" fillId="4" borderId="1" xfId="0" applyNumberFormat="1" applyFont="1" applyFill="1" applyBorder="1" applyAlignment="1">
      <alignment horizontal="center"/>
    </xf>
    <xf numFmtId="167" fontId="16" fillId="4" borderId="27" xfId="1" applyFont="1" applyFill="1" applyBorder="1" applyAlignment="1">
      <alignment horizontal="right"/>
    </xf>
    <xf numFmtId="0" fontId="16" fillId="4" borderId="1" xfId="0" applyFont="1" applyFill="1" applyBorder="1"/>
    <xf numFmtId="14" fontId="16" fillId="4" borderId="1" xfId="0" applyNumberFormat="1" applyFont="1" applyFill="1" applyBorder="1" applyAlignment="1">
      <alignment horizontal="center" vertical="top"/>
    </xf>
    <xf numFmtId="0" fontId="16" fillId="4" borderId="1" xfId="0" applyFont="1" applyFill="1" applyBorder="1" applyAlignment="1">
      <alignment readingOrder="1"/>
    </xf>
    <xf numFmtId="167" fontId="16" fillId="4" borderId="8" xfId="1" applyFont="1" applyFill="1" applyBorder="1" applyAlignment="1">
      <alignment vertical="top" wrapText="1" readingOrder="1"/>
    </xf>
    <xf numFmtId="14" fontId="16" fillId="4" borderId="2" xfId="3" applyNumberFormat="1" applyFont="1" applyFill="1" applyBorder="1" applyAlignment="1">
      <alignment horizontal="center" vertical="top" wrapText="1"/>
    </xf>
    <xf numFmtId="167" fontId="16" fillId="4" borderId="1" xfId="1" applyFont="1" applyFill="1" applyBorder="1" applyAlignment="1">
      <alignment horizontal="right"/>
    </xf>
    <xf numFmtId="170" fontId="24" fillId="4" borderId="1" xfId="0" applyNumberFormat="1" applyFont="1" applyFill="1" applyBorder="1" applyAlignment="1">
      <alignment horizontal="center"/>
    </xf>
    <xf numFmtId="0" fontId="55" fillId="4" borderId="0" xfId="0" applyFont="1" applyFill="1"/>
    <xf numFmtId="14" fontId="16" fillId="4" borderId="1" xfId="0" applyNumberFormat="1" applyFont="1" applyFill="1" applyBorder="1"/>
    <xf numFmtId="14" fontId="16" fillId="4" borderId="1" xfId="0" applyNumberFormat="1" applyFont="1" applyFill="1" applyBorder="1" applyAlignment="1">
      <alignment horizontal="center"/>
    </xf>
    <xf numFmtId="14" fontId="16" fillId="3" borderId="1" xfId="0" applyNumberFormat="1" applyFont="1" applyFill="1" applyBorder="1" applyAlignment="1">
      <alignment horizontal="center" vertical="top"/>
    </xf>
    <xf numFmtId="14" fontId="16" fillId="3" borderId="2" xfId="3" applyNumberFormat="1" applyFont="1" applyFill="1" applyBorder="1" applyAlignment="1">
      <alignment horizontal="center" vertical="top" wrapText="1"/>
    </xf>
    <xf numFmtId="0" fontId="55" fillId="3" borderId="0" xfId="0" applyFont="1" applyFill="1"/>
    <xf numFmtId="14" fontId="16" fillId="18" borderId="0" xfId="0" applyNumberFormat="1" applyFont="1" applyFill="1"/>
    <xf numFmtId="0" fontId="16" fillId="18" borderId="0" xfId="0" applyFont="1" applyFill="1"/>
    <xf numFmtId="0" fontId="16" fillId="18" borderId="1" xfId="0" applyFont="1" applyFill="1" applyBorder="1" applyAlignment="1">
      <alignment horizontal="right"/>
    </xf>
    <xf numFmtId="0" fontId="16" fillId="18" borderId="1" xfId="3" applyFont="1" applyFill="1" applyBorder="1">
      <alignment vertical="top"/>
    </xf>
    <xf numFmtId="0" fontId="16" fillId="18" borderId="1" xfId="0" applyFont="1" applyFill="1" applyBorder="1" applyAlignment="1">
      <alignment horizontal="center"/>
    </xf>
    <xf numFmtId="0" fontId="16" fillId="18" borderId="2" xfId="0" applyFont="1" applyFill="1" applyBorder="1" applyAlignment="1">
      <alignment horizontal="center"/>
    </xf>
    <xf numFmtId="0" fontId="16" fillId="18" borderId="1" xfId="3" applyFont="1" applyFill="1" applyBorder="1" applyAlignment="1">
      <alignment horizontal="center" vertical="top" wrapText="1"/>
    </xf>
    <xf numFmtId="0" fontId="16" fillId="18" borderId="1" xfId="3" applyFont="1" applyFill="1" applyBorder="1" applyAlignment="1">
      <alignment horizontal="left" vertical="top" wrapText="1" readingOrder="1"/>
    </xf>
    <xf numFmtId="0" fontId="16" fillId="18" borderId="1" xfId="3" applyFont="1" applyFill="1" applyBorder="1" applyAlignment="1">
      <alignment horizontal="center" vertical="top" wrapText="1" readingOrder="1"/>
    </xf>
    <xf numFmtId="14" fontId="16" fillId="18" borderId="1" xfId="3" applyNumberFormat="1" applyFont="1" applyFill="1" applyBorder="1" applyAlignment="1">
      <alignment horizontal="center" vertical="top" wrapText="1" readingOrder="1"/>
    </xf>
    <xf numFmtId="170" fontId="16" fillId="18" borderId="1" xfId="0" applyNumberFormat="1" applyFont="1" applyFill="1" applyBorder="1" applyAlignment="1">
      <alignment horizontal="center"/>
    </xf>
    <xf numFmtId="0" fontId="16" fillId="18" borderId="1" xfId="3" applyFont="1" applyFill="1" applyBorder="1" applyAlignment="1">
      <alignment vertical="top" wrapText="1" readingOrder="1"/>
    </xf>
    <xf numFmtId="1" fontId="16" fillId="18" borderId="1" xfId="3" applyNumberFormat="1" applyFont="1" applyFill="1" applyBorder="1" applyAlignment="1">
      <alignment horizontal="center" vertical="top" wrapText="1"/>
    </xf>
    <xf numFmtId="2" fontId="16" fillId="18" borderId="8" xfId="3" applyNumberFormat="1" applyFont="1" applyFill="1" applyBorder="1" applyAlignment="1">
      <alignment horizontal="center" vertical="top" wrapText="1"/>
    </xf>
    <xf numFmtId="2" fontId="16" fillId="18" borderId="8" xfId="0" applyNumberFormat="1" applyFont="1" applyFill="1" applyBorder="1" applyAlignment="1">
      <alignment horizontal="center"/>
    </xf>
    <xf numFmtId="4" fontId="16" fillId="18" borderId="1" xfId="3" applyNumberFormat="1" applyFont="1" applyFill="1" applyBorder="1" applyAlignment="1">
      <alignment horizontal="center" vertical="top" wrapText="1" readingOrder="1"/>
    </xf>
    <xf numFmtId="4" fontId="16" fillId="18" borderId="1" xfId="3" applyNumberFormat="1" applyFont="1" applyFill="1" applyBorder="1" applyAlignment="1">
      <alignment horizontal="right" vertical="top"/>
    </xf>
    <xf numFmtId="4" fontId="16" fillId="18" borderId="8" xfId="3" applyNumberFormat="1" applyFont="1" applyFill="1" applyBorder="1" applyAlignment="1">
      <alignment horizontal="right" vertical="top" wrapText="1" readingOrder="1"/>
    </xf>
    <xf numFmtId="167" fontId="16" fillId="18" borderId="8" xfId="1" applyFont="1" applyFill="1" applyBorder="1" applyAlignment="1">
      <alignment horizontal="right"/>
    </xf>
    <xf numFmtId="167" fontId="16" fillId="18" borderId="8" xfId="1" applyFont="1" applyFill="1" applyBorder="1" applyAlignment="1">
      <alignment vertical="top" wrapText="1" readingOrder="1"/>
    </xf>
    <xf numFmtId="167" fontId="16" fillId="18" borderId="28" xfId="1" applyFont="1" applyFill="1" applyBorder="1" applyAlignment="1">
      <alignment horizontal="right" vertical="top"/>
    </xf>
    <xf numFmtId="167" fontId="16" fillId="18" borderId="1" xfId="1" applyFont="1" applyFill="1" applyBorder="1" applyAlignment="1">
      <alignment horizontal="right" vertical="top"/>
    </xf>
    <xf numFmtId="167" fontId="16" fillId="18" borderId="1" xfId="1" applyFont="1" applyFill="1" applyBorder="1"/>
    <xf numFmtId="167" fontId="16" fillId="18" borderId="0" xfId="1" applyFont="1" applyFill="1"/>
    <xf numFmtId="167" fontId="31" fillId="18" borderId="1" xfId="0" applyNumberFormat="1" applyFont="1" applyFill="1" applyBorder="1"/>
    <xf numFmtId="167" fontId="16" fillId="18" borderId="1" xfId="0" applyNumberFormat="1" applyFont="1" applyFill="1" applyBorder="1"/>
    <xf numFmtId="167" fontId="16" fillId="18" borderId="26" xfId="0" applyNumberFormat="1" applyFont="1" applyFill="1" applyBorder="1"/>
    <xf numFmtId="167" fontId="16" fillId="18" borderId="26" xfId="1" applyFont="1" applyFill="1" applyBorder="1"/>
    <xf numFmtId="167" fontId="16" fillId="18" borderId="0" xfId="0" applyNumberFormat="1" applyFont="1" applyFill="1"/>
    <xf numFmtId="173" fontId="16" fillId="18" borderId="0" xfId="0" applyNumberFormat="1" applyFont="1" applyFill="1"/>
    <xf numFmtId="1" fontId="16" fillId="0" borderId="10" xfId="3" applyNumberFormat="1" applyFont="1" applyBorder="1" applyAlignment="1">
      <alignment horizontal="center" vertical="top" wrapText="1"/>
    </xf>
    <xf numFmtId="2" fontId="16" fillId="0" borderId="10" xfId="1" applyNumberFormat="1" applyFont="1" applyFill="1" applyBorder="1" applyAlignment="1">
      <alignment horizontal="center"/>
    </xf>
    <xf numFmtId="167" fontId="16" fillId="0" borderId="10" xfId="1" applyFont="1" applyFill="1" applyBorder="1" applyAlignment="1">
      <alignment vertical="top"/>
    </xf>
    <xf numFmtId="167" fontId="31" fillId="0" borderId="10" xfId="0" applyNumberFormat="1" applyFont="1" applyBorder="1"/>
    <xf numFmtId="167" fontId="16" fillId="0" borderId="10" xfId="0" applyNumberFormat="1" applyFont="1" applyBorder="1"/>
    <xf numFmtId="173" fontId="16" fillId="0" borderId="29" xfId="1" applyNumberFormat="1" applyFont="1" applyFill="1" applyBorder="1"/>
    <xf numFmtId="0" fontId="16" fillId="4" borderId="26" xfId="0" applyFont="1" applyFill="1" applyBorder="1" applyAlignment="1">
      <alignment horizontal="center"/>
    </xf>
    <xf numFmtId="14" fontId="22" fillId="0" borderId="2" xfId="3" applyNumberFormat="1" applyFont="1" applyBorder="1" applyAlignment="1">
      <alignment horizontal="center" vertical="top" wrapText="1"/>
    </xf>
    <xf numFmtId="1" fontId="22" fillId="0" borderId="1" xfId="3" applyNumberFormat="1" applyFont="1" applyBorder="1" applyAlignment="1">
      <alignment horizontal="center" vertical="top" wrapText="1"/>
    </xf>
    <xf numFmtId="14" fontId="22" fillId="0" borderId="1" xfId="3" applyNumberFormat="1" applyFont="1" applyBorder="1" applyAlignment="1">
      <alignment horizontal="center" vertical="top" wrapText="1" readingOrder="1"/>
    </xf>
    <xf numFmtId="1" fontId="22" fillId="0" borderId="2" xfId="3" applyNumberFormat="1" applyFont="1" applyBorder="1" applyAlignment="1">
      <alignment horizontal="center" vertical="top" wrapText="1"/>
    </xf>
    <xf numFmtId="2" fontId="22" fillId="0" borderId="1" xfId="3" applyNumberFormat="1" applyFont="1" applyBorder="1" applyAlignment="1">
      <alignment horizontal="center" vertical="top" wrapText="1"/>
    </xf>
    <xf numFmtId="14" fontId="37" fillId="0" borderId="1" xfId="3" applyNumberFormat="1" applyFont="1" applyBorder="1" applyAlignment="1">
      <alignment horizontal="center" vertical="top" wrapText="1"/>
    </xf>
    <xf numFmtId="167" fontId="24" fillId="4" borderId="1" xfId="1" applyFont="1" applyFill="1" applyBorder="1" applyAlignment="1">
      <alignment horizontal="center"/>
    </xf>
    <xf numFmtId="167" fontId="25" fillId="4" borderId="1" xfId="1" applyFont="1" applyFill="1" applyBorder="1" applyAlignment="1">
      <alignment horizontal="center"/>
    </xf>
    <xf numFmtId="14" fontId="24" fillId="4" borderId="1" xfId="3" applyNumberFormat="1" applyFont="1" applyFill="1" applyBorder="1" applyAlignment="1">
      <alignment horizontal="center" vertical="top" wrapText="1"/>
    </xf>
    <xf numFmtId="0" fontId="16" fillId="4" borderId="1" xfId="3" applyFont="1" applyFill="1" applyBorder="1" applyAlignment="1">
      <alignment horizontal="right" vertical="top"/>
    </xf>
    <xf numFmtId="0" fontId="16" fillId="4" borderId="1" xfId="3" applyFont="1" applyFill="1" applyBorder="1" applyAlignment="1">
      <alignment horizontal="center" vertical="top"/>
    </xf>
    <xf numFmtId="0" fontId="16" fillId="4" borderId="1" xfId="3" applyFont="1" applyFill="1" applyBorder="1" applyAlignment="1">
      <alignment horizontal="center" vertical="center"/>
    </xf>
    <xf numFmtId="0" fontId="16" fillId="4" borderId="1" xfId="12" applyFont="1" applyFill="1" applyBorder="1" applyAlignment="1">
      <alignment horizontal="left" vertical="top"/>
    </xf>
    <xf numFmtId="0" fontId="16" fillId="4" borderId="1" xfId="3" applyFont="1" applyFill="1" applyBorder="1" applyAlignment="1">
      <alignment vertical="top" wrapText="1"/>
    </xf>
    <xf numFmtId="2" fontId="16" fillId="4" borderId="1" xfId="3" applyNumberFormat="1" applyFont="1" applyFill="1" applyBorder="1" applyAlignment="1">
      <alignment horizontal="center"/>
    </xf>
    <xf numFmtId="0" fontId="16" fillId="4" borderId="1" xfId="3" applyFont="1" applyFill="1" applyBorder="1" applyAlignment="1">
      <alignment horizontal="left" vertical="top" wrapText="1"/>
    </xf>
    <xf numFmtId="0" fontId="16" fillId="4" borderId="1" xfId="7" applyFont="1" applyFill="1" applyBorder="1" applyAlignment="1">
      <alignment horizontal="left" vertical="top"/>
    </xf>
    <xf numFmtId="0" fontId="16" fillId="4" borderId="1" xfId="7" applyFont="1" applyFill="1" applyBorder="1" applyAlignment="1">
      <alignment horizontal="center" vertical="top"/>
    </xf>
    <xf numFmtId="14" fontId="16" fillId="4" borderId="1" xfId="7" applyNumberFormat="1" applyFont="1" applyFill="1" applyBorder="1" applyAlignment="1">
      <alignment horizontal="center" vertical="top"/>
    </xf>
    <xf numFmtId="170" fontId="25" fillId="4" borderId="1" xfId="0" applyNumberFormat="1" applyFont="1" applyFill="1" applyBorder="1" applyAlignment="1">
      <alignment horizontal="center"/>
    </xf>
    <xf numFmtId="14" fontId="31" fillId="4" borderId="0" xfId="1" applyNumberFormat="1" applyFont="1" applyFill="1"/>
    <xf numFmtId="0" fontId="16" fillId="4" borderId="2" xfId="1" applyNumberFormat="1" applyFont="1" applyFill="1" applyBorder="1" applyAlignment="1">
      <alignment horizontal="right"/>
    </xf>
    <xf numFmtId="0" fontId="16" fillId="4" borderId="2" xfId="1" applyNumberFormat="1" applyFont="1" applyFill="1" applyBorder="1"/>
    <xf numFmtId="0" fontId="16" fillId="4" borderId="2" xfId="1" applyNumberFormat="1" applyFont="1" applyFill="1" applyBorder="1" applyAlignment="1">
      <alignment horizontal="center"/>
    </xf>
    <xf numFmtId="167" fontId="16" fillId="4" borderId="2" xfId="1" applyFont="1" applyFill="1" applyBorder="1" applyAlignment="1">
      <alignment horizontal="center"/>
    </xf>
    <xf numFmtId="167" fontId="16" fillId="4" borderId="2" xfId="1" applyFont="1" applyFill="1" applyBorder="1"/>
    <xf numFmtId="14" fontId="16" fillId="4" borderId="2" xfId="1" applyNumberFormat="1" applyFont="1" applyFill="1" applyBorder="1" applyAlignment="1">
      <alignment horizontal="center"/>
    </xf>
    <xf numFmtId="170" fontId="16" fillId="4" borderId="2" xfId="0" applyNumberFormat="1" applyFont="1" applyFill="1" applyBorder="1" applyAlignment="1">
      <alignment horizontal="center"/>
    </xf>
    <xf numFmtId="167" fontId="25" fillId="4" borderId="2" xfId="1" applyFont="1" applyFill="1" applyBorder="1" applyAlignment="1">
      <alignment horizontal="center"/>
    </xf>
    <xf numFmtId="14" fontId="16" fillId="4" borderId="2" xfId="1" applyNumberFormat="1" applyFont="1" applyFill="1" applyBorder="1" applyAlignment="1">
      <alignment horizontal="center" vertical="top" wrapText="1"/>
    </xf>
    <xf numFmtId="1" fontId="16" fillId="4" borderId="12" xfId="3" applyNumberFormat="1" applyFont="1" applyFill="1" applyBorder="1" applyAlignment="1">
      <alignment horizontal="center" vertical="top" wrapText="1"/>
    </xf>
    <xf numFmtId="2" fontId="16" fillId="4" borderId="26" xfId="3" applyNumberFormat="1" applyFont="1" applyFill="1" applyBorder="1" applyAlignment="1">
      <alignment horizontal="center" vertical="top" wrapText="1"/>
    </xf>
    <xf numFmtId="2" fontId="16" fillId="4" borderId="2" xfId="1" applyNumberFormat="1" applyFont="1" applyFill="1" applyBorder="1" applyAlignment="1">
      <alignment horizontal="center"/>
    </xf>
    <xf numFmtId="167" fontId="16" fillId="4" borderId="2" xfId="1" applyFont="1" applyFill="1" applyBorder="1" applyAlignment="1">
      <alignment vertical="top"/>
    </xf>
    <xf numFmtId="167" fontId="16" fillId="4" borderId="2" xfId="1" applyFont="1" applyFill="1" applyBorder="1" applyAlignment="1">
      <alignment horizontal="right" vertical="top"/>
    </xf>
    <xf numFmtId="173" fontId="16" fillId="4" borderId="0" xfId="1" applyNumberFormat="1" applyFont="1" applyFill="1" applyBorder="1"/>
    <xf numFmtId="0" fontId="16" fillId="4" borderId="1" xfId="3" applyFont="1" applyFill="1" applyBorder="1" applyAlignment="1">
      <alignment horizontal="left" vertical="top"/>
    </xf>
    <xf numFmtId="14" fontId="16" fillId="4" borderId="1" xfId="3" applyNumberFormat="1" applyFont="1" applyFill="1" applyBorder="1" applyAlignment="1">
      <alignment horizontal="center" vertical="top"/>
    </xf>
    <xf numFmtId="0" fontId="16" fillId="4" borderId="1" xfId="3" applyFont="1" applyFill="1" applyBorder="1" applyAlignment="1">
      <alignment vertical="top" readingOrder="1"/>
    </xf>
    <xf numFmtId="2" fontId="16" fillId="4" borderId="1" xfId="3" applyNumberFormat="1" applyFont="1" applyFill="1" applyBorder="1">
      <alignment vertical="top"/>
    </xf>
    <xf numFmtId="1" fontId="16" fillId="4" borderId="4" xfId="3" applyNumberFormat="1" applyFont="1" applyFill="1" applyBorder="1" applyAlignment="1">
      <alignment horizontal="center" vertical="top" wrapText="1"/>
    </xf>
    <xf numFmtId="2" fontId="16" fillId="4" borderId="1" xfId="3" applyNumberFormat="1" applyFont="1" applyFill="1" applyBorder="1" applyAlignment="1">
      <alignment horizontal="center" vertical="top"/>
    </xf>
    <xf numFmtId="4" fontId="16" fillId="4" borderId="1" xfId="3" applyNumberFormat="1" applyFont="1" applyFill="1" applyBorder="1">
      <alignment vertical="top"/>
    </xf>
    <xf numFmtId="4" fontId="16" fillId="4" borderId="1" xfId="3" applyNumberFormat="1" applyFont="1" applyFill="1" applyBorder="1" applyAlignment="1">
      <alignment horizontal="left" vertical="top"/>
    </xf>
    <xf numFmtId="167" fontId="16" fillId="4" borderId="1" xfId="1" applyFont="1" applyFill="1" applyBorder="1" applyAlignment="1">
      <alignment vertical="top"/>
    </xf>
    <xf numFmtId="0" fontId="16" fillId="4" borderId="1" xfId="1" applyNumberFormat="1" applyFont="1" applyFill="1" applyBorder="1" applyAlignment="1">
      <alignment horizontal="right"/>
    </xf>
    <xf numFmtId="0" fontId="16" fillId="4" borderId="1" xfId="1" applyNumberFormat="1" applyFont="1" applyFill="1" applyBorder="1"/>
    <xf numFmtId="0" fontId="16" fillId="4" borderId="1" xfId="1" applyNumberFormat="1" applyFont="1" applyFill="1" applyBorder="1" applyAlignment="1">
      <alignment horizontal="center"/>
    </xf>
    <xf numFmtId="167" fontId="16" fillId="4" borderId="1" xfId="1" applyFont="1" applyFill="1" applyBorder="1" applyAlignment="1">
      <alignment horizontal="center"/>
    </xf>
    <xf numFmtId="14" fontId="16" fillId="4" borderId="1" xfId="1" applyNumberFormat="1" applyFont="1" applyFill="1" applyBorder="1" applyAlignment="1">
      <alignment horizontal="center"/>
    </xf>
    <xf numFmtId="14" fontId="16" fillId="4" borderId="1" xfId="1" applyNumberFormat="1" applyFont="1" applyFill="1" applyBorder="1" applyAlignment="1">
      <alignment horizontal="center" vertical="top" wrapText="1"/>
    </xf>
    <xf numFmtId="167" fontId="16" fillId="4" borderId="1" xfId="1" applyFont="1" applyFill="1" applyBorder="1" applyAlignment="1">
      <alignment horizontal="center" vertical="top" wrapText="1"/>
    </xf>
    <xf numFmtId="2" fontId="16" fillId="4" borderId="1" xfId="1" applyNumberFormat="1" applyFont="1" applyFill="1" applyBorder="1" applyAlignment="1">
      <alignment horizontal="center"/>
    </xf>
    <xf numFmtId="0" fontId="17" fillId="4" borderId="1" xfId="3" applyFill="1" applyBorder="1">
      <alignment vertical="top"/>
    </xf>
    <xf numFmtId="14" fontId="16" fillId="4" borderId="10" xfId="1" applyNumberFormat="1" applyFont="1" applyFill="1" applyBorder="1" applyAlignment="1">
      <alignment horizontal="center" vertical="top" wrapText="1"/>
    </xf>
    <xf numFmtId="167" fontId="16" fillId="4" borderId="10" xfId="1" applyFont="1" applyFill="1" applyBorder="1"/>
    <xf numFmtId="14" fontId="24" fillId="4" borderId="1" xfId="3" applyNumberFormat="1" applyFont="1" applyFill="1" applyBorder="1" applyAlignment="1">
      <alignment horizontal="center" vertical="top" wrapText="1" readingOrder="1"/>
    </xf>
    <xf numFmtId="0" fontId="24" fillId="4" borderId="0" xfId="0" applyFont="1" applyFill="1"/>
    <xf numFmtId="14" fontId="16" fillId="3" borderId="2" xfId="3" applyNumberFormat="1" applyFont="1" applyFill="1" applyBorder="1" applyAlignment="1">
      <alignment horizontal="center" vertical="top" wrapText="1" readingOrder="1"/>
    </xf>
    <xf numFmtId="0" fontId="16" fillId="3" borderId="1" xfId="3" applyFont="1" applyFill="1" applyBorder="1" applyAlignment="1">
      <alignment horizontal="right" vertical="top"/>
    </xf>
    <xf numFmtId="0" fontId="16" fillId="3" borderId="1" xfId="3" applyFont="1" applyFill="1" applyBorder="1" applyAlignment="1">
      <alignment horizontal="center" vertical="top"/>
    </xf>
    <xf numFmtId="0" fontId="16" fillId="3" borderId="1" xfId="11" applyFont="1" applyFill="1" applyBorder="1" applyAlignment="1">
      <alignment horizontal="left" vertical="top"/>
    </xf>
    <xf numFmtId="0" fontId="16" fillId="3" borderId="1" xfId="11" applyFont="1" applyFill="1" applyBorder="1" applyAlignment="1">
      <alignment horizontal="center" vertical="top"/>
    </xf>
    <xf numFmtId="14" fontId="16" fillId="3" borderId="1" xfId="11" applyNumberFormat="1" applyFont="1" applyFill="1" applyBorder="1" applyAlignment="1">
      <alignment horizontal="center" vertical="top"/>
    </xf>
    <xf numFmtId="1" fontId="16" fillId="3" borderId="1" xfId="11" applyNumberFormat="1" applyFont="1" applyFill="1" applyBorder="1" applyAlignment="1">
      <alignment horizontal="right" vertical="top"/>
    </xf>
    <xf numFmtId="0" fontId="16" fillId="3" borderId="1" xfId="3" applyFont="1" applyFill="1" applyBorder="1" applyAlignment="1">
      <alignment horizontal="center" vertical="center"/>
    </xf>
    <xf numFmtId="0" fontId="16" fillId="3" borderId="0" xfId="3" applyFont="1" applyFill="1" applyAlignment="1">
      <alignment vertical="top" wrapText="1"/>
    </xf>
    <xf numFmtId="0" fontId="16" fillId="3" borderId="1" xfId="3" applyFont="1" applyFill="1" applyBorder="1" applyAlignment="1">
      <alignment vertical="top" wrapText="1"/>
    </xf>
    <xf numFmtId="2" fontId="16" fillId="3" borderId="1" xfId="3" applyNumberFormat="1" applyFont="1" applyFill="1" applyBorder="1" applyAlignment="1">
      <alignment horizontal="center" vertical="center"/>
    </xf>
    <xf numFmtId="14" fontId="16" fillId="3" borderId="1" xfId="0" applyNumberFormat="1" applyFont="1" applyFill="1" applyBorder="1" applyAlignment="1">
      <alignment horizontal="center"/>
    </xf>
    <xf numFmtId="0" fontId="16" fillId="3" borderId="1" xfId="7" applyFont="1" applyFill="1" applyBorder="1" applyAlignment="1">
      <alignment horizontal="center" vertical="top"/>
    </xf>
    <xf numFmtId="14" fontId="16" fillId="3" borderId="1" xfId="7" applyNumberFormat="1" applyFont="1" applyFill="1" applyBorder="1" applyAlignment="1">
      <alignment horizontal="center" vertical="top"/>
    </xf>
    <xf numFmtId="4" fontId="16" fillId="0" borderId="10" xfId="3" applyNumberFormat="1" applyFont="1" applyBorder="1">
      <alignment vertical="top"/>
    </xf>
    <xf numFmtId="14" fontId="17" fillId="0" borderId="1" xfId="12" applyNumberFormat="1" applyBorder="1">
      <alignment vertical="top"/>
    </xf>
    <xf numFmtId="2" fontId="16" fillId="0" borderId="0" xfId="3" applyNumberFormat="1" applyFont="1" applyAlignment="1">
      <alignment horizontal="center" vertical="top" wrapText="1"/>
    </xf>
    <xf numFmtId="0" fontId="16" fillId="0" borderId="0" xfId="0" applyFont="1" applyAlignment="1">
      <alignment wrapText="1"/>
    </xf>
    <xf numFmtId="171" fontId="16" fillId="0" borderId="2" xfId="1" applyNumberFormat="1" applyFont="1" applyFill="1" applyBorder="1" applyAlignment="1">
      <alignment horizontal="center"/>
    </xf>
    <xf numFmtId="0" fontId="24" fillId="0" borderId="0" xfId="12" applyFont="1">
      <alignment vertical="top"/>
    </xf>
    <xf numFmtId="40" fontId="17" fillId="0" borderId="0" xfId="12" applyNumberFormat="1">
      <alignment vertical="top"/>
    </xf>
    <xf numFmtId="0" fontId="17" fillId="3" borderId="0" xfId="12" applyFill="1">
      <alignment vertical="top"/>
    </xf>
    <xf numFmtId="1" fontId="17" fillId="0" borderId="0" xfId="12" applyNumberFormat="1">
      <alignment vertical="top"/>
    </xf>
    <xf numFmtId="169" fontId="17" fillId="0" borderId="0" xfId="12" applyNumberFormat="1">
      <alignment vertical="top"/>
    </xf>
    <xf numFmtId="2" fontId="17" fillId="0" borderId="0" xfId="12" applyNumberFormat="1">
      <alignment vertical="top"/>
    </xf>
    <xf numFmtId="173" fontId="17" fillId="0" borderId="0" xfId="12" applyNumberFormat="1">
      <alignment vertical="top"/>
    </xf>
    <xf numFmtId="174" fontId="17" fillId="0" borderId="0" xfId="12" applyNumberFormat="1">
      <alignment vertical="top"/>
    </xf>
    <xf numFmtId="0" fontId="17" fillId="20" borderId="0" xfId="12" applyFill="1" applyAlignment="1">
      <alignment horizontal="center" vertical="top"/>
    </xf>
    <xf numFmtId="167" fontId="17" fillId="0" borderId="0" xfId="60" applyFont="1" applyBorder="1" applyAlignment="1">
      <alignment vertical="top"/>
    </xf>
    <xf numFmtId="0" fontId="39" fillId="0" borderId="0" xfId="12" applyFont="1">
      <alignment vertical="top"/>
    </xf>
    <xf numFmtId="0" fontId="16" fillId="0" borderId="0" xfId="12" applyFont="1">
      <alignment vertical="top"/>
    </xf>
    <xf numFmtId="0" fontId="34" fillId="0" borderId="0" xfId="12" applyFont="1" applyAlignment="1">
      <alignment vertical="top" wrapText="1"/>
    </xf>
    <xf numFmtId="40" fontId="34" fillId="0" borderId="0" xfId="12" applyNumberFormat="1" applyFont="1" applyAlignment="1">
      <alignment vertical="top" wrapText="1"/>
    </xf>
    <xf numFmtId="0" fontId="17" fillId="8" borderId="1" xfId="12" applyFill="1" applyBorder="1">
      <alignment vertical="top"/>
    </xf>
    <xf numFmtId="0" fontId="17" fillId="8" borderId="3" xfId="12" applyFill="1" applyBorder="1">
      <alignment vertical="top"/>
    </xf>
    <xf numFmtId="0" fontId="17" fillId="8" borderId="17" xfId="12" applyFill="1" applyBorder="1">
      <alignment vertical="top"/>
    </xf>
    <xf numFmtId="0" fontId="34" fillId="20" borderId="4" xfId="12" applyFont="1" applyFill="1" applyBorder="1">
      <alignment vertical="top"/>
    </xf>
    <xf numFmtId="0" fontId="17" fillId="2" borderId="4" xfId="12" applyFill="1" applyBorder="1">
      <alignment vertical="top"/>
    </xf>
    <xf numFmtId="167" fontId="17" fillId="0" borderId="1" xfId="60" applyFont="1" applyFill="1" applyBorder="1" applyAlignment="1">
      <alignment vertical="top"/>
    </xf>
    <xf numFmtId="0" fontId="40" fillId="0" borderId="0" xfId="12" applyFont="1">
      <alignment vertical="top"/>
    </xf>
    <xf numFmtId="0" fontId="16" fillId="0" borderId="0" xfId="12" applyFont="1" applyAlignment="1">
      <alignment vertical="top" wrapText="1"/>
    </xf>
    <xf numFmtId="0" fontId="24" fillId="0" borderId="0" xfId="12" applyFont="1" applyAlignment="1">
      <alignment vertical="top" wrapText="1"/>
    </xf>
    <xf numFmtId="0" fontId="39" fillId="12" borderId="1" xfId="12" applyFont="1" applyFill="1" applyBorder="1" applyAlignment="1">
      <alignment vertical="top" wrapText="1"/>
    </xf>
    <xf numFmtId="0" fontId="17" fillId="12" borderId="1" xfId="12" applyFill="1" applyBorder="1">
      <alignment vertical="top"/>
    </xf>
    <xf numFmtId="0" fontId="17" fillId="12" borderId="1" xfId="12" applyFill="1" applyBorder="1" applyAlignment="1">
      <alignment vertical="top" wrapText="1"/>
    </xf>
    <xf numFmtId="0" fontId="39" fillId="12" borderId="1" xfId="12" applyFont="1" applyFill="1" applyBorder="1">
      <alignment vertical="top"/>
    </xf>
    <xf numFmtId="40" fontId="17" fillId="12" borderId="1" xfId="12" applyNumberFormat="1" applyFill="1" applyBorder="1" applyAlignment="1">
      <alignment vertical="top" wrapText="1"/>
    </xf>
    <xf numFmtId="1" fontId="17" fillId="12" borderId="1" xfId="12" applyNumberFormat="1" applyFill="1" applyBorder="1" applyAlignment="1">
      <alignment vertical="top" wrapText="1"/>
    </xf>
    <xf numFmtId="169" fontId="17" fillId="12" borderId="1" xfId="12" applyNumberFormat="1" applyFill="1" applyBorder="1" applyAlignment="1">
      <alignment vertical="top" wrapText="1"/>
    </xf>
    <xf numFmtId="2" fontId="17" fillId="12" borderId="1" xfId="12" applyNumberFormat="1" applyFill="1" applyBorder="1" applyAlignment="1">
      <alignment vertical="top" wrapText="1"/>
    </xf>
    <xf numFmtId="173" fontId="17" fillId="12" borderId="1" xfId="12" applyNumberFormat="1" applyFill="1" applyBorder="1" applyAlignment="1">
      <alignment vertical="top" wrapText="1"/>
    </xf>
    <xf numFmtId="0" fontId="24" fillId="12" borderId="1" xfId="12" applyFont="1" applyFill="1" applyBorder="1">
      <alignment vertical="top"/>
    </xf>
    <xf numFmtId="167" fontId="17" fillId="2" borderId="1" xfId="12" applyNumberFormat="1" applyFill="1" applyBorder="1" applyAlignment="1">
      <alignment horizontal="center" vertical="top" wrapText="1"/>
    </xf>
    <xf numFmtId="174" fontId="17" fillId="21" borderId="1" xfId="12" applyNumberFormat="1" applyFill="1" applyBorder="1" applyAlignment="1">
      <alignment horizontal="center" vertical="top" wrapText="1"/>
    </xf>
    <xf numFmtId="174" fontId="17" fillId="21" borderId="10" xfId="12" applyNumberFormat="1" applyFill="1" applyBorder="1" applyAlignment="1">
      <alignment horizontal="center" vertical="top" wrapText="1"/>
    </xf>
    <xf numFmtId="174" fontId="17" fillId="2" borderId="10" xfId="12" applyNumberFormat="1" applyFill="1" applyBorder="1" applyAlignment="1">
      <alignment horizontal="center" vertical="top" wrapText="1"/>
    </xf>
    <xf numFmtId="174" fontId="17" fillId="2" borderId="1" xfId="12" applyNumberFormat="1" applyFill="1" applyBorder="1" applyAlignment="1">
      <alignment horizontal="center" vertical="top" wrapText="1"/>
    </xf>
    <xf numFmtId="174" fontId="17" fillId="0" borderId="10" xfId="12" applyNumberFormat="1" applyBorder="1" applyAlignment="1">
      <alignment horizontal="center" vertical="top" wrapText="1"/>
    </xf>
    <xf numFmtId="167" fontId="17" fillId="2" borderId="31" xfId="12" applyNumberFormat="1" applyFill="1" applyBorder="1" applyAlignment="1">
      <alignment horizontal="center" vertical="top" wrapText="1"/>
    </xf>
    <xf numFmtId="174" fontId="17" fillId="2" borderId="43" xfId="12" applyNumberFormat="1" applyFill="1" applyBorder="1" applyAlignment="1">
      <alignment horizontal="center" vertical="top" wrapText="1"/>
    </xf>
    <xf numFmtId="167" fontId="17" fillId="2" borderId="43" xfId="12" applyNumberFormat="1" applyFill="1" applyBorder="1" applyAlignment="1">
      <alignment horizontal="center" vertical="top" wrapText="1"/>
    </xf>
    <xf numFmtId="167" fontId="17" fillId="2" borderId="44" xfId="12" applyNumberFormat="1" applyFill="1" applyBorder="1" applyAlignment="1">
      <alignment horizontal="center" vertical="top" wrapText="1"/>
    </xf>
    <xf numFmtId="174" fontId="17" fillId="22" borderId="31" xfId="12" applyNumberFormat="1" applyFill="1" applyBorder="1" applyAlignment="1">
      <alignment horizontal="center" vertical="top" wrapText="1"/>
    </xf>
    <xf numFmtId="174" fontId="17" fillId="22" borderId="43" xfId="12" applyNumberFormat="1" applyFill="1" applyBorder="1" applyAlignment="1">
      <alignment horizontal="center" vertical="top" wrapText="1"/>
    </xf>
    <xf numFmtId="167" fontId="17" fillId="22" borderId="43" xfId="12" applyNumberFormat="1" applyFill="1" applyBorder="1" applyAlignment="1">
      <alignment horizontal="center" vertical="top" wrapText="1"/>
    </xf>
    <xf numFmtId="167" fontId="17" fillId="22" borderId="44" xfId="12" applyNumberFormat="1" applyFill="1" applyBorder="1" applyAlignment="1">
      <alignment horizontal="center" vertical="top" wrapText="1"/>
    </xf>
    <xf numFmtId="0" fontId="17" fillId="22" borderId="32" xfId="12" applyFill="1" applyBorder="1">
      <alignment vertical="top"/>
    </xf>
    <xf numFmtId="0" fontId="34" fillId="20" borderId="16" xfId="12" applyFont="1" applyFill="1" applyBorder="1">
      <alignment vertical="top"/>
    </xf>
    <xf numFmtId="0" fontId="17" fillId="2" borderId="4" xfId="12" applyFill="1" applyBorder="1" applyAlignment="1">
      <alignment vertical="top" wrapText="1"/>
    </xf>
    <xf numFmtId="0" fontId="17" fillId="0" borderId="1" xfId="60" applyNumberFormat="1" applyFont="1" applyFill="1" applyBorder="1" applyAlignment="1">
      <alignment vertical="top"/>
    </xf>
    <xf numFmtId="0" fontId="17" fillId="0" borderId="1" xfId="60" applyNumberFormat="1" applyFont="1" applyFill="1" applyBorder="1" applyAlignment="1">
      <alignment vertical="top" wrapText="1"/>
    </xf>
    <xf numFmtId="0" fontId="19" fillId="0" borderId="1" xfId="12" applyFont="1" applyBorder="1" applyAlignment="1">
      <alignment horizontal="center" vertical="center" wrapText="1"/>
    </xf>
    <xf numFmtId="0" fontId="59" fillId="0" borderId="0" xfId="12" applyFont="1" applyAlignment="1">
      <alignment vertical="top" wrapText="1"/>
    </xf>
    <xf numFmtId="0" fontId="59" fillId="0" borderId="0" xfId="12" applyFont="1">
      <alignment vertical="top"/>
    </xf>
    <xf numFmtId="0" fontId="60" fillId="0" borderId="0" xfId="12" applyFont="1" applyAlignment="1">
      <alignment vertical="top" wrapText="1"/>
    </xf>
    <xf numFmtId="0" fontId="60" fillId="0" borderId="0" xfId="12" applyFont="1">
      <alignment vertical="top"/>
    </xf>
    <xf numFmtId="0" fontId="16" fillId="0" borderId="0" xfId="12" applyFont="1" applyAlignment="1">
      <alignment horizontal="center" vertical="center" wrapText="1"/>
    </xf>
    <xf numFmtId="0" fontId="24" fillId="0" borderId="0" xfId="12" applyFont="1" applyAlignment="1">
      <alignment horizontal="center" vertical="center" wrapText="1"/>
    </xf>
    <xf numFmtId="0" fontId="17" fillId="0" borderId="0" xfId="12" applyAlignment="1">
      <alignment vertical="top" wrapText="1"/>
    </xf>
    <xf numFmtId="0" fontId="24" fillId="0" borderId="24" xfId="12" applyFont="1" applyBorder="1" applyAlignment="1">
      <alignment vertical="top" wrapText="1"/>
    </xf>
    <xf numFmtId="0" fontId="19" fillId="0" borderId="8" xfId="12" applyFont="1" applyBorder="1" applyAlignment="1">
      <alignment vertical="top" wrapText="1"/>
    </xf>
    <xf numFmtId="0" fontId="19" fillId="2" borderId="8" xfId="12" applyFont="1" applyFill="1" applyBorder="1" applyAlignment="1">
      <alignment vertical="top" wrapText="1"/>
    </xf>
    <xf numFmtId="0" fontId="17" fillId="0" borderId="2" xfId="12" applyBorder="1" applyAlignment="1">
      <alignment horizontal="center" vertical="top" wrapText="1"/>
    </xf>
    <xf numFmtId="173" fontId="19" fillId="0" borderId="8" xfId="12" applyNumberFormat="1" applyFont="1" applyBorder="1" applyAlignment="1">
      <alignment vertical="top" wrapText="1"/>
    </xf>
    <xf numFmtId="173" fontId="19" fillId="2" borderId="8" xfId="12" applyNumberFormat="1" applyFont="1" applyFill="1" applyBorder="1" applyAlignment="1">
      <alignment vertical="top" wrapText="1"/>
    </xf>
    <xf numFmtId="173" fontId="17" fillId="0" borderId="0" xfId="12" applyNumberFormat="1" applyAlignment="1">
      <alignment vertical="top" wrapText="1"/>
    </xf>
    <xf numFmtId="173" fontId="31" fillId="2" borderId="8" xfId="12" applyNumberFormat="1" applyFont="1" applyFill="1" applyBorder="1" applyAlignment="1">
      <alignment vertical="top" wrapText="1"/>
    </xf>
    <xf numFmtId="0" fontId="19" fillId="0" borderId="0" xfId="12" applyFont="1" applyAlignment="1">
      <alignment vertical="top" wrapText="1"/>
    </xf>
    <xf numFmtId="173" fontId="19" fillId="0" borderId="0" xfId="12" applyNumberFormat="1" applyFont="1" applyAlignment="1">
      <alignment vertical="top" wrapText="1"/>
    </xf>
    <xf numFmtId="0" fontId="17" fillId="0" borderId="1" xfId="12" applyBorder="1" applyAlignment="1">
      <alignment vertical="top" wrapText="1"/>
    </xf>
    <xf numFmtId="169" fontId="17" fillId="0" borderId="1" xfId="12" applyNumberFormat="1" applyBorder="1">
      <alignment vertical="top"/>
    </xf>
    <xf numFmtId="170" fontId="17" fillId="0" borderId="1" xfId="12" applyNumberFormat="1" applyBorder="1">
      <alignment vertical="top"/>
    </xf>
    <xf numFmtId="40" fontId="17" fillId="0" borderId="1" xfId="12" applyNumberFormat="1" applyBorder="1" applyAlignment="1">
      <alignment vertical="top" wrapText="1"/>
    </xf>
    <xf numFmtId="14" fontId="17" fillId="0" borderId="1" xfId="12" applyNumberFormat="1" applyBorder="1" applyAlignment="1">
      <alignment vertical="top" wrapText="1"/>
    </xf>
    <xf numFmtId="1" fontId="17" fillId="0" borderId="1" xfId="12" applyNumberFormat="1" applyBorder="1" applyAlignment="1">
      <alignment vertical="top" wrapText="1"/>
    </xf>
    <xf numFmtId="169" fontId="17" fillId="0" borderId="1" xfId="12" applyNumberFormat="1" applyBorder="1" applyAlignment="1">
      <alignment vertical="top" wrapText="1"/>
    </xf>
    <xf numFmtId="1" fontId="17" fillId="0" borderId="1" xfId="12" applyNumberFormat="1" applyBorder="1">
      <alignment vertical="top"/>
    </xf>
    <xf numFmtId="2" fontId="17" fillId="0" borderId="1" xfId="12" applyNumberFormat="1" applyBorder="1">
      <alignment vertical="top"/>
    </xf>
    <xf numFmtId="2" fontId="17" fillId="0" borderId="1" xfId="12" applyNumberFormat="1" applyBorder="1" applyAlignment="1">
      <alignment vertical="top" wrapText="1"/>
    </xf>
    <xf numFmtId="173" fontId="17" fillId="0" borderId="1" xfId="12" applyNumberFormat="1" applyBorder="1">
      <alignment vertical="top"/>
    </xf>
    <xf numFmtId="0" fontId="24" fillId="0" borderId="1" xfId="12" applyFont="1" applyBorder="1">
      <alignment vertical="top"/>
    </xf>
    <xf numFmtId="167" fontId="17" fillId="0" borderId="1" xfId="12" applyNumberFormat="1" applyBorder="1" applyAlignment="1">
      <alignment horizontal="center" vertical="top" wrapText="1"/>
    </xf>
    <xf numFmtId="174" fontId="17" fillId="0" borderId="1" xfId="12" applyNumberFormat="1" applyBorder="1" applyAlignment="1">
      <alignment horizontal="center" vertical="top" wrapText="1"/>
    </xf>
    <xf numFmtId="167" fontId="17" fillId="0" borderId="12" xfId="12" applyNumberFormat="1" applyBorder="1" applyAlignment="1">
      <alignment horizontal="center" vertical="top" wrapText="1"/>
    </xf>
    <xf numFmtId="174" fontId="17" fillId="0" borderId="2" xfId="12" applyNumberFormat="1" applyBorder="1" applyAlignment="1">
      <alignment horizontal="center" vertical="top" wrapText="1"/>
    </xf>
    <xf numFmtId="167" fontId="17" fillId="0" borderId="2" xfId="12" applyNumberFormat="1" applyBorder="1" applyAlignment="1">
      <alignment horizontal="center" vertical="top" wrapText="1"/>
    </xf>
    <xf numFmtId="167" fontId="17" fillId="0" borderId="11" xfId="12" applyNumberFormat="1" applyBorder="1" applyAlignment="1">
      <alignment horizontal="center" vertical="top" wrapText="1"/>
    </xf>
    <xf numFmtId="174" fontId="17" fillId="0" borderId="12" xfId="12" applyNumberFormat="1" applyBorder="1" applyAlignment="1">
      <alignment horizontal="center" vertical="top" wrapText="1"/>
    </xf>
    <xf numFmtId="0" fontId="17" fillId="0" borderId="11" xfId="12" applyBorder="1">
      <alignment vertical="top"/>
    </xf>
    <xf numFmtId="0" fontId="17" fillId="0" borderId="4" xfId="12" applyBorder="1">
      <alignment vertical="top"/>
    </xf>
    <xf numFmtId="0" fontId="17" fillId="0" borderId="4" xfId="12" applyBorder="1" applyAlignment="1">
      <alignment vertical="top" wrapText="1"/>
    </xf>
    <xf numFmtId="0" fontId="19" fillId="0" borderId="0" xfId="12" applyFont="1" applyAlignment="1">
      <alignment horizontal="center" vertical="center" wrapText="1"/>
    </xf>
    <xf numFmtId="0" fontId="19" fillId="0" borderId="2" xfId="12" applyFont="1" applyBorder="1" applyAlignment="1">
      <alignment horizontal="center" vertical="center" wrapText="1"/>
    </xf>
    <xf numFmtId="0" fontId="19" fillId="0" borderId="26" xfId="12" applyFont="1" applyBorder="1" applyAlignment="1">
      <alignment horizontal="center" vertical="center" wrapText="1"/>
    </xf>
    <xf numFmtId="0" fontId="19" fillId="0" borderId="24" xfId="12" applyFont="1" applyBorder="1" applyAlignment="1">
      <alignment vertical="top" wrapText="1"/>
    </xf>
    <xf numFmtId="0" fontId="19" fillId="0" borderId="26" xfId="12" applyFont="1" applyBorder="1" applyAlignment="1">
      <alignment vertical="top" wrapText="1"/>
    </xf>
    <xf numFmtId="0" fontId="17" fillId="0" borderId="26" xfId="12" applyBorder="1" applyAlignment="1">
      <alignment horizontal="center" vertical="top" wrapText="1"/>
    </xf>
    <xf numFmtId="0" fontId="17" fillId="0" borderId="0" xfId="12" applyAlignment="1">
      <alignment horizontal="center" vertical="top" wrapText="1"/>
    </xf>
    <xf numFmtId="173" fontId="61" fillId="0" borderId="0" xfId="61" applyNumberFormat="1" applyFont="1"/>
    <xf numFmtId="173" fontId="8" fillId="0" borderId="0" xfId="61" applyNumberFormat="1"/>
    <xf numFmtId="0" fontId="8" fillId="0" borderId="1" xfId="61" applyBorder="1"/>
    <xf numFmtId="4" fontId="17" fillId="0" borderId="1" xfId="12" applyNumberFormat="1" applyBorder="1">
      <alignment vertical="top"/>
    </xf>
    <xf numFmtId="174" fontId="0" fillId="0" borderId="1" xfId="60" applyNumberFormat="1" applyFont="1" applyFill="1" applyBorder="1"/>
    <xf numFmtId="174" fontId="8" fillId="17" borderId="1" xfId="61" applyNumberFormat="1" applyFill="1" applyBorder="1"/>
    <xf numFmtId="174" fontId="44" fillId="0" borderId="1" xfId="61" applyNumberFormat="1" applyFont="1" applyBorder="1"/>
    <xf numFmtId="174" fontId="8" fillId="0" borderId="1" xfId="61" applyNumberFormat="1" applyBorder="1"/>
    <xf numFmtId="0" fontId="8" fillId="0" borderId="0" xfId="61"/>
    <xf numFmtId="0" fontId="62" fillId="0" borderId="1" xfId="61" applyFont="1" applyBorder="1"/>
    <xf numFmtId="0" fontId="8" fillId="3" borderId="1" xfId="61" applyFill="1" applyBorder="1"/>
    <xf numFmtId="0" fontId="62" fillId="3" borderId="1" xfId="61" applyFont="1" applyFill="1" applyBorder="1"/>
    <xf numFmtId="0" fontId="61" fillId="3" borderId="1" xfId="61" applyFont="1" applyFill="1" applyBorder="1"/>
    <xf numFmtId="0" fontId="61" fillId="5" borderId="1" xfId="61" applyFont="1" applyFill="1" applyBorder="1"/>
    <xf numFmtId="0" fontId="61" fillId="0" borderId="1" xfId="61" applyFont="1" applyBorder="1"/>
    <xf numFmtId="0" fontId="63" fillId="0" borderId="1" xfId="61" applyFont="1" applyBorder="1"/>
    <xf numFmtId="0" fontId="8" fillId="0" borderId="2" xfId="61" applyBorder="1"/>
    <xf numFmtId="167" fontId="0" fillId="0" borderId="1" xfId="60" applyFont="1" applyFill="1" applyBorder="1"/>
    <xf numFmtId="167" fontId="62" fillId="0" borderId="1" xfId="60" applyFont="1" applyFill="1" applyBorder="1"/>
    <xf numFmtId="167" fontId="0" fillId="3" borderId="1" xfId="60" applyFont="1" applyFill="1" applyBorder="1"/>
    <xf numFmtId="167" fontId="62" fillId="3" borderId="1" xfId="60" applyFont="1" applyFill="1" applyBorder="1"/>
    <xf numFmtId="167" fontId="61" fillId="3" borderId="1" xfId="60" applyFont="1" applyFill="1" applyBorder="1"/>
    <xf numFmtId="167" fontId="61" fillId="5" borderId="1" xfId="60" applyFont="1" applyFill="1" applyBorder="1"/>
    <xf numFmtId="167" fontId="61" fillId="0" borderId="1" xfId="60" applyFont="1" applyFill="1" applyBorder="1"/>
    <xf numFmtId="167" fontId="63" fillId="0" borderId="1" xfId="60" applyFont="1" applyFill="1" applyBorder="1"/>
    <xf numFmtId="167" fontId="0" fillId="0" borderId="2" xfId="60" applyFont="1" applyFill="1" applyBorder="1"/>
    <xf numFmtId="167" fontId="8" fillId="0" borderId="1" xfId="61" applyNumberFormat="1" applyBorder="1"/>
    <xf numFmtId="167" fontId="31" fillId="0" borderId="0" xfId="12" applyNumberFormat="1" applyFont="1">
      <alignment vertical="top"/>
    </xf>
    <xf numFmtId="0" fontId="8" fillId="17" borderId="0" xfId="61" applyFill="1"/>
    <xf numFmtId="0" fontId="64" fillId="0" borderId="0" xfId="12" applyFont="1">
      <alignment vertical="top"/>
    </xf>
    <xf numFmtId="167" fontId="16" fillId="0" borderId="24" xfId="60" applyFont="1" applyFill="1" applyBorder="1" applyAlignment="1">
      <alignment vertical="top"/>
    </xf>
    <xf numFmtId="167" fontId="16" fillId="0" borderId="2" xfId="12" applyNumberFormat="1" applyFont="1" applyBorder="1">
      <alignment vertical="top"/>
    </xf>
    <xf numFmtId="167" fontId="16" fillId="0" borderId="26" xfId="12" applyNumberFormat="1" applyFont="1" applyBorder="1">
      <alignment vertical="top"/>
    </xf>
    <xf numFmtId="0" fontId="65" fillId="0" borderId="0" xfId="61" applyFont="1"/>
    <xf numFmtId="0" fontId="8" fillId="0" borderId="24" xfId="61" applyBorder="1"/>
    <xf numFmtId="167" fontId="8" fillId="2" borderId="26" xfId="61" applyNumberFormat="1" applyFill="1" applyBorder="1"/>
    <xf numFmtId="167" fontId="8" fillId="0" borderId="2" xfId="61" applyNumberFormat="1" applyBorder="1"/>
    <xf numFmtId="0" fontId="8" fillId="0" borderId="26" xfId="61" applyBorder="1"/>
    <xf numFmtId="173" fontId="8" fillId="2" borderId="0" xfId="61" applyNumberFormat="1" applyFill="1"/>
    <xf numFmtId="167" fontId="8" fillId="0" borderId="0" xfId="61" applyNumberFormat="1"/>
    <xf numFmtId="40" fontId="8" fillId="0" borderId="0" xfId="61" applyNumberFormat="1"/>
    <xf numFmtId="1" fontId="8" fillId="0" borderId="0" xfId="61" applyNumberFormat="1"/>
    <xf numFmtId="169" fontId="8" fillId="0" borderId="0" xfId="61" applyNumberFormat="1"/>
    <xf numFmtId="2" fontId="8" fillId="0" borderId="0" xfId="61" applyNumberFormat="1"/>
    <xf numFmtId="174" fontId="8" fillId="0" borderId="0" xfId="61" applyNumberFormat="1"/>
    <xf numFmtId="0" fontId="61" fillId="0" borderId="0" xfId="61" applyFont="1"/>
    <xf numFmtId="4" fontId="17" fillId="0" borderId="1" xfId="12" quotePrefix="1" applyNumberFormat="1" applyBorder="1">
      <alignment vertical="top"/>
    </xf>
    <xf numFmtId="4" fontId="66" fillId="0" borderId="1" xfId="12" applyNumberFormat="1" applyFont="1" applyBorder="1">
      <alignment vertical="top"/>
    </xf>
    <xf numFmtId="174" fontId="61" fillId="0" borderId="1" xfId="60" applyNumberFormat="1" applyFont="1" applyFill="1" applyBorder="1"/>
    <xf numFmtId="174" fontId="61" fillId="0" borderId="1" xfId="61" applyNumberFormat="1" applyFont="1" applyBorder="1"/>
    <xf numFmtId="174" fontId="62" fillId="0" borderId="1" xfId="61" applyNumberFormat="1" applyFont="1" applyBorder="1"/>
    <xf numFmtId="167" fontId="62" fillId="0" borderId="1" xfId="61" applyNumberFormat="1" applyFont="1" applyBorder="1"/>
    <xf numFmtId="0" fontId="62" fillId="0" borderId="0" xfId="61" applyFont="1"/>
    <xf numFmtId="167" fontId="67" fillId="0" borderId="0" xfId="12" applyNumberFormat="1" applyFont="1">
      <alignment vertical="top"/>
    </xf>
    <xf numFmtId="167" fontId="66" fillId="0" borderId="24" xfId="60" applyFont="1" applyFill="1" applyBorder="1" applyAlignment="1">
      <alignment vertical="top"/>
    </xf>
    <xf numFmtId="167" fontId="66" fillId="0" borderId="26" xfId="12" applyNumberFormat="1" applyFont="1" applyBorder="1">
      <alignment vertical="top"/>
    </xf>
    <xf numFmtId="0" fontId="68" fillId="0" borderId="0" xfId="61" applyFont="1"/>
    <xf numFmtId="0" fontId="62" fillId="0" borderId="24" xfId="61" applyFont="1" applyBorder="1"/>
    <xf numFmtId="167" fontId="8" fillId="0" borderId="26" xfId="61" applyNumberFormat="1" applyBorder="1"/>
    <xf numFmtId="0" fontId="62" fillId="0" borderId="26" xfId="61" applyFont="1" applyBorder="1"/>
    <xf numFmtId="173" fontId="62" fillId="0" borderId="0" xfId="61" applyNumberFormat="1" applyFont="1"/>
    <xf numFmtId="167" fontId="31" fillId="0" borderId="24" xfId="60" applyFont="1" applyFill="1" applyBorder="1" applyAlignment="1">
      <alignment vertical="top"/>
    </xf>
    <xf numFmtId="0" fontId="65" fillId="23" borderId="0" xfId="61" applyFont="1" applyFill="1"/>
    <xf numFmtId="0" fontId="8" fillId="23" borderId="26" xfId="61" applyFill="1" applyBorder="1"/>
    <xf numFmtId="0" fontId="8" fillId="23" borderId="0" xfId="61" applyFill="1"/>
    <xf numFmtId="0" fontId="69" fillId="0" borderId="0" xfId="61" applyFont="1"/>
    <xf numFmtId="167" fontId="69" fillId="0" borderId="0" xfId="60" applyFont="1" applyFill="1"/>
    <xf numFmtId="17" fontId="8" fillId="0" borderId="0" xfId="61" applyNumberFormat="1"/>
    <xf numFmtId="16" fontId="8" fillId="0" borderId="1" xfId="61" applyNumberFormat="1" applyBorder="1"/>
    <xf numFmtId="0" fontId="16" fillId="0" borderId="1" xfId="12" applyFont="1" applyBorder="1">
      <alignment vertical="top"/>
    </xf>
    <xf numFmtId="174" fontId="65" fillId="0" borderId="1" xfId="61" applyNumberFormat="1" applyFont="1" applyBorder="1"/>
    <xf numFmtId="4" fontId="24" fillId="0" borderId="1" xfId="12" applyNumberFormat="1" applyFont="1" applyBorder="1">
      <alignment vertical="top"/>
    </xf>
    <xf numFmtId="40" fontId="17" fillId="0" borderId="1" xfId="12" applyNumberFormat="1" applyBorder="1">
      <alignment vertical="top"/>
    </xf>
    <xf numFmtId="4" fontId="17" fillId="3" borderId="1" xfId="12" applyNumberFormat="1" applyFill="1" applyBorder="1">
      <alignment vertical="top"/>
    </xf>
    <xf numFmtId="174" fontId="8" fillId="3" borderId="1" xfId="61" applyNumberFormat="1" applyFill="1" applyBorder="1"/>
    <xf numFmtId="40" fontId="17" fillId="3" borderId="1" xfId="12" applyNumberFormat="1" applyFill="1" applyBorder="1">
      <alignment vertical="top"/>
    </xf>
    <xf numFmtId="167" fontId="8" fillId="3" borderId="1" xfId="61" applyNumberFormat="1" applyFill="1" applyBorder="1"/>
    <xf numFmtId="0" fontId="8" fillId="3" borderId="0" xfId="61" applyFill="1"/>
    <xf numFmtId="0" fontId="65" fillId="3" borderId="0" xfId="61" applyFont="1" applyFill="1"/>
    <xf numFmtId="16" fontId="8" fillId="3" borderId="1" xfId="61" applyNumberFormat="1" applyFill="1" applyBorder="1"/>
    <xf numFmtId="14" fontId="16" fillId="0" borderId="1" xfId="12" applyNumberFormat="1" applyFont="1" applyBorder="1">
      <alignment vertical="top"/>
    </xf>
    <xf numFmtId="170" fontId="16" fillId="0" borderId="1" xfId="12" applyNumberFormat="1" applyFont="1" applyBorder="1">
      <alignment vertical="top"/>
    </xf>
    <xf numFmtId="4" fontId="16" fillId="0" borderId="1" xfId="12" applyNumberFormat="1" applyFont="1" applyBorder="1">
      <alignment vertical="top"/>
    </xf>
    <xf numFmtId="4" fontId="66" fillId="3" borderId="1" xfId="12" applyNumberFormat="1" applyFont="1" applyFill="1" applyBorder="1">
      <alignment vertical="top"/>
    </xf>
    <xf numFmtId="174" fontId="62" fillId="3" borderId="1" xfId="61" applyNumberFormat="1" applyFont="1" applyFill="1" applyBorder="1"/>
    <xf numFmtId="16" fontId="62" fillId="3" borderId="1" xfId="61" applyNumberFormat="1" applyFont="1" applyFill="1" applyBorder="1"/>
    <xf numFmtId="167" fontId="62" fillId="3" borderId="1" xfId="61" applyNumberFormat="1" applyFont="1" applyFill="1" applyBorder="1"/>
    <xf numFmtId="167" fontId="61" fillId="0" borderId="1" xfId="61" applyNumberFormat="1" applyFont="1" applyBorder="1"/>
    <xf numFmtId="0" fontId="62" fillId="3" borderId="0" xfId="61" applyFont="1" applyFill="1"/>
    <xf numFmtId="0" fontId="70" fillId="0" borderId="0" xfId="12" applyFont="1">
      <alignment vertical="top"/>
    </xf>
    <xf numFmtId="0" fontId="68" fillId="3" borderId="0" xfId="61" applyFont="1" applyFill="1"/>
    <xf numFmtId="0" fontId="61" fillId="0" borderId="24" xfId="61" applyFont="1" applyBorder="1"/>
    <xf numFmtId="167" fontId="61" fillId="0" borderId="26" xfId="61" applyNumberFormat="1" applyFont="1" applyBorder="1"/>
    <xf numFmtId="0" fontId="61" fillId="0" borderId="26" xfId="61" applyFont="1" applyBorder="1"/>
    <xf numFmtId="167" fontId="61" fillId="0" borderId="0" xfId="61" applyNumberFormat="1" applyFont="1"/>
    <xf numFmtId="174" fontId="17" fillId="0" borderId="1" xfId="62" applyNumberFormat="1" applyFont="1" applyFill="1" applyBorder="1" applyAlignment="1">
      <alignment vertical="top"/>
    </xf>
    <xf numFmtId="14" fontId="69" fillId="0" borderId="0" xfId="61" applyNumberFormat="1" applyFont="1"/>
    <xf numFmtId="167" fontId="69" fillId="0" borderId="0" xfId="61" applyNumberFormat="1" applyFont="1"/>
    <xf numFmtId="16" fontId="62" fillId="0" borderId="1" xfId="61" applyNumberFormat="1" applyFont="1" applyBorder="1"/>
    <xf numFmtId="0" fontId="17" fillId="0" borderId="1" xfId="12" quotePrefix="1" applyBorder="1">
      <alignment vertical="top"/>
    </xf>
    <xf numFmtId="14" fontId="19" fillId="0" borderId="1" xfId="12" applyNumberFormat="1" applyFont="1" applyBorder="1">
      <alignment vertical="top"/>
    </xf>
    <xf numFmtId="0" fontId="71" fillId="23" borderId="0" xfId="61" applyFont="1" applyFill="1"/>
    <xf numFmtId="0" fontId="71" fillId="0" borderId="0" xfId="61" applyFont="1"/>
    <xf numFmtId="4" fontId="24" fillId="3" borderId="1" xfId="12" applyNumberFormat="1" applyFont="1" applyFill="1" applyBorder="1">
      <alignment vertical="top"/>
    </xf>
    <xf numFmtId="174" fontId="65" fillId="3" borderId="1" xfId="61" applyNumberFormat="1" applyFont="1" applyFill="1" applyBorder="1"/>
    <xf numFmtId="174" fontId="17" fillId="3" borderId="1" xfId="62" applyNumberFormat="1" applyFont="1" applyFill="1" applyBorder="1" applyAlignment="1">
      <alignment vertical="top"/>
    </xf>
    <xf numFmtId="0" fontId="71" fillId="3" borderId="0" xfId="61" applyFont="1" applyFill="1"/>
    <xf numFmtId="4" fontId="16" fillId="3" borderId="1" xfId="12" applyNumberFormat="1" applyFont="1" applyFill="1" applyBorder="1">
      <alignment vertical="top"/>
    </xf>
    <xf numFmtId="174" fontId="71" fillId="3" borderId="1" xfId="61" applyNumberFormat="1" applyFont="1" applyFill="1" applyBorder="1"/>
    <xf numFmtId="174" fontId="71" fillId="0" borderId="1" xfId="61" applyNumberFormat="1" applyFont="1" applyBorder="1"/>
    <xf numFmtId="174" fontId="61" fillId="3" borderId="1" xfId="61" applyNumberFormat="1" applyFont="1" applyFill="1" applyBorder="1"/>
    <xf numFmtId="16" fontId="61" fillId="3" borderId="1" xfId="61" applyNumberFormat="1" applyFont="1" applyFill="1" applyBorder="1"/>
    <xf numFmtId="174" fontId="16" fillId="3" borderId="1" xfId="62" applyNumberFormat="1" applyFont="1" applyFill="1" applyBorder="1" applyAlignment="1">
      <alignment vertical="top"/>
    </xf>
    <xf numFmtId="167" fontId="61" fillId="3" borderId="1" xfId="61" applyNumberFormat="1" applyFont="1" applyFill="1" applyBorder="1"/>
    <xf numFmtId="0" fontId="61" fillId="3" borderId="0" xfId="61" applyFont="1" applyFill="1"/>
    <xf numFmtId="169" fontId="17" fillId="0" borderId="27" xfId="12" applyNumberFormat="1" applyBorder="1">
      <alignment vertical="top"/>
    </xf>
    <xf numFmtId="169" fontId="16" fillId="0" borderId="1" xfId="12" applyNumberFormat="1" applyFont="1" applyBorder="1">
      <alignment vertical="top"/>
    </xf>
    <xf numFmtId="174" fontId="61" fillId="0" borderId="0" xfId="61" applyNumberFormat="1" applyFont="1"/>
    <xf numFmtId="167" fontId="61" fillId="2" borderId="26" xfId="61" applyNumberFormat="1" applyFont="1" applyFill="1" applyBorder="1"/>
    <xf numFmtId="173" fontId="61" fillId="2" borderId="0" xfId="61" applyNumberFormat="1" applyFont="1" applyFill="1"/>
    <xf numFmtId="4" fontId="16" fillId="5" borderId="1" xfId="12" applyNumberFormat="1" applyFont="1" applyFill="1" applyBorder="1">
      <alignment vertical="top"/>
    </xf>
    <xf numFmtId="174" fontId="72" fillId="0" borderId="1" xfId="61" applyNumberFormat="1" applyFont="1" applyBorder="1"/>
    <xf numFmtId="174" fontId="61" fillId="5" borderId="1" xfId="61" applyNumberFormat="1" applyFont="1" applyFill="1" applyBorder="1"/>
    <xf numFmtId="167" fontId="61" fillId="5" borderId="1" xfId="61" applyNumberFormat="1" applyFont="1" applyFill="1" applyBorder="1"/>
    <xf numFmtId="0" fontId="61" fillId="5" borderId="0" xfId="61" applyFont="1" applyFill="1"/>
    <xf numFmtId="0" fontId="73" fillId="0" borderId="0" xfId="12" applyFont="1">
      <alignment vertical="top"/>
    </xf>
    <xf numFmtId="0" fontId="71" fillId="5" borderId="0" xfId="61" applyFont="1" applyFill="1"/>
    <xf numFmtId="169" fontId="16" fillId="0" borderId="27" xfId="12" applyNumberFormat="1" applyFont="1" applyBorder="1">
      <alignment vertical="top"/>
    </xf>
    <xf numFmtId="14" fontId="61" fillId="0" borderId="0" xfId="61" applyNumberFormat="1" applyFont="1"/>
    <xf numFmtId="167" fontId="61" fillId="0" borderId="0" xfId="60" applyFont="1" applyFill="1"/>
    <xf numFmtId="174" fontId="61" fillId="0" borderId="24" xfId="61" applyNumberFormat="1" applyFont="1" applyBorder="1"/>
    <xf numFmtId="167" fontId="0" fillId="17" borderId="0" xfId="60" applyFont="1" applyFill="1"/>
    <xf numFmtId="167" fontId="64" fillId="0" borderId="0" xfId="60" applyFont="1" applyFill="1" applyAlignment="1">
      <alignment vertical="top"/>
    </xf>
    <xf numFmtId="168" fontId="17" fillId="0" borderId="1" xfId="61" applyNumberFormat="1" applyFont="1" applyBorder="1" applyAlignment="1">
      <alignment horizontal="left" vertical="top"/>
    </xf>
    <xf numFmtId="0" fontId="17" fillId="0" borderId="1" xfId="61" applyFont="1" applyBorder="1" applyAlignment="1">
      <alignment horizontal="right" vertical="top"/>
    </xf>
    <xf numFmtId="0" fontId="17" fillId="0" borderId="1" xfId="61" applyFont="1" applyBorder="1" applyAlignment="1">
      <alignment vertical="top"/>
    </xf>
    <xf numFmtId="14" fontId="17" fillId="0" borderId="1" xfId="61" applyNumberFormat="1" applyFont="1" applyBorder="1" applyAlignment="1">
      <alignment vertical="top"/>
    </xf>
    <xf numFmtId="4" fontId="39" fillId="0" borderId="1" xfId="12" applyNumberFormat="1" applyFont="1" applyBorder="1">
      <alignment vertical="top"/>
    </xf>
    <xf numFmtId="174" fontId="8" fillId="0" borderId="3" xfId="61" applyNumberFormat="1" applyBorder="1"/>
    <xf numFmtId="174" fontId="8" fillId="0" borderId="4" xfId="61" applyNumberFormat="1" applyBorder="1"/>
    <xf numFmtId="167" fontId="17" fillId="0" borderId="1" xfId="62" applyFont="1" applyFill="1" applyBorder="1" applyAlignment="1">
      <alignment vertical="top"/>
    </xf>
    <xf numFmtId="167" fontId="0" fillId="0" borderId="0" xfId="60" applyFont="1" applyFill="1"/>
    <xf numFmtId="0" fontId="17" fillId="0" borderId="1" xfId="12" applyBorder="1" applyAlignment="1">
      <alignment horizontal="left" vertical="top"/>
    </xf>
    <xf numFmtId="168" fontId="17" fillId="0" borderId="1" xfId="12" applyNumberFormat="1" applyBorder="1" applyAlignment="1">
      <alignment horizontal="right" vertical="top"/>
    </xf>
    <xf numFmtId="14" fontId="17" fillId="0" borderId="1" xfId="12" applyNumberFormat="1" applyBorder="1" applyAlignment="1">
      <alignment horizontal="left" vertical="top"/>
    </xf>
    <xf numFmtId="1" fontId="17" fillId="0" borderId="1" xfId="12" applyNumberFormat="1" applyBorder="1" applyAlignment="1">
      <alignment horizontal="right" vertical="top"/>
    </xf>
    <xf numFmtId="174" fontId="44" fillId="0" borderId="1" xfId="60" applyNumberFormat="1" applyFont="1" applyFill="1" applyBorder="1"/>
    <xf numFmtId="0" fontId="74" fillId="0" borderId="0" xfId="61" applyFont="1"/>
    <xf numFmtId="0" fontId="16" fillId="0" borderId="8" xfId="12" applyFont="1" applyBorder="1">
      <alignment vertical="top"/>
    </xf>
    <xf numFmtId="170" fontId="16" fillId="0" borderId="8" xfId="12" applyNumberFormat="1" applyFont="1" applyBorder="1">
      <alignment vertical="top"/>
    </xf>
    <xf numFmtId="174" fontId="61" fillId="0" borderId="3" xfId="61" applyNumberFormat="1" applyFont="1" applyBorder="1"/>
    <xf numFmtId="174" fontId="61" fillId="0" borderId="4" xfId="61" applyNumberFormat="1" applyFont="1" applyBorder="1"/>
    <xf numFmtId="167" fontId="70" fillId="0" borderId="0" xfId="60" applyFont="1" applyFill="1" applyAlignment="1">
      <alignment vertical="top"/>
    </xf>
    <xf numFmtId="0" fontId="17" fillId="0" borderId="8" xfId="12" applyBorder="1">
      <alignment vertical="top"/>
    </xf>
    <xf numFmtId="170" fontId="17" fillId="0" borderId="8" xfId="12" applyNumberFormat="1" applyBorder="1">
      <alignment vertical="top"/>
    </xf>
    <xf numFmtId="14" fontId="17" fillId="0" borderId="8" xfId="12" applyNumberFormat="1" applyBorder="1">
      <alignment vertical="top"/>
    </xf>
    <xf numFmtId="4" fontId="17" fillId="0" borderId="8" xfId="12" applyNumberFormat="1" applyBorder="1">
      <alignment vertical="top"/>
    </xf>
    <xf numFmtId="0" fontId="8" fillId="4" borderId="1" xfId="61" applyFill="1" applyBorder="1"/>
    <xf numFmtId="0" fontId="17" fillId="4" borderId="1" xfId="12" applyFill="1" applyBorder="1">
      <alignment vertical="top"/>
    </xf>
    <xf numFmtId="169" fontId="17" fillId="4" borderId="1" xfId="12" applyNumberFormat="1" applyFill="1" applyBorder="1">
      <alignment vertical="top"/>
    </xf>
    <xf numFmtId="170" fontId="17" fillId="4" borderId="1" xfId="12" applyNumberFormat="1" applyFill="1" applyBorder="1">
      <alignment vertical="top"/>
    </xf>
    <xf numFmtId="4" fontId="17" fillId="4" borderId="1" xfId="12" applyNumberFormat="1" applyFill="1" applyBorder="1">
      <alignment vertical="top"/>
    </xf>
    <xf numFmtId="174" fontId="8" fillId="4" borderId="1" xfId="61" applyNumberFormat="1" applyFill="1" applyBorder="1"/>
    <xf numFmtId="14" fontId="17" fillId="4" borderId="1" xfId="12" applyNumberFormat="1" applyFill="1" applyBorder="1">
      <alignment vertical="top"/>
    </xf>
    <xf numFmtId="174" fontId="44" fillId="4" borderId="1" xfId="61" applyNumberFormat="1" applyFont="1" applyFill="1" applyBorder="1"/>
    <xf numFmtId="174" fontId="8" fillId="4" borderId="3" xfId="61" applyNumberFormat="1" applyFill="1" applyBorder="1"/>
    <xf numFmtId="40" fontId="39" fillId="0" borderId="4" xfId="12" applyNumberFormat="1" applyFont="1" applyBorder="1">
      <alignment vertical="top"/>
    </xf>
    <xf numFmtId="40" fontId="39" fillId="4" borderId="3" xfId="12" applyNumberFormat="1" applyFont="1" applyFill="1" applyBorder="1">
      <alignment vertical="top"/>
    </xf>
    <xf numFmtId="40" fontId="39" fillId="0" borderId="1" xfId="12" applyNumberFormat="1" applyFont="1" applyBorder="1">
      <alignment vertical="top"/>
    </xf>
    <xf numFmtId="167" fontId="8" fillId="4" borderId="1" xfId="61" applyNumberFormat="1" applyFill="1" applyBorder="1"/>
    <xf numFmtId="0" fontId="8" fillId="4" borderId="0" xfId="61" applyFill="1"/>
    <xf numFmtId="0" fontId="74" fillId="4" borderId="0" xfId="61" applyFont="1" applyFill="1"/>
    <xf numFmtId="167" fontId="31" fillId="4" borderId="0" xfId="12" applyNumberFormat="1" applyFont="1" applyFill="1">
      <alignment vertical="top"/>
    </xf>
    <xf numFmtId="167" fontId="0" fillId="4" borderId="0" xfId="60" applyFont="1" applyFill="1"/>
    <xf numFmtId="167" fontId="64" fillId="4" borderId="0" xfId="60" applyFont="1" applyFill="1" applyAlignment="1">
      <alignment vertical="top"/>
    </xf>
    <xf numFmtId="167" fontId="31" fillId="4" borderId="24" xfId="60" applyFont="1" applyFill="1" applyBorder="1" applyAlignment="1">
      <alignment vertical="top"/>
    </xf>
    <xf numFmtId="167" fontId="16" fillId="4" borderId="26" xfId="12" applyNumberFormat="1" applyFont="1" applyFill="1" applyBorder="1">
      <alignment vertical="top"/>
    </xf>
    <xf numFmtId="0" fontId="8" fillId="4" borderId="24" xfId="61" applyFill="1" applyBorder="1"/>
    <xf numFmtId="167" fontId="0" fillId="4" borderId="24" xfId="60" applyFont="1" applyFill="1" applyBorder="1"/>
    <xf numFmtId="167" fontId="8" fillId="4" borderId="26" xfId="61" applyNumberFormat="1" applyFill="1" applyBorder="1"/>
    <xf numFmtId="0" fontId="8" fillId="4" borderId="26" xfId="61" applyFill="1" applyBorder="1"/>
    <xf numFmtId="173" fontId="8" fillId="4" borderId="0" xfId="61" applyNumberFormat="1" applyFill="1"/>
    <xf numFmtId="167" fontId="8" fillId="4" borderId="0" xfId="61" applyNumberFormat="1" applyFill="1"/>
    <xf numFmtId="40" fontId="39" fillId="0" borderId="3" xfId="12" applyNumberFormat="1" applyFont="1" applyBorder="1">
      <alignment vertical="top"/>
    </xf>
    <xf numFmtId="167" fontId="0" fillId="0" borderId="24" xfId="60" applyFont="1" applyFill="1" applyBorder="1"/>
    <xf numFmtId="40" fontId="17" fillId="0" borderId="4" xfId="12" applyNumberFormat="1" applyBorder="1">
      <alignment vertical="top"/>
    </xf>
    <xf numFmtId="40" fontId="17" fillId="0" borderId="3" xfId="12" applyNumberFormat="1" applyBorder="1">
      <alignment vertical="top"/>
    </xf>
    <xf numFmtId="174" fontId="65" fillId="0" borderId="4" xfId="61" applyNumberFormat="1" applyFont="1" applyBorder="1"/>
    <xf numFmtId="17" fontId="8" fillId="0" borderId="1" xfId="61" applyNumberFormat="1" applyBorder="1"/>
    <xf numFmtId="167" fontId="63" fillId="0" borderId="0" xfId="60" applyFont="1" applyFill="1"/>
    <xf numFmtId="0" fontId="63" fillId="0" borderId="0" xfId="61" applyFont="1"/>
    <xf numFmtId="0" fontId="75" fillId="0" borderId="0" xfId="61" applyFont="1"/>
    <xf numFmtId="0" fontId="56" fillId="0" borderId="0" xfId="61" applyFont="1"/>
    <xf numFmtId="167" fontId="56" fillId="0" borderId="0" xfId="60" applyFont="1" applyFill="1"/>
    <xf numFmtId="174" fontId="8" fillId="0" borderId="0" xfId="61" quotePrefix="1" applyNumberFormat="1"/>
    <xf numFmtId="173" fontId="8" fillId="17" borderId="0" xfId="61" applyNumberFormat="1" applyFill="1"/>
    <xf numFmtId="14" fontId="17" fillId="0" borderId="0" xfId="61" applyNumberFormat="1" applyFont="1" applyAlignment="1">
      <alignment horizontal="left" vertical="top"/>
    </xf>
    <xf numFmtId="0" fontId="76" fillId="0" borderId="8" xfId="61" applyFont="1" applyBorder="1" applyAlignment="1">
      <alignment vertical="top"/>
    </xf>
    <xf numFmtId="170" fontId="19" fillId="0" borderId="8" xfId="12" applyNumberFormat="1" applyFont="1" applyBorder="1">
      <alignment vertical="top"/>
    </xf>
    <xf numFmtId="0" fontId="77" fillId="0" borderId="1" xfId="61" applyFont="1" applyBorder="1"/>
    <xf numFmtId="0" fontId="76" fillId="0" borderId="26" xfId="61" applyFont="1" applyBorder="1" applyAlignment="1">
      <alignment vertical="top"/>
    </xf>
    <xf numFmtId="170" fontId="17" fillId="0" borderId="26" xfId="12" applyNumberFormat="1" applyBorder="1">
      <alignment vertical="top"/>
    </xf>
    <xf numFmtId="170" fontId="19" fillId="0" borderId="26" xfId="12" applyNumberFormat="1" applyFont="1" applyBorder="1">
      <alignment vertical="top"/>
    </xf>
    <xf numFmtId="174" fontId="8" fillId="0" borderId="2" xfId="61" applyNumberFormat="1" applyBorder="1"/>
    <xf numFmtId="14" fontId="17" fillId="0" borderId="2" xfId="12" applyNumberFormat="1" applyBorder="1">
      <alignment vertical="top"/>
    </xf>
    <xf numFmtId="0" fontId="78" fillId="0" borderId="1" xfId="61" applyFont="1" applyBorder="1" applyAlignment="1">
      <alignment vertical="top"/>
    </xf>
    <xf numFmtId="170" fontId="31" fillId="0" borderId="1" xfId="12" applyNumberFormat="1" applyFont="1" applyBorder="1">
      <alignment vertical="top"/>
    </xf>
    <xf numFmtId="4" fontId="35" fillId="0" borderId="1" xfId="12" applyNumberFormat="1" applyFont="1" applyBorder="1">
      <alignment vertical="top"/>
    </xf>
    <xf numFmtId="174" fontId="61" fillId="0" borderId="2" xfId="61" applyNumberFormat="1" applyFont="1" applyBorder="1"/>
    <xf numFmtId="14" fontId="16" fillId="0" borderId="2" xfId="12" applyNumberFormat="1" applyFont="1" applyBorder="1">
      <alignment vertical="top"/>
    </xf>
    <xf numFmtId="4" fontId="59" fillId="0" borderId="8" xfId="12" applyNumberFormat="1" applyFont="1" applyBorder="1">
      <alignment vertical="top"/>
    </xf>
    <xf numFmtId="0" fontId="63" fillId="0" borderId="2" xfId="61" applyFont="1" applyBorder="1"/>
    <xf numFmtId="174" fontId="61" fillId="0" borderId="11" xfId="61" applyNumberFormat="1" applyFont="1" applyBorder="1"/>
    <xf numFmtId="174" fontId="63" fillId="0" borderId="0" xfId="61" applyNumberFormat="1" applyFont="1"/>
    <xf numFmtId="0" fontId="79" fillId="0" borderId="1" xfId="61" applyFont="1" applyBorder="1"/>
    <xf numFmtId="174" fontId="63" fillId="0" borderId="1" xfId="61" applyNumberFormat="1" applyFont="1" applyBorder="1"/>
    <xf numFmtId="16" fontId="63" fillId="0" borderId="1" xfId="61" applyNumberFormat="1" applyFont="1" applyBorder="1"/>
    <xf numFmtId="167" fontId="63" fillId="0" borderId="1" xfId="61" applyNumberFormat="1" applyFont="1" applyBorder="1"/>
    <xf numFmtId="167" fontId="73" fillId="0" borderId="0" xfId="60" applyFont="1" applyFill="1" applyAlignment="1">
      <alignment vertical="top"/>
    </xf>
    <xf numFmtId="174" fontId="61" fillId="0" borderId="2" xfId="60" applyNumberFormat="1" applyFont="1" applyFill="1" applyBorder="1"/>
    <xf numFmtId="167" fontId="61" fillId="17" borderId="0" xfId="60" applyFont="1" applyFill="1"/>
    <xf numFmtId="168" fontId="17" fillId="0" borderId="1" xfId="61" applyNumberFormat="1" applyFont="1" applyBorder="1" applyAlignment="1">
      <alignment horizontal="right" vertical="top"/>
    </xf>
    <xf numFmtId="0" fontId="17" fillId="0" borderId="1" xfId="61" applyFont="1" applyBorder="1" applyAlignment="1">
      <alignment horizontal="left" vertical="top"/>
    </xf>
    <xf numFmtId="14" fontId="17" fillId="0" borderId="1" xfId="61" applyNumberFormat="1" applyFont="1" applyBorder="1" applyAlignment="1">
      <alignment horizontal="right" vertical="top"/>
    </xf>
    <xf numFmtId="171" fontId="17" fillId="0" borderId="1" xfId="62" applyNumberFormat="1" applyFont="1" applyFill="1" applyBorder="1" applyAlignment="1">
      <alignment vertical="top"/>
    </xf>
    <xf numFmtId="175" fontId="17" fillId="0" borderId="1" xfId="62" applyNumberFormat="1" applyFont="1" applyFill="1" applyBorder="1" applyAlignment="1">
      <alignment vertical="top"/>
    </xf>
    <xf numFmtId="14" fontId="40" fillId="0" borderId="1" xfId="12" applyNumberFormat="1" applyFont="1" applyBorder="1">
      <alignment vertical="top"/>
    </xf>
    <xf numFmtId="174" fontId="8" fillId="0" borderId="11" xfId="61" applyNumberFormat="1" applyBorder="1"/>
    <xf numFmtId="167" fontId="17" fillId="0" borderId="1" xfId="62" applyFont="1" applyFill="1" applyBorder="1" applyAlignment="1">
      <alignment horizontal="center" vertical="top"/>
    </xf>
    <xf numFmtId="167" fontId="17" fillId="0" borderId="1" xfId="62" applyFont="1" applyFill="1" applyBorder="1" applyAlignment="1">
      <alignment horizontal="left" vertical="top"/>
    </xf>
    <xf numFmtId="174" fontId="8" fillId="0" borderId="25" xfId="61" applyNumberFormat="1" applyBorder="1"/>
    <xf numFmtId="0" fontId="17" fillId="0" borderId="2" xfId="12" applyBorder="1">
      <alignment vertical="top"/>
    </xf>
    <xf numFmtId="168" fontId="17" fillId="0" borderId="2" xfId="12" applyNumberFormat="1" applyBorder="1" applyAlignment="1">
      <alignment horizontal="right" vertical="top"/>
    </xf>
    <xf numFmtId="0" fontId="17" fillId="0" borderId="2" xfId="12" applyBorder="1" applyAlignment="1">
      <alignment horizontal="left" vertical="top"/>
    </xf>
    <xf numFmtId="14" fontId="17" fillId="0" borderId="10" xfId="12" applyNumberFormat="1" applyBorder="1" applyAlignment="1">
      <alignment horizontal="right" vertical="top"/>
    </xf>
    <xf numFmtId="170" fontId="17" fillId="0" borderId="2" xfId="12" applyNumberFormat="1" applyBorder="1">
      <alignment vertical="top"/>
    </xf>
    <xf numFmtId="0" fontId="16" fillId="0" borderId="2" xfId="12" applyFont="1" applyBorder="1">
      <alignment vertical="top"/>
    </xf>
    <xf numFmtId="4" fontId="17" fillId="0" borderId="2" xfId="12" applyNumberFormat="1" applyBorder="1">
      <alignment vertical="top"/>
    </xf>
    <xf numFmtId="174" fontId="44" fillId="0" borderId="2" xfId="61" applyNumberFormat="1" applyFont="1" applyBorder="1"/>
    <xf numFmtId="167" fontId="17" fillId="0" borderId="2" xfId="62" applyFont="1" applyFill="1" applyBorder="1" applyAlignment="1">
      <alignment vertical="top"/>
    </xf>
    <xf numFmtId="40" fontId="39" fillId="0" borderId="2" xfId="12" applyNumberFormat="1" applyFont="1" applyBorder="1">
      <alignment vertical="top"/>
    </xf>
    <xf numFmtId="167" fontId="8" fillId="0" borderId="11" xfId="61" applyNumberFormat="1" applyBorder="1"/>
    <xf numFmtId="167" fontId="0" fillId="17" borderId="0" xfId="60" applyFont="1" applyFill="1" applyBorder="1"/>
    <xf numFmtId="167" fontId="64" fillId="0" borderId="0" xfId="60" applyFont="1" applyFill="1" applyBorder="1" applyAlignment="1">
      <alignment vertical="top"/>
    </xf>
    <xf numFmtId="0" fontId="8" fillId="0" borderId="10" xfId="61" applyBorder="1"/>
    <xf numFmtId="0" fontId="8" fillId="0" borderId="13" xfId="61" applyBorder="1"/>
    <xf numFmtId="0" fontId="17" fillId="0" borderId="13" xfId="12" applyBorder="1">
      <alignment vertical="top"/>
    </xf>
    <xf numFmtId="0" fontId="17" fillId="0" borderId="13" xfId="12" quotePrefix="1" applyBorder="1">
      <alignment vertical="top"/>
    </xf>
    <xf numFmtId="169" fontId="17" fillId="0" borderId="13" xfId="12" applyNumberFormat="1" applyBorder="1">
      <alignment vertical="top"/>
    </xf>
    <xf numFmtId="1" fontId="17" fillId="0" borderId="13" xfId="12" applyNumberFormat="1" applyBorder="1">
      <alignment vertical="top"/>
    </xf>
    <xf numFmtId="170" fontId="17" fillId="0" borderId="13" xfId="12" applyNumberFormat="1" applyBorder="1">
      <alignment vertical="top"/>
    </xf>
    <xf numFmtId="14" fontId="17" fillId="0" borderId="13" xfId="12" applyNumberFormat="1" applyBorder="1">
      <alignment vertical="top"/>
    </xf>
    <xf numFmtId="40" fontId="17" fillId="0" borderId="13" xfId="12" applyNumberFormat="1" applyBorder="1">
      <alignment vertical="top"/>
    </xf>
    <xf numFmtId="175" fontId="17" fillId="0" borderId="13" xfId="12" applyNumberFormat="1" applyBorder="1">
      <alignment vertical="top"/>
    </xf>
    <xf numFmtId="174" fontId="57" fillId="0" borderId="13" xfId="61" applyNumberFormat="1" applyFont="1" applyBorder="1"/>
    <xf numFmtId="0" fontId="17" fillId="0" borderId="13" xfId="12" applyBorder="1" applyAlignment="1">
      <alignment vertical="top" wrapText="1"/>
    </xf>
    <xf numFmtId="174" fontId="8" fillId="0" borderId="13" xfId="61" applyNumberFormat="1" applyBorder="1"/>
    <xf numFmtId="167" fontId="17" fillId="0" borderId="13" xfId="62" applyFont="1" applyFill="1" applyBorder="1" applyAlignment="1">
      <alignment vertical="top"/>
    </xf>
    <xf numFmtId="167" fontId="0" fillId="0" borderId="13" xfId="60" applyFont="1" applyFill="1" applyBorder="1"/>
    <xf numFmtId="167" fontId="57" fillId="0" borderId="13" xfId="60" applyFont="1" applyFill="1" applyBorder="1"/>
    <xf numFmtId="0" fontId="8" fillId="0" borderId="8" xfId="61" applyBorder="1"/>
    <xf numFmtId="0" fontId="17" fillId="0" borderId="8" xfId="12" quotePrefix="1" applyBorder="1">
      <alignment vertical="top"/>
    </xf>
    <xf numFmtId="169" fontId="17" fillId="0" borderId="8" xfId="12" applyNumberFormat="1" applyBorder="1">
      <alignment vertical="top"/>
    </xf>
    <xf numFmtId="1" fontId="17" fillId="0" borderId="8" xfId="12" applyNumberFormat="1" applyBorder="1">
      <alignment vertical="top"/>
    </xf>
    <xf numFmtId="40" fontId="17" fillId="0" borderId="8" xfId="12" applyNumberFormat="1" applyBorder="1">
      <alignment vertical="top"/>
    </xf>
    <xf numFmtId="175" fontId="17" fillId="0" borderId="8" xfId="12" applyNumberFormat="1" applyBorder="1">
      <alignment vertical="top"/>
    </xf>
    <xf numFmtId="174" fontId="57" fillId="0" borderId="8" xfId="61" applyNumberFormat="1" applyFont="1" applyBorder="1"/>
    <xf numFmtId="1" fontId="57" fillId="0" borderId="8" xfId="61" applyNumberFormat="1" applyFont="1" applyBorder="1"/>
    <xf numFmtId="2" fontId="57" fillId="0" borderId="8" xfId="61" applyNumberFormat="1" applyFont="1" applyBorder="1"/>
    <xf numFmtId="173" fontId="57" fillId="0" borderId="8" xfId="61" applyNumberFormat="1" applyFont="1" applyBorder="1"/>
    <xf numFmtId="174" fontId="8" fillId="0" borderId="8" xfId="61" applyNumberFormat="1" applyBorder="1"/>
    <xf numFmtId="167" fontId="17" fillId="0" borderId="8" xfId="62" applyFont="1" applyFill="1" applyBorder="1" applyAlignment="1">
      <alignment vertical="top"/>
    </xf>
    <xf numFmtId="167" fontId="0" fillId="0" borderId="8" xfId="60" applyFont="1" applyBorder="1"/>
    <xf numFmtId="167" fontId="57" fillId="0" borderId="8" xfId="60" applyFont="1" applyBorder="1"/>
    <xf numFmtId="167" fontId="57" fillId="3" borderId="8" xfId="60" applyFont="1" applyFill="1" applyBorder="1"/>
    <xf numFmtId="167" fontId="0" fillId="0" borderId="0" xfId="60" applyFont="1"/>
    <xf numFmtId="167" fontId="80" fillId="0" borderId="0" xfId="60" applyFont="1"/>
    <xf numFmtId="167" fontId="0" fillId="0" borderId="24" xfId="60" applyFont="1" applyBorder="1"/>
    <xf numFmtId="167" fontId="57" fillId="0" borderId="24" xfId="60" applyFont="1" applyBorder="1"/>
    <xf numFmtId="167" fontId="57" fillId="0" borderId="24" xfId="60" applyFont="1" applyFill="1" applyBorder="1"/>
    <xf numFmtId="167" fontId="57" fillId="3" borderId="24" xfId="60" applyFont="1" applyFill="1" applyBorder="1"/>
    <xf numFmtId="167" fontId="81" fillId="3" borderId="24" xfId="60" applyFont="1" applyFill="1" applyBorder="1"/>
    <xf numFmtId="173" fontId="82" fillId="3" borderId="0" xfId="61" applyNumberFormat="1" applyFont="1" applyFill="1"/>
    <xf numFmtId="173" fontId="56" fillId="3" borderId="0" xfId="61" applyNumberFormat="1" applyFont="1" applyFill="1"/>
    <xf numFmtId="173" fontId="8" fillId="3" borderId="0" xfId="61" applyNumberFormat="1" applyFill="1"/>
    <xf numFmtId="167" fontId="8" fillId="3" borderId="0" xfId="61" applyNumberFormat="1" applyFill="1"/>
    <xf numFmtId="173" fontId="61" fillId="0" borderId="10" xfId="61" applyNumberFormat="1" applyFont="1" applyBorder="1"/>
    <xf numFmtId="173" fontId="8" fillId="0" borderId="10" xfId="61" applyNumberFormat="1" applyBorder="1"/>
    <xf numFmtId="2" fontId="17" fillId="0" borderId="8" xfId="12" applyNumberFormat="1" applyBorder="1">
      <alignment vertical="top"/>
    </xf>
    <xf numFmtId="173" fontId="17" fillId="0" borderId="8" xfId="12" applyNumberFormat="1" applyBorder="1">
      <alignment vertical="top"/>
    </xf>
    <xf numFmtId="0" fontId="17" fillId="0" borderId="8" xfId="12" applyBorder="1" applyAlignment="1">
      <alignment vertical="top" wrapText="1"/>
    </xf>
    <xf numFmtId="167" fontId="57" fillId="0" borderId="26" xfId="60" applyFont="1" applyBorder="1"/>
    <xf numFmtId="167" fontId="0" fillId="0" borderId="0" xfId="60" applyFont="1" applyBorder="1"/>
    <xf numFmtId="167" fontId="62" fillId="0" borderId="0" xfId="60" applyFont="1"/>
    <xf numFmtId="167" fontId="0" fillId="24" borderId="1" xfId="60" applyFont="1" applyFill="1" applyBorder="1"/>
    <xf numFmtId="167" fontId="83" fillId="24" borderId="1" xfId="60" applyFont="1" applyFill="1" applyBorder="1"/>
    <xf numFmtId="175" fontId="17" fillId="0" borderId="1" xfId="12" applyNumberFormat="1" applyBorder="1">
      <alignment vertical="top"/>
    </xf>
    <xf numFmtId="174" fontId="17" fillId="0" borderId="1" xfId="12" applyNumberFormat="1" applyBorder="1">
      <alignment vertical="top"/>
    </xf>
    <xf numFmtId="174" fontId="19" fillId="0" borderId="1" xfId="12" applyNumberFormat="1" applyFont="1" applyBorder="1">
      <alignment vertical="top"/>
    </xf>
    <xf numFmtId="1" fontId="19" fillId="0" borderId="1" xfId="12" applyNumberFormat="1" applyFont="1" applyBorder="1">
      <alignment vertical="top"/>
    </xf>
    <xf numFmtId="167" fontId="0" fillId="0" borderId="1" xfId="60" applyFont="1" applyBorder="1"/>
    <xf numFmtId="0" fontId="8" fillId="0" borderId="3" xfId="61" applyBorder="1"/>
    <xf numFmtId="0" fontId="8" fillId="0" borderId="4" xfId="61" applyBorder="1"/>
    <xf numFmtId="167" fontId="56" fillId="3" borderId="0" xfId="60" applyFont="1" applyFill="1" applyBorder="1"/>
    <xf numFmtId="167" fontId="56" fillId="3" borderId="0" xfId="61" applyNumberFormat="1" applyFont="1" applyFill="1"/>
    <xf numFmtId="0" fontId="56" fillId="3" borderId="0" xfId="61" applyFont="1" applyFill="1"/>
    <xf numFmtId="0" fontId="83" fillId="0" borderId="1" xfId="61" applyFont="1" applyBorder="1"/>
    <xf numFmtId="167" fontId="83" fillId="0" borderId="1" xfId="60" applyFont="1" applyFill="1" applyBorder="1"/>
    <xf numFmtId="0" fontId="83" fillId="24" borderId="1" xfId="61" applyFont="1" applyFill="1" applyBorder="1"/>
    <xf numFmtId="167" fontId="83" fillId="0" borderId="1" xfId="61" applyNumberFormat="1" applyFont="1" applyBorder="1"/>
    <xf numFmtId="0" fontId="83" fillId="0" borderId="1" xfId="61" applyFont="1" applyBorder="1" applyAlignment="1">
      <alignment horizontal="right"/>
    </xf>
    <xf numFmtId="0" fontId="83" fillId="0" borderId="0" xfId="61" applyFont="1"/>
    <xf numFmtId="167" fontId="83" fillId="0" borderId="0" xfId="61" applyNumberFormat="1" applyFont="1"/>
    <xf numFmtId="167" fontId="84" fillId="17" borderId="0" xfId="60" applyFont="1" applyFill="1"/>
    <xf numFmtId="0" fontId="84" fillId="23" borderId="0" xfId="61" applyFont="1" applyFill="1"/>
    <xf numFmtId="166" fontId="61" fillId="0" borderId="0" xfId="61" applyNumberFormat="1" applyFont="1"/>
    <xf numFmtId="40" fontId="17" fillId="0" borderId="1" xfId="62" applyNumberFormat="1" applyFont="1" applyFill="1" applyBorder="1" applyAlignment="1">
      <alignment vertical="top"/>
    </xf>
    <xf numFmtId="0" fontId="24" fillId="0" borderId="1" xfId="12" applyFont="1" applyBorder="1" applyAlignment="1">
      <alignment vertical="top" wrapText="1"/>
    </xf>
    <xf numFmtId="0" fontId="44" fillId="0" borderId="1" xfId="61" applyFont="1" applyBorder="1"/>
    <xf numFmtId="167" fontId="44" fillId="0" borderId="1" xfId="60" applyFont="1" applyFill="1" applyBorder="1"/>
    <xf numFmtId="173" fontId="57" fillId="0" borderId="0" xfId="61" applyNumberFormat="1" applyFont="1"/>
    <xf numFmtId="173" fontId="82" fillId="0" borderId="0" xfId="61" applyNumberFormat="1" applyFont="1"/>
    <xf numFmtId="173" fontId="8" fillId="0" borderId="29" xfId="61" applyNumberFormat="1" applyBorder="1"/>
    <xf numFmtId="0" fontId="81" fillId="0" borderId="1" xfId="61" applyFont="1" applyBorder="1"/>
    <xf numFmtId="0" fontId="81" fillId="3" borderId="1" xfId="61" applyFont="1" applyFill="1" applyBorder="1"/>
    <xf numFmtId="167" fontId="85" fillId="3" borderId="1" xfId="61" applyNumberFormat="1" applyFont="1" applyFill="1" applyBorder="1"/>
    <xf numFmtId="0" fontId="57" fillId="0" borderId="1" xfId="61" applyFont="1" applyBorder="1"/>
    <xf numFmtId="0" fontId="56" fillId="3" borderId="1" xfId="61" applyFont="1" applyFill="1" applyBorder="1"/>
    <xf numFmtId="0" fontId="8" fillId="23" borderId="10" xfId="61" applyFill="1" applyBorder="1"/>
    <xf numFmtId="167" fontId="84" fillId="23" borderId="29" xfId="61" applyNumberFormat="1" applyFont="1" applyFill="1" applyBorder="1"/>
    <xf numFmtId="0" fontId="84" fillId="23" borderId="10" xfId="61" applyFont="1" applyFill="1" applyBorder="1"/>
    <xf numFmtId="167" fontId="84" fillId="0" borderId="13" xfId="61" applyNumberFormat="1" applyFont="1" applyBorder="1"/>
    <xf numFmtId="0" fontId="84" fillId="0" borderId="0" xfId="61" applyFont="1"/>
    <xf numFmtId="0" fontId="17" fillId="0" borderId="1" xfId="12" applyBorder="1" applyAlignment="1"/>
    <xf numFmtId="176" fontId="17" fillId="0" borderId="1" xfId="12" applyNumberFormat="1" applyBorder="1">
      <alignment vertical="top"/>
    </xf>
    <xf numFmtId="1" fontId="17" fillId="0" borderId="1" xfId="63" applyNumberFormat="1" applyFont="1" applyBorder="1" applyAlignment="1">
      <alignment horizontal="right" vertical="top"/>
    </xf>
    <xf numFmtId="0" fontId="17" fillId="0" borderId="1" xfId="63" applyFont="1" applyBorder="1" applyAlignment="1">
      <alignment horizontal="left" vertical="top"/>
    </xf>
    <xf numFmtId="0" fontId="24" fillId="0" borderId="26" xfId="12" applyFont="1" applyBorder="1" applyAlignment="1">
      <alignment vertical="top" wrapText="1"/>
    </xf>
    <xf numFmtId="175" fontId="17" fillId="0" borderId="1" xfId="64" applyNumberFormat="1" applyFont="1" applyFill="1" applyBorder="1" applyAlignment="1">
      <alignment horizontal="right" vertical="top"/>
    </xf>
    <xf numFmtId="176" fontId="17" fillId="0" borderId="1" xfId="12" applyNumberFormat="1" applyBorder="1" applyAlignment="1">
      <alignment horizontal="right" vertical="top"/>
    </xf>
    <xf numFmtId="17" fontId="16" fillId="0" borderId="1" xfId="12" quotePrefix="1" applyNumberFormat="1" applyFont="1" applyBorder="1">
      <alignment vertical="top"/>
    </xf>
    <xf numFmtId="167" fontId="17" fillId="0" borderId="0" xfId="62" applyFont="1" applyFill="1" applyBorder="1" applyAlignment="1">
      <alignment horizontal="center" vertical="top" wrapText="1"/>
    </xf>
    <xf numFmtId="174" fontId="86" fillId="0" borderId="0" xfId="62" applyNumberFormat="1" applyFont="1" applyFill="1" applyBorder="1" applyAlignment="1">
      <alignment vertical="top"/>
    </xf>
    <xf numFmtId="167" fontId="17" fillId="0" borderId="0" xfId="62" applyFont="1" applyFill="1" applyBorder="1" applyAlignment="1">
      <alignment vertical="top"/>
    </xf>
    <xf numFmtId="0" fontId="17" fillId="0" borderId="0" xfId="12" quotePrefix="1">
      <alignment vertical="top"/>
    </xf>
    <xf numFmtId="174" fontId="57" fillId="0" borderId="0" xfId="61" applyNumberFormat="1" applyFont="1"/>
    <xf numFmtId="14" fontId="17" fillId="0" borderId="0" xfId="12" applyNumberFormat="1">
      <alignment vertical="top"/>
    </xf>
    <xf numFmtId="0" fontId="34" fillId="0" borderId="0" xfId="12" applyFont="1">
      <alignment vertical="top"/>
    </xf>
    <xf numFmtId="40" fontId="34" fillId="0" borderId="0" xfId="12" applyNumberFormat="1" applyFont="1">
      <alignment vertical="top"/>
    </xf>
    <xf numFmtId="0" fontId="34" fillId="3" borderId="0" xfId="12" applyFont="1" applyFill="1">
      <alignment vertical="top"/>
    </xf>
    <xf numFmtId="0" fontId="17" fillId="0" borderId="0" xfId="12" applyAlignment="1">
      <alignment horizontal="center" vertical="top"/>
    </xf>
    <xf numFmtId="0" fontId="24" fillId="9" borderId="0" xfId="12" applyFont="1" applyFill="1">
      <alignment vertical="top"/>
    </xf>
    <xf numFmtId="0" fontId="34" fillId="8" borderId="1" xfId="12" applyFont="1" applyFill="1" applyBorder="1">
      <alignment vertical="top"/>
    </xf>
    <xf numFmtId="0" fontId="34" fillId="8" borderId="3" xfId="12" applyFont="1" applyFill="1" applyBorder="1">
      <alignment vertical="top"/>
    </xf>
    <xf numFmtId="0" fontId="34" fillId="8" borderId="17" xfId="12" applyFont="1" applyFill="1" applyBorder="1">
      <alignment vertical="top"/>
    </xf>
    <xf numFmtId="0" fontId="17" fillId="20" borderId="4" xfId="12" applyFill="1" applyBorder="1">
      <alignment vertical="top"/>
    </xf>
    <xf numFmtId="0" fontId="17" fillId="0" borderId="25" xfId="12" applyBorder="1">
      <alignment vertical="top"/>
    </xf>
    <xf numFmtId="0" fontId="34" fillId="12" borderId="1" xfId="12" applyFont="1" applyFill="1" applyBorder="1" applyAlignment="1">
      <alignment vertical="top" wrapText="1"/>
    </xf>
    <xf numFmtId="40" fontId="34" fillId="12" borderId="1" xfId="12" applyNumberFormat="1" applyFont="1" applyFill="1" applyBorder="1" applyAlignment="1">
      <alignment vertical="top" wrapText="1"/>
    </xf>
    <xf numFmtId="0" fontId="34" fillId="12" borderId="1" xfId="12" applyFont="1" applyFill="1" applyBorder="1">
      <alignment vertical="top"/>
    </xf>
    <xf numFmtId="167" fontId="34" fillId="2" borderId="1" xfId="12" applyNumberFormat="1" applyFont="1" applyFill="1" applyBorder="1" applyAlignment="1">
      <alignment horizontal="center" vertical="top" wrapText="1"/>
    </xf>
    <xf numFmtId="173" fontId="17" fillId="2" borderId="3" xfId="12" applyNumberFormat="1" applyFill="1" applyBorder="1" applyAlignment="1">
      <alignment horizontal="center" vertical="top" wrapText="1"/>
    </xf>
    <xf numFmtId="167" fontId="17" fillId="2" borderId="3" xfId="12" applyNumberFormat="1" applyFill="1" applyBorder="1" applyAlignment="1">
      <alignment horizontal="center" vertical="top" wrapText="1"/>
    </xf>
    <xf numFmtId="167" fontId="17" fillId="11" borderId="1" xfId="12" applyNumberFormat="1" applyFill="1" applyBorder="1" applyAlignment="1">
      <alignment horizontal="center" vertical="top" wrapText="1"/>
    </xf>
    <xf numFmtId="167" fontId="17" fillId="2" borderId="10" xfId="12" applyNumberFormat="1" applyFill="1" applyBorder="1" applyAlignment="1">
      <alignment horizontal="center" vertical="top" wrapText="1"/>
    </xf>
    <xf numFmtId="167" fontId="34" fillId="2" borderId="31" xfId="12" applyNumberFormat="1" applyFont="1" applyFill="1" applyBorder="1" applyAlignment="1">
      <alignment horizontal="center" vertical="top" wrapText="1"/>
    </xf>
    <xf numFmtId="167" fontId="34" fillId="2" borderId="43" xfId="12" applyNumberFormat="1" applyFont="1" applyFill="1" applyBorder="1" applyAlignment="1">
      <alignment horizontal="center" vertical="top" wrapText="1"/>
    </xf>
    <xf numFmtId="167" fontId="34" fillId="2" borderId="44" xfId="12" applyNumberFormat="1" applyFont="1" applyFill="1" applyBorder="1" applyAlignment="1">
      <alignment horizontal="center" vertical="top" wrapText="1"/>
    </xf>
    <xf numFmtId="174" fontId="34" fillId="22" borderId="31" xfId="12" applyNumberFormat="1" applyFont="1" applyFill="1" applyBorder="1" applyAlignment="1">
      <alignment horizontal="center" vertical="top" wrapText="1"/>
    </xf>
    <xf numFmtId="174" fontId="34" fillId="22" borderId="43" xfId="12" applyNumberFormat="1" applyFont="1" applyFill="1" applyBorder="1" applyAlignment="1">
      <alignment horizontal="center" vertical="top" wrapText="1"/>
    </xf>
    <xf numFmtId="167" fontId="34" fillId="22" borderId="43" xfId="12" applyNumberFormat="1" applyFont="1" applyFill="1" applyBorder="1" applyAlignment="1">
      <alignment horizontal="center" vertical="top" wrapText="1"/>
    </xf>
    <xf numFmtId="167" fontId="34" fillId="22" borderId="44" xfId="12" applyNumberFormat="1" applyFont="1" applyFill="1" applyBorder="1" applyAlignment="1">
      <alignment horizontal="center" vertical="top" wrapText="1"/>
    </xf>
    <xf numFmtId="0" fontId="34" fillId="22" borderId="32" xfId="12" applyFont="1" applyFill="1" applyBorder="1">
      <alignment vertical="top"/>
    </xf>
    <xf numFmtId="0" fontId="88" fillId="0" borderId="0" xfId="12" applyFont="1" applyAlignment="1">
      <alignment vertical="top" wrapText="1"/>
    </xf>
    <xf numFmtId="0" fontId="88" fillId="0" borderId="0" xfId="12" applyFont="1">
      <alignment vertical="top"/>
    </xf>
    <xf numFmtId="0" fontId="24" fillId="0" borderId="0" xfId="12" applyFont="1" applyAlignment="1">
      <alignment horizontal="center" vertical="center"/>
    </xf>
    <xf numFmtId="0" fontId="17" fillId="0" borderId="3" xfId="12" applyBorder="1" applyAlignment="1">
      <alignment vertical="top" wrapText="1"/>
    </xf>
    <xf numFmtId="0" fontId="19" fillId="0" borderId="1" xfId="12" applyFont="1" applyBorder="1" applyAlignment="1">
      <alignment vertical="top" wrapText="1"/>
    </xf>
    <xf numFmtId="0" fontId="19" fillId="2" borderId="1" xfId="12" applyFont="1" applyFill="1" applyBorder="1" applyAlignment="1">
      <alignment vertical="top" wrapText="1"/>
    </xf>
    <xf numFmtId="173" fontId="19" fillId="2" borderId="1" xfId="12" applyNumberFormat="1" applyFont="1" applyFill="1" applyBorder="1" applyAlignment="1">
      <alignment vertical="top" wrapText="1"/>
    </xf>
    <xf numFmtId="0" fontId="89" fillId="0" borderId="1" xfId="63" applyFont="1" applyBorder="1"/>
    <xf numFmtId="0" fontId="34" fillId="0" borderId="1" xfId="12" applyFont="1" applyBorder="1">
      <alignment vertical="top"/>
    </xf>
    <xf numFmtId="17" fontId="34" fillId="0" borderId="1" xfId="12" quotePrefix="1" applyNumberFormat="1" applyFont="1" applyBorder="1">
      <alignment vertical="top"/>
    </xf>
    <xf numFmtId="0" fontId="34" fillId="0" borderId="1" xfId="12" quotePrefix="1" applyFont="1" applyBorder="1">
      <alignment vertical="top"/>
    </xf>
    <xf numFmtId="169" fontId="34" fillId="0" borderId="1" xfId="12" applyNumberFormat="1" applyFont="1" applyBorder="1">
      <alignment vertical="top"/>
    </xf>
    <xf numFmtId="1" fontId="34" fillId="0" borderId="1" xfId="12" applyNumberFormat="1" applyFont="1" applyBorder="1">
      <alignment vertical="top"/>
    </xf>
    <xf numFmtId="170" fontId="34" fillId="0" borderId="1" xfId="12" applyNumberFormat="1" applyFont="1" applyBorder="1">
      <alignment vertical="top"/>
    </xf>
    <xf numFmtId="14" fontId="34" fillId="0" borderId="1" xfId="12" applyNumberFormat="1" applyFont="1" applyBorder="1">
      <alignment vertical="top"/>
    </xf>
    <xf numFmtId="40" fontId="34" fillId="0" borderId="1" xfId="12" applyNumberFormat="1" applyFont="1" applyBorder="1">
      <alignment vertical="top"/>
    </xf>
    <xf numFmtId="175" fontId="34" fillId="0" borderId="1" xfId="12" applyNumberFormat="1" applyFont="1" applyBorder="1">
      <alignment vertical="top"/>
    </xf>
    <xf numFmtId="167" fontId="89" fillId="0" borderId="1" xfId="60" applyFont="1" applyBorder="1"/>
    <xf numFmtId="174" fontId="34" fillId="0" borderId="1" xfId="60" applyNumberFormat="1" applyFont="1" applyBorder="1" applyAlignment="1">
      <alignment vertical="top"/>
    </xf>
    <xf numFmtId="14" fontId="34" fillId="0" borderId="1" xfId="12" applyNumberFormat="1" applyFont="1" applyBorder="1" applyAlignment="1">
      <alignment horizontal="right" vertical="top" wrapText="1"/>
    </xf>
    <xf numFmtId="1" fontId="34" fillId="0" borderId="1" xfId="12" applyNumberFormat="1" applyFont="1" applyBorder="1" applyAlignment="1">
      <alignment horizontal="right" vertical="top" wrapText="1"/>
    </xf>
    <xf numFmtId="2" fontId="34" fillId="0" borderId="1" xfId="12" applyNumberFormat="1" applyFont="1" applyBorder="1" applyAlignment="1">
      <alignment horizontal="right" vertical="top" wrapText="1"/>
    </xf>
    <xf numFmtId="0" fontId="34" fillId="0" borderId="1" xfId="12" applyFont="1" applyBorder="1" applyAlignment="1">
      <alignment vertical="top" wrapText="1"/>
    </xf>
    <xf numFmtId="173" fontId="8" fillId="0" borderId="1" xfId="63" applyNumberFormat="1" applyBorder="1"/>
    <xf numFmtId="174" fontId="89" fillId="0" borderId="1" xfId="63" applyNumberFormat="1" applyFont="1" applyBorder="1"/>
    <xf numFmtId="0" fontId="89" fillId="0" borderId="0" xfId="63" applyFont="1"/>
    <xf numFmtId="174" fontId="89" fillId="0" borderId="25" xfId="63" applyNumberFormat="1" applyFont="1" applyBorder="1"/>
    <xf numFmtId="174" fontId="89" fillId="0" borderId="26" xfId="63" applyNumberFormat="1" applyFont="1" applyBorder="1"/>
    <xf numFmtId="0" fontId="89" fillId="0" borderId="26" xfId="63" applyFont="1" applyBorder="1"/>
    <xf numFmtId="174" fontId="89" fillId="2" borderId="26" xfId="63" applyNumberFormat="1" applyFont="1" applyFill="1" applyBorder="1"/>
    <xf numFmtId="174" fontId="89" fillId="0" borderId="0" xfId="63" applyNumberFormat="1" applyFont="1"/>
    <xf numFmtId="173" fontId="89" fillId="0" borderId="0" xfId="63" applyNumberFormat="1" applyFont="1"/>
    <xf numFmtId="0" fontId="8" fillId="0" borderId="1" xfId="63" applyBorder="1"/>
    <xf numFmtId="17" fontId="17" fillId="0" borderId="1" xfId="12" quotePrefix="1" applyNumberFormat="1" applyBorder="1">
      <alignment vertical="top"/>
    </xf>
    <xf numFmtId="167" fontId="0" fillId="0" borderId="1" xfId="65" applyFont="1" applyFill="1" applyBorder="1"/>
    <xf numFmtId="174" fontId="17" fillId="0" borderId="1" xfId="65" applyNumberFormat="1" applyFont="1" applyFill="1" applyBorder="1" applyAlignment="1">
      <alignment vertical="top"/>
    </xf>
    <xf numFmtId="14" fontId="17" fillId="0" borderId="1" xfId="12" applyNumberFormat="1" applyBorder="1" applyAlignment="1">
      <alignment horizontal="right" vertical="top" wrapText="1"/>
    </xf>
    <xf numFmtId="174" fontId="8" fillId="0" borderId="1" xfId="63" applyNumberFormat="1" applyBorder="1"/>
    <xf numFmtId="16" fontId="8" fillId="0" borderId="1" xfId="63" applyNumberFormat="1" applyBorder="1"/>
    <xf numFmtId="168" fontId="34" fillId="0" borderId="1" xfId="12" applyNumberFormat="1" applyFont="1" applyBorder="1" applyAlignment="1">
      <alignment horizontal="right" vertical="top"/>
    </xf>
    <xf numFmtId="0" fontId="34" fillId="0" borderId="1" xfId="12" applyFont="1" applyBorder="1" applyAlignment="1">
      <alignment horizontal="left" vertical="top"/>
    </xf>
    <xf numFmtId="14" fontId="34" fillId="0" borderId="1" xfId="12" applyNumberFormat="1" applyFont="1" applyBorder="1" applyAlignment="1">
      <alignment horizontal="left" vertical="top"/>
    </xf>
    <xf numFmtId="3" fontId="87" fillId="0" borderId="1" xfId="12" applyNumberFormat="1" applyFont="1" applyBorder="1" applyAlignment="1">
      <alignment vertical="top" wrapText="1"/>
    </xf>
    <xf numFmtId="40" fontId="70" fillId="4" borderId="1" xfId="12" applyNumberFormat="1" applyFont="1" applyFill="1" applyBorder="1">
      <alignment vertical="top"/>
    </xf>
    <xf numFmtId="0" fontId="74" fillId="0" borderId="0" xfId="63" applyFont="1"/>
    <xf numFmtId="14" fontId="74" fillId="0" borderId="0" xfId="63" applyNumberFormat="1" applyFont="1"/>
    <xf numFmtId="167" fontId="74" fillId="0" borderId="0" xfId="60" applyFont="1"/>
    <xf numFmtId="167" fontId="90" fillId="0" borderId="0" xfId="60" applyFont="1"/>
    <xf numFmtId="174" fontId="8" fillId="17" borderId="1" xfId="63" applyNumberFormat="1" applyFill="1" applyBorder="1"/>
    <xf numFmtId="174" fontId="44" fillId="0" borderId="1" xfId="63" applyNumberFormat="1" applyFont="1" applyBorder="1"/>
    <xf numFmtId="167" fontId="8" fillId="0" borderId="1" xfId="63" applyNumberFormat="1" applyBorder="1"/>
    <xf numFmtId="0" fontId="8" fillId="0" borderId="0" xfId="63"/>
    <xf numFmtId="167" fontId="16" fillId="0" borderId="0" xfId="60" applyFont="1" applyFill="1" applyBorder="1" applyAlignment="1">
      <alignment vertical="top"/>
    </xf>
    <xf numFmtId="167" fontId="16" fillId="0" borderId="0" xfId="12" applyNumberFormat="1" applyFont="1">
      <alignment vertical="top"/>
    </xf>
    <xf numFmtId="0" fontId="65" fillId="0" borderId="0" xfId="63" applyFont="1"/>
    <xf numFmtId="167" fontId="8" fillId="0" borderId="0" xfId="63" applyNumberFormat="1"/>
    <xf numFmtId="0" fontId="84" fillId="0" borderId="0" xfId="63" applyFont="1"/>
    <xf numFmtId="173" fontId="8" fillId="0" borderId="0" xfId="63" applyNumberFormat="1"/>
    <xf numFmtId="173" fontId="61" fillId="0" borderId="0" xfId="63" applyNumberFormat="1" applyFont="1"/>
    <xf numFmtId="0" fontId="84" fillId="0" borderId="1" xfId="63" applyFont="1" applyBorder="1"/>
    <xf numFmtId="3" fontId="34" fillId="0" borderId="1" xfId="12" applyNumberFormat="1" applyFont="1" applyBorder="1">
      <alignment vertical="top"/>
    </xf>
    <xf numFmtId="40" fontId="34" fillId="4" borderId="1" xfId="12" applyNumberFormat="1" applyFont="1" applyFill="1" applyBorder="1">
      <alignment vertical="top"/>
    </xf>
    <xf numFmtId="1" fontId="17" fillId="0" borderId="1" xfId="12" applyNumberFormat="1" applyBorder="1" applyAlignment="1">
      <alignment horizontal="right" vertical="top" wrapText="1"/>
    </xf>
    <xf numFmtId="2" fontId="17" fillId="0" borderId="1" xfId="12" applyNumberFormat="1" applyBorder="1" applyAlignment="1">
      <alignment horizontal="right" vertical="top" wrapText="1"/>
    </xf>
    <xf numFmtId="173" fontId="84" fillId="0" borderId="1" xfId="63" applyNumberFormat="1" applyFont="1" applyBorder="1"/>
    <xf numFmtId="174" fontId="84" fillId="0" borderId="1" xfId="63" applyNumberFormat="1" applyFont="1" applyBorder="1"/>
    <xf numFmtId="174" fontId="84" fillId="0" borderId="25" xfId="63" applyNumberFormat="1" applyFont="1" applyBorder="1"/>
    <xf numFmtId="174" fontId="84" fillId="0" borderId="26" xfId="63" applyNumberFormat="1" applyFont="1" applyBorder="1"/>
    <xf numFmtId="0" fontId="84" fillId="0" borderId="26" xfId="63" applyFont="1" applyBorder="1"/>
    <xf numFmtId="174" fontId="84" fillId="2" borderId="26" xfId="63" applyNumberFormat="1" applyFont="1" applyFill="1" applyBorder="1"/>
    <xf numFmtId="174" fontId="84" fillId="0" borderId="0" xfId="63" applyNumberFormat="1" applyFont="1"/>
    <xf numFmtId="173" fontId="84" fillId="0" borderId="0" xfId="63" applyNumberFormat="1" applyFont="1"/>
    <xf numFmtId="3" fontId="17" fillId="0" borderId="1" xfId="12" applyNumberFormat="1" applyBorder="1">
      <alignment vertical="top"/>
    </xf>
    <xf numFmtId="3" fontId="87" fillId="0" borderId="1" xfId="12" applyNumberFormat="1" applyFont="1" applyBorder="1">
      <alignment vertical="top"/>
    </xf>
    <xf numFmtId="167" fontId="89" fillId="0" borderId="1" xfId="60" applyFont="1" applyFill="1" applyBorder="1"/>
    <xf numFmtId="174" fontId="34" fillId="0" borderId="1" xfId="60" applyNumberFormat="1" applyFont="1" applyFill="1" applyBorder="1" applyAlignment="1">
      <alignment vertical="top"/>
    </xf>
    <xf numFmtId="174" fontId="84" fillId="4" borderId="1" xfId="63" applyNumberFormat="1" applyFont="1" applyFill="1" applyBorder="1"/>
    <xf numFmtId="0" fontId="84" fillId="4" borderId="0" xfId="63" applyFont="1" applyFill="1"/>
    <xf numFmtId="14" fontId="16" fillId="0" borderId="1" xfId="12" applyNumberFormat="1" applyFont="1" applyBorder="1" applyAlignment="1">
      <alignment horizontal="right" vertical="top" wrapText="1"/>
    </xf>
    <xf numFmtId="167" fontId="84" fillId="0" borderId="0" xfId="60" applyFont="1" applyFill="1"/>
    <xf numFmtId="3" fontId="84" fillId="0" borderId="0" xfId="63" applyNumberFormat="1" applyFont="1"/>
    <xf numFmtId="167" fontId="74" fillId="0" borderId="0" xfId="60" applyFont="1" applyFill="1"/>
    <xf numFmtId="167" fontId="90" fillId="0" borderId="0" xfId="60" applyFont="1" applyFill="1"/>
    <xf numFmtId="14" fontId="34" fillId="0" borderId="1" xfId="12" applyNumberFormat="1" applyFont="1" applyBorder="1" applyAlignment="1">
      <alignment horizontal="right" vertical="top"/>
    </xf>
    <xf numFmtId="167" fontId="34" fillId="0" borderId="1" xfId="62" applyFont="1" applyFill="1" applyBorder="1" applyAlignment="1">
      <alignment vertical="top"/>
    </xf>
    <xf numFmtId="0" fontId="84" fillId="0" borderId="9" xfId="63" applyFont="1" applyBorder="1"/>
    <xf numFmtId="0" fontId="17" fillId="0" borderId="9" xfId="12" applyBorder="1">
      <alignment vertical="top"/>
    </xf>
    <xf numFmtId="0" fontId="17" fillId="0" borderId="9" xfId="12" quotePrefix="1" applyBorder="1">
      <alignment vertical="top"/>
    </xf>
    <xf numFmtId="169" fontId="17" fillId="0" borderId="9" xfId="12" applyNumberFormat="1" applyBorder="1">
      <alignment vertical="top"/>
    </xf>
    <xf numFmtId="1" fontId="17" fillId="0" borderId="9" xfId="12" applyNumberFormat="1" applyBorder="1">
      <alignment vertical="top"/>
    </xf>
    <xf numFmtId="170" fontId="17" fillId="0" borderId="9" xfId="12" applyNumberFormat="1" applyBorder="1">
      <alignment vertical="top"/>
    </xf>
    <xf numFmtId="14" fontId="17" fillId="0" borderId="9" xfId="12" applyNumberFormat="1" applyBorder="1">
      <alignment vertical="top"/>
    </xf>
    <xf numFmtId="40" fontId="17" fillId="0" borderId="9" xfId="12" applyNumberFormat="1" applyBorder="1">
      <alignment vertical="top"/>
    </xf>
    <xf numFmtId="175" fontId="17" fillId="0" borderId="9" xfId="12" applyNumberFormat="1" applyBorder="1">
      <alignment vertical="top"/>
    </xf>
    <xf numFmtId="167" fontId="19" fillId="0" borderId="9" xfId="60" applyFont="1" applyBorder="1" applyAlignment="1">
      <alignment vertical="top"/>
    </xf>
    <xf numFmtId="174" fontId="19" fillId="0" borderId="9" xfId="60" applyNumberFormat="1" applyFont="1" applyBorder="1" applyAlignment="1">
      <alignment vertical="top"/>
    </xf>
    <xf numFmtId="14" fontId="17" fillId="0" borderId="9" xfId="12" applyNumberFormat="1" applyBorder="1" applyAlignment="1">
      <alignment horizontal="right" vertical="top" wrapText="1"/>
    </xf>
    <xf numFmtId="1" fontId="17" fillId="0" borderId="9" xfId="12" applyNumberFormat="1" applyBorder="1" applyAlignment="1">
      <alignment horizontal="right" vertical="top" wrapText="1"/>
    </xf>
    <xf numFmtId="2" fontId="17" fillId="0" borderId="9" xfId="12" applyNumberFormat="1" applyBorder="1" applyAlignment="1">
      <alignment horizontal="right" vertical="top" wrapText="1"/>
    </xf>
    <xf numFmtId="0" fontId="17" fillId="0" borderId="9" xfId="12" applyBorder="1" applyAlignment="1">
      <alignment vertical="top" wrapText="1"/>
    </xf>
    <xf numFmtId="173" fontId="84" fillId="0" borderId="9" xfId="63" applyNumberFormat="1" applyFont="1" applyBorder="1"/>
    <xf numFmtId="174" fontId="91" fillId="0" borderId="9" xfId="63" applyNumberFormat="1" applyFont="1" applyBorder="1"/>
    <xf numFmtId="0" fontId="84" fillId="0" borderId="33" xfId="63" applyFont="1" applyBorder="1"/>
    <xf numFmtId="0" fontId="84" fillId="0" borderId="29" xfId="63" applyFont="1" applyBorder="1"/>
    <xf numFmtId="167" fontId="84" fillId="0" borderId="29" xfId="60" applyFont="1" applyBorder="1"/>
    <xf numFmtId="167" fontId="91" fillId="0" borderId="33" xfId="60" applyFont="1" applyBorder="1"/>
    <xf numFmtId="167" fontId="84" fillId="0" borderId="9" xfId="60" applyFont="1" applyBorder="1"/>
    <xf numFmtId="167" fontId="91" fillId="3" borderId="9" xfId="60" applyFont="1" applyFill="1" applyBorder="1"/>
    <xf numFmtId="174" fontId="91" fillId="0" borderId="45" xfId="63" applyNumberFormat="1" applyFont="1" applyBorder="1"/>
    <xf numFmtId="174" fontId="92" fillId="0" borderId="45" xfId="63" applyNumberFormat="1" applyFont="1" applyBorder="1"/>
    <xf numFmtId="0" fontId="84" fillId="3" borderId="29" xfId="63" applyFont="1" applyFill="1" applyBorder="1"/>
    <xf numFmtId="173" fontId="84" fillId="3" borderId="29" xfId="63" applyNumberFormat="1" applyFont="1" applyFill="1" applyBorder="1"/>
    <xf numFmtId="174" fontId="84" fillId="3" borderId="0" xfId="63" applyNumberFormat="1" applyFont="1" applyFill="1"/>
    <xf numFmtId="173" fontId="84" fillId="0" borderId="29" xfId="63" applyNumberFormat="1" applyFont="1" applyBorder="1"/>
    <xf numFmtId="173" fontId="84" fillId="3" borderId="0" xfId="63" applyNumberFormat="1" applyFont="1" applyFill="1"/>
    <xf numFmtId="0" fontId="89" fillId="0" borderId="8" xfId="63" applyFont="1" applyBorder="1"/>
    <xf numFmtId="0" fontId="34" fillId="0" borderId="8" xfId="12" applyFont="1" applyBorder="1">
      <alignment vertical="top"/>
    </xf>
    <xf numFmtId="0" fontId="34" fillId="0" borderId="8" xfId="12" quotePrefix="1" applyFont="1" applyBorder="1">
      <alignment vertical="top"/>
    </xf>
    <xf numFmtId="14" fontId="34" fillId="0" borderId="8" xfId="12" applyNumberFormat="1" applyFont="1" applyBorder="1">
      <alignment vertical="top"/>
    </xf>
    <xf numFmtId="1" fontId="34" fillId="0" borderId="8" xfId="12" applyNumberFormat="1" applyFont="1" applyBorder="1">
      <alignment vertical="top"/>
    </xf>
    <xf numFmtId="170" fontId="34" fillId="0" borderId="8" xfId="12" applyNumberFormat="1" applyFont="1" applyBorder="1">
      <alignment vertical="top"/>
    </xf>
    <xf numFmtId="40" fontId="34" fillId="0" borderId="8" xfId="12" applyNumberFormat="1" applyFont="1" applyBorder="1">
      <alignment vertical="top"/>
    </xf>
    <xf numFmtId="175" fontId="34" fillId="0" borderId="8" xfId="12" applyNumberFormat="1" applyFont="1" applyBorder="1">
      <alignment vertical="top"/>
    </xf>
    <xf numFmtId="174" fontId="87" fillId="0" borderId="8" xfId="60" applyNumberFormat="1" applyFont="1" applyBorder="1" applyAlignment="1">
      <alignment vertical="top"/>
    </xf>
    <xf numFmtId="14" fontId="87" fillId="0" borderId="8" xfId="12" applyNumberFormat="1" applyFont="1" applyBorder="1" applyAlignment="1">
      <alignment horizontal="right" vertical="top" wrapText="1"/>
    </xf>
    <xf numFmtId="14" fontId="34" fillId="0" borderId="8" xfId="12" applyNumberFormat="1" applyFont="1" applyBorder="1" applyAlignment="1">
      <alignment horizontal="right" vertical="top" wrapText="1"/>
    </xf>
    <xf numFmtId="1" fontId="34" fillId="0" borderId="8" xfId="12" applyNumberFormat="1" applyFont="1" applyBorder="1" applyAlignment="1">
      <alignment horizontal="right" vertical="top" wrapText="1"/>
    </xf>
    <xf numFmtId="2" fontId="34" fillId="0" borderId="8" xfId="12" applyNumberFormat="1" applyFont="1" applyBorder="1" applyAlignment="1">
      <alignment horizontal="right" vertical="top" wrapText="1"/>
    </xf>
    <xf numFmtId="0" fontId="34" fillId="0" borderId="8" xfId="12" applyFont="1" applyBorder="1" applyAlignment="1">
      <alignment vertical="top" wrapText="1"/>
    </xf>
    <xf numFmtId="173" fontId="89" fillId="0" borderId="8" xfId="63" applyNumberFormat="1" applyFont="1" applyBorder="1"/>
    <xf numFmtId="3" fontId="89" fillId="0" borderId="8" xfId="63" applyNumberFormat="1" applyFont="1" applyBorder="1"/>
    <xf numFmtId="174" fontId="89" fillId="0" borderId="8" xfId="63" applyNumberFormat="1" applyFont="1" applyBorder="1"/>
    <xf numFmtId="167" fontId="89" fillId="0" borderId="0" xfId="63" applyNumberFormat="1" applyFont="1"/>
    <xf numFmtId="0" fontId="84" fillId="0" borderId="8" xfId="63" applyFont="1" applyBorder="1"/>
    <xf numFmtId="14" fontId="19" fillId="0" borderId="8" xfId="12" applyNumberFormat="1" applyFont="1" applyBorder="1" applyAlignment="1">
      <alignment horizontal="right" vertical="top" wrapText="1"/>
    </xf>
    <xf numFmtId="14" fontId="17" fillId="0" borderId="8" xfId="12" applyNumberFormat="1" applyBorder="1" applyAlignment="1">
      <alignment horizontal="right" vertical="top" wrapText="1"/>
    </xf>
    <xf numFmtId="1" fontId="17" fillId="0" borderId="8" xfId="12" applyNumberFormat="1" applyBorder="1" applyAlignment="1">
      <alignment horizontal="right" vertical="top" wrapText="1"/>
    </xf>
    <xf numFmtId="2" fontId="17" fillId="0" borderId="8" xfId="12" applyNumberFormat="1" applyBorder="1" applyAlignment="1">
      <alignment horizontal="right" vertical="top" wrapText="1"/>
    </xf>
    <xf numFmtId="173" fontId="84" fillId="0" borderId="8" xfId="63" applyNumberFormat="1" applyFont="1" applyBorder="1"/>
    <xf numFmtId="3" fontId="84" fillId="0" borderId="8" xfId="63" applyNumberFormat="1" applyFont="1" applyBorder="1"/>
    <xf numFmtId="167" fontId="84" fillId="0" borderId="0" xfId="63" applyNumberFormat="1" applyFont="1"/>
    <xf numFmtId="174" fontId="34" fillId="0" borderId="1" xfId="12" applyNumberFormat="1" applyFont="1" applyBorder="1">
      <alignment vertical="top"/>
    </xf>
    <xf numFmtId="0" fontId="84" fillId="24" borderId="1" xfId="63" applyFont="1" applyFill="1" applyBorder="1"/>
    <xf numFmtId="3" fontId="84" fillId="24" borderId="1" xfId="63" applyNumberFormat="1" applyFont="1" applyFill="1" applyBorder="1"/>
    <xf numFmtId="0" fontId="91" fillId="0" borderId="0" xfId="63" applyFont="1"/>
    <xf numFmtId="0" fontId="84" fillId="3" borderId="0" xfId="63" applyFont="1" applyFill="1"/>
    <xf numFmtId="0" fontId="84" fillId="3" borderId="1" xfId="63" applyFont="1" applyFill="1" applyBorder="1"/>
    <xf numFmtId="174" fontId="84" fillId="3" borderId="1" xfId="63" applyNumberFormat="1" applyFont="1" applyFill="1" applyBorder="1"/>
    <xf numFmtId="173" fontId="91" fillId="0" borderId="0" xfId="63" applyNumberFormat="1" applyFont="1"/>
    <xf numFmtId="0" fontId="89" fillId="3" borderId="0" xfId="63" applyFont="1" applyFill="1"/>
    <xf numFmtId="1" fontId="84" fillId="0" borderId="0" xfId="63" applyNumberFormat="1" applyFont="1"/>
    <xf numFmtId="0" fontId="90" fillId="0" borderId="0" xfId="63" applyFont="1"/>
    <xf numFmtId="1" fontId="84" fillId="0" borderId="1" xfId="63" applyNumberFormat="1" applyFont="1" applyBorder="1"/>
    <xf numFmtId="2" fontId="84" fillId="0" borderId="1" xfId="63" applyNumberFormat="1" applyFont="1" applyBorder="1"/>
    <xf numFmtId="20" fontId="34" fillId="0" borderId="1" xfId="12" quotePrefix="1" applyNumberFormat="1" applyFont="1" applyBorder="1">
      <alignment vertical="top"/>
    </xf>
    <xf numFmtId="47" fontId="34" fillId="0" borderId="1" xfId="12" quotePrefix="1" applyNumberFormat="1" applyFont="1" applyBorder="1">
      <alignment vertical="top"/>
    </xf>
    <xf numFmtId="174" fontId="34" fillId="0" borderId="1" xfId="62" applyNumberFormat="1" applyFont="1" applyFill="1" applyBorder="1" applyAlignment="1">
      <alignment vertical="top"/>
    </xf>
    <xf numFmtId="168" fontId="17" fillId="0" borderId="1" xfId="63" applyNumberFormat="1" applyFont="1" applyBorder="1" applyAlignment="1">
      <alignment horizontal="right" vertical="top"/>
    </xf>
    <xf numFmtId="14" fontId="17" fillId="0" borderId="1" xfId="12" applyNumberFormat="1" applyBorder="1" applyAlignment="1">
      <alignment horizontal="right" vertical="top"/>
    </xf>
    <xf numFmtId="16" fontId="17" fillId="0" borderId="1" xfId="12" quotePrefix="1" applyNumberFormat="1" applyBorder="1">
      <alignment vertical="top"/>
    </xf>
    <xf numFmtId="175" fontId="34" fillId="0" borderId="1" xfId="12" applyNumberFormat="1" applyFont="1" applyBorder="1" applyAlignment="1">
      <alignment horizontal="center" vertical="top"/>
    </xf>
    <xf numFmtId="14" fontId="17" fillId="0" borderId="1" xfId="63" applyNumberFormat="1" applyFont="1" applyBorder="1" applyAlignment="1">
      <alignment horizontal="right" vertical="top"/>
    </xf>
    <xf numFmtId="171" fontId="34" fillId="0" borderId="1" xfId="62" applyNumberFormat="1" applyFont="1" applyFill="1" applyBorder="1" applyAlignment="1">
      <alignment vertical="top"/>
    </xf>
    <xf numFmtId="40" fontId="34" fillId="0" borderId="1" xfId="62" applyNumberFormat="1" applyFont="1" applyFill="1" applyBorder="1" applyAlignment="1">
      <alignment vertical="top"/>
    </xf>
    <xf numFmtId="175" fontId="34" fillId="0" borderId="1" xfId="62" applyNumberFormat="1" applyFont="1" applyFill="1" applyBorder="1" applyAlignment="1">
      <alignment vertical="top"/>
    </xf>
    <xf numFmtId="0" fontId="93" fillId="0" borderId="1" xfId="12" applyFont="1" applyBorder="1" applyAlignment="1">
      <alignment vertical="top" wrapText="1"/>
    </xf>
    <xf numFmtId="0" fontId="93" fillId="0" borderId="26" xfId="12" applyFont="1" applyBorder="1" applyAlignment="1">
      <alignment vertical="top" wrapText="1"/>
    </xf>
    <xf numFmtId="175" fontId="34" fillId="0" borderId="1" xfId="64" applyNumberFormat="1" applyFont="1" applyFill="1" applyBorder="1" applyAlignment="1">
      <alignment horizontal="right" vertical="top"/>
    </xf>
    <xf numFmtId="40" fontId="89" fillId="0" borderId="0" xfId="63" applyNumberFormat="1" applyFont="1"/>
    <xf numFmtId="169" fontId="84" fillId="0" borderId="0" xfId="63" applyNumberFormat="1" applyFont="1"/>
    <xf numFmtId="2" fontId="84" fillId="0" borderId="0" xfId="63" applyNumberFormat="1" applyFont="1"/>
    <xf numFmtId="167" fontId="34" fillId="0" borderId="0" xfId="62" applyFont="1" applyFill="1" applyBorder="1" applyAlignment="1">
      <alignment horizontal="center" vertical="top" wrapText="1"/>
    </xf>
    <xf numFmtId="167" fontId="86" fillId="0" borderId="0" xfId="62" applyFont="1" applyFill="1" applyBorder="1" applyAlignment="1">
      <alignment vertical="top"/>
    </xf>
    <xf numFmtId="167" fontId="34" fillId="0" borderId="0" xfId="62" applyFont="1" applyFill="1" applyBorder="1" applyAlignment="1">
      <alignment vertical="top"/>
    </xf>
    <xf numFmtId="174" fontId="92" fillId="0" borderId="1" xfId="63" applyNumberFormat="1" applyFont="1" applyBorder="1"/>
    <xf numFmtId="169" fontId="89" fillId="0" borderId="0" xfId="63" applyNumberFormat="1" applyFont="1"/>
    <xf numFmtId="167" fontId="17" fillId="0" borderId="0" xfId="65" applyFont="1" applyBorder="1" applyAlignment="1">
      <alignment vertical="top"/>
    </xf>
    <xf numFmtId="167" fontId="17" fillId="0" borderId="1" xfId="65" applyFont="1" applyFill="1" applyBorder="1" applyAlignment="1">
      <alignment vertical="top"/>
    </xf>
    <xf numFmtId="0" fontId="17" fillId="0" borderId="1" xfId="65" applyNumberFormat="1" applyFont="1" applyFill="1" applyBorder="1" applyAlignment="1">
      <alignment vertical="top"/>
    </xf>
    <xf numFmtId="0" fontId="59" fillId="0" borderId="1" xfId="12" applyFont="1" applyBorder="1" applyAlignment="1">
      <alignment vertical="top" wrapText="1"/>
    </xf>
    <xf numFmtId="0" fontId="59" fillId="0" borderId="1" xfId="12" applyFont="1" applyBorder="1">
      <alignment vertical="top"/>
    </xf>
    <xf numFmtId="0" fontId="60" fillId="0" borderId="1" xfId="12" applyFont="1" applyBorder="1" applyAlignment="1">
      <alignment vertical="top" wrapText="1"/>
    </xf>
    <xf numFmtId="0" fontId="60" fillId="0" borderId="1" xfId="12" applyFont="1" applyBorder="1">
      <alignment vertical="top"/>
    </xf>
    <xf numFmtId="0" fontId="17" fillId="0" borderId="3" xfId="12" applyBorder="1">
      <alignment vertical="top"/>
    </xf>
    <xf numFmtId="0" fontId="17" fillId="9" borderId="1" xfId="12" applyFill="1" applyBorder="1" applyAlignment="1">
      <alignment vertical="top" wrapText="1"/>
    </xf>
    <xf numFmtId="0" fontId="17" fillId="2" borderId="1" xfId="12" applyFill="1" applyBorder="1" applyAlignment="1">
      <alignment vertical="top" wrapText="1"/>
    </xf>
    <xf numFmtId="167" fontId="0" fillId="0" borderId="1" xfId="65" applyFont="1" applyBorder="1"/>
    <xf numFmtId="0" fontId="44" fillId="0" borderId="1" xfId="63" applyFont="1" applyBorder="1"/>
    <xf numFmtId="167" fontId="44" fillId="0" borderId="1" xfId="65" applyFont="1" applyBorder="1"/>
    <xf numFmtId="40" fontId="8" fillId="0" borderId="1" xfId="63" applyNumberFormat="1" applyBorder="1"/>
    <xf numFmtId="175" fontId="19" fillId="0" borderId="9" xfId="12" applyNumberFormat="1" applyFont="1" applyBorder="1">
      <alignment vertical="top"/>
    </xf>
    <xf numFmtId="0" fontId="8" fillId="0" borderId="9" xfId="63" applyBorder="1"/>
    <xf numFmtId="167" fontId="57" fillId="0" borderId="9" xfId="65" applyFont="1" applyBorder="1"/>
    <xf numFmtId="167" fontId="57" fillId="22" borderId="9" xfId="65" applyFont="1" applyFill="1" applyBorder="1"/>
    <xf numFmtId="167" fontId="57" fillId="9" borderId="9" xfId="65" applyFont="1" applyFill="1" applyBorder="1"/>
    <xf numFmtId="167" fontId="57" fillId="3" borderId="9" xfId="65" applyFont="1" applyFill="1" applyBorder="1"/>
    <xf numFmtId="0" fontId="8" fillId="0" borderId="46" xfId="63" applyBorder="1"/>
    <xf numFmtId="167" fontId="57" fillId="0" borderId="45" xfId="63" applyNumberFormat="1" applyFont="1" applyBorder="1"/>
    <xf numFmtId="167" fontId="57" fillId="3" borderId="45" xfId="63" applyNumberFormat="1" applyFont="1" applyFill="1" applyBorder="1"/>
    <xf numFmtId="0" fontId="8" fillId="0" borderId="2" xfId="63" applyBorder="1"/>
    <xf numFmtId="0" fontId="17" fillId="0" borderId="26" xfId="12" quotePrefix="1" applyBorder="1">
      <alignment vertical="top"/>
    </xf>
    <xf numFmtId="14" fontId="17" fillId="0" borderId="26" xfId="12" applyNumberFormat="1" applyBorder="1">
      <alignment vertical="top"/>
    </xf>
    <xf numFmtId="1" fontId="17" fillId="0" borderId="26" xfId="12" applyNumberFormat="1" applyBorder="1">
      <alignment vertical="top"/>
    </xf>
    <xf numFmtId="40" fontId="17" fillId="0" borderId="26" xfId="12" applyNumberFormat="1" applyBorder="1">
      <alignment vertical="top"/>
    </xf>
    <xf numFmtId="175" fontId="17" fillId="0" borderId="26" xfId="12" applyNumberFormat="1" applyBorder="1">
      <alignment vertical="top"/>
    </xf>
    <xf numFmtId="175" fontId="19" fillId="0" borderId="26" xfId="12" applyNumberFormat="1" applyFont="1" applyBorder="1">
      <alignment vertical="top"/>
    </xf>
    <xf numFmtId="14" fontId="19" fillId="0" borderId="26" xfId="12" applyNumberFormat="1" applyFont="1" applyBorder="1">
      <alignment vertical="top"/>
    </xf>
    <xf numFmtId="0" fontId="17" fillId="0" borderId="26" xfId="12" applyBorder="1" applyAlignment="1">
      <alignment vertical="top" wrapText="1"/>
    </xf>
    <xf numFmtId="0" fontId="8" fillId="0" borderId="26" xfId="63" applyBorder="1"/>
    <xf numFmtId="174" fontId="8" fillId="0" borderId="26" xfId="63" applyNumberFormat="1" applyBorder="1"/>
    <xf numFmtId="0" fontId="8" fillId="0" borderId="8" xfId="63" applyBorder="1"/>
    <xf numFmtId="170" fontId="17" fillId="0" borderId="0" xfId="12" applyNumberFormat="1">
      <alignment vertical="top"/>
    </xf>
    <xf numFmtId="175" fontId="17" fillId="0" borderId="0" xfId="12" applyNumberFormat="1">
      <alignment vertical="top"/>
    </xf>
    <xf numFmtId="174" fontId="8" fillId="0" borderId="0" xfId="63" applyNumberFormat="1"/>
    <xf numFmtId="49" fontId="23" fillId="25" borderId="0" xfId="63" applyNumberFormat="1" applyFont="1" applyFill="1" applyAlignment="1">
      <alignment horizontal="left"/>
    </xf>
    <xf numFmtId="49" fontId="23" fillId="25" borderId="0" xfId="63" applyNumberFormat="1" applyFont="1" applyFill="1" applyAlignment="1">
      <alignment horizontal="right"/>
    </xf>
    <xf numFmtId="49" fontId="23" fillId="0" borderId="0" xfId="63" applyNumberFormat="1" applyFont="1" applyAlignment="1">
      <alignment horizontal="left"/>
    </xf>
    <xf numFmtId="0" fontId="56" fillId="3" borderId="0" xfId="63" applyFont="1" applyFill="1"/>
    <xf numFmtId="49" fontId="8" fillId="0" borderId="0" xfId="63" applyNumberFormat="1" applyAlignment="1">
      <alignment horizontal="left"/>
    </xf>
    <xf numFmtId="0" fontId="8" fillId="0" borderId="0" xfId="63" applyAlignment="1">
      <alignment horizontal="left"/>
    </xf>
    <xf numFmtId="0" fontId="8" fillId="0" borderId="0" xfId="63" applyAlignment="1">
      <alignment horizontal="right"/>
    </xf>
    <xf numFmtId="14" fontId="8" fillId="3" borderId="0" xfId="63" applyNumberFormat="1" applyFill="1"/>
    <xf numFmtId="40" fontId="8" fillId="3" borderId="0" xfId="63" applyNumberFormat="1" applyFill="1" applyAlignment="1">
      <alignment horizontal="right"/>
    </xf>
    <xf numFmtId="0" fontId="23" fillId="25" borderId="0" xfId="63" applyFont="1" applyFill="1" applyAlignment="1">
      <alignment horizontal="left"/>
    </xf>
    <xf numFmtId="0" fontId="23" fillId="25" borderId="0" xfId="63" applyFont="1" applyFill="1" applyAlignment="1">
      <alignment horizontal="right"/>
    </xf>
    <xf numFmtId="14" fontId="23" fillId="25" borderId="0" xfId="63" applyNumberFormat="1" applyFont="1" applyFill="1"/>
    <xf numFmtId="40" fontId="23" fillId="25" borderId="0" xfId="63" applyNumberFormat="1" applyFont="1" applyFill="1" applyAlignment="1">
      <alignment horizontal="right"/>
    </xf>
    <xf numFmtId="167" fontId="17" fillId="0" borderId="0" xfId="65" applyFont="1" applyAlignment="1">
      <alignment vertical="top"/>
    </xf>
    <xf numFmtId="20" fontId="17" fillId="0" borderId="0" xfId="12" quotePrefix="1" applyNumberFormat="1">
      <alignment vertical="top"/>
    </xf>
    <xf numFmtId="14" fontId="17" fillId="0" borderId="0" xfId="12" applyNumberFormat="1" applyAlignment="1">
      <alignment horizontal="right" vertical="top" wrapText="1"/>
    </xf>
    <xf numFmtId="47" fontId="17" fillId="0" borderId="0" xfId="12" quotePrefix="1" applyNumberFormat="1">
      <alignment vertical="top"/>
    </xf>
    <xf numFmtId="174" fontId="17" fillId="0" borderId="0" xfId="62" applyNumberFormat="1" applyFont="1" applyFill="1" applyBorder="1" applyAlignment="1">
      <alignment vertical="top"/>
    </xf>
    <xf numFmtId="14" fontId="17" fillId="0" borderId="0" xfId="12" applyNumberFormat="1" applyAlignment="1">
      <alignment horizontal="right" vertical="top"/>
    </xf>
    <xf numFmtId="3" fontId="17" fillId="0" borderId="0" xfId="12" applyNumberFormat="1">
      <alignment vertical="top"/>
    </xf>
    <xf numFmtId="14" fontId="17" fillId="0" borderId="0" xfId="63" applyNumberFormat="1" applyFont="1" applyAlignment="1">
      <alignment horizontal="right" vertical="top"/>
    </xf>
    <xf numFmtId="168" fontId="17" fillId="0" borderId="0" xfId="63" applyNumberFormat="1" applyFont="1" applyAlignment="1">
      <alignment horizontal="right" vertical="top"/>
    </xf>
    <xf numFmtId="14" fontId="17" fillId="0" borderId="0" xfId="63" applyNumberFormat="1" applyFont="1" applyAlignment="1">
      <alignment horizontal="left" vertical="top"/>
    </xf>
    <xf numFmtId="0" fontId="17" fillId="0" borderId="0" xfId="63" applyFont="1" applyAlignment="1">
      <alignment horizontal="left" vertical="top"/>
    </xf>
    <xf numFmtId="1" fontId="17" fillId="0" borderId="0" xfId="63" applyNumberFormat="1" applyFont="1" applyAlignment="1">
      <alignment horizontal="right" vertical="top"/>
    </xf>
    <xf numFmtId="167" fontId="17" fillId="0" borderId="0" xfId="12" applyNumberFormat="1">
      <alignment vertical="top"/>
    </xf>
    <xf numFmtId="16" fontId="17" fillId="0" borderId="0" xfId="12" quotePrefix="1" applyNumberFormat="1">
      <alignment vertical="top"/>
    </xf>
    <xf numFmtId="175" fontId="17" fillId="0" borderId="0" xfId="12" applyNumberFormat="1" applyAlignment="1">
      <alignment horizontal="center" vertical="top"/>
    </xf>
    <xf numFmtId="171" fontId="17" fillId="0" borderId="0" xfId="62" applyNumberFormat="1" applyFont="1" applyFill="1" applyBorder="1" applyAlignment="1">
      <alignment vertical="top"/>
    </xf>
    <xf numFmtId="40" fontId="17" fillId="0" borderId="0" xfId="62" applyNumberFormat="1" applyFont="1" applyFill="1" applyBorder="1" applyAlignment="1">
      <alignment vertical="top"/>
    </xf>
    <xf numFmtId="175" fontId="17" fillId="0" borderId="0" xfId="62" applyNumberFormat="1" applyFont="1" applyFill="1" applyBorder="1" applyAlignment="1">
      <alignment vertical="top"/>
    </xf>
    <xf numFmtId="0" fontId="17" fillId="0" borderId="0" xfId="12" applyAlignment="1"/>
    <xf numFmtId="176" fontId="17" fillId="0" borderId="0" xfId="12" applyNumberFormat="1">
      <alignment vertical="top"/>
    </xf>
    <xf numFmtId="175" fontId="17" fillId="0" borderId="0" xfId="64" applyNumberFormat="1" applyFont="1" applyFill="1" applyBorder="1" applyAlignment="1">
      <alignment horizontal="right" vertical="top"/>
    </xf>
    <xf numFmtId="176" fontId="17" fillId="0" borderId="0" xfId="12" applyNumberFormat="1" applyAlignment="1">
      <alignment horizontal="right" vertical="top"/>
    </xf>
    <xf numFmtId="17" fontId="16" fillId="0" borderId="0" xfId="12" quotePrefix="1" applyNumberFormat="1" applyFont="1">
      <alignment vertical="top"/>
    </xf>
    <xf numFmtId="40" fontId="8" fillId="0" borderId="0" xfId="63" applyNumberFormat="1"/>
    <xf numFmtId="169" fontId="8" fillId="0" borderId="0" xfId="63" applyNumberFormat="1"/>
    <xf numFmtId="174" fontId="57" fillId="0" borderId="0" xfId="63" applyNumberFormat="1" applyFont="1"/>
    <xf numFmtId="0" fontId="39" fillId="12" borderId="1" xfId="12" applyFont="1" applyFill="1" applyBorder="1" applyAlignment="1">
      <alignment horizontal="center" vertical="top"/>
    </xf>
    <xf numFmtId="0" fontId="17" fillId="12" borderId="1" xfId="12" applyFill="1" applyBorder="1" applyAlignment="1">
      <alignment horizontal="center" vertical="top" wrapText="1"/>
    </xf>
    <xf numFmtId="174" fontId="17" fillId="2" borderId="3" xfId="12" applyNumberFormat="1" applyFill="1" applyBorder="1" applyAlignment="1">
      <alignment horizontal="center" vertical="top" wrapText="1"/>
    </xf>
    <xf numFmtId="174" fontId="17" fillId="2" borderId="10" xfId="12" applyNumberFormat="1" applyFill="1" applyBorder="1" applyAlignment="1">
      <alignment vertical="center" wrapText="1"/>
    </xf>
    <xf numFmtId="0" fontId="17" fillId="7" borderId="47" xfId="12" applyFill="1" applyBorder="1">
      <alignment vertical="top"/>
    </xf>
    <xf numFmtId="167" fontId="17" fillId="7" borderId="48" xfId="65" applyFont="1" applyFill="1" applyBorder="1" applyAlignment="1">
      <alignment vertical="top"/>
    </xf>
    <xf numFmtId="0" fontId="17" fillId="0" borderId="1" xfId="65" applyNumberFormat="1" applyFont="1" applyFill="1" applyBorder="1" applyAlignment="1">
      <alignment vertical="top" wrapText="1"/>
    </xf>
    <xf numFmtId="0" fontId="94" fillId="0" borderId="0" xfId="12" applyFont="1" applyAlignment="1">
      <alignment vertical="top" wrapText="1"/>
    </xf>
    <xf numFmtId="0" fontId="17" fillId="0" borderId="1" xfId="12" applyBorder="1" applyAlignment="1">
      <alignment horizontal="center" vertical="center" wrapText="1"/>
    </xf>
    <xf numFmtId="0" fontId="19" fillId="0" borderId="1" xfId="12" applyFont="1" applyBorder="1">
      <alignment vertical="top"/>
    </xf>
    <xf numFmtId="173" fontId="19" fillId="0" borderId="1" xfId="12" applyNumberFormat="1" applyFont="1" applyBorder="1" applyAlignment="1">
      <alignment vertical="top" wrapText="1"/>
    </xf>
    <xf numFmtId="166" fontId="17" fillId="0" borderId="0" xfId="12" applyNumberFormat="1" applyAlignment="1">
      <alignment vertical="top" wrapText="1"/>
    </xf>
    <xf numFmtId="0" fontId="16" fillId="4" borderId="1" xfId="12" applyFont="1" applyFill="1" applyBorder="1" applyAlignment="1">
      <alignment vertical="top" wrapText="1"/>
    </xf>
    <xf numFmtId="0" fontId="16" fillId="4" borderId="1" xfId="12" applyFont="1" applyFill="1" applyBorder="1">
      <alignment vertical="top"/>
    </xf>
    <xf numFmtId="173" fontId="16" fillId="4" borderId="1" xfId="12" applyNumberFormat="1" applyFont="1" applyFill="1" applyBorder="1" applyAlignment="1">
      <alignment vertical="top" wrapText="1"/>
    </xf>
    <xf numFmtId="0" fontId="61" fillId="4" borderId="1" xfId="63" applyFont="1" applyFill="1" applyBorder="1" applyAlignment="1">
      <alignment horizontal="center"/>
    </xf>
    <xf numFmtId="0" fontId="61" fillId="4" borderId="1" xfId="63" applyFont="1" applyFill="1" applyBorder="1"/>
    <xf numFmtId="14" fontId="16" fillId="4" borderId="1" xfId="12" applyNumberFormat="1" applyFont="1" applyFill="1" applyBorder="1">
      <alignment vertical="top"/>
    </xf>
    <xf numFmtId="0" fontId="35" fillId="4" borderId="1" xfId="12" applyFont="1" applyFill="1" applyBorder="1" applyAlignment="1">
      <alignment horizontal="center" vertical="top"/>
    </xf>
    <xf numFmtId="170" fontId="16" fillId="4" borderId="1" xfId="12" applyNumberFormat="1" applyFont="1" applyFill="1" applyBorder="1">
      <alignment vertical="top"/>
    </xf>
    <xf numFmtId="167" fontId="16" fillId="4" borderId="1" xfId="65" applyFont="1" applyFill="1" applyBorder="1" applyAlignment="1">
      <alignment horizontal="center" vertical="top" wrapText="1"/>
    </xf>
    <xf numFmtId="14" fontId="16" fillId="4" borderId="1" xfId="12" applyNumberFormat="1" applyFont="1" applyFill="1" applyBorder="1" applyAlignment="1">
      <alignment vertical="top" wrapText="1"/>
    </xf>
    <xf numFmtId="1" fontId="16" fillId="4" borderId="1" xfId="12" applyNumberFormat="1" applyFont="1" applyFill="1" applyBorder="1" applyAlignment="1">
      <alignment vertical="top" wrapText="1"/>
    </xf>
    <xf numFmtId="169" fontId="16" fillId="4" borderId="1" xfId="12" applyNumberFormat="1" applyFont="1" applyFill="1" applyBorder="1" applyAlignment="1">
      <alignment vertical="top" wrapText="1"/>
    </xf>
    <xf numFmtId="1" fontId="16" fillId="0" borderId="1" xfId="12" applyNumberFormat="1" applyFont="1" applyBorder="1" applyAlignment="1">
      <alignment vertical="top" wrapText="1"/>
    </xf>
    <xf numFmtId="2" fontId="16" fillId="0" borderId="1" xfId="12" applyNumberFormat="1" applyFont="1" applyBorder="1" applyAlignment="1">
      <alignment vertical="top" wrapText="1"/>
    </xf>
    <xf numFmtId="167" fontId="16" fillId="4" borderId="1" xfId="12" applyNumberFormat="1" applyFont="1" applyFill="1" applyBorder="1" applyAlignment="1">
      <alignment horizontal="center" vertical="top" wrapText="1"/>
    </xf>
    <xf numFmtId="167" fontId="16" fillId="4" borderId="1" xfId="62" applyFont="1" applyFill="1" applyBorder="1" applyAlignment="1">
      <alignment vertical="top"/>
    </xf>
    <xf numFmtId="174" fontId="16" fillId="4" borderId="10" xfId="12" applyNumberFormat="1" applyFont="1" applyFill="1" applyBorder="1" applyAlignment="1">
      <alignment horizontal="center" vertical="top" wrapText="1"/>
    </xf>
    <xf numFmtId="174" fontId="16" fillId="4" borderId="10" xfId="12" applyNumberFormat="1" applyFont="1" applyFill="1" applyBorder="1" applyAlignment="1">
      <alignment vertical="center" wrapText="1"/>
    </xf>
    <xf numFmtId="174" fontId="61" fillId="4" borderId="1" xfId="63" applyNumberFormat="1" applyFont="1" applyFill="1" applyBorder="1"/>
    <xf numFmtId="167" fontId="16" fillId="4" borderId="12" xfId="12" applyNumberFormat="1" applyFont="1" applyFill="1" applyBorder="1" applyAlignment="1">
      <alignment horizontal="center" vertical="top" wrapText="1"/>
    </xf>
    <xf numFmtId="174" fontId="16" fillId="4" borderId="2" xfId="12" applyNumberFormat="1" applyFont="1" applyFill="1" applyBorder="1" applyAlignment="1">
      <alignment horizontal="center" vertical="top" wrapText="1"/>
    </xf>
    <xf numFmtId="167" fontId="16" fillId="4" borderId="2" xfId="12" applyNumberFormat="1" applyFont="1" applyFill="1" applyBorder="1" applyAlignment="1">
      <alignment horizontal="center" vertical="top" wrapText="1"/>
    </xf>
    <xf numFmtId="167" fontId="16" fillId="4" borderId="11" xfId="12" applyNumberFormat="1" applyFont="1" applyFill="1" applyBorder="1" applyAlignment="1">
      <alignment horizontal="center" vertical="top" wrapText="1"/>
    </xf>
    <xf numFmtId="174" fontId="16" fillId="4" borderId="12" xfId="12" applyNumberFormat="1" applyFont="1" applyFill="1" applyBorder="1" applyAlignment="1">
      <alignment horizontal="center" vertical="top" wrapText="1"/>
    </xf>
    <xf numFmtId="0" fontId="16" fillId="4" borderId="11" xfId="12" applyFont="1" applyFill="1" applyBorder="1">
      <alignment vertical="top"/>
    </xf>
    <xf numFmtId="0" fontId="16" fillId="4" borderId="0" xfId="12" applyFont="1" applyFill="1">
      <alignment vertical="top"/>
    </xf>
    <xf numFmtId="167" fontId="16" fillId="4" borderId="0" xfId="65" applyFont="1" applyFill="1" applyBorder="1" applyAlignment="1">
      <alignment vertical="top"/>
    </xf>
    <xf numFmtId="167" fontId="16" fillId="4" borderId="4" xfId="12" applyNumberFormat="1" applyFont="1" applyFill="1" applyBorder="1">
      <alignment vertical="top"/>
    </xf>
    <xf numFmtId="0" fontId="16" fillId="4" borderId="4" xfId="12" applyFont="1" applyFill="1" applyBorder="1">
      <alignment vertical="top"/>
    </xf>
    <xf numFmtId="167" fontId="61" fillId="4" borderId="1" xfId="63" applyNumberFormat="1" applyFont="1" applyFill="1" applyBorder="1"/>
    <xf numFmtId="0" fontId="16" fillId="4" borderId="1" xfId="65" applyNumberFormat="1" applyFont="1" applyFill="1" applyBorder="1" applyAlignment="1">
      <alignment vertical="top"/>
    </xf>
    <xf numFmtId="167" fontId="16" fillId="4" borderId="1" xfId="65" applyFont="1" applyFill="1" applyBorder="1" applyAlignment="1">
      <alignment vertical="top"/>
    </xf>
    <xf numFmtId="167" fontId="31" fillId="4" borderId="1" xfId="12" applyNumberFormat="1" applyFont="1" applyFill="1" applyBorder="1" applyAlignment="1">
      <alignment vertical="top" wrapText="1"/>
    </xf>
    <xf numFmtId="0" fontId="31" fillId="4" borderId="0" xfId="12" applyFont="1" applyFill="1" applyAlignment="1">
      <alignment vertical="top" wrapText="1"/>
    </xf>
    <xf numFmtId="0" fontId="31" fillId="4" borderId="0" xfId="12" applyFont="1" applyFill="1">
      <alignment vertical="top"/>
    </xf>
    <xf numFmtId="167" fontId="16" fillId="4" borderId="0" xfId="65" applyFont="1" applyFill="1" applyAlignment="1">
      <alignment vertical="top" wrapText="1"/>
    </xf>
    <xf numFmtId="14" fontId="16" fillId="4" borderId="0" xfId="12" applyNumberFormat="1" applyFont="1" applyFill="1">
      <alignment vertical="top"/>
    </xf>
    <xf numFmtId="167" fontId="16" fillId="4" borderId="0" xfId="12" applyNumberFormat="1" applyFont="1" applyFill="1">
      <alignment vertical="top"/>
    </xf>
    <xf numFmtId="167" fontId="16" fillId="4" borderId="2" xfId="12" applyNumberFormat="1" applyFont="1" applyFill="1" applyBorder="1">
      <alignment vertical="top"/>
    </xf>
    <xf numFmtId="167" fontId="61" fillId="4" borderId="26" xfId="63" applyNumberFormat="1" applyFont="1" applyFill="1" applyBorder="1"/>
    <xf numFmtId="167" fontId="61" fillId="4" borderId="0" xfId="63" applyNumberFormat="1" applyFont="1" applyFill="1"/>
    <xf numFmtId="173" fontId="16" fillId="4" borderId="0" xfId="12" applyNumberFormat="1" applyFont="1" applyFill="1">
      <alignment vertical="top"/>
    </xf>
    <xf numFmtId="166" fontId="16" fillId="4" borderId="0" xfId="12" applyNumberFormat="1" applyFont="1" applyFill="1">
      <alignment vertical="top"/>
    </xf>
    <xf numFmtId="173" fontId="16" fillId="0" borderId="0" xfId="12" applyNumberFormat="1" applyFont="1">
      <alignment vertical="top"/>
    </xf>
    <xf numFmtId="0" fontId="16" fillId="0" borderId="1" xfId="12" applyFont="1" applyBorder="1" applyAlignment="1">
      <alignment vertical="top" wrapText="1"/>
    </xf>
    <xf numFmtId="173" fontId="16" fillId="0" borderId="1" xfId="12" quotePrefix="1" applyNumberFormat="1" applyFont="1" applyBorder="1">
      <alignment vertical="top"/>
    </xf>
    <xf numFmtId="0" fontId="61" fillId="0" borderId="1" xfId="63" applyFont="1" applyBorder="1" applyAlignment="1">
      <alignment horizontal="center"/>
    </xf>
    <xf numFmtId="0" fontId="61" fillId="0" borderId="1" xfId="63" applyFont="1" applyBorder="1"/>
    <xf numFmtId="0" fontId="35" fillId="0" borderId="1" xfId="12" applyFont="1" applyBorder="1" applyAlignment="1">
      <alignment horizontal="center" vertical="top"/>
    </xf>
    <xf numFmtId="167" fontId="16" fillId="0" borderId="1" xfId="65" applyFont="1" applyBorder="1" applyAlignment="1">
      <alignment horizontal="center" vertical="top" wrapText="1"/>
    </xf>
    <xf numFmtId="0" fontId="16" fillId="0" borderId="1" xfId="12" applyFont="1" applyBorder="1" applyAlignment="1">
      <alignment horizontal="center" vertical="top" wrapText="1"/>
    </xf>
    <xf numFmtId="14" fontId="16" fillId="0" borderId="1" xfId="12" applyNumberFormat="1" applyFont="1" applyBorder="1" applyAlignment="1">
      <alignment vertical="top" wrapText="1"/>
    </xf>
    <xf numFmtId="169" fontId="16" fillId="0" borderId="1" xfId="12" applyNumberFormat="1" applyFont="1" applyBorder="1" applyAlignment="1">
      <alignment vertical="top" wrapText="1"/>
    </xf>
    <xf numFmtId="173" fontId="16" fillId="0" borderId="1" xfId="12" applyNumberFormat="1" applyFont="1" applyBorder="1" applyAlignment="1">
      <alignment vertical="top" wrapText="1"/>
    </xf>
    <xf numFmtId="167" fontId="16" fillId="0" borderId="1" xfId="12" applyNumberFormat="1" applyFont="1" applyBorder="1" applyAlignment="1">
      <alignment horizontal="center" vertical="top" wrapText="1"/>
    </xf>
    <xf numFmtId="167" fontId="16" fillId="0" borderId="1" xfId="62" applyFont="1" applyFill="1" applyBorder="1" applyAlignment="1">
      <alignment vertical="top"/>
    </xf>
    <xf numFmtId="174" fontId="16" fillId="0" borderId="10" xfId="12" applyNumberFormat="1" applyFont="1" applyBorder="1" applyAlignment="1">
      <alignment horizontal="center" vertical="top" wrapText="1"/>
    </xf>
    <xf numFmtId="174" fontId="16" fillId="0" borderId="10" xfId="12" applyNumberFormat="1" applyFont="1" applyBorder="1" applyAlignment="1">
      <alignment vertical="center" wrapText="1"/>
    </xf>
    <xf numFmtId="174" fontId="61" fillId="0" borderId="1" xfId="63" applyNumberFormat="1" applyFont="1" applyBorder="1"/>
    <xf numFmtId="167" fontId="16" fillId="0" borderId="12" xfId="12" applyNumberFormat="1" applyFont="1" applyBorder="1" applyAlignment="1">
      <alignment horizontal="center" vertical="top" wrapText="1"/>
    </xf>
    <xf numFmtId="174" fontId="16" fillId="0" borderId="2" xfId="12" applyNumberFormat="1" applyFont="1" applyBorder="1" applyAlignment="1">
      <alignment horizontal="center" vertical="top" wrapText="1"/>
    </xf>
    <xf numFmtId="167" fontId="16" fillId="0" borderId="2" xfId="12" applyNumberFormat="1" applyFont="1" applyBorder="1" applyAlignment="1">
      <alignment horizontal="center" vertical="top" wrapText="1"/>
    </xf>
    <xf numFmtId="167" fontId="16" fillId="0" borderId="11" xfId="12" applyNumberFormat="1" applyFont="1" applyBorder="1" applyAlignment="1">
      <alignment horizontal="center" vertical="top" wrapText="1"/>
    </xf>
    <xf numFmtId="174" fontId="16" fillId="0" borderId="12" xfId="12" applyNumberFormat="1" applyFont="1" applyBorder="1" applyAlignment="1">
      <alignment horizontal="center" vertical="top" wrapText="1"/>
    </xf>
    <xf numFmtId="0" fontId="16" fillId="0" borderId="11" xfId="12" applyFont="1" applyBorder="1">
      <alignment vertical="top"/>
    </xf>
    <xf numFmtId="167" fontId="16" fillId="0" borderId="0" xfId="65" applyFont="1" applyFill="1" applyBorder="1" applyAlignment="1">
      <alignment vertical="top"/>
    </xf>
    <xf numFmtId="0" fontId="16" fillId="0" borderId="4" xfId="12" applyFont="1" applyBorder="1">
      <alignment vertical="top"/>
    </xf>
    <xf numFmtId="167" fontId="61" fillId="0" borderId="1" xfId="63" applyNumberFormat="1" applyFont="1" applyBorder="1"/>
    <xf numFmtId="0" fontId="16" fillId="0" borderId="1" xfId="65" applyNumberFormat="1" applyFont="1" applyFill="1" applyBorder="1" applyAlignment="1">
      <alignment vertical="top"/>
    </xf>
    <xf numFmtId="167" fontId="16" fillId="0" borderId="1" xfId="65" applyFont="1" applyFill="1" applyBorder="1" applyAlignment="1">
      <alignment vertical="top"/>
    </xf>
    <xf numFmtId="167" fontId="31" fillId="0" borderId="1" xfId="12" applyNumberFormat="1" applyFont="1" applyBorder="1" applyAlignment="1">
      <alignment vertical="top" wrapText="1"/>
    </xf>
    <xf numFmtId="0" fontId="31" fillId="0" borderId="0" xfId="12" applyFont="1" applyAlignment="1">
      <alignment vertical="top" wrapText="1"/>
    </xf>
    <xf numFmtId="0" fontId="31" fillId="0" borderId="0" xfId="12" applyFont="1">
      <alignment vertical="top"/>
    </xf>
    <xf numFmtId="167" fontId="16" fillId="0" borderId="0" xfId="65" applyFont="1" applyFill="1" applyAlignment="1">
      <alignment vertical="top" wrapText="1"/>
    </xf>
    <xf numFmtId="14" fontId="16" fillId="0" borderId="0" xfId="12" applyNumberFormat="1" applyFont="1">
      <alignment vertical="top"/>
    </xf>
    <xf numFmtId="167" fontId="16" fillId="0" borderId="0" xfId="65" applyFont="1" applyAlignment="1">
      <alignment vertical="top"/>
    </xf>
    <xf numFmtId="0" fontId="66" fillId="0" borderId="0" xfId="12" applyFont="1">
      <alignment vertical="top"/>
    </xf>
    <xf numFmtId="167" fontId="61" fillId="0" borderId="26" xfId="63" applyNumberFormat="1" applyFont="1" applyBorder="1"/>
    <xf numFmtId="167" fontId="61" fillId="0" borderId="0" xfId="63" applyNumberFormat="1" applyFont="1"/>
    <xf numFmtId="166" fontId="16" fillId="0" borderId="0" xfId="12" applyNumberFormat="1" applyFont="1">
      <alignment vertical="top"/>
    </xf>
    <xf numFmtId="173" fontId="17" fillId="0" borderId="1" xfId="12" quotePrefix="1" applyNumberFormat="1" applyBorder="1">
      <alignment vertical="top"/>
    </xf>
    <xf numFmtId="0" fontId="17" fillId="0" borderId="1" xfId="12" applyBorder="1" applyAlignment="1">
      <alignment horizontal="center" vertical="top" wrapText="1"/>
    </xf>
    <xf numFmtId="0" fontId="17" fillId="0" borderId="1" xfId="12" applyBorder="1" applyAlignment="1">
      <alignment horizontal="left" vertical="top" wrapText="1"/>
    </xf>
    <xf numFmtId="175" fontId="17" fillId="0" borderId="1" xfId="12" applyNumberFormat="1" applyBorder="1" applyAlignment="1">
      <alignment vertical="top" wrapText="1"/>
    </xf>
    <xf numFmtId="173" fontId="17" fillId="0" borderId="1" xfId="12" applyNumberFormat="1" applyBorder="1" applyAlignment="1">
      <alignment horizontal="right" vertical="top" wrapText="1"/>
    </xf>
    <xf numFmtId="167" fontId="17" fillId="17" borderId="1" xfId="62" applyFont="1" applyFill="1" applyBorder="1" applyAlignment="1">
      <alignment vertical="top"/>
    </xf>
    <xf numFmtId="174" fontId="8" fillId="0" borderId="8" xfId="63" applyNumberFormat="1" applyBorder="1"/>
    <xf numFmtId="167" fontId="0" fillId="0" borderId="8" xfId="65" applyFont="1" applyBorder="1"/>
    <xf numFmtId="0" fontId="8" fillId="4" borderId="1" xfId="63" applyFill="1" applyBorder="1"/>
    <xf numFmtId="167" fontId="0" fillId="22" borderId="1" xfId="65" applyFont="1" applyFill="1" applyBorder="1"/>
    <xf numFmtId="0" fontId="69" fillId="0" borderId="0" xfId="63" applyFont="1"/>
    <xf numFmtId="167" fontId="86" fillId="0" borderId="0" xfId="12" applyNumberFormat="1" applyFont="1">
      <alignment vertical="top"/>
    </xf>
    <xf numFmtId="167" fontId="86" fillId="0" borderId="26" xfId="12" applyNumberFormat="1" applyFont="1" applyBorder="1">
      <alignment vertical="top"/>
    </xf>
    <xf numFmtId="167" fontId="8" fillId="0" borderId="26" xfId="63" applyNumberFormat="1" applyBorder="1"/>
    <xf numFmtId="166" fontId="8" fillId="0" borderId="0" xfId="63" applyNumberFormat="1"/>
    <xf numFmtId="0" fontId="24" fillId="0" borderId="1" xfId="12" applyFont="1" applyBorder="1" applyAlignment="1">
      <alignment horizontal="center" vertical="top" wrapText="1"/>
    </xf>
    <xf numFmtId="170" fontId="24" fillId="0" borderId="1" xfId="12" applyNumberFormat="1" applyFont="1" applyBorder="1">
      <alignment vertical="top"/>
    </xf>
    <xf numFmtId="14" fontId="24" fillId="0" borderId="1" xfId="12" applyNumberFormat="1" applyFont="1" applyBorder="1" applyAlignment="1">
      <alignment horizontal="right" vertical="top" wrapText="1"/>
    </xf>
    <xf numFmtId="173" fontId="24" fillId="0" borderId="1" xfId="12" applyNumberFormat="1" applyFont="1" applyBorder="1" applyAlignment="1">
      <alignment horizontal="right" vertical="top" wrapText="1"/>
    </xf>
    <xf numFmtId="1" fontId="17" fillId="0" borderId="1" xfId="12" applyNumberFormat="1" applyBorder="1" applyAlignment="1">
      <alignment horizontal="center" vertical="top"/>
    </xf>
    <xf numFmtId="3" fontId="19" fillId="4" borderId="1" xfId="12" applyNumberFormat="1" applyFont="1" applyFill="1" applyBorder="1" applyAlignment="1">
      <alignment vertical="top" wrapText="1"/>
    </xf>
    <xf numFmtId="3" fontId="19" fillId="4" borderId="1" xfId="12" applyNumberFormat="1" applyFont="1" applyFill="1" applyBorder="1">
      <alignment vertical="top"/>
    </xf>
    <xf numFmtId="0" fontId="19" fillId="9" borderId="1" xfId="12" applyFont="1" applyFill="1" applyBorder="1" applyAlignment="1">
      <alignment vertical="top" wrapText="1"/>
    </xf>
    <xf numFmtId="167" fontId="0" fillId="0" borderId="0" xfId="65" applyFont="1"/>
    <xf numFmtId="168" fontId="16" fillId="0" borderId="1" xfId="63" applyNumberFormat="1" applyFont="1" applyBorder="1" applyAlignment="1">
      <alignment horizontal="right" vertical="top"/>
    </xf>
    <xf numFmtId="0" fontId="16" fillId="0" borderId="1" xfId="63" applyFont="1" applyBorder="1" applyAlignment="1">
      <alignment horizontal="left" vertical="top"/>
    </xf>
    <xf numFmtId="14" fontId="16" fillId="0" borderId="1" xfId="63" applyNumberFormat="1" applyFont="1" applyBorder="1" applyAlignment="1">
      <alignment horizontal="left" vertical="top"/>
    </xf>
    <xf numFmtId="1" fontId="16" fillId="0" borderId="1" xfId="12" applyNumberFormat="1" applyFont="1" applyBorder="1">
      <alignment vertical="top"/>
    </xf>
    <xf numFmtId="3" fontId="16" fillId="0" borderId="1" xfId="12" applyNumberFormat="1" applyFont="1" applyBorder="1">
      <alignment vertical="top"/>
    </xf>
    <xf numFmtId="175" fontId="16" fillId="0" borderId="1" xfId="12" applyNumberFormat="1" applyFont="1" applyBorder="1">
      <alignment vertical="top"/>
    </xf>
    <xf numFmtId="173" fontId="16" fillId="0" borderId="1" xfId="12" applyNumberFormat="1" applyFont="1" applyBorder="1" applyAlignment="1">
      <alignment horizontal="right" vertical="top" wrapText="1"/>
    </xf>
    <xf numFmtId="173" fontId="17" fillId="4" borderId="1" xfId="12" quotePrefix="1" applyNumberFormat="1" applyFill="1" applyBorder="1">
      <alignment vertical="top"/>
    </xf>
    <xf numFmtId="0" fontId="17" fillId="4" borderId="1" xfId="12" quotePrefix="1" applyFill="1" applyBorder="1">
      <alignment vertical="top"/>
    </xf>
    <xf numFmtId="1" fontId="17" fillId="4" borderId="1" xfId="12" applyNumberFormat="1" applyFill="1" applyBorder="1" applyAlignment="1">
      <alignment horizontal="center" vertical="top"/>
    </xf>
    <xf numFmtId="175" fontId="17" fillId="4" borderId="1" xfId="12" applyNumberFormat="1" applyFill="1" applyBorder="1">
      <alignment vertical="top"/>
    </xf>
    <xf numFmtId="174" fontId="8" fillId="4" borderId="1" xfId="63" applyNumberFormat="1" applyFill="1" applyBorder="1"/>
    <xf numFmtId="14" fontId="17" fillId="4" borderId="1" xfId="12" applyNumberFormat="1" applyFill="1" applyBorder="1" applyAlignment="1">
      <alignment horizontal="right" vertical="top" wrapText="1"/>
    </xf>
    <xf numFmtId="173" fontId="17" fillId="4" borderId="1" xfId="12" applyNumberFormat="1" applyFill="1" applyBorder="1" applyAlignment="1">
      <alignment horizontal="right" vertical="top" wrapText="1"/>
    </xf>
    <xf numFmtId="0" fontId="17" fillId="4" borderId="1" xfId="12" applyFill="1" applyBorder="1" applyAlignment="1">
      <alignment vertical="top" wrapText="1"/>
    </xf>
    <xf numFmtId="167" fontId="0" fillId="4" borderId="1" xfId="65" applyFont="1" applyFill="1" applyBorder="1"/>
    <xf numFmtId="167" fontId="8" fillId="4" borderId="1" xfId="63" applyNumberFormat="1" applyFill="1" applyBorder="1"/>
    <xf numFmtId="0" fontId="8" fillId="4" borderId="0" xfId="63" applyFill="1"/>
    <xf numFmtId="0" fontId="69" fillId="4" borderId="0" xfId="63" applyFont="1" applyFill="1"/>
    <xf numFmtId="167" fontId="86" fillId="4" borderId="0" xfId="12" applyNumberFormat="1" applyFont="1" applyFill="1">
      <alignment vertical="top"/>
    </xf>
    <xf numFmtId="167" fontId="86" fillId="4" borderId="26" xfId="12" applyNumberFormat="1" applyFont="1" applyFill="1" applyBorder="1">
      <alignment vertical="top"/>
    </xf>
    <xf numFmtId="167" fontId="8" fillId="4" borderId="26" xfId="63" applyNumberFormat="1" applyFill="1" applyBorder="1"/>
    <xf numFmtId="167" fontId="8" fillId="4" borderId="0" xfId="63" applyNumberFormat="1" applyFill="1"/>
    <xf numFmtId="167" fontId="17" fillId="4" borderId="0" xfId="12" applyNumberFormat="1" applyFill="1">
      <alignment vertical="top"/>
    </xf>
    <xf numFmtId="173" fontId="8" fillId="4" borderId="0" xfId="63" applyNumberFormat="1" applyFill="1"/>
    <xf numFmtId="166" fontId="8" fillId="4" borderId="0" xfId="63" applyNumberFormat="1" applyFill="1"/>
    <xf numFmtId="169" fontId="17" fillId="9" borderId="1" xfId="12" applyNumberFormat="1" applyFill="1" applyBorder="1">
      <alignment vertical="top"/>
    </xf>
    <xf numFmtId="1" fontId="17" fillId="9" borderId="1" xfId="12" applyNumberFormat="1" applyFill="1" applyBorder="1" applyAlignment="1">
      <alignment horizontal="center" vertical="top"/>
    </xf>
    <xf numFmtId="14" fontId="17" fillId="3" borderId="1" xfId="12" applyNumberFormat="1" applyFill="1" applyBorder="1" applyAlignment="1">
      <alignment horizontal="right" vertical="top" wrapText="1"/>
    </xf>
    <xf numFmtId="174" fontId="8" fillId="3" borderId="1" xfId="63" applyNumberFormat="1" applyFill="1" applyBorder="1"/>
    <xf numFmtId="0" fontId="69" fillId="0" borderId="1" xfId="63" applyFont="1" applyBorder="1"/>
    <xf numFmtId="14" fontId="69" fillId="0" borderId="0" xfId="63" applyNumberFormat="1" applyFont="1"/>
    <xf numFmtId="0" fontId="8" fillId="3" borderId="0" xfId="63" applyFill="1"/>
    <xf numFmtId="0" fontId="17" fillId="11" borderId="1" xfId="12" quotePrefix="1" applyFill="1" applyBorder="1">
      <alignment vertical="top"/>
    </xf>
    <xf numFmtId="0" fontId="17" fillId="11" borderId="1" xfId="12" applyFill="1" applyBorder="1">
      <alignment vertical="top"/>
    </xf>
    <xf numFmtId="174" fontId="8" fillId="11" borderId="1" xfId="63" applyNumberFormat="1" applyFill="1" applyBorder="1"/>
    <xf numFmtId="14" fontId="24" fillId="11" borderId="1" xfId="12" applyNumberFormat="1" applyFont="1" applyFill="1" applyBorder="1">
      <alignment vertical="top"/>
    </xf>
    <xf numFmtId="173" fontId="24" fillId="11" borderId="1" xfId="12" applyNumberFormat="1" applyFont="1" applyFill="1" applyBorder="1">
      <alignment vertical="top"/>
    </xf>
    <xf numFmtId="14" fontId="24" fillId="0" borderId="1" xfId="12" applyNumberFormat="1" applyFont="1" applyBorder="1">
      <alignment vertical="top"/>
    </xf>
    <xf numFmtId="14" fontId="17" fillId="11" borderId="1" xfId="12" applyNumberFormat="1" applyFill="1" applyBorder="1" applyAlignment="1">
      <alignment horizontal="right" vertical="top" wrapText="1"/>
    </xf>
    <xf numFmtId="173" fontId="17" fillId="11" borderId="1" xfId="12" applyNumberFormat="1" applyFill="1" applyBorder="1" applyAlignment="1">
      <alignment horizontal="right" vertical="top" wrapText="1"/>
    </xf>
    <xf numFmtId="20" fontId="17" fillId="0" borderId="1" xfId="12" quotePrefix="1" applyNumberFormat="1" applyBorder="1">
      <alignment vertical="top"/>
    </xf>
    <xf numFmtId="47" fontId="17" fillId="0" borderId="1" xfId="12" quotePrefix="1" applyNumberFormat="1" applyBorder="1">
      <alignment vertical="top"/>
    </xf>
    <xf numFmtId="167" fontId="62" fillId="0" borderId="26" xfId="63" applyNumberFormat="1" applyFont="1" applyBorder="1"/>
    <xf numFmtId="0" fontId="16" fillId="0" borderId="1" xfId="12" quotePrefix="1" applyFont="1" applyBorder="1">
      <alignment vertical="top"/>
    </xf>
    <xf numFmtId="1" fontId="16" fillId="0" borderId="1" xfId="12" applyNumberFormat="1" applyFont="1" applyBorder="1" applyAlignment="1">
      <alignment horizontal="center" vertical="top"/>
    </xf>
    <xf numFmtId="47" fontId="16" fillId="4" borderId="1" xfId="12" quotePrefix="1" applyNumberFormat="1" applyFont="1" applyFill="1" applyBorder="1">
      <alignment vertical="top"/>
    </xf>
    <xf numFmtId="175" fontId="16" fillId="4" borderId="1" xfId="12" applyNumberFormat="1" applyFont="1" applyFill="1" applyBorder="1">
      <alignment vertical="top"/>
    </xf>
    <xf numFmtId="16" fontId="61" fillId="4" borderId="1" xfId="63" applyNumberFormat="1" applyFont="1" applyFill="1" applyBorder="1"/>
    <xf numFmtId="167" fontId="61" fillId="4" borderId="1" xfId="65" applyFont="1" applyFill="1" applyBorder="1"/>
    <xf numFmtId="167" fontId="61" fillId="0" borderId="1" xfId="65" applyFont="1" applyFill="1" applyBorder="1"/>
    <xf numFmtId="0" fontId="61" fillId="0" borderId="0" xfId="63" applyFont="1"/>
    <xf numFmtId="0" fontId="61" fillId="4" borderId="0" xfId="63" applyFont="1" applyFill="1"/>
    <xf numFmtId="0" fontId="62" fillId="0" borderId="0" xfId="63" applyFont="1"/>
    <xf numFmtId="167" fontId="62" fillId="0" borderId="0" xfId="65" applyFont="1" applyFill="1"/>
    <xf numFmtId="166" fontId="61" fillId="0" borderId="0" xfId="63" applyNumberFormat="1" applyFont="1"/>
    <xf numFmtId="173" fontId="17" fillId="0" borderId="1" xfId="12" applyNumberFormat="1" applyBorder="1" applyAlignment="1">
      <alignment horizontal="right" vertical="top"/>
    </xf>
    <xf numFmtId="173" fontId="16" fillId="0" borderId="1" xfId="12" applyNumberFormat="1" applyFont="1" applyBorder="1">
      <alignment vertical="top"/>
    </xf>
    <xf numFmtId="16" fontId="61" fillId="0" borderId="1" xfId="63" applyNumberFormat="1" applyFont="1" applyBorder="1"/>
    <xf numFmtId="0" fontId="72" fillId="0" borderId="0" xfId="63" applyFont="1"/>
    <xf numFmtId="1" fontId="17" fillId="4" borderId="1" xfId="12" applyNumberFormat="1" applyFill="1" applyBorder="1">
      <alignment vertical="top"/>
    </xf>
    <xf numFmtId="174" fontId="65" fillId="0" borderId="1" xfId="63" applyNumberFormat="1" applyFont="1" applyBorder="1"/>
    <xf numFmtId="0" fontId="8" fillId="8" borderId="1" xfId="63" applyFill="1" applyBorder="1"/>
    <xf numFmtId="174" fontId="8" fillId="8" borderId="1" xfId="63" applyNumberFormat="1" applyFill="1" applyBorder="1"/>
    <xf numFmtId="167" fontId="61" fillId="0" borderId="0" xfId="65" applyFont="1" applyFill="1"/>
    <xf numFmtId="14" fontId="61" fillId="0" borderId="0" xfId="63" applyNumberFormat="1" applyFont="1"/>
    <xf numFmtId="174" fontId="61" fillId="0" borderId="0" xfId="63" applyNumberFormat="1" applyFont="1"/>
    <xf numFmtId="0" fontId="95" fillId="0" borderId="0" xfId="63" applyFont="1"/>
    <xf numFmtId="1" fontId="17" fillId="0" borderId="1" xfId="63" applyNumberFormat="1" applyFont="1" applyBorder="1" applyAlignment="1">
      <alignment horizontal="center" vertical="top"/>
    </xf>
    <xf numFmtId="167" fontId="65" fillId="0" borderId="0" xfId="63" applyNumberFormat="1" applyFont="1"/>
    <xf numFmtId="167" fontId="95" fillId="0" borderId="0" xfId="65" applyFont="1"/>
    <xf numFmtId="167" fontId="86" fillId="6" borderId="26" xfId="12" applyNumberFormat="1" applyFont="1" applyFill="1" applyBorder="1">
      <alignment vertical="top"/>
    </xf>
    <xf numFmtId="0" fontId="63" fillId="0" borderId="0" xfId="63" applyFont="1"/>
    <xf numFmtId="3" fontId="16" fillId="0" borderId="1" xfId="62" applyNumberFormat="1" applyFont="1" applyBorder="1" applyAlignment="1">
      <alignment vertical="top"/>
    </xf>
    <xf numFmtId="173" fontId="17" fillId="4" borderId="1" xfId="12" applyNumberFormat="1" applyFill="1" applyBorder="1">
      <alignment vertical="top"/>
    </xf>
    <xf numFmtId="0" fontId="65" fillId="4" borderId="0" xfId="63" applyFont="1" applyFill="1"/>
    <xf numFmtId="173" fontId="24" fillId="0" borderId="1" xfId="12" applyNumberFormat="1" applyFont="1" applyBorder="1">
      <alignment vertical="top"/>
    </xf>
    <xf numFmtId="3" fontId="16" fillId="0" borderId="1" xfId="62" applyNumberFormat="1" applyFont="1" applyFill="1" applyBorder="1" applyAlignment="1">
      <alignment vertical="top"/>
    </xf>
    <xf numFmtId="167" fontId="61" fillId="0" borderId="1" xfId="65" applyFont="1" applyBorder="1"/>
    <xf numFmtId="167" fontId="61" fillId="0" borderId="0" xfId="65" applyFont="1"/>
    <xf numFmtId="0" fontId="96" fillId="0" borderId="0" xfId="63" applyFont="1"/>
    <xf numFmtId="167" fontId="71" fillId="0" borderId="0" xfId="65" applyFont="1"/>
    <xf numFmtId="167" fontId="97" fillId="0" borderId="0" xfId="12" applyNumberFormat="1" applyFont="1">
      <alignment vertical="top"/>
    </xf>
    <xf numFmtId="167" fontId="97" fillId="0" borderId="26" xfId="12" applyNumberFormat="1" applyFont="1" applyBorder="1">
      <alignment vertical="top"/>
    </xf>
    <xf numFmtId="167" fontId="97" fillId="6" borderId="26" xfId="12" applyNumberFormat="1" applyFont="1" applyFill="1" applyBorder="1">
      <alignment vertical="top"/>
    </xf>
    <xf numFmtId="175" fontId="17" fillId="0" borderId="1" xfId="12" quotePrefix="1" applyNumberFormat="1" applyBorder="1">
      <alignment vertical="top"/>
    </xf>
    <xf numFmtId="167" fontId="17" fillId="0" borderId="1" xfId="62" applyFont="1" applyBorder="1" applyAlignment="1">
      <alignment vertical="top"/>
    </xf>
    <xf numFmtId="1" fontId="17" fillId="4" borderId="1" xfId="63" applyNumberFormat="1" applyFont="1" applyFill="1" applyBorder="1" applyAlignment="1">
      <alignment horizontal="right" vertical="top"/>
    </xf>
    <xf numFmtId="0" fontId="17" fillId="4" borderId="1" xfId="63" applyFont="1" applyFill="1" applyBorder="1" applyAlignment="1">
      <alignment horizontal="left" vertical="top"/>
    </xf>
    <xf numFmtId="176" fontId="17" fillId="4" borderId="1" xfId="12" applyNumberFormat="1" applyFill="1" applyBorder="1">
      <alignment vertical="top"/>
    </xf>
    <xf numFmtId="167" fontId="17" fillId="4" borderId="1" xfId="62" applyFont="1" applyFill="1" applyBorder="1" applyAlignment="1">
      <alignment vertical="top"/>
    </xf>
    <xf numFmtId="175" fontId="17" fillId="4" borderId="1" xfId="62" applyNumberFormat="1" applyFont="1" applyFill="1" applyBorder="1" applyAlignment="1">
      <alignment vertical="top"/>
    </xf>
    <xf numFmtId="175" fontId="17" fillId="4" borderId="1" xfId="64" applyNumberFormat="1" applyFont="1" applyFill="1" applyBorder="1" applyAlignment="1">
      <alignment horizontal="right" vertical="top"/>
    </xf>
    <xf numFmtId="167" fontId="63" fillId="4" borderId="0" xfId="65" applyFont="1" applyFill="1"/>
    <xf numFmtId="0" fontId="63" fillId="4" borderId="0" xfId="63" applyFont="1" applyFill="1"/>
    <xf numFmtId="0" fontId="98" fillId="4" borderId="0" xfId="63" applyFont="1" applyFill="1"/>
    <xf numFmtId="14" fontId="8" fillId="4" borderId="0" xfId="63" applyNumberFormat="1" applyFill="1"/>
    <xf numFmtId="167" fontId="65" fillId="4" borderId="0" xfId="63" applyNumberFormat="1" applyFont="1" applyFill="1"/>
    <xf numFmtId="0" fontId="95" fillId="4" borderId="0" xfId="63" applyFont="1" applyFill="1"/>
    <xf numFmtId="173" fontId="16" fillId="0" borderId="2" xfId="12" quotePrefix="1" applyNumberFormat="1" applyFont="1" applyBorder="1">
      <alignment vertical="top"/>
    </xf>
    <xf numFmtId="0" fontId="17" fillId="0" borderId="2" xfId="12" quotePrefix="1" applyBorder="1">
      <alignment vertical="top"/>
    </xf>
    <xf numFmtId="169" fontId="17" fillId="0" borderId="2" xfId="12" applyNumberFormat="1" applyBorder="1">
      <alignment vertical="top"/>
    </xf>
    <xf numFmtId="1" fontId="17" fillId="0" borderId="2" xfId="12" applyNumberFormat="1" applyBorder="1" applyAlignment="1">
      <alignment horizontal="center" vertical="top"/>
    </xf>
    <xf numFmtId="175" fontId="17" fillId="0" borderId="2" xfId="12" applyNumberFormat="1" applyBorder="1">
      <alignment vertical="top"/>
    </xf>
    <xf numFmtId="174" fontId="8" fillId="0" borderId="2" xfId="63" applyNumberFormat="1" applyBorder="1"/>
    <xf numFmtId="14" fontId="17" fillId="11" borderId="2" xfId="12" applyNumberFormat="1" applyFill="1" applyBorder="1">
      <alignment vertical="top"/>
    </xf>
    <xf numFmtId="173" fontId="17" fillId="11" borderId="2" xfId="12" applyNumberFormat="1" applyFill="1" applyBorder="1">
      <alignment vertical="top"/>
    </xf>
    <xf numFmtId="0" fontId="24" fillId="0" borderId="2" xfId="12" applyFont="1" applyBorder="1" applyAlignment="1">
      <alignment vertical="top" wrapText="1"/>
    </xf>
    <xf numFmtId="167" fontId="17" fillId="17" borderId="2" xfId="62" applyFont="1" applyFill="1" applyBorder="1" applyAlignment="1">
      <alignment vertical="top"/>
    </xf>
    <xf numFmtId="167" fontId="0" fillId="0" borderId="2" xfId="65" applyFont="1" applyBorder="1"/>
    <xf numFmtId="167" fontId="0" fillId="22" borderId="2" xfId="65" applyFont="1" applyFill="1" applyBorder="1"/>
    <xf numFmtId="167" fontId="8" fillId="0" borderId="2" xfId="63" applyNumberFormat="1" applyBorder="1"/>
    <xf numFmtId="167" fontId="16" fillId="0" borderId="2" xfId="65" applyFont="1" applyFill="1" applyBorder="1" applyAlignment="1">
      <alignment vertical="top"/>
    </xf>
    <xf numFmtId="167" fontId="31" fillId="0" borderId="2" xfId="12" applyNumberFormat="1" applyFont="1" applyBorder="1" applyAlignment="1">
      <alignment vertical="top" wrapText="1"/>
    </xf>
    <xf numFmtId="167" fontId="8" fillId="0" borderId="8" xfId="63" applyNumberFormat="1" applyBorder="1"/>
    <xf numFmtId="0" fontId="8" fillId="0" borderId="10" xfId="63" applyBorder="1"/>
    <xf numFmtId="0" fontId="16" fillId="0" borderId="10" xfId="12" applyFont="1" applyBorder="1">
      <alignment vertical="top"/>
    </xf>
    <xf numFmtId="173" fontId="16" fillId="0" borderId="10" xfId="12" quotePrefix="1" applyNumberFormat="1" applyFont="1" applyBorder="1">
      <alignment vertical="top"/>
    </xf>
    <xf numFmtId="0" fontId="77" fillId="0" borderId="1" xfId="63" applyFont="1" applyBorder="1" applyAlignment="1">
      <alignment horizontal="left" vertical="center"/>
    </xf>
    <xf numFmtId="0" fontId="77" fillId="0" borderId="1" xfId="63" applyFont="1" applyBorder="1" applyAlignment="1">
      <alignment horizontal="left" vertical="center" wrapText="1"/>
    </xf>
    <xf numFmtId="169" fontId="17" fillId="0" borderId="10" xfId="12" applyNumberFormat="1" applyBorder="1">
      <alignment vertical="top"/>
    </xf>
    <xf numFmtId="1" fontId="17" fillId="0" borderId="10" xfId="12" applyNumberFormat="1" applyBorder="1" applyAlignment="1">
      <alignment horizontal="center" vertical="top"/>
    </xf>
    <xf numFmtId="170" fontId="17" fillId="0" borderId="10" xfId="12" applyNumberFormat="1" applyBorder="1">
      <alignment vertical="top"/>
    </xf>
    <xf numFmtId="14" fontId="17" fillId="0" borderId="10" xfId="12" applyNumberFormat="1" applyBorder="1">
      <alignment vertical="top"/>
    </xf>
    <xf numFmtId="0" fontId="17" fillId="0" borderId="10" xfId="12" applyBorder="1">
      <alignment vertical="top"/>
    </xf>
    <xf numFmtId="175" fontId="17" fillId="0" borderId="10" xfId="12" applyNumberFormat="1" applyBorder="1">
      <alignment vertical="top"/>
    </xf>
    <xf numFmtId="174" fontId="8" fillId="0" borderId="10" xfId="63" applyNumberFormat="1" applyBorder="1"/>
    <xf numFmtId="14" fontId="17" fillId="11" borderId="10" xfId="12" applyNumberFormat="1" applyFill="1" applyBorder="1">
      <alignment vertical="top"/>
    </xf>
    <xf numFmtId="173" fontId="17" fillId="11" borderId="10" xfId="12" applyNumberFormat="1" applyFill="1" applyBorder="1">
      <alignment vertical="top"/>
    </xf>
    <xf numFmtId="0" fontId="16" fillId="0" borderId="10" xfId="12" applyFont="1" applyBorder="1" applyAlignment="1">
      <alignment vertical="top" wrapText="1"/>
    </xf>
    <xf numFmtId="167" fontId="17" fillId="0" borderId="10" xfId="62" applyFont="1" applyFill="1" applyBorder="1" applyAlignment="1">
      <alignment vertical="top"/>
    </xf>
    <xf numFmtId="167" fontId="0" fillId="0" borderId="10" xfId="65" applyFont="1" applyBorder="1"/>
    <xf numFmtId="167" fontId="0" fillId="22" borderId="10" xfId="65" applyFont="1" applyFill="1" applyBorder="1"/>
    <xf numFmtId="167" fontId="8" fillId="0" borderId="10" xfId="63" applyNumberFormat="1" applyBorder="1"/>
    <xf numFmtId="167" fontId="16" fillId="0" borderId="10" xfId="65" applyFont="1" applyFill="1" applyBorder="1" applyAlignment="1">
      <alignment vertical="top"/>
    </xf>
    <xf numFmtId="167" fontId="31" fillId="0" borderId="10" xfId="12" applyNumberFormat="1" applyFont="1" applyBorder="1" applyAlignment="1">
      <alignment vertical="top" wrapText="1"/>
    </xf>
    <xf numFmtId="0" fontId="77" fillId="0" borderId="10" xfId="63" applyFont="1" applyBorder="1" applyAlignment="1">
      <alignment horizontal="left" vertical="center"/>
    </xf>
    <xf numFmtId="0" fontId="77" fillId="0" borderId="10" xfId="63" applyFont="1" applyBorder="1" applyAlignment="1">
      <alignment horizontal="left" vertical="center" wrapText="1"/>
    </xf>
    <xf numFmtId="0" fontId="22" fillId="0" borderId="10" xfId="63" applyFont="1" applyBorder="1" applyAlignment="1">
      <alignment horizontal="right" vertical="center"/>
    </xf>
    <xf numFmtId="0" fontId="8" fillId="0" borderId="1" xfId="63" applyBorder="1" applyAlignment="1">
      <alignment horizontal="center" vertical="center" wrapText="1"/>
    </xf>
    <xf numFmtId="164" fontId="8" fillId="0" borderId="1" xfId="63" applyNumberFormat="1" applyBorder="1" applyAlignment="1">
      <alignment horizontal="center"/>
    </xf>
    <xf numFmtId="0" fontId="8" fillId="0" borderId="10" xfId="63" applyBorder="1" applyAlignment="1">
      <alignment horizontal="center" vertical="center" wrapText="1"/>
    </xf>
    <xf numFmtId="164" fontId="8" fillId="0" borderId="10" xfId="63" applyNumberFormat="1" applyBorder="1" applyAlignment="1">
      <alignment horizontal="center"/>
    </xf>
    <xf numFmtId="1" fontId="16" fillId="0" borderId="10" xfId="12" applyNumberFormat="1" applyFont="1" applyBorder="1" applyAlignment="1">
      <alignment vertical="top" wrapText="1"/>
    </xf>
    <xf numFmtId="0" fontId="8" fillId="0" borderId="29" xfId="63" applyBorder="1"/>
    <xf numFmtId="173" fontId="8" fillId="0" borderId="29" xfId="63" applyNumberFormat="1" applyBorder="1"/>
    <xf numFmtId="0" fontId="8" fillId="0" borderId="29" xfId="63" applyBorder="1" applyAlignment="1">
      <alignment horizontal="center"/>
    </xf>
    <xf numFmtId="174" fontId="99" fillId="0" borderId="29" xfId="62" applyNumberFormat="1" applyFont="1" applyFill="1" applyBorder="1" applyAlignment="1">
      <alignment vertical="top"/>
    </xf>
    <xf numFmtId="169" fontId="8" fillId="0" borderId="29" xfId="63" applyNumberFormat="1" applyBorder="1"/>
    <xf numFmtId="1" fontId="8" fillId="0" borderId="29" xfId="63" applyNumberFormat="1" applyBorder="1"/>
    <xf numFmtId="2" fontId="8" fillId="0" borderId="29" xfId="63" applyNumberFormat="1" applyBorder="1"/>
    <xf numFmtId="167" fontId="17" fillId="0" borderId="29" xfId="62" applyFont="1" applyFill="1" applyBorder="1" applyAlignment="1">
      <alignment horizontal="center" vertical="top" wrapText="1"/>
    </xf>
    <xf numFmtId="0" fontId="17" fillId="0" borderId="29" xfId="12" applyBorder="1">
      <alignment vertical="top"/>
    </xf>
    <xf numFmtId="167" fontId="99" fillId="0" borderId="29" xfId="65" applyFont="1" applyFill="1" applyBorder="1" applyAlignment="1">
      <alignment vertical="top"/>
    </xf>
    <xf numFmtId="174" fontId="32" fillId="0" borderId="29" xfId="62" applyNumberFormat="1" applyFont="1" applyFill="1" applyBorder="1" applyAlignment="1">
      <alignment vertical="top"/>
    </xf>
    <xf numFmtId="167" fontId="0" fillId="9" borderId="29" xfId="65" applyFont="1" applyFill="1" applyBorder="1"/>
    <xf numFmtId="0" fontId="69" fillId="0" borderId="29" xfId="63" applyFont="1" applyBorder="1"/>
    <xf numFmtId="167" fontId="65" fillId="0" borderId="29" xfId="65" applyFont="1" applyBorder="1"/>
    <xf numFmtId="167" fontId="0" fillId="0" borderId="29" xfId="65" applyFont="1" applyBorder="1"/>
    <xf numFmtId="167" fontId="57" fillId="0" borderId="9" xfId="65" applyFont="1" applyFill="1" applyBorder="1"/>
    <xf numFmtId="167" fontId="8" fillId="0" borderId="33" xfId="63" applyNumberFormat="1" applyBorder="1"/>
    <xf numFmtId="167" fontId="8" fillId="0" borderId="29" xfId="63" applyNumberFormat="1" applyBorder="1"/>
    <xf numFmtId="167" fontId="8" fillId="3" borderId="29" xfId="63" applyNumberFormat="1" applyFill="1" applyBorder="1"/>
    <xf numFmtId="173" fontId="8" fillId="3" borderId="29" xfId="63" applyNumberFormat="1" applyFill="1" applyBorder="1"/>
    <xf numFmtId="166" fontId="8" fillId="3" borderId="29" xfId="63" applyNumberFormat="1" applyFill="1" applyBorder="1"/>
    <xf numFmtId="173" fontId="16" fillId="0" borderId="29" xfId="12" applyNumberFormat="1" applyFont="1" applyBorder="1">
      <alignment vertical="top"/>
    </xf>
    <xf numFmtId="173" fontId="17" fillId="0" borderId="0" xfId="12" quotePrefix="1" applyNumberFormat="1">
      <alignment vertical="top"/>
    </xf>
    <xf numFmtId="0" fontId="8" fillId="0" borderId="0" xfId="63" applyAlignment="1">
      <alignment horizontal="center"/>
    </xf>
    <xf numFmtId="1" fontId="8" fillId="0" borderId="0" xfId="63" applyNumberFormat="1"/>
    <xf numFmtId="2" fontId="8" fillId="0" borderId="0" xfId="63" applyNumberFormat="1"/>
    <xf numFmtId="174" fontId="99" fillId="0" borderId="0" xfId="62" applyNumberFormat="1" applyFont="1" applyFill="1" applyBorder="1" applyAlignment="1">
      <alignment vertical="top"/>
    </xf>
    <xf numFmtId="174" fontId="57" fillId="0" borderId="8" xfId="63" applyNumberFormat="1" applyFont="1" applyBorder="1"/>
    <xf numFmtId="0" fontId="8" fillId="24" borderId="0" xfId="63" applyFill="1"/>
    <xf numFmtId="164" fontId="8" fillId="26" borderId="0" xfId="63" applyNumberFormat="1" applyFill="1"/>
    <xf numFmtId="167" fontId="0" fillId="24" borderId="0" xfId="65" applyFont="1" applyFill="1"/>
    <xf numFmtId="164" fontId="8" fillId="0" borderId="0" xfId="63" applyNumberFormat="1"/>
    <xf numFmtId="167" fontId="8" fillId="3" borderId="0" xfId="63" applyNumberFormat="1" applyFill="1"/>
    <xf numFmtId="173" fontId="8" fillId="3" borderId="0" xfId="63" applyNumberFormat="1" applyFill="1"/>
    <xf numFmtId="0" fontId="8" fillId="26" borderId="0" xfId="63" applyFill="1"/>
    <xf numFmtId="0" fontId="81" fillId="3" borderId="0" xfId="63" applyFont="1" applyFill="1"/>
    <xf numFmtId="167" fontId="81" fillId="3" borderId="0" xfId="63" applyNumberFormat="1" applyFont="1" applyFill="1"/>
    <xf numFmtId="0" fontId="57" fillId="0" borderId="0" xfId="63" applyFont="1"/>
    <xf numFmtId="165" fontId="85" fillId="3" borderId="0" xfId="63" applyNumberFormat="1" applyFont="1" applyFill="1"/>
    <xf numFmtId="173" fontId="57" fillId="0" borderId="0" xfId="63" applyNumberFormat="1" applyFont="1"/>
    <xf numFmtId="173" fontId="57" fillId="3" borderId="0" xfId="63" applyNumberFormat="1" applyFont="1" applyFill="1"/>
    <xf numFmtId="3" fontId="8" fillId="0" borderId="0" xfId="63" applyNumberFormat="1"/>
    <xf numFmtId="0" fontId="8" fillId="0" borderId="0" xfId="66"/>
    <xf numFmtId="173" fontId="8" fillId="0" borderId="0" xfId="66" applyNumberFormat="1"/>
    <xf numFmtId="0" fontId="8" fillId="0" borderId="0" xfId="66" applyAlignment="1">
      <alignment horizontal="left"/>
    </xf>
    <xf numFmtId="173" fontId="8" fillId="0" borderId="0" xfId="66" applyNumberFormat="1" applyAlignment="1">
      <alignment horizontal="left"/>
    </xf>
    <xf numFmtId="38" fontId="8" fillId="0" borderId="0" xfId="66" applyNumberFormat="1"/>
    <xf numFmtId="0" fontId="57" fillId="0" borderId="23" xfId="66" applyFont="1" applyBorder="1"/>
    <xf numFmtId="38" fontId="57" fillId="3" borderId="45" xfId="66" applyNumberFormat="1" applyFont="1" applyFill="1" applyBorder="1"/>
    <xf numFmtId="38" fontId="57" fillId="0" borderId="45" xfId="66" applyNumberFormat="1" applyFont="1" applyBorder="1"/>
    <xf numFmtId="38" fontId="57" fillId="0" borderId="29" xfId="66" applyNumberFormat="1" applyFont="1" applyBorder="1"/>
    <xf numFmtId="0" fontId="57" fillId="0" borderId="0" xfId="66" applyFont="1" applyAlignment="1">
      <alignment vertical="top"/>
    </xf>
    <xf numFmtId="0" fontId="57" fillId="0" borderId="0" xfId="66" applyFont="1" applyAlignment="1">
      <alignment vertical="top" wrapText="1"/>
    </xf>
    <xf numFmtId="173" fontId="57" fillId="0" borderId="0" xfId="66" applyNumberFormat="1" applyFont="1" applyAlignment="1">
      <alignment vertical="top" wrapText="1"/>
    </xf>
    <xf numFmtId="0" fontId="57" fillId="0" borderId="0" xfId="66" applyFont="1" applyAlignment="1">
      <alignment horizontal="left" vertical="top"/>
    </xf>
    <xf numFmtId="173" fontId="57" fillId="0" borderId="0" xfId="66" applyNumberFormat="1" applyFont="1" applyAlignment="1">
      <alignment horizontal="left" vertical="top"/>
    </xf>
    <xf numFmtId="38" fontId="57" fillId="0" borderId="0" xfId="66" applyNumberFormat="1" applyFont="1" applyAlignment="1">
      <alignment horizontal="right" vertical="top" wrapText="1"/>
    </xf>
    <xf numFmtId="0" fontId="57" fillId="0" borderId="0" xfId="66" applyFont="1" applyAlignment="1">
      <alignment horizontal="right" vertical="top" wrapText="1"/>
    </xf>
    <xf numFmtId="173" fontId="57" fillId="0" borderId="0" xfId="66" applyNumberFormat="1" applyFont="1" applyAlignment="1">
      <alignment vertical="top"/>
    </xf>
    <xf numFmtId="14" fontId="8" fillId="0" borderId="0" xfId="66" applyNumberFormat="1"/>
    <xf numFmtId="38" fontId="57" fillId="0" borderId="0" xfId="66" applyNumberFormat="1" applyFont="1"/>
    <xf numFmtId="164" fontId="8" fillId="0" borderId="0" xfId="66" applyNumberFormat="1"/>
    <xf numFmtId="173" fontId="56" fillId="0" borderId="0" xfId="66" applyNumberFormat="1" applyFont="1"/>
    <xf numFmtId="173" fontId="8" fillId="0" borderId="29" xfId="66" applyNumberFormat="1" applyBorder="1" applyAlignment="1">
      <alignment horizontal="left"/>
    </xf>
    <xf numFmtId="173" fontId="57" fillId="0" borderId="29" xfId="66" applyNumberFormat="1" applyFont="1" applyBorder="1"/>
    <xf numFmtId="173" fontId="8" fillId="0" borderId="29" xfId="66" applyNumberFormat="1" applyBorder="1"/>
    <xf numFmtId="173" fontId="57" fillId="0" borderId="0" xfId="66" applyNumberFormat="1" applyFont="1"/>
    <xf numFmtId="173" fontId="81" fillId="0" borderId="0" xfId="66" applyNumberFormat="1" applyFont="1"/>
    <xf numFmtId="173" fontId="81" fillId="0" borderId="10" xfId="66" applyNumberFormat="1" applyFont="1" applyBorder="1"/>
    <xf numFmtId="0" fontId="57" fillId="0" borderId="0" xfId="66" applyFont="1"/>
    <xf numFmtId="173" fontId="82" fillId="0" borderId="29" xfId="66" applyNumberFormat="1" applyFont="1" applyBorder="1"/>
    <xf numFmtId="1" fontId="8" fillId="0" borderId="0" xfId="66" applyNumberFormat="1"/>
    <xf numFmtId="173" fontId="8" fillId="0" borderId="10" xfId="66" applyNumberFormat="1" applyBorder="1"/>
    <xf numFmtId="0" fontId="57" fillId="0" borderId="14" xfId="66" applyFont="1" applyBorder="1"/>
    <xf numFmtId="0" fontId="8" fillId="0" borderId="15" xfId="66" applyBorder="1"/>
    <xf numFmtId="0" fontId="8" fillId="0" borderId="14" xfId="66" applyBorder="1" applyAlignment="1">
      <alignment horizontal="left"/>
    </xf>
    <xf numFmtId="173" fontId="8" fillId="0" borderId="15" xfId="66" applyNumberFormat="1" applyBorder="1" applyAlignment="1">
      <alignment horizontal="left"/>
    </xf>
    <xf numFmtId="0" fontId="8" fillId="0" borderId="18" xfId="66" applyBorder="1"/>
    <xf numFmtId="0" fontId="8" fillId="0" borderId="19" xfId="66" applyBorder="1"/>
    <xf numFmtId="0" fontId="8" fillId="0" borderId="18" xfId="66" applyBorder="1" applyAlignment="1">
      <alignment horizontal="left"/>
    </xf>
    <xf numFmtId="173" fontId="8" fillId="0" borderId="19" xfId="66" applyNumberFormat="1" applyBorder="1" applyAlignment="1">
      <alignment horizontal="left"/>
    </xf>
    <xf numFmtId="173" fontId="8" fillId="0" borderId="35" xfId="66" applyNumberFormat="1" applyBorder="1" applyAlignment="1">
      <alignment horizontal="left"/>
    </xf>
    <xf numFmtId="0" fontId="8" fillId="0" borderId="21" xfId="66" applyBorder="1"/>
    <xf numFmtId="0" fontId="8" fillId="0" borderId="20" xfId="66" applyBorder="1"/>
    <xf numFmtId="0" fontId="8" fillId="0" borderId="21" xfId="66" applyBorder="1" applyAlignment="1">
      <alignment horizontal="left"/>
    </xf>
    <xf numFmtId="173" fontId="8" fillId="0" borderId="20" xfId="66" applyNumberFormat="1" applyBorder="1" applyAlignment="1">
      <alignment horizontal="left"/>
    </xf>
    <xf numFmtId="173" fontId="17" fillId="0" borderId="10" xfId="12" quotePrefix="1" applyNumberFormat="1" applyBorder="1">
      <alignment vertical="top"/>
    </xf>
    <xf numFmtId="0" fontId="7" fillId="0" borderId="0" xfId="63" applyFont="1"/>
    <xf numFmtId="0" fontId="7" fillId="0" borderId="0" xfId="61" applyFont="1"/>
    <xf numFmtId="14" fontId="8" fillId="0" borderId="0" xfId="61" applyNumberFormat="1"/>
    <xf numFmtId="1" fontId="17" fillId="0" borderId="8" xfId="12" applyNumberFormat="1" applyBorder="1" applyAlignment="1">
      <alignment vertical="top" wrapText="1"/>
    </xf>
    <xf numFmtId="2" fontId="17" fillId="0" borderId="8" xfId="12" applyNumberFormat="1" applyBorder="1" applyAlignment="1">
      <alignment vertical="top" wrapText="1"/>
    </xf>
    <xf numFmtId="167" fontId="0" fillId="0" borderId="0" xfId="60" applyFont="1" applyFill="1" applyBorder="1"/>
    <xf numFmtId="167" fontId="62" fillId="0" borderId="0" xfId="60" applyFont="1" applyFill="1" applyBorder="1"/>
    <xf numFmtId="0" fontId="24" fillId="0" borderId="13" xfId="12" applyFont="1" applyBorder="1" applyAlignment="1">
      <alignment vertical="top" wrapText="1"/>
    </xf>
    <xf numFmtId="0" fontId="6" fillId="0" borderId="0" xfId="66" applyFont="1"/>
    <xf numFmtId="0" fontId="5" fillId="0" borderId="0" xfId="66" applyFont="1"/>
    <xf numFmtId="0" fontId="33" fillId="0" borderId="1" xfId="0" applyFont="1" applyBorder="1"/>
    <xf numFmtId="166" fontId="0" fillId="0" borderId="1" xfId="103" applyFont="1" applyBorder="1"/>
    <xf numFmtId="0" fontId="0" fillId="28" borderId="0" xfId="0" applyFill="1"/>
    <xf numFmtId="166" fontId="0" fillId="28" borderId="0" xfId="103" applyFont="1" applyFill="1"/>
    <xf numFmtId="173" fontId="57" fillId="27" borderId="1" xfId="105" applyNumberFormat="1" applyFont="1" applyBorder="1" applyAlignment="1">
      <alignment wrapText="1"/>
    </xf>
    <xf numFmtId="0" fontId="100" fillId="0" borderId="0" xfId="0" applyFont="1" applyAlignment="1">
      <alignment vertical="center"/>
    </xf>
    <xf numFmtId="0" fontId="101" fillId="0" borderId="0" xfId="0" applyFont="1"/>
    <xf numFmtId="0" fontId="101" fillId="0" borderId="0" xfId="0" applyFont="1" applyAlignment="1">
      <alignment vertical="center"/>
    </xf>
    <xf numFmtId="0" fontId="100" fillId="0" borderId="0" xfId="0" applyFont="1"/>
    <xf numFmtId="0" fontId="101" fillId="0" borderId="23" xfId="0" applyFont="1" applyBorder="1"/>
    <xf numFmtId="0" fontId="101" fillId="0" borderId="49" xfId="0" applyFont="1" applyBorder="1"/>
    <xf numFmtId="0" fontId="100" fillId="0" borderId="49" xfId="0" applyFont="1" applyBorder="1" applyAlignment="1">
      <alignment horizontal="center" vertical="center"/>
    </xf>
    <xf numFmtId="0" fontId="100" fillId="0" borderId="7" xfId="0" applyFont="1" applyBorder="1" applyAlignment="1">
      <alignment vertical="center"/>
    </xf>
    <xf numFmtId="0" fontId="100" fillId="0" borderId="20" xfId="0" applyFont="1" applyBorder="1" applyAlignment="1">
      <alignment horizontal="center" vertical="center"/>
    </xf>
    <xf numFmtId="0" fontId="101" fillId="0" borderId="20" xfId="0" applyFont="1" applyBorder="1" applyAlignment="1">
      <alignment horizontal="center" vertical="center"/>
    </xf>
    <xf numFmtId="0" fontId="100" fillId="0" borderId="7" xfId="0" applyFont="1" applyBorder="1"/>
    <xf numFmtId="0" fontId="101" fillId="0" borderId="20" xfId="0" applyFont="1" applyBorder="1" applyAlignment="1">
      <alignment horizontal="center"/>
    </xf>
    <xf numFmtId="0" fontId="101" fillId="0" borderId="7" xfId="0" applyFont="1" applyBorder="1"/>
    <xf numFmtId="0" fontId="102" fillId="0" borderId="0" xfId="0" applyFont="1" applyAlignment="1">
      <alignment vertical="center"/>
    </xf>
    <xf numFmtId="0" fontId="57" fillId="27" borderId="1" xfId="105" applyFont="1" applyBorder="1" applyAlignment="1" applyProtection="1">
      <alignment horizontal="center" vertical="top"/>
      <protection locked="0"/>
    </xf>
    <xf numFmtId="0" fontId="57" fillId="27" borderId="1" xfId="105" applyFont="1" applyBorder="1" applyAlignment="1" applyProtection="1">
      <alignment horizontal="center" vertical="top" wrapText="1"/>
      <protection locked="0"/>
    </xf>
    <xf numFmtId="166" fontId="57" fillId="27" borderId="1" xfId="105" applyNumberFormat="1" applyFont="1" applyBorder="1" applyAlignment="1" applyProtection="1">
      <alignment horizontal="center" vertical="top" wrapText="1"/>
      <protection locked="0"/>
    </xf>
    <xf numFmtId="0" fontId="57" fillId="27" borderId="3" xfId="105" applyFont="1" applyBorder="1" applyAlignment="1">
      <alignment horizontal="center"/>
    </xf>
    <xf numFmtId="0" fontId="57" fillId="27" borderId="27" xfId="105" applyFont="1" applyBorder="1" applyAlignment="1">
      <alignment horizontal="center"/>
    </xf>
    <xf numFmtId="0" fontId="57" fillId="27" borderId="4" xfId="105" applyFont="1" applyBorder="1" applyAlignment="1">
      <alignment horizontal="center"/>
    </xf>
    <xf numFmtId="0" fontId="0" fillId="0" borderId="0" xfId="0" applyAlignment="1">
      <alignment horizontal="center" wrapText="1"/>
    </xf>
    <xf numFmtId="17" fontId="19" fillId="0" borderId="3" xfId="12" applyNumberFormat="1" applyFont="1" applyBorder="1" applyAlignment="1">
      <alignment horizontal="center" vertical="top"/>
    </xf>
    <xf numFmtId="0" fontId="19" fillId="0" borderId="4" xfId="12" applyFont="1" applyBorder="1" applyAlignment="1">
      <alignment horizontal="center" vertical="top"/>
    </xf>
    <xf numFmtId="0" fontId="19" fillId="0" borderId="27" xfId="12" applyFont="1" applyBorder="1" applyAlignment="1">
      <alignment horizontal="center" vertical="top"/>
    </xf>
    <xf numFmtId="0" fontId="19" fillId="11" borderId="30" xfId="12" applyFont="1" applyFill="1" applyBorder="1" applyAlignment="1">
      <alignment horizontal="center" vertical="top"/>
    </xf>
    <xf numFmtId="0" fontId="19" fillId="11" borderId="36" xfId="12" applyFont="1" applyFill="1" applyBorder="1" applyAlignment="1">
      <alignment horizontal="center" vertical="top"/>
    </xf>
    <xf numFmtId="0" fontId="17" fillId="19" borderId="37" xfId="12" applyFill="1" applyBorder="1" applyAlignment="1">
      <alignment horizontal="center" vertical="top"/>
    </xf>
    <xf numFmtId="0" fontId="17" fillId="19" borderId="38" xfId="12" applyFill="1" applyBorder="1" applyAlignment="1">
      <alignment horizontal="center" vertical="top"/>
    </xf>
    <xf numFmtId="0" fontId="17" fillId="19" borderId="39" xfId="12" applyFill="1" applyBorder="1" applyAlignment="1">
      <alignment horizontal="center" vertical="top"/>
    </xf>
    <xf numFmtId="0" fontId="17" fillId="19" borderId="40" xfId="12" applyFill="1" applyBorder="1" applyAlignment="1">
      <alignment horizontal="center" vertical="top"/>
    </xf>
    <xf numFmtId="0" fontId="17" fillId="20" borderId="41" xfId="12" applyFill="1" applyBorder="1" applyAlignment="1">
      <alignment horizontal="center" vertical="top"/>
    </xf>
    <xf numFmtId="0" fontId="17" fillId="20" borderId="13" xfId="12" applyFill="1" applyBorder="1" applyAlignment="1">
      <alignment horizontal="center" vertical="top"/>
    </xf>
    <xf numFmtId="0" fontId="17" fillId="11" borderId="42" xfId="12" applyFill="1" applyBorder="1" applyAlignment="1">
      <alignment horizontal="center" vertical="top"/>
    </xf>
    <xf numFmtId="0" fontId="17" fillId="11" borderId="27" xfId="12" applyFill="1" applyBorder="1" applyAlignment="1">
      <alignment horizontal="center" vertical="top"/>
    </xf>
    <xf numFmtId="0" fontId="17" fillId="11" borderId="4" xfId="12" applyFill="1" applyBorder="1" applyAlignment="1">
      <alignment horizontal="center" vertical="top"/>
    </xf>
    <xf numFmtId="0" fontId="17" fillId="11" borderId="3" xfId="12" applyFill="1" applyBorder="1" applyAlignment="1">
      <alignment horizontal="center" vertical="top"/>
    </xf>
    <xf numFmtId="0" fontId="17" fillId="11" borderId="3" xfId="12" applyFill="1" applyBorder="1" applyAlignment="1">
      <alignment horizontal="center" vertical="top" wrapText="1"/>
    </xf>
    <xf numFmtId="0" fontId="17" fillId="11" borderId="27" xfId="12" applyFill="1" applyBorder="1" applyAlignment="1">
      <alignment horizontal="center" vertical="top" wrapText="1"/>
    </xf>
    <xf numFmtId="0" fontId="17" fillId="8" borderId="42" xfId="12" applyFill="1" applyBorder="1" applyAlignment="1">
      <alignment horizontal="center" vertical="top"/>
    </xf>
    <xf numFmtId="0" fontId="17" fillId="8" borderId="4" xfId="12" applyFill="1" applyBorder="1" applyAlignment="1">
      <alignment horizontal="center" vertical="top"/>
    </xf>
    <xf numFmtId="0" fontId="24" fillId="0" borderId="0" xfId="12" applyFont="1" applyAlignment="1">
      <alignment horizontal="center" vertical="top"/>
    </xf>
    <xf numFmtId="0" fontId="17" fillId="0" borderId="0" xfId="12" applyAlignment="1">
      <alignment horizontal="center" vertical="center" wrapText="1"/>
    </xf>
    <xf numFmtId="0" fontId="17" fillId="0" borderId="24" xfId="12" applyBorder="1" applyAlignment="1">
      <alignment horizontal="center" vertical="center" wrapText="1"/>
    </xf>
    <xf numFmtId="0" fontId="87" fillId="11" borderId="30" xfId="12" applyFont="1" applyFill="1" applyBorder="1" applyAlignment="1">
      <alignment horizontal="center" vertical="top"/>
    </xf>
    <xf numFmtId="0" fontId="87" fillId="11" borderId="36" xfId="12" applyFont="1" applyFill="1" applyBorder="1" applyAlignment="1">
      <alignment horizontal="center" vertical="top"/>
    </xf>
    <xf numFmtId="0" fontId="34" fillId="19" borderId="37" xfId="12" applyFont="1" applyFill="1" applyBorder="1" applyAlignment="1">
      <alignment horizontal="center" vertical="top"/>
    </xf>
    <xf numFmtId="0" fontId="34" fillId="19" borderId="38" xfId="12" applyFont="1" applyFill="1" applyBorder="1" applyAlignment="1">
      <alignment horizontal="center" vertical="top"/>
    </xf>
    <xf numFmtId="0" fontId="34" fillId="19" borderId="39" xfId="12" applyFont="1" applyFill="1" applyBorder="1" applyAlignment="1">
      <alignment horizontal="center" vertical="top"/>
    </xf>
    <xf numFmtId="0" fontId="34" fillId="19" borderId="40" xfId="12" applyFont="1" applyFill="1" applyBorder="1" applyAlignment="1">
      <alignment horizontal="center" vertical="top"/>
    </xf>
    <xf numFmtId="0" fontId="17" fillId="0" borderId="41" xfId="12" applyBorder="1" applyAlignment="1">
      <alignment horizontal="center" vertical="top"/>
    </xf>
    <xf numFmtId="0" fontId="17" fillId="0" borderId="13" xfId="12" applyBorder="1" applyAlignment="1">
      <alignment horizontal="center" vertical="top"/>
    </xf>
    <xf numFmtId="0" fontId="34" fillId="11" borderId="42" xfId="12" applyFont="1" applyFill="1" applyBorder="1" applyAlignment="1">
      <alignment horizontal="center" vertical="top"/>
    </xf>
    <xf numFmtId="0" fontId="34" fillId="11" borderId="27" xfId="12" applyFont="1" applyFill="1" applyBorder="1" applyAlignment="1">
      <alignment horizontal="center" vertical="top"/>
    </xf>
    <xf numFmtId="0" fontId="34" fillId="11" borderId="4" xfId="12" applyFont="1" applyFill="1" applyBorder="1" applyAlignment="1">
      <alignment horizontal="center" vertical="top"/>
    </xf>
    <xf numFmtId="0" fontId="34" fillId="11" borderId="3" xfId="12" applyFont="1" applyFill="1" applyBorder="1" applyAlignment="1">
      <alignment horizontal="center" vertical="top"/>
    </xf>
    <xf numFmtId="0" fontId="34" fillId="11" borderId="3" xfId="12" applyFont="1" applyFill="1" applyBorder="1" applyAlignment="1">
      <alignment horizontal="center" vertical="top" wrapText="1"/>
    </xf>
    <xf numFmtId="0" fontId="34" fillId="11" borderId="27" xfId="12" applyFont="1" applyFill="1" applyBorder="1" applyAlignment="1">
      <alignment horizontal="center" vertical="top" wrapText="1"/>
    </xf>
    <xf numFmtId="0" fontId="34" fillId="8" borderId="42" xfId="12" applyFont="1" applyFill="1" applyBorder="1" applyAlignment="1">
      <alignment horizontal="center" vertical="top"/>
    </xf>
    <xf numFmtId="0" fontId="34" fillId="8" borderId="4" xfId="12" applyFont="1" applyFill="1" applyBorder="1" applyAlignment="1">
      <alignment horizontal="center" vertical="top"/>
    </xf>
    <xf numFmtId="38" fontId="57" fillId="3" borderId="22" xfId="66" applyNumberFormat="1" applyFont="1" applyFill="1" applyBorder="1" applyAlignment="1">
      <alignment horizontal="center" wrapText="1"/>
    </xf>
    <xf numFmtId="0" fontId="8" fillId="3" borderId="49" xfId="66" applyFill="1" applyBorder="1" applyAlignment="1">
      <alignment horizontal="center" wrapText="1"/>
    </xf>
    <xf numFmtId="38" fontId="57" fillId="0" borderId="22" xfId="66" applyNumberFormat="1" applyFont="1" applyBorder="1" applyAlignment="1">
      <alignment horizontal="center" vertical="center"/>
    </xf>
    <xf numFmtId="0" fontId="57" fillId="0" borderId="50" xfId="66" applyFont="1" applyBorder="1" applyAlignment="1">
      <alignment horizontal="center" vertical="center"/>
    </xf>
    <xf numFmtId="0" fontId="57" fillId="0" borderId="49" xfId="66" applyFont="1" applyBorder="1" applyAlignment="1">
      <alignment horizontal="center" vertical="center"/>
    </xf>
    <xf numFmtId="0" fontId="103" fillId="0" borderId="0" xfId="0" applyFont="1" applyAlignment="1">
      <alignment vertical="center"/>
    </xf>
  </cellXfs>
  <cellStyles count="106">
    <cellStyle name="0,0_x000d__x000a_NA_x000d__x000a_" xfId="4" xr:uid="{107A1656-0D28-4D48-AB13-25169C6AB10D}"/>
    <cellStyle name="20% - Accent5" xfId="105" builtinId="46"/>
    <cellStyle name="Comma" xfId="1" builtinId="3"/>
    <cellStyle name="Comma 2" xfId="13" xr:uid="{3BA87FF8-234F-4419-9206-7C915CE97158}"/>
    <cellStyle name="Comma 2 2" xfId="15" xr:uid="{D87784F0-29E3-4CF9-8022-EC6509DB112C}"/>
    <cellStyle name="Comma 2 2 2" xfId="27" xr:uid="{B2819211-953E-4CE3-9C98-D5350CED7673}"/>
    <cellStyle name="Comma 2 2 2 2" xfId="85" xr:uid="{33655996-20C3-46BA-B6F3-28A9D54E6B4B}"/>
    <cellStyle name="Comma 2 2 3" xfId="64" xr:uid="{45D3FCDF-E000-433B-A397-E9309CD70479}"/>
    <cellStyle name="Comma 2 2 3 2" xfId="96" xr:uid="{C348F807-F359-41D7-A695-7B9042CF3A1B}"/>
    <cellStyle name="Comma 2 2 4" xfId="75" xr:uid="{63911F56-BF50-44FF-ADDC-E649CCF3C920}"/>
    <cellStyle name="Comma 2 3" xfId="19" xr:uid="{D4ED9DDF-638B-452A-9E10-142DFC2662DE}"/>
    <cellStyle name="Comma 2 3 2" xfId="77" xr:uid="{BAAD8335-F3CB-4C47-8F72-7E14424C3689}"/>
    <cellStyle name="Comma 2 4" xfId="26" xr:uid="{A73CC897-3DB6-4BD5-B4E1-5141F8A30074}"/>
    <cellStyle name="Comma 2 4 2" xfId="84" xr:uid="{4B4F12B5-D136-455D-BAB9-D1CB3CCD25E5}"/>
    <cellStyle name="Comma 2 5" xfId="62" xr:uid="{051712A1-BF19-4C75-997C-F6AD57630347}"/>
    <cellStyle name="Comma 2 5 2" xfId="94" xr:uid="{36561106-5A86-4D89-9BD3-21F4CA168655}"/>
    <cellStyle name="Comma 2 6" xfId="74" xr:uid="{1D8E7DD1-98F2-49D8-BD89-C606DF8C5E58}"/>
    <cellStyle name="Comma 3" xfId="6" xr:uid="{1FF8A861-0D9A-40E5-B442-79DAB26C86F0}"/>
    <cellStyle name="Comma 3 2" xfId="28" xr:uid="{1DF551D6-5EF5-4506-9DB2-B0DCDA13D756}"/>
    <cellStyle name="Comma 3 2 2" xfId="86" xr:uid="{9F0AE369-1C87-4146-A083-B131434FEEE6}"/>
    <cellStyle name="Comma 3 3" xfId="72" xr:uid="{8D5495FD-1DF7-4765-839E-D8EB1FE7DA63}"/>
    <cellStyle name="Comma 3 7" xfId="104" xr:uid="{8FDFC502-CB4E-434E-948C-E022D739FB33}"/>
    <cellStyle name="Comma 4" xfId="23" xr:uid="{D405E111-7E6E-40B7-8DA5-3DBA5C9149F7}"/>
    <cellStyle name="Comma 4 2" xfId="81" xr:uid="{12622E5F-E7C2-499F-B00B-F34CAAE3FBEA}"/>
    <cellStyle name="Comma 5" xfId="24" xr:uid="{CA5A608F-1D1E-46B9-A29E-5A290FD09D0F}"/>
    <cellStyle name="Comma 5 2" xfId="65" xr:uid="{56CD01DD-C125-464D-92AB-41BB95F1D7C0}"/>
    <cellStyle name="Comma 5 2 2" xfId="97" xr:uid="{09D5EF35-9FF0-4902-92C5-34B15F8486CD}"/>
    <cellStyle name="Comma 5 3" xfId="82" xr:uid="{0F4ABE21-5059-4088-BD01-60AFB48C6554}"/>
    <cellStyle name="Comma 6" xfId="25" xr:uid="{6A603A8C-F9C3-47D6-A3E5-24F6BFC1D7E9}"/>
    <cellStyle name="Comma 6 2" xfId="83" xr:uid="{055A221E-3409-40A5-A3EF-F8BF6483A41B}"/>
    <cellStyle name="Comma 7" xfId="60" xr:uid="{83E6A1A0-E6B4-488A-8D74-9C6D6CA7D3C7}"/>
    <cellStyle name="Comma 7 2" xfId="92" xr:uid="{CE52ECDE-2C10-4A52-8557-E04694AD93B4}"/>
    <cellStyle name="Comma 8" xfId="68" xr:uid="{EF6BC422-7137-49F6-80B6-D29D8933D885}"/>
    <cellStyle name="Comma 8 2" xfId="100" xr:uid="{7FAFFB60-8599-4035-BD72-8BE22CED576E}"/>
    <cellStyle name="Comma 9" xfId="71" xr:uid="{E9AA22C5-F447-49A1-A029-3B7CEAB06DA0}"/>
    <cellStyle name="Currency" xfId="103" builtinId="4"/>
    <cellStyle name="Currency 2" xfId="102" xr:uid="{05FC4765-98D4-45E4-8917-31092AC83F0B}"/>
    <cellStyle name="Header" xfId="29" xr:uid="{BE736B3B-8BF7-4D4D-9EC2-67B1F1A35FBF}"/>
    <cellStyle name="HeaderGrant" xfId="30" xr:uid="{C0E7A3DA-3A68-4DEE-A13A-46B5D92F42B3}"/>
    <cellStyle name="HeaderLEA" xfId="31" xr:uid="{7C2500D4-C8C4-48AB-9927-63F790FE5937}"/>
    <cellStyle name="LEAName" xfId="32" xr:uid="{FC9F016F-24BF-4FA4-A856-6D9D9AE6AF32}"/>
    <cellStyle name="LEANumber" xfId="33" xr:uid="{3B576684-2830-4180-A954-6D54A186F400}"/>
    <cellStyle name="Normal" xfId="0" builtinId="0"/>
    <cellStyle name="Normal 10" xfId="34" xr:uid="{5CED9FCE-0DC7-4E15-80E0-729FF84D7BE8}"/>
    <cellStyle name="Normal 10 2" xfId="35" xr:uid="{BA867CAF-63C8-4A2D-B55E-F2B22835B52E}"/>
    <cellStyle name="Normal 11" xfId="36" xr:uid="{E1314584-B4FA-408C-A7A2-440945B67C3C}"/>
    <cellStyle name="Normal 11 2" xfId="17" xr:uid="{920521D7-772C-4624-A886-30366AB04F39}"/>
    <cellStyle name="Normal 12" xfId="37" xr:uid="{C6698DE2-D197-4BB0-ACA3-79082DE4E541}"/>
    <cellStyle name="Normal 12 2" xfId="38" xr:uid="{50FE778B-54B7-4244-BAAD-3B47BB6E1AEB}"/>
    <cellStyle name="Normal 13" xfId="39" xr:uid="{6DDF426F-92FA-4EEC-8250-3A5E591B2044}"/>
    <cellStyle name="Normal 13 2" xfId="63" xr:uid="{4ED8BA11-5863-4A09-A28D-BA5D22EA702D}"/>
    <cellStyle name="Normal 13 2 2" xfId="95" xr:uid="{FB1CEB1C-8F55-4BF1-B24D-7E43D8E8214D}"/>
    <cellStyle name="Normal 14" xfId="40" xr:uid="{1EA9689C-47E0-4CC5-B1E2-5245BC5871F9}"/>
    <cellStyle name="Normal 14 2" xfId="41" xr:uid="{B412F04A-CAD3-4EE2-9E06-8F346282BD7E}"/>
    <cellStyle name="Normal 15" xfId="42" xr:uid="{DF7FA7AF-4CE0-485F-B777-392CA7848958}"/>
    <cellStyle name="Normal 15 2" xfId="87" xr:uid="{79D5B51F-FF95-4283-BF10-6E479AC80B9C}"/>
    <cellStyle name="Normal 16" xfId="58" xr:uid="{43865062-E46C-4B9C-9DBA-51184FD21BC7}"/>
    <cellStyle name="Normal 16 2" xfId="90" xr:uid="{0E025E10-F106-4358-B3AA-914A31E92788}"/>
    <cellStyle name="Normal 17" xfId="61" xr:uid="{A70C938B-312E-4220-BA54-D0A4409438DD}"/>
    <cellStyle name="Normal 17 2" xfId="93" xr:uid="{AD99BE6E-AF10-4683-9435-ADDC4F447F0E}"/>
    <cellStyle name="Normal 18" xfId="67" xr:uid="{D31606C6-6B45-48DA-81E7-DA4CF95659B7}"/>
    <cellStyle name="Normal 18 2" xfId="99" xr:uid="{AAE778AB-91EE-4B70-AF05-2AF7D5C76693}"/>
    <cellStyle name="Normal 19" xfId="70" xr:uid="{3A78489E-B5DF-47F1-810F-B34E88A82F22}"/>
    <cellStyle name="Normal 2" xfId="2" xr:uid="{B278B484-04F4-4F83-A478-E453E388C97A}"/>
    <cellStyle name="Normal 2 2" xfId="10" xr:uid="{0BFF604A-C6FF-4204-94B3-69938599B6D9}"/>
    <cellStyle name="Normal 2 2 2" xfId="43" xr:uid="{40018712-56E0-4943-8569-009E7023F242}"/>
    <cellStyle name="Normal 2 3" xfId="12" xr:uid="{42D3BD65-2471-4623-9E5A-A587C2DFB63F}"/>
    <cellStyle name="Normal 3" xfId="14" xr:uid="{07C935A0-47AD-4E96-BBA5-552A170A8C63}"/>
    <cellStyle name="Normal 3 2" xfId="66" xr:uid="{AD2C9B02-23B8-4B20-866D-B799DFE8132F}"/>
    <cellStyle name="Normal 3 2 2" xfId="98" xr:uid="{7F808B71-D844-4E02-95B6-A0A3003927AE}"/>
    <cellStyle name="Normal 4" xfId="20" xr:uid="{5255AF4F-2C47-49AB-A5F3-44E62EB83612}"/>
    <cellStyle name="Normal 4 2" xfId="44" xr:uid="{53F92CF1-2D1F-4491-9969-799C6AC7D9AB}"/>
    <cellStyle name="Normal 4 3" xfId="78" xr:uid="{94C2C4F2-EF36-4EEA-9E6F-861BB8E9E735}"/>
    <cellStyle name="Normal 5" xfId="21" xr:uid="{3EC97DFD-0280-4E5D-A780-D5304C6D5328}"/>
    <cellStyle name="Normal 5 2" xfId="45" xr:uid="{DCEBDB33-F66C-48CA-AAA9-369CBF8D9CF9}"/>
    <cellStyle name="Normal 5 2 2" xfId="88" xr:uid="{B0E46D48-17D6-4489-8062-CEA855C3462B}"/>
    <cellStyle name="Normal 5 3" xfId="46" xr:uid="{CCBAE48E-BFD3-45D5-8AD5-856E8D52B325}"/>
    <cellStyle name="Normal 5 3 2" xfId="89" xr:uid="{7B24CE2C-CFD8-4F73-A4ED-8E2CD873DC82}"/>
    <cellStyle name="Normal 5 4" xfId="59" xr:uid="{7701FD44-F378-423E-BDB2-D00CDEF9B552}"/>
    <cellStyle name="Normal 5 4 2" xfId="91" xr:uid="{730B22CC-122F-4D06-8B51-39327DFE2DE1}"/>
    <cellStyle name="Normal 5 5" xfId="79" xr:uid="{5C835937-8D14-485C-8533-05AD82E09065}"/>
    <cellStyle name="Normal 6" xfId="22" xr:uid="{031F59C8-F47D-41D1-9E04-AC0928CC6CB0}"/>
    <cellStyle name="Normal 6 2" xfId="47" xr:uid="{E9334C68-0422-45F0-B812-A791D90996EB}"/>
    <cellStyle name="Normal 6 2 2" xfId="8" xr:uid="{4CFCB214-7540-4BF6-B6AA-64675AFF73B3}"/>
    <cellStyle name="Normal 6 2 2 2" xfId="18" xr:uid="{40F26982-4CBE-425B-A8E3-93DFFDBB0160}"/>
    <cellStyle name="Normal 6 2 2 2 2" xfId="76" xr:uid="{FEC40E66-2198-4678-89E8-F3D5F6D8C7B0}"/>
    <cellStyle name="Normal 6 2 2 3" xfId="73" xr:uid="{CCB90073-0416-4D76-8A97-F995972A6783}"/>
    <cellStyle name="Normal 6 3" xfId="80" xr:uid="{8BBFB26F-70A3-4A59-9081-0670A8DD840A}"/>
    <cellStyle name="Normal 7" xfId="48" xr:uid="{8FEF0B68-0872-4652-9CBD-BA983BCDD701}"/>
    <cellStyle name="Normal 7 2" xfId="7" xr:uid="{23F44ABF-812C-4B3E-A561-7D93A67566C9}"/>
    <cellStyle name="Normal 8" xfId="11" xr:uid="{E8650D76-CC39-462A-B6B2-53FE94A34FA1}"/>
    <cellStyle name="Normal 8 2" xfId="16" xr:uid="{0E1F9034-4854-45A0-9A2F-5ABC543AC93D}"/>
    <cellStyle name="Normal 9" xfId="49" xr:uid="{CD62F5CE-77D0-4620-AB35-5879C6CE7994}"/>
    <cellStyle name="Normal 9 2" xfId="50" xr:uid="{4EF04668-7A5A-4D4A-B5EA-863BA81002D9}"/>
    <cellStyle name="Normal_allocation 06-07" xfId="5" xr:uid="{917F58C4-B9F1-4351-BF98-19CC5F6B1492}"/>
    <cellStyle name="Normal_NWPU Calcs 09-10 2" xfId="3" xr:uid="{49790DA8-6B15-4462-BDD1-E09648F6DD4F}"/>
    <cellStyle name="Number" xfId="51" xr:uid="{ED88498C-6B9C-42CC-BC10-B45FAF64F900}"/>
    <cellStyle name="Output Amounts" xfId="52" xr:uid="{BF07B917-E446-4234-8D51-5D3D11567C8E}"/>
    <cellStyle name="Output Column Headings" xfId="53" xr:uid="{73130D8A-E9F0-47B2-80E2-6D80DA6CD3DF}"/>
    <cellStyle name="Output Line Items" xfId="54" xr:uid="{31ABBD28-0FB7-4281-B7B8-B18878CC0C34}"/>
    <cellStyle name="Output Report Heading" xfId="55" xr:uid="{C3AF718C-9683-4136-9EC9-4A0A305C1F03}"/>
    <cellStyle name="Output Report Title" xfId="56" xr:uid="{30A3CDAA-93AF-4688-9F73-42C162CEEBCD}"/>
    <cellStyle name="Per cent 2" xfId="9" xr:uid="{E42E511E-EDB6-4BA5-994D-A7F3196930F0}"/>
    <cellStyle name="Per cent 3" xfId="69" xr:uid="{6923E3CD-DD64-4F1C-B10C-FB2A3CEAE237}"/>
    <cellStyle name="Per cent 3 2" xfId="101" xr:uid="{A7901539-8244-47DC-89AC-8A4D24E5E4FD}"/>
    <cellStyle name="Percent 2" xfId="57" xr:uid="{29B809FA-D4E0-43D8-81F4-17B82814669E}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173" formatCode="&quot;£&quot;#,##0.00"/>
    </dxf>
    <dxf>
      <numFmt numFmtId="173" formatCode="&quot;£&quot;#,##0.00"/>
    </dxf>
    <dxf>
      <alignment horizontal="center"/>
    </dxf>
    <dxf>
      <alignment horizontal="center"/>
    </dxf>
    <dxf>
      <numFmt numFmtId="173" formatCode="&quot;£&quot;#,##0.00"/>
    </dxf>
    <dxf>
      <numFmt numFmtId="173" formatCode="&quot;£&quot;#,##0.00"/>
    </dxf>
  </dxfs>
  <tableStyles count="0" defaultTableStyle="TableStyleMedium2" defaultPivotStyle="PivotStyleLight16"/>
  <colors>
    <mruColors>
      <color rgb="FFFF7D7D"/>
      <color rgb="FFFF3300"/>
      <color rgb="FFFFFF99"/>
      <color rgb="FFF0FAFA"/>
      <color rgb="FFFF7C80"/>
      <color rgb="FFFDA9AF"/>
      <color rgb="FFCCECFF"/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eetMetadata" Target="metadata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wokingham.sharepoint.com/CORPORATE%20FINANCE/Schools/DSG%20&amp;%20School%20Bud.%20Mon/Budget%20monitoring/2324%20BM/HNB/INMSS/Angela%20INMSS/Will%20Folder/HNB%20EHCP%20Stream%20Forecast%2023-24_MARCH_Yend%20rec%20WH%20SECOND%20COPY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gela Blogg" refreshedDate="45161.741747916669" createdVersion="8" refreshedVersion="8" minRefreshableVersion="3" recordCount="991" xr:uid="{7F40D506-DD45-4C59-9A8F-CB358328B544}">
  <cacheSource type="worksheet">
    <worksheetSource ref="A1:CL1048576" sheet="DATA_23-24 NWPU YTD_MasterFEB" r:id="rId2"/>
  </cacheSource>
  <cacheFields count="84">
    <cacheField name="count pupil_not placement" numFmtId="0">
      <sharedItems containsString="0" containsBlank="1" containsNumber="1" containsInteger="1" minValue="0" maxValue="896" count="5">
        <n v="1"/>
        <n v="0"/>
        <m/>
        <n v="771"/>
        <n v="896"/>
      </sharedItems>
    </cacheField>
    <cacheField name="Provisions" numFmtId="0">
      <sharedItems containsBlank="1" containsMixedTypes="1" containsNumber="1" containsInteger="1" minValue="0" maxValue="1"/>
    </cacheField>
    <cacheField name="BUDGET ALLOC BASED ON DATA 23/03/20" numFmtId="0">
      <sharedItems containsString="0" containsBlank="1" containsNumber="1" containsInteger="1" minValue="2000" maxValue="41509"/>
    </cacheField>
    <cacheField name="Cost Centre" numFmtId="0">
      <sharedItems containsString="0" containsBlank="1" containsNumber="1" containsInteger="1" minValue="2000" maxValue="41509"/>
    </cacheField>
    <cacheField name="HNB" numFmtId="0">
      <sharedItems containsString="0" containsBlank="1" containsNumber="1" containsInteger="1" minValue="43011" maxValue="43015"/>
    </cacheField>
    <cacheField name="Infant?" numFmtId="0">
      <sharedItems containsBlank="1"/>
    </cacheField>
    <cacheField name="Academy / Cash" numFmtId="0">
      <sharedItems containsBlank="1"/>
    </cacheField>
    <cacheField name="Resource Unit" numFmtId="0">
      <sharedItems containsBlank="1"/>
    </cacheField>
    <cacheField name="Type (P/S/16+)" numFmtId="0">
      <sharedItems containsBlank="1" count="4">
        <s v="P"/>
        <s v="S"/>
        <s v="16+"/>
        <m/>
      </sharedItems>
    </cacheField>
    <cacheField name="AP/AD" numFmtId="0">
      <sharedItems containsBlank="1"/>
    </cacheField>
    <cacheField name="Student ID" numFmtId="0">
      <sharedItems containsString="0" containsBlank="1" containsNumber="1" containsInteger="1" minValue="350700" maxValue="454411"/>
    </cacheField>
    <cacheField name="School" numFmtId="0">
      <sharedItems containsBlank="1" count="77">
        <s v="Alder Grove CofE Primary School"/>
        <s v="Aldryngton Primary"/>
        <s v="All Saints Primary"/>
        <s v="Bearwood Primary"/>
        <s v="Beechwood Primary"/>
        <s v="Bohunt"/>
        <s v="Bohunt "/>
        <s v="Bulmershe"/>
        <s v="Colleton Primary"/>
        <s v="Coombes Primary"/>
        <s v="Crazies Hill CE"/>
        <s v="Earley St Peter's Primary"/>
        <s v="Emmbrook Hearing Impaired Unit"/>
        <s v="Emmbrook Infant"/>
        <s v="Emmbrook Junior"/>
        <s v="Emmbrook Junior_Academy"/>
        <s v="Emmbrook Secondary"/>
        <s v="Evendons Primary"/>
        <s v="Farley Hill Primary"/>
        <s v="Finchampstead Primary"/>
        <s v="Floreat Montague Park Primary School"/>
        <s v="Forest"/>
        <s v="Gorse Ride Infant"/>
        <s v="Gorse Ride Junior"/>
        <s v="Grazeley Parochial Primary"/>
        <s v="Hatch Ride Primary"/>
        <s v="Hawkedon Primary"/>
        <s v="Hawthorns Primary"/>
        <s v="Highwood Primary"/>
        <s v="Hillside Primary"/>
        <s v="Holt"/>
        <s v="Keep Hatch Primary"/>
        <s v="Lambs Lane Primary"/>
        <s v="Loddon Primary"/>
        <s v="Maiden Erlegh"/>
        <s v="Nine Mile Ride Primary"/>
        <s v="Oakbank Free School"/>
        <s v="Oaklands Infant"/>
        <s v="Oaklands Junior"/>
        <s v="Piggott CE"/>
        <s v="Polehampton Infant"/>
        <s v="Polehampton Junior"/>
        <s v="Radstock Primary"/>
        <s v="Rivermead Primary"/>
        <s v="Robert Piggott Infant"/>
        <s v="Robert Piggott Junior"/>
        <s v="Shinfield Infant"/>
        <s v="Shinfield St Mary's Junior"/>
        <s v="Sonning Primary"/>
        <s v="Southlake Primary"/>
        <s v="St Crispins"/>
        <s v="St Crispin's "/>
        <s v="St Dominic Savio Primary"/>
        <s v="St Nicholas Primary"/>
        <s v="St Paul's Junior"/>
        <s v="St Teresa's Primary"/>
        <s v="St Sebastian's Primary"/>
        <s v="Waingels College"/>
        <s v="Walter Infant"/>
        <s v="Wescott Infant"/>
        <s v="Westende Junior"/>
        <s v="Wheatfield Primary"/>
        <s v="Whiteknights Primary"/>
        <s v="Willow Bank Infant"/>
        <s v="Willow Bank Junior"/>
        <s v="Windmill Primary"/>
        <s v="Winnersh Primary"/>
        <s v="Woodley Primary"/>
        <m/>
        <s v="PS/SS &amp; Acad"/>
        <s v="calculate hours for full year"/>
        <s v="deduct £6k"/>
        <s v="Pro rata for year"/>
        <s v="Pay monthly Acad, PS/SS termly"/>
        <s v="Hourly rate from 23/24"/>
        <s v="All Saints Primary_Maintained"/>
        <s v="SECONDARY"/>
      </sharedItems>
    </cacheField>
    <cacheField name="First Name" numFmtId="0">
      <sharedItems containsBlank="1"/>
    </cacheField>
    <cacheField name="Surname" numFmtId="0">
      <sharedItems containsBlank="1"/>
    </cacheField>
    <cacheField name="Name" numFmtId="0">
      <sharedItems containsBlank="1" containsMixedTypes="1" containsNumber="1" minValue="472.77" maxValue="41509" count="843">
        <s v="LucianImre"/>
        <s v="AllyMakame"/>
        <s v="ArjunValiveti"/>
        <s v="AdhritRamabhotla"/>
        <s v="Alexander Condirev"/>
        <s v="AlizahKhawaja"/>
        <s v="AlexanderSutton"/>
        <s v="EllisDeadman"/>
        <s v="EvangelosSkourtis Keramidas"/>
        <s v="HrihaanSwain"/>
        <s v="JayLally"/>
        <s v="JamesXu"/>
        <s v="KrishValiveti"/>
        <s v="SamarthMehta"/>
        <s v="SebastianSly"/>
        <s v="SehajpreetKaur"/>
        <s v="TylerGiles"/>
        <s v="SallyOkumu"/>
        <s v="VictorStanley"/>
        <s v="AliceOrd"/>
        <s v="CheyenneCook-Clarke"/>
        <s v="HadleyDixon"/>
        <s v="LillyAtkins"/>
        <s v="LoganDaley"/>
        <s v="LouieHughes"/>
        <s v="Lucas-HenryGeater-Brombley"/>
        <s v="OliviaGoodchild"/>
        <s v="SabahSalama"/>
        <s v="Sophie Dimmick"/>
        <s v="Alfie Bourke"/>
        <s v="GurvanshLubana"/>
        <s v="RhysCraker"/>
        <s v="Sam JasonHenry"/>
        <s v="AlizaIshaq"/>
        <s v="FinleyMarson"/>
        <s v="Finnley Pitt"/>
        <s v="HarryKeep"/>
        <s v="IdilInanc"/>
        <s v="IsabelleO'Boyle"/>
        <s v="Mir AsharAmmar"/>
        <s v="Mason Davies"/>
        <s v="Nathan Larkins"/>
        <s v="PhoebeLambert"/>
        <s v="Rivika Pachauri"/>
        <s v="AlexanderEvans"/>
        <s v="AlexanderGeorgiev"/>
        <s v="AmberMakemson"/>
        <s v="ArthurRobertson"/>
        <s v="AuraStaughton"/>
        <s v="Christopher Rivers"/>
        <s v="BenjaminBrooks"/>
        <s v="DanielTaylor"/>
        <s v="DanuelRoberts"/>
        <s v="DevPawar"/>
        <s v="ErinBane"/>
        <s v="EsmeMackey"/>
        <s v="EthanShaw"/>
        <s v="FilipMickiewicz"/>
        <s v="FrankieMansell-Chisholm"/>
        <s v="KasraTayebi"/>
        <s v="KushaanRoy"/>
        <s v="LaytonBrown"/>
        <s v="LeahBass"/>
        <s v="GuestMegan"/>
        <s v="MatthewRolland"/>
        <s v="Nia Silver"/>
        <s v="OliverLincoln"/>
        <s v="PrincessHuckle"/>
        <s v="RebeccaMorris"/>
        <s v="ReeceByron"/>
        <s v="ScottBacon-Croad"/>
        <s v="SophieDomingues"/>
        <s v="ThomasHenry"/>
        <s v="VasilikiMalakoudi"/>
        <s v="ZoeTingley"/>
        <s v="AlexanderTyler"/>
        <s v="AmelieAllchurch"/>
        <s v="AvalonGilbert"/>
        <s v="CallumHutchinson"/>
        <s v="CarmellHayes"/>
        <s v="DanielWilliams"/>
        <s v="DanielWilson"/>
        <s v="HarryCurl"/>
        <s v="Kadey-LeighVickery"/>
        <s v="KaranvirSingh"/>
        <s v="KeidenTownsend-Griffith"/>
        <s v="KielanSampson"/>
        <s v="KyleDziaduch"/>
        <s v="Kyra-Louise Vickery"/>
        <s v="LaylaWingrove"/>
        <s v="MalakaiBarnes"/>
        <s v="Marcel Czop"/>
        <s v="MuhammadHussain"/>
        <s v="OliverKing"/>
        <s v="Resian Ward-Kirby"/>
        <s v="SamuelRichardson"/>
        <s v="SamuelWeston"/>
        <s v="SummaThatcher"/>
        <s v="TeganKnight"/>
        <s v="TierraJohnson"/>
        <s v="AmoghKalasenavaru"/>
        <s v="BlakeHowton"/>
        <s v="BuddieYoung"/>
        <s v="GarthNeveling-Kehoe"/>
        <s v="HollyDurand"/>
        <s v="IsabelleWood"/>
        <s v="JakeEmerton"/>
        <s v="LaekoLokombe-Hitti"/>
        <s v="MaxLonghurst"/>
        <s v="RileyJarvis"/>
        <s v="ScarlettBennett"/>
        <s v="CalebCook"/>
        <s v="ConnorCross"/>
        <s v="Edward-MarkSmith"/>
        <s v="ElsieRoberts"/>
        <s v="Harvey Phillips"/>
        <s v="KaylanWatson"/>
        <s v="LorenaMonteiro E Matos"/>
        <s v="OliverPrice"/>
        <s v="Ralphie-Ray Smith"/>
        <s v="WraithThomas"/>
        <s v="HarveyCunningham"/>
        <s v="KyaHetherington"/>
        <s v="PenelopeDunne"/>
        <s v="AahaanChokhani"/>
        <s v="Jagjot DULAI"/>
        <s v="Jeff-WesleyRandolph"/>
        <s v="MohammedSultan"/>
        <s v="OliverThomas"/>
        <s v="TobiasAhmed"/>
        <s v="WilliamHearn"/>
        <s v="ZeeniyaAsif"/>
        <s v="ZakWheeler"/>
        <s v="FatimaHussain"/>
        <s v="MarcusWood"/>
        <s v="OscarO'Grady"/>
        <s v="FinleyFletcher"/>
        <s v="JudeGray"/>
        <s v="Lacie-MaeGreen"/>
        <s v="LucaGray"/>
        <s v="NinaKucieba"/>
        <s v="Savanna McLoughlin"/>
        <s v="Tommy McLoughlin"/>
        <s v="FlorenceLeddy"/>
        <s v="HarrySimmons"/>
        <s v="HarveyCooper"/>
        <s v="JacobPearce"/>
        <s v="JamesStott"/>
        <s v="JudeMpofu"/>
        <s v="Kitty Riches"/>
        <s v="PhoebeLangley Hawkins"/>
        <s v="MarnieHearnon"/>
        <s v="MuhammadAbdul Hamid"/>
        <s v="NoahLoveluck"/>
        <s v="OllieBrown"/>
        <s v="OliverYates"/>
        <s v="OliviaEvans"/>
        <s v="ThomasPowell"/>
        <s v="YoofiEnchill"/>
        <s v="AmberSharda"/>
        <s v="AngelPerrin"/>
        <s v="AllanMasterman"/>
        <s v="ArchieRussell"/>
        <s v="AthanasiosXanthoulis"/>
        <s v="BatsiraiMutisi"/>
        <s v="BrookeCarter West"/>
        <s v="CalebMcCormick"/>
        <s v="CharlotteEvans"/>
        <s v="CharlotteWoolford"/>
        <s v="DanielMallinson"/>
        <s v="DavidCash"/>
        <s v="Eddie Shatri"/>
        <s v="EthanBeckett"/>
        <s v="FinleyTurner"/>
        <s v="GarySmith"/>
        <s v="GiorgioZottarelli"/>
        <s v="JamesCash"/>
        <s v="JamesTest1"/>
        <s v="JasonClarke"/>
        <s v="JaydeFerrier"/>
        <s v="JoshuaBeighton"/>
        <s v="KameronWaddon"/>
        <s v="KaydenRegis-Ellis"/>
        <s v="KeiraBradshaw"/>
        <s v="LaurenJoseph"/>
        <s v="Lik TaiHo"/>
        <s v="LouieGaudreau"/>
        <s v="MaiiaFalkova"/>
        <s v="NoahCare-McDermott"/>
        <s v="PhelixManning"/>
        <s v="RussellButler-Cook"/>
        <s v="RyanBrombley"/>
        <s v="SarahGwilliam"/>
        <s v="Shannon-GraceGrantham"/>
        <s v="ThomasRowe"/>
        <s v="TroyDolton"/>
        <s v="Tyler Lamb"/>
        <s v="Benjamin Sturdy"/>
        <s v="ChinnapatRuengathitskun"/>
        <s v="DylanYemm"/>
        <s v="EdeeBarlow-White"/>
        <s v="Emma Granovsky"/>
        <s v="EmmelineKell"/>
        <s v="EthanBelas"/>
        <s v="EthanWaite"/>
        <s v="HarryGallina"/>
        <s v="Isla Dornan"/>
        <s v="JackArmitage"/>
        <s v="JackNewton"/>
        <s v="JamiePage"/>
        <s v="JacobDougall"/>
        <s v="JasmineTurner"/>
        <s v="Joshua Rogers"/>
        <s v="LouisBurke"/>
        <s v="LyallHaywood"/>
        <s v="SamuelMyatt"/>
        <s v="SebastianHaycock"/>
        <s v="VincentSevero de Almeida"/>
        <s v="WilliamCummings"/>
        <s v="CallumHutchings"/>
        <s v="CasianVieru"/>
        <s v="JackButler"/>
        <s v="JosephManning"/>
        <s v="OskarasMazeika"/>
        <s v="AbhayGulati"/>
        <s v="Courtney Robinson"/>
        <s v="DylanColman"/>
        <s v="Elliott Allen"/>
        <s v="HunterBooth"/>
        <s v="JacobTyrrell"/>
        <s v="KailenHayne"/>
        <s v="Lincoln McCammick"/>
        <s v="LoganWaters"/>
        <s v="MohammadZain"/>
        <s v="PiperMallett"/>
        <s v="ReeceWeaver- Lovell"/>
        <s v="TylerMuchoki"/>
        <s v="Toran Farnan"/>
        <s v="AhmidBash-Taqi"/>
        <s v="AlexGreen"/>
        <s v="FreddieSmallman"/>
        <s v="GeorgeForster"/>
        <s v="JagveerTakhar"/>
        <s v="JamesBarker"/>
        <s v="KianColeman"/>
        <s v="Montgomery Kenrick"/>
        <s v="ThomasAttwood"/>
        <s v="Thomas Bolton"/>
        <s v="AlieSama"/>
        <s v="KatyWood"/>
        <s v="LukasBardell"/>
        <s v="NathanBarber"/>
        <s v="IsabelleZnowski"/>
        <s v="JaidanYoung"/>
        <s v="KyleBrown"/>
        <s v="KyleCraker"/>
        <s v="MatthewWood"/>
        <s v="PollyYoung"/>
        <s v="RoseLansley"/>
        <s v="AnishKashyap"/>
        <s v="CharlieHares"/>
        <s v="JohnIbrahim"/>
        <s v="LillyForte"/>
        <s v="AmeliaSatchell-Shaw"/>
        <s v="DanielMunday"/>
        <s v="FlorenceNewman-Shepherd"/>
        <s v="ImogenEvered"/>
        <s v="JackAdlam"/>
        <s v="AbbieShakespeare"/>
        <s v="AliHamidi"/>
        <s v="AnikaRamprasad"/>
        <s v="CharlotteInwards"/>
        <s v="HarryTurner"/>
        <s v="InaayaFaraz"/>
        <s v="Ishan Tudi"/>
        <s v="JasonToci"/>
        <s v="JessicaEitokpah"/>
        <s v="MadisonPring"/>
        <s v="MaxTracy"/>
        <s v="MeganWells"/>
        <s v="NathanBull"/>
        <s v="RyanNeethling"/>
        <s v="Sofia LaurenScurtu"/>
        <s v="AnaySingh"/>
        <s v="BethanyWhite"/>
        <s v="FlorenceMills"/>
        <s v="FrederickMusto"/>
        <s v="JosephDewis"/>
        <s v="KeironShand-White"/>
        <s v="LeoSindhu"/>
        <s v="MayaJohn"/>
        <s v="OwenDare"/>
        <s v="Russell-JamesPike"/>
        <s v="TheoWilkins"/>
        <s v="BenjaminNorcutt"/>
        <s v="BethanyTurton"/>
        <s v="EdwardAston"/>
        <s v="EllaBlowey"/>
        <s v="JeffersonOrtiz Barba"/>
        <s v="JosephCheshire"/>
        <s v="KaiMcAllister"/>
        <s v="SelimTopcu"/>
        <s v="ThomasYeomans"/>
        <s v="TristanSeymour"/>
        <s v="ZacharySparks"/>
        <s v="AhmadQuraishi"/>
        <s v="AlexanderDalakov"/>
        <s v="Ethihash Thineshkumar"/>
        <s v="HamzaKhan"/>
        <s v="IshaqKendall-Coates"/>
        <s v="KaveerDave"/>
        <s v="ParkerReeves"/>
        <s v="KreeClarke"/>
        <s v="LiamVelo"/>
        <s v="Rosalie-JaydeArding-Thompson"/>
        <s v="RyanSharma"/>
        <s v="VitoriaGhizi"/>
        <s v="ZarrarSolat"/>
        <s v="AlfieTrotman Freeman"/>
        <s v="EwanJones-Smallbone"/>
        <s v="IsabellaSialwiindi"/>
        <s v="JackLing"/>
        <s v="KristopherBranford"/>
        <s v="Leyton-BryceCaston"/>
        <s v="Marshall Banister-Russell"/>
        <s v="RichieTownsend-Borecki"/>
        <s v="SerenBowman"/>
        <s v="SophiaMorgan Dunne"/>
        <s v="SukhvirBhamra"/>
        <s v="Anoushka Bruce"/>
        <s v="ElowenMcMaster"/>
        <s v="FlorenceSancto"/>
        <s v="JessicaBrady"/>
        <s v="LilyPage"/>
        <s v="MichelleEgwuagu"/>
        <s v="RoseConnors"/>
        <s v="ZoeMakuyana"/>
        <s v="AnthonyDzwonkowski"/>
        <s v="AstonHolmes"/>
        <s v="AyaanIqbal"/>
        <s v="Bailey Jeune"/>
        <s v="CaydenSeymour"/>
        <s v="EvieBrookes"/>
        <s v="Jacob Tate"/>
        <s v="JasmineFarr"/>
        <s v="JaydenSavory"/>
        <s v="JaysonJoubran"/>
        <s v="KaydieO'Neill"/>
        <s v="Lacie-AnneBrabon"/>
        <s v="LiamWaistell"/>
        <s v="LukeGould Seymour"/>
        <s v="OrsonLewis"/>
        <s v="SamuelConnell"/>
        <s v="Yu Tin NathanieShiu"/>
        <s v="BeatriceGoddard"/>
        <s v="DaisyGale"/>
        <s v="DawsonGosling"/>
        <s v="AlfredEaton"/>
        <s v="AlyaanSiddiqui"/>
        <s v="CharlieJones"/>
        <s v="FrancisKeirle"/>
        <s v="HenryKeirle"/>
        <s v="Jacob Nicol"/>
        <s v="JamieCook"/>
        <s v="LoganBehr"/>
        <s v="SaffronSmith"/>
        <s v="HabibGhafoor"/>
        <s v="Haroon Ahmad"/>
        <s v="JacobBrown"/>
        <s v="JacobTaylor-Glover"/>
        <s v="JamesMilway"/>
        <s v="JoshuaKnipe"/>
        <s v="LucyDyer"/>
        <s v="ZainJafri"/>
        <s v="AmberStockle"/>
        <s v="AnthonyKnights"/>
        <s v="LilyEckert"/>
        <s v="MatthewBest"/>
        <s v="OluwatomisinAdekola"/>
        <s v="RobertPortwine"/>
        <s v="RheaSaini"/>
        <m/>
        <s v="AaliyahBurton"/>
        <s v="AaravBasetti"/>
        <s v="AdamMohamed"/>
        <s v="Adem White"/>
        <s v="AidenSmith"/>
        <s v="AishaOppong"/>
        <s v="AlexiaBennett-Goodchild"/>
        <s v="Amber Lockyear"/>
        <s v="ArloCrocombe"/>
        <s v="BenStockings"/>
        <s v="BenjaminTwigg"/>
        <s v="CallumEvans-Farrar"/>
        <s v="CamronPerry"/>
        <s v="ChloeNagle"/>
        <s v="ColleenMolson"/>
        <s v="DaisyEmery"/>
        <s v="DanielHennessey"/>
        <s v="DanielOkwelegbe"/>
        <s v="DylanBagga"/>
        <s v="ElliottCook"/>
        <s v="EthanBoba"/>
        <s v="Frederick Page"/>
        <s v="HarleyCummins"/>
        <s v="IsaacTregunno"/>
        <s v="JamesCreaney"/>
        <s v="Jan Alpar"/>
        <s v="JohnOlakotan"/>
        <s v="JonathanCHINTA KUNTA"/>
        <s v="JustinCleeton"/>
        <s v="KaiNader"/>
        <s v="KassiusClarke"/>
        <s v="KenanRajkumar"/>
        <s v="KenennaEjike"/>
        <s v="KhabibGilani"/>
        <s v="KyleClow"/>
        <s v="Laci-LouCorby"/>
        <s v="MichaelRostron"/>
        <s v="MikhailJafri"/>
        <s v="MohammedSaddiq"/>
        <s v="MuhammadKhan"/>
        <s v="OliverDalby"/>
        <s v="OliverWorth"/>
        <s v="Oliver-JamesMcEwen"/>
        <s v="OrlaSingh"/>
        <s v="RaffioMann"/>
        <s v="RazanSomai"/>
        <s v="ReyanShah"/>
        <s v="RubinaKhan"/>
        <s v="SamuelKeary"/>
        <s v="SaoirseDe chi-Adams"/>
        <s v="SreekarRajen"/>
        <s v="SriramPokala"/>
        <s v="SyedaTaj"/>
        <s v="TommyParlour"/>
        <s v="TreyGurney"/>
        <s v="VedaGorthy"/>
        <s v="XavierCancela Stokes"/>
        <s v="AegonKarthik"/>
        <s v="CallumPerry"/>
        <s v="DanielSier-Acinas"/>
        <s v="GabrielDoggett"/>
        <s v="HartajGrewal"/>
        <s v="SofiaTinnion"/>
        <s v="AhizaRobins"/>
        <s v="Coral-Louise Allum"/>
        <s v="CurtisHeath"/>
        <s v="Frenny-JrGreen"/>
        <s v="FreyaBayliss-Humphreys"/>
        <s v="HollyElliott"/>
        <s v="JensonParrish"/>
        <s v="JeremyPoku"/>
        <s v="JessieFlockton"/>
        <s v="JoshuaWylde"/>
        <s v="KyanaRoach"/>
        <s v="Maria Koscheck"/>
        <s v="OliviaBurke"/>
        <s v="RhysBaker"/>
        <s v="Riley-LukasHolmes"/>
        <s v="CharlieHarris"/>
        <s v="FinleyHarris"/>
        <s v="AlfieGooch"/>
        <s v="HarryGibson"/>
        <s v="Jasper Wright"/>
        <s v="LewisPlatt"/>
        <s v="TheoHarris"/>
        <s v="AbdullahAbbas"/>
        <s v="Alfie Cooper"/>
        <s v="AmelieHickman"/>
        <s v="BenjaminKimuli"/>
        <s v="BethanColler"/>
        <s v="CharlesHookway"/>
        <s v="CharlesShearsby"/>
        <s v="ClaraSteuart"/>
        <s v="EwanMeadowcroft"/>
        <s v="GraceWilkes"/>
        <s v="HarrisonGibson"/>
        <s v="HopeWilkes"/>
        <s v="IsabelleMcAndrew"/>
        <s v="JackLeather"/>
        <s v="JakeGauterin"/>
        <s v="JasmineFord"/>
        <s v="JoeAdams"/>
        <s v="Lexie Donovan"/>
        <s v="MatthewMorris"/>
        <s v="MohammadAwais"/>
        <s v="OmkarSyam"/>
        <s v="OscarMay"/>
        <s v="ReeceLewendon"/>
        <s v="RosinaPearson"/>
        <s v="SamuelHilling"/>
        <s v="SkyeHenwood"/>
        <s v="Toby Beresford"/>
        <s v="VedantSyam"/>
        <s v="AlexanderMartin"/>
        <s v="GabrielHart"/>
        <s v="Hadriel Liu"/>
        <s v="LewisWontner-Smith"/>
        <s v="Aiden Roberts "/>
        <s v="AleahGreen"/>
        <s v="ConnorShepherd"/>
        <s v="ElinaSamuels"/>
        <s v="ElizabethGlover"/>
        <s v="HeidiRoberts"/>
        <s v="JoshuaGomez Elphick"/>
        <s v="JosieRusher"/>
        <s v="MasonHicks"/>
        <s v="NoahSearle"/>
        <s v="WilliamBuchanan"/>
        <s v="AkshajKalamakuntla"/>
        <s v="AlbertMiclosoni"/>
        <s v="AyaTall"/>
        <s v="BradleyNorriss"/>
        <s v="HenryWatson"/>
        <s v="HweeAu-Yeung"/>
        <s v="JacobTrinder"/>
        <s v="MaxEeles"/>
        <s v="MehulMokashi"/>
        <s v="MuhammadAnis"/>
        <s v="NicolasCysneiros Karatzas"/>
        <s v="NicoleBurr"/>
        <s v="OliverTrinder"/>
        <s v="OthnielNsiah Boateng"/>
        <s v="RumaanWaseem"/>
        <s v="RomellRobertson"/>
        <s v="AylaMirza"/>
        <s v="DaisySmith"/>
        <s v="EdenClose"/>
        <s v="HugoClair"/>
        <s v="IshaanHoney"/>
        <s v="Khalil Ketmouli"/>
        <s v="WoodyGoodall"/>
        <s v="AlexanderTrimble"/>
        <s v="BenjaminTrimble"/>
        <s v="HarrisonBarnard"/>
        <s v="Hermione Shaw"/>
        <s v="JacobKeegan"/>
        <s v="JackHemani"/>
        <s v="SamuelKeegan"/>
        <s v="Arthur Wyld"/>
        <s v="BarnabyRoberts"/>
        <s v="CiaraSmith"/>
        <s v="VinnieMartin"/>
        <s v="ZacharyBarnard"/>
        <s v="Aisha Wasi"/>
        <s v="ArvinGurung"/>
        <s v="ChaitanyaDeepak"/>
        <s v="CharvilochanaDundigella"/>
        <s v="Don AmandiJayamanne"/>
        <s v="ElsieHuntley"/>
        <s v="KhademDaniel"/>
        <s v="LaurenOkeke"/>
        <s v="LukeNesbitt"/>
        <s v="Mohammed ZaynHafiz Gill"/>
        <s v="OliverGilbert"/>
        <s v="Riley Bennett"/>
        <s v="AlishaMitra"/>
        <s v="CharlieRowntree"/>
        <s v="Dolly-MarieDarling"/>
        <s v="EmiliaBurke"/>
        <s v="HarleyHewett"/>
        <s v="DylanWells"/>
        <s v="GianfrancoGregorio"/>
        <s v="MasonMarsden"/>
        <s v="VincentRea"/>
        <s v="Aamari McLean"/>
        <s v="AlexanderQuaife"/>
        <s v="ArchieDay"/>
        <s v="BlakeEdwards-Lewis"/>
        <s v="Blake Pechell"/>
        <s v="EthanNobes"/>
        <s v="HarveyBanks"/>
        <s v="HugoDjuric"/>
        <s v="IbrahimMirza"/>
        <s v="JamieWalsh"/>
        <s v="LouieSunderland"/>
        <s v="MasonLangley"/>
        <s v="MaxNewton"/>
        <s v="NathanTien"/>
        <s v="RuqayyahKhan"/>
        <s v="TylerCrick"/>
        <s v="AshtonRowe"/>
        <s v="DylanPitt"/>
        <s v="EmilyBrooks"/>
        <s v="GeorgeWickens"/>
        <s v="JoshuaEdmondson"/>
        <s v="JoshuaStamp"/>
        <s v="LouisLake"/>
        <s v="OscarByrne"/>
        <s v="OskarVieten"/>
        <s v="Riley Ledden "/>
        <s v="SamFountain"/>
        <s v="ThomasClisby"/>
        <s v="AagashThanesh"/>
        <s v="AleksandarSaucek"/>
        <s v="AngusHelyer"/>
        <s v="AnnabelleLucas"/>
        <s v="AnnaleaLane"/>
        <s v="Brian-JamesClarke"/>
        <s v="CassyAllwood"/>
        <s v="CaydenEdwards"/>
        <s v="CharlieKirkwood"/>
        <s v="ChelseeL'Estrange"/>
        <s v="CoreyHolland"/>
        <s v="CourtneyL'Estrange"/>
        <s v="DanielWatson"/>
        <s v="EmilySudlow"/>
        <s v="EwanOrmiston"/>
        <s v="HarryFarley"/>
        <s v="HarrisonBacon-Canning"/>
        <s v="HarveyGosling"/>
        <s v="Hei Long Chiang"/>
        <s v="IwanWinfield"/>
        <s v="JacobLloyd"/>
        <s v="JayJones"/>
        <s v="KayaBeynon"/>
        <s v="Leo North"/>
        <s v="LeoPopaya"/>
        <s v="LeonardoScales"/>
        <s v="LewisWood"/>
        <s v="Libby-MayMulcahy-Claridge"/>
        <s v="MiaFarricker"/>
        <s v="OllieMorrish"/>
        <s v="Poppy-IrysPemberton"/>
        <s v="RahimahMahmood"/>
        <s v="RyanLittle"/>
        <s v="RyanParker-Wood"/>
        <s v="Samuel Dolecki"/>
        <s v="StevieCoulthard"/>
        <s v="TylerSavory"/>
        <s v="ZixunZhu"/>
        <s v="AbhiramAcharya"/>
        <s v="AnthonyAdly"/>
        <s v="AnayLakhotia"/>
        <s v="CharlieSoscia"/>
        <s v="DawudMuhammad"/>
        <s v="FaryalMatyal"/>
        <s v="HassanNjie"/>
        <s v="HussainNjie"/>
        <s v="LeoSaunders"/>
        <s v="Linda Sirova"/>
        <s v="MohammadNazeer"/>
        <s v="RaedWaseem"/>
        <s v="RobertKing"/>
        <s v="TheoSmith"/>
        <s v="TeddyBrown"/>
        <s v="YusufOkuducu"/>
        <s v="KellanLazard-Shapland"/>
        <s v="Freya Moore"/>
        <s v="MasonLilley"/>
        <s v="NataliaGlowacka"/>
        <s v="GeorgeIvil"/>
        <s v="FelixCash"/>
        <s v="JakeCharkham"/>
        <s v="AbbieJohnson"/>
        <s v="AlfieGeary"/>
        <s v="AlfieWebb"/>
        <s v="CameronSimpson"/>
        <s v="ColePearce"/>
        <s v="ElenaCowley-Castell"/>
        <s v="EllaWilliams"/>
        <s v="GeorgeNewmarch"/>
        <s v="HanaRexhepi"/>
        <s v="HarperClose"/>
        <s v="HarryMatthews"/>
        <s v="JaydenPaice"/>
        <s v="JustinRadomski"/>
        <s v="LexieDonovan"/>
        <s v="LeonardoPereira"/>
        <s v="Liam Somerville"/>
        <s v="MarcoGattuso"/>
        <s v="MichelleMaher"/>
        <s v="ReubenFisher"/>
        <s v="RosarioGattuso"/>
        <s v="Skye-RoseLock"/>
        <s v="TatendaGore"/>
        <s v="TheoSmillie"/>
        <s v="UmarMehmood"/>
        <s v="Asim Mohammad"/>
        <s v="ChloeEdwards"/>
        <s v="FrederickDenyer"/>
        <s v="JidennaCollins"/>
        <s v="OliviaMorton-Visekruna"/>
        <s v="RonnieHowe"/>
        <s v="AaronDhillon"/>
        <s v="CharlotteHatfield"/>
        <s v="IsobelBoulton"/>
        <s v="JoeyLambden"/>
        <s v="LachlanConroy"/>
        <s v="MichaelMcKendrick"/>
        <s v="RonaldStone"/>
        <s v="StanleyChilds"/>
        <s v="UsmanHaris"/>
        <s v="HarryCassells"/>
        <s v="AaronVorster"/>
        <s v="AmeliaCumming"/>
        <s v="BobbyLoveridge"/>
        <s v="CodieMurphy"/>
        <s v="JensenBarrett"/>
        <s v="JosephSmith"/>
        <s v="JoshuaHarding"/>
        <s v="NaylorHughes"/>
        <s v="OmarAbubakar Bhatti"/>
        <s v="RykaChakraborty"/>
        <s v="YuanzhanBai"/>
        <s v="AlfieElkes"/>
        <s v="FrancescaMatthews"/>
        <s v="GraceBarrett"/>
        <s v="LukasWilliams"/>
        <s v="MacieStreich"/>
        <s v="MaisieBartlett"/>
        <s v="MaxConnors"/>
        <s v="TimothyMansell"/>
        <s v="TobySutton"/>
        <s v="AdvikUdayan"/>
        <s v="Avyaan Kapoor"/>
        <s v="BethanyStockle"/>
        <s v="DaisyRumbold"/>
        <s v="JosephWyeth"/>
        <s v="JackTravis"/>
        <s v="RubyMemory"/>
        <s v="AubreeHughman"/>
        <s v="CatherienHillyard"/>
        <s v="EvelynWard"/>
        <s v="JackColes"/>
        <s v="LoganHallett"/>
        <s v="MayaKhokhar"/>
        <s v="ThaliaBunce"/>
        <s v="RubyWheal"/>
        <s v="RubyStoney-Channon"/>
        <s v="SkylaHolland"/>
        <s v="AmayaFarrell"/>
        <s v="CallumHislop"/>
        <s v="ChaseEtchels"/>
        <s v="CoraMorris"/>
        <s v="DanielWebb"/>
        <s v="JakPengraeve"/>
        <s v="LucasWicks"/>
        <s v="MillieBaughan"/>
        <s v="NicholasJones"/>
        <s v="NoahArmson"/>
        <s v="Theo Hall"/>
        <s v="AndrewGray"/>
        <s v="CharlotteQueenan"/>
        <s v="DaisyBazely"/>
        <s v="Evie-Scarlett Haanstra"/>
        <s v="HadassahKaze"/>
        <s v="Isobella-MaeBudd-Hawkins"/>
        <s v="JacobLarkwood"/>
        <s v="JoyceAjiboye"/>
        <s v="KimberlyEgwuagu"/>
        <s v="MarcoMartin"/>
        <s v="RiditSharma"/>
        <s v="CharlieMonaghan"/>
        <s v="Frankie-DeanSmith"/>
        <s v="GabrielJones"/>
        <s v="HafsaAhmed"/>
        <s v="MaisieLamb"/>
        <s v="Mohammad Ahmed"/>
        <s v="RubyMiller"/>
        <s v="TheoSedgman"/>
        <s v="AlbertSmith"/>
        <s v="AlexanderCarpenter"/>
        <s v="ArchieButler"/>
        <s v="BellaCannon"/>
        <s v="DylanGreen"/>
        <s v="HarleyTaylor"/>
        <s v="Harry Goff"/>
        <s v="Jay CurtissTrussler"/>
        <s v="KieronRadomski"/>
        <s v="LewisO'Brien-Noakes"/>
        <s v="EY"/>
        <s v="calculate hours for full year"/>
        <s v="DO NOT deduct £6k"/>
        <s v="Pro rata for year"/>
        <s v="Pay termly"/>
        <n v="472.77"/>
        <n v="41101"/>
        <n v="41154"/>
        <n v="2004"/>
        <n v="41103"/>
        <n v="41104"/>
        <n v="41105"/>
        <n v="41155"/>
        <n v="41107"/>
        <n v="41108"/>
        <n v="41109"/>
        <n v="41509"/>
        <n v="41110"/>
        <n v="2002"/>
        <n v="41111"/>
        <n v="41112"/>
        <n v="2003"/>
        <n v="41113"/>
        <n v="41114"/>
        <n v="41115"/>
        <n v="41116"/>
        <n v="41117"/>
        <n v="41118"/>
        <n v="41119"/>
        <n v="41120"/>
        <n v="41121"/>
        <n v="41122"/>
        <n v="41125"/>
        <n v="41126"/>
        <n v="41127"/>
        <n v="41129"/>
        <n v="41130"/>
        <n v="41131"/>
        <n v="41132"/>
        <n v="41133"/>
        <n v="41134"/>
        <n v="41135"/>
        <n v="41136"/>
        <n v="41137"/>
        <n v="41138"/>
        <n v="41139"/>
        <n v="41140"/>
        <n v="41141"/>
        <n v="41142"/>
        <n v="41143"/>
        <n v="41144"/>
        <n v="41145"/>
        <n v="41146"/>
        <n v="2001"/>
        <n v="41147"/>
        <n v="41149"/>
        <n v="41150"/>
        <n v="2000"/>
        <n v="41151"/>
        <n v="41152"/>
        <n v="41153"/>
        <n v="4001"/>
        <n v="41201"/>
        <n v="41202"/>
        <n v="41203"/>
        <n v="41204"/>
        <n v="41205"/>
        <n v="4000"/>
        <n v="41206"/>
        <n v="41208"/>
        <n v="41209"/>
      </sharedItems>
    </cacheField>
    <cacheField name="DOB" numFmtId="0">
      <sharedItems containsDate="1" containsBlank="1" containsMixedTypes="1" minDate="1900-01-06T18:56:04" maxDate="1900-01-06T11:58:04"/>
    </cacheField>
    <cacheField name="Actual age today" numFmtId="0">
      <sharedItems containsBlank="1" containsMixedTypes="1" containsNumber="1" minValue="3.978097193702943" maxValue="123.64407939767283"/>
    </cacheField>
    <cacheField name="NCY @ 1.4.23" numFmtId="0">
      <sharedItems containsBlank="1" containsMixedTypes="1" containsNumber="1" containsInteger="1" minValue="-1" maxValue="13"/>
    </cacheField>
    <cacheField name="LEA (H)" numFmtId="0">
      <sharedItems containsBlank="1" containsMixedTypes="1" containsNumber="1" containsInteger="1" minValue="872" maxValue="872"/>
    </cacheField>
    <cacheField name="LEA (F)" numFmtId="0">
      <sharedItems containsBlank="1" containsMixedTypes="1" containsNumber="1" containsInteger="1" minValue="872" maxValue="872"/>
    </cacheField>
    <cacheField name="START" numFmtId="0">
      <sharedItems containsDate="1" containsString="0" containsBlank="1" containsMixedTypes="1" minDate="1900-01-10T14:50:04" maxDate="2024-01-02T00:00:00"/>
    </cacheField>
    <cacheField name="Start No" numFmtId="0">
      <sharedItems containsString="0" containsBlank="1" containsNumber="1" containsInteger="1" minValue="1" maxValue="135"/>
    </cacheField>
    <cacheField name="END" numFmtId="0">
      <sharedItems containsNonDate="0" containsDate="1" containsString="0" containsBlank="1" minDate="2023-03-31T00:00:00" maxDate="2024-04-01T00:00:00"/>
    </cacheField>
    <cacheField name="End No" numFmtId="0">
      <sharedItems containsString="0" containsBlank="1" containsNumber="1" containsInteger="1" minValue="0" maxValue="192"/>
    </cacheField>
    <cacheField name="No of days" numFmtId="0">
      <sharedItems containsString="0" containsBlank="1" containsNumber="1" containsInteger="1" minValue="0" maxValue="193"/>
    </cacheField>
    <cacheField name="Days pro rata" numFmtId="0">
      <sharedItems containsString="0" containsBlank="1" containsNumber="1" minValue="0" maxValue="2"/>
    </cacheField>
    <cacheField name="Capita Provision End Date" numFmtId="0">
      <sharedItems containsDate="1" containsBlank="1" containsMixedTypes="1" minDate="2023-01-06T00:00:00" maxDate="2024-08-01T00:00:00"/>
    </cacheField>
    <cacheField name="Hours 23-24 or values" numFmtId="0">
      <sharedItems containsBlank="1" containsMixedTypes="1" containsNumber="1" minValue="0" maxValue="45900"/>
    </cacheField>
    <cacheField name="RU Banding Annual Value" numFmtId="0">
      <sharedItems containsBlank="1"/>
    </cacheField>
    <cacheField name="Banding" numFmtId="0">
      <sharedItems containsBlank="1"/>
    </cacheField>
    <cacheField name="20-25" numFmtId="0">
      <sharedItems containsBlank="1" containsMixedTypes="1" containsNumber="1" containsInteger="1" minValue="0" maxValue="1" count="5">
        <s v="0"/>
        <s v="1"/>
        <n v="1"/>
        <n v="0"/>
        <m/>
      </sharedItems>
    </cacheField>
    <cacheField name="26-30" numFmtId="0">
      <sharedItems containsBlank="1" containsMixedTypes="1" containsNumber="1" containsInteger="1" minValue="0" maxValue="0" count="4">
        <s v="1"/>
        <s v="0"/>
        <n v="0"/>
        <m/>
      </sharedItems>
    </cacheField>
    <cacheField name="30+" numFmtId="0">
      <sharedItems containsBlank="1" containsMixedTypes="1" containsNumber="1" containsInteger="1" minValue="0" maxValue="1" count="5">
        <s v="0"/>
        <s v="1"/>
        <n v="0"/>
        <n v="1"/>
        <m/>
      </sharedItems>
    </cacheField>
    <cacheField name="BAND3" numFmtId="0">
      <sharedItems containsBlank="1"/>
    </cacheField>
    <cacheField name="BAND4" numFmtId="0">
      <sharedItems containsBlank="1"/>
    </cacheField>
    <cacheField name="BAND5" numFmtId="0">
      <sharedItems containsBlank="1"/>
    </cacheField>
    <cacheField name="BAND6" numFmtId="0">
      <sharedItems containsBlank="1"/>
    </cacheField>
    <cacheField name="Resource Unit Annual Value 23-24" numFmtId="0">
      <sharedItems containsBlank="1" containsMixedTypes="1" containsNumber="1" minValue="472.33" maxValue="369164.58"/>
    </cacheField>
    <cacheField name="Annual Value 23-24" numFmtId="0">
      <sharedItems containsString="0" containsBlank="1" containsNumber="1" minValue="0" maxValue="7932476.4546847874"/>
    </cacheField>
    <cacheField name="Primary Need" numFmtId="0">
      <sharedItems containsBlank="1"/>
    </cacheField>
    <cacheField name="FTE" numFmtId="0">
      <sharedItems containsString="0" containsBlank="1" containsNumber="1" minValue="0.5" maxValue="1"/>
    </cacheField>
    <cacheField name="CALC FTE" numFmtId="0">
      <sharedItems containsString="0" containsBlank="1" containsNumber="1" minValue="0" maxValue="1"/>
    </cacheField>
    <cacheField name="CALCULATED COST AUG 2023" numFmtId="0">
      <sharedItems containsString="0" containsBlank="1" containsNumber="1" minValue="0" maxValue="5982204.1986986641"/>
    </cacheField>
    <cacheField name="CALCULATED COST_JULY 2023" numFmtId="0">
      <sharedItems containsString="0" containsBlank="1" containsNumber="1" minValue="-10217.36" maxValue="5963269.2960143695"/>
    </cacheField>
    <cacheField name="CALCULATED COST_JUNE 2023" numFmtId="0">
      <sharedItems containsString="0" containsBlank="1" containsNumber="1" minValue="0" maxValue="5953654.3875528304"/>
    </cacheField>
    <cacheField name="Allocation per budget 2023-24" numFmtId="167">
      <sharedItems containsString="0" containsBlank="1" containsNumber="1" minValue="-1968.75" maxValue="4731161.71"/>
    </cacheField>
    <cacheField name="CALCULATED COST_MAY 2023" numFmtId="0">
      <sharedItems containsString="0" containsBlank="1" containsNumber="1" minValue="0" maxValue="5744400.0377090806"/>
    </cacheField>
    <cacheField name="transitioning to….." numFmtId="0">
      <sharedItems containsBlank="1" containsMixedTypes="1" containsNumber="1" containsInteger="1" minValue="0" maxValue="0"/>
    </cacheField>
    <cacheField name="value annual" numFmtId="0">
      <sharedItems containsBlank="1" containsMixedTypes="1" containsNumber="1" minValue="7546.5" maxValue="23996"/>
    </cacheField>
    <cacheField name="transfers Yr2 - in May files" numFmtId="0">
      <sharedItems containsBlank="1"/>
    </cacheField>
    <cacheField name="transfers Yr6- in May files" numFmtId="0">
      <sharedItems containsBlank="1"/>
    </cacheField>
    <cacheField name="transfers Yr11 - in May files" numFmtId="0">
      <sharedItems containsBlank="1"/>
    </cacheField>
    <cacheField name="2 terms of funding to be rduced from the forecast_May" numFmtId="0">
      <sharedItems containsBlank="1" containsMixedTypes="1" containsNumber="1" containsInteger="1" minValue="0" maxValue="0"/>
    </cacheField>
    <cacheField name="2 terms of funding to be rduced from the forecast_May_£££" numFmtId="0">
      <sharedItems containsString="0" containsBlank="1" containsNumber="1" minValue="2618.7800000000002" maxValue="340653.90645654674"/>
    </cacheField>
    <cacheField name="adjustments/new provisons/clawbacks in JUNE 23" numFmtId="167">
      <sharedItems containsString="0" containsBlank="1" containsNumber="1" minValue="-12648.732187500002" maxValue="196658.54984374999"/>
    </cacheField>
    <cacheField name="calculated cost JUNE2023 2023_ctrl" numFmtId="0">
      <sharedItems containsString="0" containsBlank="1" containsNumber="1" minValue="-8183.1000000005588" maxValue="5922964.6875528311"/>
    </cacheField>
    <cacheField name="transitioning to/from….." numFmtId="0">
      <sharedItems containsBlank="1"/>
    </cacheField>
    <cacheField name="setting type" numFmtId="0">
      <sharedItems containsBlank="1" containsMixedTypes="1" containsNumber="1" containsInteger="1" minValue="43009" maxValue="43012"/>
    </cacheField>
    <cacheField name="moving from/to CC" numFmtId="0">
      <sharedItems containsString="0" containsBlank="1" containsNumber="1" containsInteger="1" minValue="43009" maxValue="43016"/>
    </cacheField>
    <cacheField name="new setting for yr 2 leavers" numFmtId="0">
      <sharedItems containsBlank="1"/>
    </cacheField>
    <cacheField name="new setting for yr 6 leavers" numFmtId="0">
      <sharedItems containsBlank="1"/>
    </cacheField>
    <cacheField name="new setting for yr 11 leavers" numFmtId="0">
      <sharedItems containsBlank="1"/>
    </cacheField>
    <cacheField name="HRS/Banding  values CURRENT" numFmtId="0">
      <sharedItems containsBlank="1" containsMixedTypes="1" containsNumber="1" minValue="0" maxValue="42220.55"/>
    </cacheField>
    <cacheField name="£££ value annual current" numFmtId="0">
      <sharedItems containsString="0" containsBlank="1" containsNumber="1" minValue="600" maxValue="1224035.5796848205"/>
    </cacheField>
    <cacheField name="transfers Yr2 - in June files" numFmtId="0">
      <sharedItems containsBlank="1" containsMixedTypes="1" containsNumber="1" containsInteger="1" minValue="0" maxValue="0"/>
    </cacheField>
    <cacheField name="transfers Yr6- in June files" numFmtId="0">
      <sharedItems containsBlank="1" containsMixedTypes="1" containsNumber="1" containsInteger="1" minValue="0" maxValue="0"/>
    </cacheField>
    <cacheField name="transfers Yr11 - in June files" numFmtId="0">
      <sharedItems containsBlank="1" containsMixedTypes="1" containsNumber="1" containsInteger="1" minValue="0" maxValue="0"/>
    </cacheField>
    <cacheField name="2 terms of funding to be reduced/added from/to the forecast_JUNE based on current prov values" numFmtId="0">
      <sharedItems containsString="0" containsBlank="1" containsNumber="1" minValue="0" maxValue="805816.31119777099"/>
    </cacheField>
    <cacheField name="JUNE Forecast with transitions" numFmtId="0">
      <sharedItems containsString="0" containsBlank="1" containsNumber="1" minValue="-8183.0999999999985" maxValue="6727181.8126568412"/>
    </cacheField>
    <cacheField name="action for Oak tree/specials" numFmtId="0">
      <sharedItems containsBlank="1" containsMixedTypes="1" containsNumber="1" minValue="2598.32078125" maxValue="121122.16197902156"/>
    </cacheField>
    <cacheField name="action for Oak tree/specials2" numFmtId="0">
      <sharedItems containsBlank="1" containsMixedTypes="1" containsNumber="1" containsInteger="1" minValue="0" maxValue="0"/>
    </cacheField>
    <cacheField name="Sept transitions if known in JULY_  Setting Type_ CC" numFmtId="0">
      <sharedItems containsBlank="1" containsMixedTypes="1" containsNumber="1" containsInteger="1" minValue="43009" maxValue="43601"/>
    </cacheField>
    <cacheField name="Sept transitions to/from if  known in JULY_Setting name" numFmtId="0">
      <sharedItems containsBlank="1"/>
    </cacheField>
    <cacheField name="transitions if known in JULY_ £££ values" numFmtId="0">
      <sharedItems containsString="0" containsBlank="1" containsNumber="1" containsInteger="1" minValue="0" maxValue="0"/>
    </cacheField>
    <cacheField name="notes" numFmtId="0">
      <sharedItems containsBlank="1"/>
    </cacheField>
    <cacheField name="other additional cost" numFmtId="0">
      <sharedItems containsNonDate="0" containsString="0" containsBlank="1"/>
    </cacheField>
    <cacheField name="Forecast JULY 2023" numFmtId="167">
      <sharedItems containsString="0" containsBlank="1" containsNumber="1" minValue="-10217.36" maxValue="6760987.74783713"/>
    </cacheField>
    <cacheField name="JULY 23 notes" numFmtId="0">
      <sharedItems containsBlank="1" containsMixedTypes="1" containsNumber="1" containsInteger="1" minValue="0" maxValue="0"/>
    </cacheField>
    <cacheField name="Variance to June 23 Forecast" numFmtId="0">
      <sharedItems containsString="0" containsBlank="1" containsNumber="1" minValue="-53057" maxValue="31120.855492788454"/>
    </cacheField>
    <cacheField name="Variance to IB  allocations" numFmtId="0">
      <sharedItems containsString="0" containsBlank="1" containsNumber="1" minValue="-53057" maxValue="6758302.6681496501"/>
    </cacheField>
    <cacheField name="Changes in Aug" numFmtId="0">
      <sharedItems containsBlank="1" containsMixedTypes="1" containsNumber="1" minValue="4523.873333333333" maxValue="4523.873333333333"/>
    </cacheField>
    <cacheField name="Forecast Aug 2023" numFmtId="173">
      <sharedItems containsString="0" containsBlank="1" containsNumber="1" minValue="-10217.36" maxValue="6748435.7718074815"/>
    </cacheField>
    <cacheField name="Variance to July" numFmtId="173">
      <sharedItems containsString="0" containsBlank="1" containsNumber="1" minValue="-13596.535384615383" maxValue="11835"/>
    </cacheField>
    <cacheField name="Notes2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91">
  <r>
    <x v="0"/>
    <n v="1"/>
    <m/>
    <n v="2006"/>
    <n v="43012"/>
    <s v="No"/>
    <s v="Y"/>
    <m/>
    <x v="0"/>
    <m/>
    <n v="435724"/>
    <x v="0"/>
    <s v="Lucian"/>
    <s v="Imre"/>
    <x v="0"/>
    <n v="43102"/>
    <n v="5.637234770704997"/>
    <n v="0"/>
    <s v="872"/>
    <s v="872"/>
    <n v="45017"/>
    <n v="1"/>
    <d v="2024-03-31T00:00:00"/>
    <n v="192"/>
    <n v="192"/>
    <n v="1"/>
    <s v="open"/>
    <n v="27"/>
    <m/>
    <m/>
    <x v="0"/>
    <x v="0"/>
    <x v="0"/>
    <s v="NO"/>
    <s v="NO"/>
    <s v="NO"/>
    <s v="NO"/>
    <m/>
    <n v="6764.7899999999991"/>
    <m/>
    <n v="1"/>
    <n v="1"/>
    <n v="6764.7899999999991"/>
    <n v="6764.7899999999991"/>
    <n v="0"/>
    <n v="0"/>
    <n v="0"/>
    <m/>
    <m/>
    <m/>
    <m/>
    <m/>
    <m/>
    <m/>
    <n v="0"/>
    <n v="0"/>
    <m/>
    <m/>
    <m/>
    <m/>
    <m/>
    <m/>
    <m/>
    <m/>
    <m/>
    <m/>
    <m/>
    <n v="0"/>
    <n v="0"/>
    <m/>
    <m/>
    <m/>
    <m/>
    <m/>
    <m/>
    <m/>
    <n v="6764.7899999999991"/>
    <s v="new provision"/>
    <n v="6764.7899999999991"/>
    <n v="6764.7899999999991"/>
    <m/>
    <n v="6764.7899999999991"/>
    <n v="0"/>
    <m/>
  </r>
  <r>
    <x v="0"/>
    <n v="1"/>
    <m/>
    <n v="2006"/>
    <n v="43012"/>
    <s v="No"/>
    <s v="Y"/>
    <m/>
    <x v="0"/>
    <m/>
    <n v="441662"/>
    <x v="0"/>
    <s v="Ally"/>
    <s v="Makame"/>
    <x v="1"/>
    <n v="43054"/>
    <n v="5.7686516084873372"/>
    <n v="0"/>
    <s v="872"/>
    <s v="872"/>
    <n v="45017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m/>
    <n v="1"/>
    <n v="1"/>
    <n v="8183.0999999999985"/>
    <n v="8183.0999999999985"/>
    <n v="0"/>
    <n v="0"/>
    <n v="0"/>
    <m/>
    <m/>
    <m/>
    <m/>
    <m/>
    <m/>
    <m/>
    <n v="0"/>
    <n v="0"/>
    <m/>
    <m/>
    <m/>
    <m/>
    <m/>
    <m/>
    <m/>
    <m/>
    <m/>
    <m/>
    <m/>
    <n v="0"/>
    <n v="0"/>
    <m/>
    <m/>
    <m/>
    <m/>
    <m/>
    <m/>
    <m/>
    <n v="8183.0999999999985"/>
    <s v="new provision"/>
    <n v="8183.0999999999985"/>
    <n v="8183.0999999999985"/>
    <m/>
    <n v="8183.0999999999985"/>
    <n v="0"/>
    <m/>
  </r>
  <r>
    <x v="0"/>
    <n v="1"/>
    <n v="41101"/>
    <n v="41101"/>
    <n v="43011"/>
    <s v="No"/>
    <m/>
    <m/>
    <x v="0"/>
    <m/>
    <n v="429963"/>
    <x v="1"/>
    <s v="Arjun"/>
    <s v="Valiveti"/>
    <x v="2"/>
    <d v="2016-05-24T00:00:00"/>
    <n v="7.2470910335386725"/>
    <n v="2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SLCD"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n v="0"/>
    <n v="8183.0999999999985"/>
    <m/>
    <m/>
    <m/>
    <m/>
    <m/>
    <m/>
    <m/>
    <n v="8183.0999999999985"/>
    <m/>
    <n v="0"/>
    <n v="0"/>
    <m/>
    <n v="8183.0999999999985"/>
    <n v="0"/>
    <m/>
  </r>
  <r>
    <x v="0"/>
    <n v="1"/>
    <n v="41101"/>
    <n v="41101"/>
    <n v="43011"/>
    <s v="No"/>
    <m/>
    <m/>
    <x v="0"/>
    <m/>
    <n v="415187"/>
    <x v="1"/>
    <s v="Adhrit"/>
    <s v="Ramabhotla"/>
    <x v="3"/>
    <d v="2015-10-21T00:00:00"/>
    <n v="7.8384668035592062"/>
    <n v="2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SLCD"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n v="0"/>
    <n v="8183.0999999999985"/>
    <m/>
    <m/>
    <m/>
    <m/>
    <m/>
    <m/>
    <m/>
    <n v="8183.0999999999985"/>
    <m/>
    <n v="0"/>
    <n v="0"/>
    <m/>
    <n v="8183.0999999999985"/>
    <n v="0"/>
    <m/>
  </r>
  <r>
    <x v="0"/>
    <n v="1"/>
    <n v="41101"/>
    <n v="41101"/>
    <n v="43011"/>
    <s v="No"/>
    <m/>
    <m/>
    <x v="0"/>
    <m/>
    <n v="414013"/>
    <x v="1"/>
    <s v="Alexander"/>
    <s v="Condirev"/>
    <x v="4"/>
    <d v="2014-02-14T00:00:00"/>
    <n v="9.5195071868583163"/>
    <n v="4"/>
    <n v="872"/>
    <n v="872"/>
    <d v="2023-04-01T00:00:00"/>
    <n v="1"/>
    <d v="2024-03-31T00:00:00"/>
    <n v="192"/>
    <n v="192"/>
    <n v="1"/>
    <s v="open"/>
    <n v="22"/>
    <m/>
    <m/>
    <x v="1"/>
    <x v="1"/>
    <x v="0"/>
    <s v="NO"/>
    <s v="NO"/>
    <s v="NO"/>
    <s v="NO"/>
    <m/>
    <n v="4400.9399999999987"/>
    <s v="SEMH"/>
    <n v="1"/>
    <n v="1"/>
    <n v="4400.9399999999987"/>
    <n v="4400.9399999999987"/>
    <n v="4400.9399999999987"/>
    <n v="0"/>
    <n v="4400.9399999999987"/>
    <m/>
    <m/>
    <e v="#N/A"/>
    <e v="#N/A"/>
    <e v="#N/A"/>
    <m/>
    <m/>
    <n v="0"/>
    <n v="4400.9399999999987"/>
    <s v=""/>
    <m/>
    <m/>
    <m/>
    <m/>
    <m/>
    <m/>
    <m/>
    <m/>
    <m/>
    <m/>
    <n v="0"/>
    <n v="4400.9399999999987"/>
    <m/>
    <m/>
    <m/>
    <m/>
    <m/>
    <m/>
    <m/>
    <n v="4400.9399999999987"/>
    <m/>
    <n v="0"/>
    <n v="4400.9399999999987"/>
    <m/>
    <n v="4400.9399999999987"/>
    <n v="0"/>
    <m/>
  </r>
  <r>
    <x v="0"/>
    <n v="1"/>
    <n v="41101"/>
    <n v="41101"/>
    <n v="43011"/>
    <s v="No"/>
    <m/>
    <m/>
    <x v="0"/>
    <m/>
    <n v="442823"/>
    <x v="1"/>
    <s v="Alizah"/>
    <s v="Khawaja"/>
    <x v="5"/>
    <d v="2018-08-12T00:00:00"/>
    <n v="5.02943189596167"/>
    <n v="0"/>
    <n v="872"/>
    <n v="872"/>
    <d v="2023-04-01T00:00:00"/>
    <n v="1"/>
    <d v="2024-03-31T00:00:00"/>
    <n v="192"/>
    <n v="192"/>
    <n v="1"/>
    <s v="open"/>
    <n v="32"/>
    <m/>
    <m/>
    <x v="0"/>
    <x v="1"/>
    <x v="1"/>
    <s v="NO"/>
    <s v="NO"/>
    <s v="NO"/>
    <s v="NO"/>
    <m/>
    <n v="9128.64"/>
    <s v="SLCD"/>
    <n v="1"/>
    <n v="1"/>
    <n v="9128.64"/>
    <n v="9128.64"/>
    <n v="9128.64"/>
    <n v="0"/>
    <n v="9128.64"/>
    <m/>
    <m/>
    <e v="#N/A"/>
    <e v="#N/A"/>
    <e v="#N/A"/>
    <m/>
    <m/>
    <n v="0"/>
    <n v="9128.64"/>
    <s v=""/>
    <m/>
    <m/>
    <m/>
    <m/>
    <m/>
    <m/>
    <m/>
    <m/>
    <m/>
    <m/>
    <n v="0"/>
    <n v="9128.64"/>
    <m/>
    <m/>
    <m/>
    <m/>
    <m/>
    <m/>
    <m/>
    <n v="9128.64"/>
    <m/>
    <n v="0"/>
    <n v="9128.64"/>
    <m/>
    <n v="9128.64"/>
    <n v="0"/>
    <m/>
  </r>
  <r>
    <x v="0"/>
    <n v="1"/>
    <n v="41101"/>
    <n v="41101"/>
    <n v="43011"/>
    <s v="No"/>
    <m/>
    <m/>
    <x v="0"/>
    <m/>
    <n v="401801"/>
    <x v="1"/>
    <s v="Alexander"/>
    <s v="Sutton"/>
    <x v="6"/>
    <d v="2012-01-03T00:00:00"/>
    <n v="11.635865845311431"/>
    <n v="6"/>
    <n v="872"/>
    <n v="872"/>
    <d v="2023-04-01T00:00:00"/>
    <n v="1"/>
    <d v="2023-07-21T00:00:00"/>
    <n v="63"/>
    <n v="63"/>
    <n v="0.328125"/>
    <s v="Yr 6"/>
    <n v="25"/>
    <m/>
    <m/>
    <x v="1"/>
    <x v="1"/>
    <x v="0"/>
    <s v="NO"/>
    <s v="NO"/>
    <s v="NO"/>
    <s v="NO"/>
    <m/>
    <n v="5819.25"/>
    <s v="SEMH"/>
    <n v="1"/>
    <n v="0.328125"/>
    <n v="1909.44140625"/>
    <n v="1909.44140625"/>
    <n v="1909.44140625"/>
    <n v="1909.44140625"/>
    <n v="1909.44140625"/>
    <m/>
    <m/>
    <e v="#N/A"/>
    <s v="ME MAT"/>
    <e v="#N/A"/>
    <m/>
    <m/>
    <n v="0"/>
    <n v="1909.44140625"/>
    <s v="Maiden Erlegh"/>
    <s v="WBC Academy"/>
    <n v="43012"/>
    <m/>
    <s v="Maiden Erlegh"/>
    <m/>
    <n v="25"/>
    <n v="5819.25"/>
    <m/>
    <s v="Y"/>
    <m/>
    <n v="3849.19140625"/>
    <n v="5758.6328125"/>
    <m/>
    <m/>
    <m/>
    <m/>
    <m/>
    <m/>
    <m/>
    <n v="5758.6328125"/>
    <m/>
    <n v="0"/>
    <n v="3849.19140625"/>
    <m/>
    <n v="5758.6328125"/>
    <n v="0"/>
    <m/>
  </r>
  <r>
    <x v="0"/>
    <n v="1"/>
    <n v="41101"/>
    <n v="41101"/>
    <n v="43011"/>
    <s v="No"/>
    <m/>
    <m/>
    <x v="0"/>
    <m/>
    <n v="409031"/>
    <x v="1"/>
    <s v="Ellis"/>
    <s v="Deadman"/>
    <x v="7"/>
    <d v="2013-04-03T00:00:00"/>
    <n v="10.387405886379192"/>
    <n v="5"/>
    <n v="872"/>
    <n v="872"/>
    <d v="2023-04-01T00:00:00"/>
    <n v="1"/>
    <d v="2024-03-31T00:00:00"/>
    <n v="192"/>
    <n v="192"/>
    <n v="1"/>
    <s v="open"/>
    <n v="23"/>
    <m/>
    <m/>
    <x v="1"/>
    <x v="1"/>
    <x v="0"/>
    <s v="NO"/>
    <s v="NO"/>
    <s v="NO"/>
    <s v="NO"/>
    <m/>
    <n v="4873.7099999999991"/>
    <s v="MDI"/>
    <n v="1"/>
    <n v="1"/>
    <n v="4873.7099999999991"/>
    <n v="4873.7099999999991"/>
    <n v="4873.7099999999991"/>
    <n v="4873.7099999999991"/>
    <n v="4873.7099999999991"/>
    <m/>
    <m/>
    <e v="#N/A"/>
    <e v="#N/A"/>
    <e v="#N/A"/>
    <m/>
    <m/>
    <n v="0"/>
    <n v="4873.7099999999991"/>
    <s v=""/>
    <m/>
    <m/>
    <m/>
    <m/>
    <m/>
    <m/>
    <m/>
    <m/>
    <m/>
    <m/>
    <m/>
    <n v="4873.7099999999991"/>
    <m/>
    <m/>
    <m/>
    <m/>
    <m/>
    <m/>
    <m/>
    <n v="4873.7099999999991"/>
    <m/>
    <n v="0"/>
    <n v="0"/>
    <m/>
    <n v="4873.7099999999991"/>
    <n v="0"/>
    <m/>
  </r>
  <r>
    <x v="0"/>
    <n v="1"/>
    <n v="41101"/>
    <n v="41101"/>
    <n v="43011"/>
    <s v="No"/>
    <m/>
    <m/>
    <x v="0"/>
    <m/>
    <n v="426774"/>
    <x v="1"/>
    <s v="Evangelos"/>
    <s v="Skourtis Keramidas"/>
    <x v="8"/>
    <d v="2016-05-20T00:00:00"/>
    <n v="7.2580424366872007"/>
    <n v="2"/>
    <n v="872"/>
    <n v="872"/>
    <d v="2023-04-01T00:00:00"/>
    <n v="1"/>
    <d v="2024-03-31T00:00:00"/>
    <n v="192"/>
    <n v="192"/>
    <n v="1"/>
    <s v="open"/>
    <n v="29"/>
    <m/>
    <m/>
    <x v="0"/>
    <x v="0"/>
    <x v="0"/>
    <s v="NO"/>
    <s v="NO"/>
    <s v="NO"/>
    <s v="NO"/>
    <m/>
    <n v="7710.33"/>
    <s v="ASD"/>
    <n v="1"/>
    <n v="1"/>
    <n v="7710.33"/>
    <n v="7710.33"/>
    <n v="7710.33"/>
    <n v="7710.33"/>
    <n v="7710.33"/>
    <m/>
    <m/>
    <e v="#N/A"/>
    <e v="#N/A"/>
    <e v="#N/A"/>
    <m/>
    <m/>
    <n v="0"/>
    <n v="7710.33"/>
    <s v=""/>
    <m/>
    <m/>
    <m/>
    <m/>
    <m/>
    <m/>
    <m/>
    <m/>
    <m/>
    <m/>
    <m/>
    <n v="7710.33"/>
    <m/>
    <m/>
    <m/>
    <m/>
    <m/>
    <m/>
    <m/>
    <n v="7710.33"/>
    <m/>
    <n v="0"/>
    <n v="0"/>
    <m/>
    <n v="7710.33"/>
    <n v="0"/>
    <m/>
  </r>
  <r>
    <x v="0"/>
    <n v="1"/>
    <n v="41101"/>
    <n v="41101"/>
    <n v="43011"/>
    <s v="No"/>
    <m/>
    <m/>
    <x v="0"/>
    <m/>
    <n v="432940"/>
    <x v="1"/>
    <s v="Hrihaan"/>
    <s v="Swain"/>
    <x v="9"/>
    <d v="2016-08-28T00:00:00"/>
    <n v="6.9842573579739904"/>
    <n v="1"/>
    <n v="872"/>
    <n v="872"/>
    <d v="2023-04-01T00:00:00"/>
    <n v="1"/>
    <d v="2024-03-31T00:00:00"/>
    <n v="192"/>
    <n v="192"/>
    <n v="1"/>
    <s v="open"/>
    <n v="26"/>
    <m/>
    <m/>
    <x v="0"/>
    <x v="0"/>
    <x v="0"/>
    <s v="NO"/>
    <s v="NO"/>
    <s v="NO"/>
    <s v="NO"/>
    <m/>
    <n v="6292.02"/>
    <s v="ASD"/>
    <n v="1"/>
    <n v="1"/>
    <n v="6292.02"/>
    <n v="6292.02"/>
    <n v="6292.02"/>
    <n v="6292.02"/>
    <n v="6292.02"/>
    <m/>
    <m/>
    <e v="#N/A"/>
    <e v="#N/A"/>
    <e v="#N/A"/>
    <m/>
    <m/>
    <n v="0"/>
    <n v="6292.02"/>
    <s v=""/>
    <m/>
    <m/>
    <m/>
    <m/>
    <m/>
    <m/>
    <m/>
    <m/>
    <m/>
    <m/>
    <m/>
    <n v="6292.02"/>
    <m/>
    <m/>
    <m/>
    <m/>
    <m/>
    <m/>
    <m/>
    <n v="6292.02"/>
    <m/>
    <n v="0"/>
    <n v="0"/>
    <m/>
    <n v="6292.02"/>
    <n v="0"/>
    <m/>
  </r>
  <r>
    <x v="0"/>
    <n v="1"/>
    <n v="41101"/>
    <n v="41101"/>
    <n v="43011"/>
    <s v="No"/>
    <m/>
    <m/>
    <x v="0"/>
    <m/>
    <n v="407329"/>
    <x v="1"/>
    <s v="Jay"/>
    <s v="Lally"/>
    <x v="10"/>
    <d v="2013-07-19T00:00:00"/>
    <n v="10.094455852156058"/>
    <n v="5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ASD"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0"/>
    <n v="1"/>
    <n v="41101"/>
    <n v="41101"/>
    <n v="43011"/>
    <s v="No"/>
    <m/>
    <m/>
    <x v="0"/>
    <m/>
    <n v="405331"/>
    <x v="1"/>
    <s v="James"/>
    <s v="Xu"/>
    <x v="11"/>
    <d v="2011-11-06T00:00:00"/>
    <n v="11.794661190965092"/>
    <n v="6"/>
    <n v="872"/>
    <n v="872"/>
    <d v="2023-04-01T00:00:00"/>
    <n v="1"/>
    <d v="2023-07-21T00:00:00"/>
    <n v="63"/>
    <n v="63"/>
    <n v="0.328125"/>
    <s v="Yr 6"/>
    <n v="28"/>
    <m/>
    <m/>
    <x v="0"/>
    <x v="0"/>
    <x v="0"/>
    <s v="NO"/>
    <s v="NO"/>
    <s v="NO"/>
    <s v="NO"/>
    <m/>
    <n v="7237.5599999999995"/>
    <s v="MLD"/>
    <n v="1"/>
    <n v="0.328125"/>
    <n v="2374.8243749999997"/>
    <n v="2374.8243749999997"/>
    <n v="2374.8243749999997"/>
    <n v="2374.8243749999997"/>
    <n v="2374.8243749999997"/>
    <m/>
    <m/>
    <e v="#N/A"/>
    <s v="ME MAT"/>
    <e v="#N/A"/>
    <m/>
    <m/>
    <n v="0"/>
    <n v="2374.8243749999997"/>
    <s v="Maiden Erlegh"/>
    <s v="WBC Academy"/>
    <n v="43012"/>
    <m/>
    <s v="Maiden Erlegh"/>
    <m/>
    <n v="28"/>
    <n v="7237.5599999999995"/>
    <m/>
    <s v="Y"/>
    <m/>
    <n v="4787.3443749999997"/>
    <n v="7162.1687499999989"/>
    <m/>
    <m/>
    <m/>
    <m/>
    <m/>
    <m/>
    <m/>
    <n v="7162.1687499999989"/>
    <m/>
    <n v="0"/>
    <n v="4787.3443749999988"/>
    <m/>
    <n v="7162.1687499999989"/>
    <n v="0"/>
    <m/>
  </r>
  <r>
    <x v="0"/>
    <n v="1"/>
    <n v="41101"/>
    <n v="41101"/>
    <n v="43011"/>
    <s v="No"/>
    <m/>
    <m/>
    <x v="0"/>
    <m/>
    <n v="452041"/>
    <x v="1"/>
    <s v="Krish"/>
    <s v="Valiveti"/>
    <x v="12"/>
    <d v="2019-02-27T00:00:00"/>
    <n v="4.4845995893223822"/>
    <n v="0"/>
    <n v="872"/>
    <n v="872"/>
    <d v="2023-09-04T00:00:00"/>
    <n v="66"/>
    <d v="2024-03-31T00:00:00"/>
    <n v="192"/>
    <n v="127"/>
    <n v="0.66145833333333337"/>
    <s v="open"/>
    <n v="30"/>
    <m/>
    <m/>
    <x v="0"/>
    <x v="0"/>
    <x v="0"/>
    <s v="NO"/>
    <s v="NO"/>
    <s v="NO"/>
    <s v="NO"/>
    <m/>
    <n v="8183.0999999999985"/>
    <m/>
    <n v="1"/>
    <n v="0.66145833333333337"/>
    <n v="5412.7796874999995"/>
    <n v="5412.7796874999995"/>
    <n v="5412.7796874999995"/>
    <n v="0"/>
    <n v="0"/>
    <m/>
    <m/>
    <e v="#N/A"/>
    <e v="#N/A"/>
    <e v="#N/A"/>
    <m/>
    <m/>
    <n v="5412.7796874999995"/>
    <n v="5412.7796874999995"/>
    <s v=""/>
    <m/>
    <m/>
    <m/>
    <m/>
    <m/>
    <m/>
    <m/>
    <m/>
    <m/>
    <m/>
    <m/>
    <n v="5412.7796874999995"/>
    <m/>
    <m/>
    <m/>
    <m/>
    <m/>
    <m/>
    <m/>
    <n v="5412.7796874999995"/>
    <m/>
    <n v="0"/>
    <n v="5412.7796874999995"/>
    <m/>
    <n v="5412.7796874999995"/>
    <n v="0"/>
    <m/>
  </r>
  <r>
    <x v="0"/>
    <n v="1"/>
    <n v="41101"/>
    <n v="41101"/>
    <n v="43011"/>
    <s v="No"/>
    <m/>
    <m/>
    <x v="0"/>
    <m/>
    <n v="442101"/>
    <x v="1"/>
    <s v="Samarth"/>
    <s v="Mehta"/>
    <x v="13"/>
    <d v="2018-07-03T00:00:00"/>
    <n v="5.1389459274469544"/>
    <n v="5"/>
    <n v="872"/>
    <n v="872"/>
    <d v="2023-04-01T00:00:00"/>
    <n v="1"/>
    <d v="2024-03-31T00:00:00"/>
    <n v="192"/>
    <n v="192"/>
    <n v="1"/>
    <s v="open"/>
    <n v="32"/>
    <m/>
    <m/>
    <x v="0"/>
    <x v="1"/>
    <x v="1"/>
    <s v="NO"/>
    <s v="NO"/>
    <s v="NO"/>
    <s v="NO"/>
    <m/>
    <n v="9128.64"/>
    <s v="MLD"/>
    <n v="1"/>
    <n v="1"/>
    <n v="9128.64"/>
    <n v="9128.64"/>
    <n v="9128.64"/>
    <n v="0"/>
    <n v="0"/>
    <m/>
    <m/>
    <e v="#N/A"/>
    <e v="#N/A"/>
    <e v="#N/A"/>
    <m/>
    <m/>
    <n v="9128.64"/>
    <n v="9128.64"/>
    <s v=""/>
    <m/>
    <m/>
    <m/>
    <m/>
    <m/>
    <m/>
    <m/>
    <m/>
    <m/>
    <m/>
    <m/>
    <n v="9128.64"/>
    <m/>
    <m/>
    <m/>
    <m/>
    <m/>
    <m/>
    <m/>
    <n v="9128.64"/>
    <m/>
    <n v="0"/>
    <n v="9128.64"/>
    <m/>
    <n v="9128.64"/>
    <n v="0"/>
    <m/>
  </r>
  <r>
    <x v="0"/>
    <n v="1"/>
    <n v="41101"/>
    <n v="41101"/>
    <n v="43011"/>
    <s v="No"/>
    <m/>
    <m/>
    <x v="0"/>
    <m/>
    <n v="408809"/>
    <x v="1"/>
    <s v="Sebastian"/>
    <s v="Sly"/>
    <x v="14"/>
    <d v="2013-02-19T00:00:00"/>
    <n v="10.505133470225873"/>
    <n v="5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SEMH"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0"/>
    <n v="1"/>
    <n v="41101"/>
    <n v="41101"/>
    <n v="43011"/>
    <s v="No"/>
    <m/>
    <m/>
    <x v="0"/>
    <m/>
    <n v="435927"/>
    <x v="1"/>
    <s v="Sehajpreet"/>
    <s v="Kaur"/>
    <x v="15"/>
    <d v="2016-12-07T00:00:00"/>
    <n v="6.707734428473648"/>
    <n v="1"/>
    <n v="872"/>
    <n v="872"/>
    <d v="2023-04-01T00:00:00"/>
    <n v="1"/>
    <d v="2024-03-31T00:00:00"/>
    <n v="192"/>
    <n v="192"/>
    <n v="1"/>
    <s v="open"/>
    <n v="23"/>
    <m/>
    <m/>
    <x v="1"/>
    <x v="1"/>
    <x v="0"/>
    <s v="NO"/>
    <s v="NO"/>
    <s v="NO"/>
    <s v="NO"/>
    <m/>
    <n v="4873.7099999999991"/>
    <s v="SLCD"/>
    <n v="1"/>
    <n v="1"/>
    <n v="4873.7099999999991"/>
    <n v="4873.7099999999991"/>
    <n v="4873.7099999999991"/>
    <n v="4873.7099999999991"/>
    <n v="4873.7099999999991"/>
    <m/>
    <m/>
    <e v="#N/A"/>
    <e v="#N/A"/>
    <e v="#N/A"/>
    <m/>
    <m/>
    <n v="0"/>
    <n v="4873.7099999999991"/>
    <s v=""/>
    <m/>
    <m/>
    <m/>
    <m/>
    <m/>
    <m/>
    <m/>
    <m/>
    <m/>
    <m/>
    <m/>
    <n v="4873.7099999999991"/>
    <m/>
    <m/>
    <m/>
    <m/>
    <m/>
    <m/>
    <m/>
    <n v="4873.7099999999991"/>
    <m/>
    <n v="0"/>
    <n v="0"/>
    <m/>
    <n v="4873.7099999999991"/>
    <n v="0"/>
    <m/>
  </r>
  <r>
    <x v="0"/>
    <n v="1"/>
    <n v="41101"/>
    <n v="41101"/>
    <n v="43011"/>
    <s v="No"/>
    <m/>
    <m/>
    <x v="0"/>
    <m/>
    <n v="403737"/>
    <x v="1"/>
    <s v="Tyler"/>
    <s v="Giles"/>
    <x v="16"/>
    <d v="2012-11-14T00:00:00"/>
    <n v="10.770704996577686"/>
    <n v="5"/>
    <n v="872"/>
    <n v="872"/>
    <d v="2023-04-01T00:00:00"/>
    <n v="1"/>
    <d v="2024-03-31T00:00:00"/>
    <n v="192"/>
    <n v="192"/>
    <n v="1"/>
    <s v="open"/>
    <n v="23"/>
    <m/>
    <m/>
    <x v="1"/>
    <x v="1"/>
    <x v="0"/>
    <s v="NO"/>
    <s v="NO"/>
    <s v="NO"/>
    <s v="NO"/>
    <m/>
    <n v="4873.7099999999991"/>
    <s v="SLCD"/>
    <n v="1"/>
    <n v="1"/>
    <n v="4873.7099999999991"/>
    <n v="4873.7099999999991"/>
    <n v="4873.7099999999991"/>
    <n v="4873.7099999999991"/>
    <n v="4873.7099999999991"/>
    <m/>
    <m/>
    <e v="#N/A"/>
    <e v="#N/A"/>
    <e v="#N/A"/>
    <m/>
    <m/>
    <n v="0"/>
    <n v="4873.7099999999991"/>
    <s v=""/>
    <m/>
    <m/>
    <m/>
    <m/>
    <m/>
    <m/>
    <m/>
    <m/>
    <m/>
    <m/>
    <m/>
    <n v="4873.7099999999991"/>
    <m/>
    <m/>
    <m/>
    <m/>
    <m/>
    <m/>
    <m/>
    <n v="4873.7099999999991"/>
    <m/>
    <n v="0"/>
    <n v="0"/>
    <m/>
    <n v="4873.7099999999991"/>
    <n v="0"/>
    <m/>
  </r>
  <r>
    <x v="0"/>
    <n v="1"/>
    <n v="2004"/>
    <n v="2004"/>
    <n v="43015"/>
    <s v="No"/>
    <s v="Y"/>
    <s v="Y"/>
    <x v="0"/>
    <m/>
    <n v="406579"/>
    <x v="2"/>
    <s v="Sally"/>
    <s v="Okumu"/>
    <x v="17"/>
    <d v="2012-05-28T00:00:00"/>
    <n v="11.236139630390143"/>
    <n v="5"/>
    <n v="872"/>
    <n v="872"/>
    <d v="2023-04-01T00:00:00"/>
    <n v="1"/>
    <d v="2024-03-31T00:00:00"/>
    <n v="192"/>
    <n v="192"/>
    <n v="1"/>
    <s v="open"/>
    <s v="PD3-BAND4"/>
    <s v="PD3-BAND4"/>
    <s v="BAND4"/>
    <x v="0"/>
    <x v="1"/>
    <x v="1"/>
    <s v="NO"/>
    <s v="YES"/>
    <s v="NO"/>
    <s v="NO"/>
    <n v="10152"/>
    <n v="10152"/>
    <s v="PD"/>
    <n v="1"/>
    <n v="1"/>
    <n v="10152"/>
    <n v="10152"/>
    <n v="10152"/>
    <n v="10152"/>
    <n v="10152"/>
    <m/>
    <m/>
    <e v="#N/A"/>
    <e v="#N/A"/>
    <e v="#N/A"/>
    <m/>
    <m/>
    <n v="0"/>
    <n v="10152"/>
    <s v=""/>
    <m/>
    <m/>
    <m/>
    <m/>
    <m/>
    <m/>
    <m/>
    <m/>
    <m/>
    <m/>
    <m/>
    <n v="10152"/>
    <m/>
    <m/>
    <m/>
    <m/>
    <m/>
    <m/>
    <m/>
    <n v="10152"/>
    <m/>
    <n v="0"/>
    <n v="0"/>
    <m/>
    <n v="10152"/>
    <n v="0"/>
    <m/>
  </r>
  <r>
    <x v="0"/>
    <n v="1"/>
    <n v="2004"/>
    <n v="2004"/>
    <n v="43015"/>
    <s v="No"/>
    <s v="Y"/>
    <s v="Y"/>
    <x v="0"/>
    <m/>
    <n v="397022"/>
    <x v="2"/>
    <s v="Victor"/>
    <s v="Stanley"/>
    <x v="18"/>
    <d v="2012-07-08T00:00:00"/>
    <n v="11.123887748117728"/>
    <n v="6"/>
    <n v="872"/>
    <n v="872"/>
    <d v="2023-04-01T00:00:00"/>
    <n v="1"/>
    <d v="2023-07-21T00:00:00"/>
    <n v="63"/>
    <n v="63"/>
    <n v="0.328125"/>
    <s v="Yr 6"/>
    <s v="PD3-BAND4"/>
    <s v="PD3-BAND4"/>
    <s v="BAND4"/>
    <x v="0"/>
    <x v="1"/>
    <x v="1"/>
    <s v="NO"/>
    <s v="YES"/>
    <s v="NO"/>
    <s v="NO"/>
    <n v="10152"/>
    <n v="10152"/>
    <s v="PD"/>
    <n v="1"/>
    <n v="0.328125"/>
    <n v="3331.125"/>
    <n v="3331.125"/>
    <n v="3331.125"/>
    <n v="3331.125"/>
    <n v="3331.125"/>
    <m/>
    <m/>
    <e v="#N/A"/>
    <s v="St Crispins"/>
    <e v="#N/A"/>
    <m/>
    <m/>
    <n v="0"/>
    <n v="3331.125"/>
    <s v="St Crispins"/>
    <s v="WBC Academy"/>
    <n v="43012"/>
    <m/>
    <s v="St Crispins"/>
    <m/>
    <s v="PD3-BAND4"/>
    <n v="10152"/>
    <m/>
    <s v="Y"/>
    <m/>
    <n v="6715.125"/>
    <n v="10046.25"/>
    <m/>
    <m/>
    <m/>
    <m/>
    <m/>
    <m/>
    <m/>
    <n v="10046.25"/>
    <m/>
    <n v="0"/>
    <n v="6715.125"/>
    <m/>
    <n v="10046.25"/>
    <n v="0"/>
    <m/>
  </r>
  <r>
    <x v="0"/>
    <n v="1"/>
    <n v="2004"/>
    <n v="2004"/>
    <n v="43012"/>
    <s v="No"/>
    <s v="Y"/>
    <m/>
    <x v="0"/>
    <m/>
    <n v="447825"/>
    <x v="2"/>
    <s v="Alice"/>
    <s v="Ord"/>
    <x v="19"/>
    <d v="2011-03-31T00:00:00"/>
    <n v="12.396988364134154"/>
    <n v="6"/>
    <n v="872"/>
    <n v="872"/>
    <d v="2023-04-01T00:00:00"/>
    <n v="1"/>
    <d v="2023-07-21T00:00:00"/>
    <n v="63"/>
    <n v="63"/>
    <n v="0.328125"/>
    <s v="Yr 6"/>
    <n v="25"/>
    <m/>
    <m/>
    <x v="1"/>
    <x v="1"/>
    <x v="0"/>
    <s v="NO"/>
    <s v="NO"/>
    <s v="NO"/>
    <s v="NO"/>
    <m/>
    <n v="5819.25"/>
    <s v="PD"/>
    <n v="1"/>
    <n v="0.328125"/>
    <n v="1909.44140625"/>
    <n v="1909.44140625"/>
    <n v="1909.44140625"/>
    <n v="1909.44140625"/>
    <n v="1909.44140625"/>
    <m/>
    <m/>
    <e v="#N/A"/>
    <e v="#N/A"/>
    <e v="#N/A"/>
    <m/>
    <m/>
    <n v="0"/>
    <n v="1909.44140625"/>
    <s v="St Crispins"/>
    <n v="43012"/>
    <m/>
    <m/>
    <m/>
    <m/>
    <n v="25"/>
    <n v="5819.25"/>
    <m/>
    <m/>
    <m/>
    <n v="3849.19140625"/>
    <n v="5758.6328125"/>
    <m/>
    <m/>
    <n v="43012"/>
    <s v="St Crispins"/>
    <m/>
    <m/>
    <m/>
    <n v="5758.6328125"/>
    <m/>
    <n v="0"/>
    <n v="3849.19140625"/>
    <m/>
    <n v="5758.6328125"/>
    <n v="0"/>
    <m/>
  </r>
  <r>
    <x v="0"/>
    <n v="1"/>
    <n v="2004"/>
    <n v="2004"/>
    <n v="43012"/>
    <s v="No"/>
    <s v="Y"/>
    <m/>
    <x v="0"/>
    <m/>
    <n v="434093"/>
    <x v="2"/>
    <s v="Cheyenne"/>
    <s v="Cook-Clarke"/>
    <x v="20"/>
    <d v="2017-06-16T00:00:00"/>
    <n v="6.1848049281314168"/>
    <n v="1"/>
    <n v="872"/>
    <n v="872"/>
    <d v="2023-06-16T00:00:00"/>
    <n v="39"/>
    <d v="2024-03-31T00:00:00"/>
    <n v="192"/>
    <n v="154"/>
    <n v="0.80208333333333337"/>
    <s v="open"/>
    <n v="21"/>
    <m/>
    <m/>
    <x v="1"/>
    <x v="1"/>
    <x v="0"/>
    <s v="NO"/>
    <s v="NO"/>
    <s v="NO"/>
    <s v="NO"/>
    <m/>
    <n v="3928.17"/>
    <s v="SEMH"/>
    <n v="1"/>
    <n v="0.80208333333333337"/>
    <n v="3150.7196875000004"/>
    <n v="3150.7196875000004"/>
    <n v="0"/>
    <n v="0"/>
    <n v="0"/>
    <m/>
    <m/>
    <e v="#N/A"/>
    <e v="#N/A"/>
    <e v="#N/A"/>
    <m/>
    <m/>
    <n v="0"/>
    <n v="0"/>
    <m/>
    <m/>
    <m/>
    <m/>
    <m/>
    <m/>
    <m/>
    <m/>
    <m/>
    <m/>
    <m/>
    <n v="0"/>
    <n v="0"/>
    <m/>
    <m/>
    <m/>
    <m/>
    <m/>
    <m/>
    <m/>
    <n v="3150.7196875000004"/>
    <m/>
    <n v="3150.7196875000004"/>
    <n v="3150.7196875000004"/>
    <m/>
    <n v="3150.7196875000004"/>
    <n v="0"/>
    <m/>
  </r>
  <r>
    <x v="0"/>
    <n v="1"/>
    <n v="2004"/>
    <n v="2004"/>
    <n v="43012"/>
    <s v="No"/>
    <s v="Y"/>
    <m/>
    <x v="0"/>
    <m/>
    <n v="411775"/>
    <x v="2"/>
    <s v="Hadley"/>
    <s v="Dixon"/>
    <x v="21"/>
    <d v="2013-11-07T00:00:00"/>
    <n v="9.7905544147843937"/>
    <n v="4"/>
    <n v="872"/>
    <n v="872"/>
    <d v="2023-04-01T00:00:00"/>
    <n v="1"/>
    <d v="2024-03-31T00:00:00"/>
    <n v="192"/>
    <n v="192"/>
    <n v="1"/>
    <s v="open"/>
    <s v="TOP"/>
    <m/>
    <m/>
    <x v="0"/>
    <x v="1"/>
    <x v="1"/>
    <s v="NO"/>
    <s v="NO"/>
    <s v="NO"/>
    <s v="NO"/>
    <m/>
    <n v="9951.14"/>
    <s v="ASD"/>
    <n v="1"/>
    <n v="1"/>
    <n v="9951.14"/>
    <n v="9951.14"/>
    <n v="9951.14"/>
    <n v="9951.14"/>
    <n v="9951.14"/>
    <m/>
    <m/>
    <e v="#N/A"/>
    <e v="#N/A"/>
    <e v="#N/A"/>
    <m/>
    <m/>
    <n v="0"/>
    <n v="9951.14"/>
    <s v=""/>
    <m/>
    <m/>
    <m/>
    <m/>
    <m/>
    <m/>
    <m/>
    <m/>
    <m/>
    <m/>
    <m/>
    <n v="9951.14"/>
    <m/>
    <m/>
    <m/>
    <m/>
    <m/>
    <m/>
    <m/>
    <n v="9951.14"/>
    <m/>
    <n v="0"/>
    <n v="0"/>
    <m/>
    <n v="9951.14"/>
    <n v="0"/>
    <m/>
  </r>
  <r>
    <x v="0"/>
    <n v="1"/>
    <n v="2004"/>
    <n v="2004"/>
    <n v="43012"/>
    <s v="No"/>
    <s v="Y"/>
    <m/>
    <x v="0"/>
    <m/>
    <n v="395599"/>
    <x v="2"/>
    <s v="Lilly"/>
    <s v="Atkins"/>
    <x v="22"/>
    <d v="2012-06-28T00:00:00"/>
    <n v="11.151266255989048"/>
    <n v="6"/>
    <n v="872"/>
    <n v="872"/>
    <d v="2023-04-01T00:00:00"/>
    <n v="1"/>
    <d v="2023-07-21T00:00:00"/>
    <n v="63"/>
    <n v="63"/>
    <n v="0.328125"/>
    <s v="Yr 6"/>
    <n v="28"/>
    <m/>
    <m/>
    <x v="0"/>
    <x v="0"/>
    <x v="0"/>
    <s v="NO"/>
    <s v="NO"/>
    <s v="NO"/>
    <s v="NO"/>
    <m/>
    <n v="7237.5599999999995"/>
    <s v="SEMH"/>
    <n v="1"/>
    <n v="0.328125"/>
    <n v="2374.8243749999997"/>
    <n v="2374.8243749999997"/>
    <n v="2374.8243749999997"/>
    <n v="2374.8243749999997"/>
    <n v="2374.8243749999997"/>
    <m/>
    <m/>
    <e v="#N/A"/>
    <s v="ME MAT_ Indigo"/>
    <e v="#N/A"/>
    <m/>
    <m/>
    <n v="0"/>
    <n v="2374.8243749999997"/>
    <s v="Maiden Erlegh Resource"/>
    <s v="WBC Aca_RU_ INDIGO"/>
    <n v="43012"/>
    <m/>
    <s v="Maiden Erlegh Resource"/>
    <m/>
    <n v="28"/>
    <n v="7237.5599999999995"/>
    <m/>
    <s v="Y"/>
    <m/>
    <n v="4787.3443749999997"/>
    <n v="7162.1687499999989"/>
    <m/>
    <m/>
    <m/>
    <m/>
    <m/>
    <m/>
    <m/>
    <n v="7162.1687499999989"/>
    <m/>
    <n v="0"/>
    <n v="4787.3443749999988"/>
    <m/>
    <n v="7162.1687499999989"/>
    <n v="0"/>
    <m/>
  </r>
  <r>
    <x v="0"/>
    <n v="1"/>
    <n v="2004"/>
    <n v="2004"/>
    <n v="43012"/>
    <s v="No"/>
    <s v="Y"/>
    <m/>
    <x v="0"/>
    <m/>
    <n v="403809"/>
    <x v="2"/>
    <s v="Logan"/>
    <s v="Daley"/>
    <x v="23"/>
    <d v="2013-08-31T00:00:00"/>
    <n v="9.9767282683093779"/>
    <n v="5"/>
    <s v="872"/>
    <s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SEMH"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0"/>
    <n v="1"/>
    <n v="2004"/>
    <n v="2004"/>
    <n v="43012"/>
    <s v="No"/>
    <s v="Y"/>
    <m/>
    <x v="0"/>
    <m/>
    <n v="412700"/>
    <x v="2"/>
    <s v="Louie"/>
    <s v="Hughes"/>
    <x v="24"/>
    <d v="2012-10-12T00:00:00"/>
    <n v="10.861054072553046"/>
    <n v="5"/>
    <s v="872"/>
    <s v="872"/>
    <d v="2023-04-01T00:00:00"/>
    <n v="1"/>
    <d v="2024-03-31T00:00:00"/>
    <n v="192"/>
    <n v="192"/>
    <n v="1"/>
    <s v="open"/>
    <n v="24"/>
    <m/>
    <m/>
    <x v="1"/>
    <x v="1"/>
    <x v="0"/>
    <s v="NO"/>
    <s v="NO"/>
    <s v="NO"/>
    <s v="NO"/>
    <m/>
    <n v="5346.48"/>
    <s v="MLD"/>
    <n v="1"/>
    <n v="1"/>
    <n v="5346.48"/>
    <n v="5346.48"/>
    <n v="5346.48"/>
    <n v="5346.48"/>
    <n v="5346.48"/>
    <m/>
    <m/>
    <e v="#N/A"/>
    <e v="#N/A"/>
    <e v="#N/A"/>
    <m/>
    <m/>
    <n v="0"/>
    <n v="5346.48"/>
    <s v=""/>
    <m/>
    <m/>
    <m/>
    <m/>
    <m/>
    <m/>
    <m/>
    <m/>
    <m/>
    <m/>
    <m/>
    <n v="5346.48"/>
    <m/>
    <m/>
    <m/>
    <m/>
    <m/>
    <m/>
    <m/>
    <n v="5346.48"/>
    <m/>
    <n v="0"/>
    <n v="0"/>
    <m/>
    <n v="5346.48"/>
    <n v="0"/>
    <m/>
  </r>
  <r>
    <x v="0"/>
    <n v="1"/>
    <n v="2004"/>
    <n v="2004"/>
    <n v="43012"/>
    <s v="No"/>
    <s v="Y"/>
    <m/>
    <x v="0"/>
    <m/>
    <n v="410108"/>
    <x v="2"/>
    <s v="Lucas-Henry"/>
    <s v="Geater-Brombley"/>
    <x v="25"/>
    <d v="2014-04-24T00:00:00"/>
    <n v="9.330595482546201"/>
    <n v="4"/>
    <s v="872"/>
    <s v="872"/>
    <d v="2023-04-01T00:00:00"/>
    <n v="1"/>
    <d v="2024-03-31T00:00:00"/>
    <n v="192"/>
    <n v="192"/>
    <n v="1"/>
    <s v="open"/>
    <s v="TOP"/>
    <m/>
    <m/>
    <x v="0"/>
    <x v="1"/>
    <x v="1"/>
    <s v="NO"/>
    <s v="NO"/>
    <s v="NO"/>
    <s v="NO"/>
    <m/>
    <n v="17982.830000000002"/>
    <s v="SEMH"/>
    <n v="1"/>
    <n v="1"/>
    <n v="17982.830000000002"/>
    <n v="17982.830000000002"/>
    <n v="17982.830000000002"/>
    <n v="0"/>
    <n v="17982.830000000002"/>
    <m/>
    <m/>
    <e v="#N/A"/>
    <e v="#N/A"/>
    <e v="#N/A"/>
    <m/>
    <m/>
    <n v="0"/>
    <n v="17982.830000000002"/>
    <s v=""/>
    <m/>
    <m/>
    <m/>
    <m/>
    <m/>
    <m/>
    <m/>
    <m/>
    <m/>
    <m/>
    <m/>
    <n v="17982.830000000002"/>
    <m/>
    <m/>
    <m/>
    <m/>
    <m/>
    <m/>
    <m/>
    <n v="17982.830000000002"/>
    <m/>
    <n v="0"/>
    <n v="17982.830000000002"/>
    <m/>
    <n v="17982.830000000002"/>
    <n v="0"/>
    <m/>
  </r>
  <r>
    <x v="0"/>
    <n v="1"/>
    <n v="2004"/>
    <n v="2004"/>
    <n v="43012"/>
    <s v="No"/>
    <s v="Y"/>
    <m/>
    <x v="0"/>
    <m/>
    <n v="413780"/>
    <x v="2"/>
    <s v="Olivia"/>
    <s v="Goodchild"/>
    <x v="26"/>
    <d v="2014-02-08T00:00:00"/>
    <n v="9.5359342915811087"/>
    <n v="4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SLCD"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0"/>
    <n v="1"/>
    <n v="2004"/>
    <n v="2004"/>
    <n v="43012"/>
    <s v="No"/>
    <s v="Y"/>
    <m/>
    <x v="0"/>
    <m/>
    <n v="436982"/>
    <x v="2"/>
    <s v="Sabah"/>
    <s v="Salama"/>
    <x v="27"/>
    <d v="2014-01-20T00:00:00"/>
    <n v="9.5879534565366189"/>
    <n v="4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m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0"/>
    <n v="1"/>
    <n v="2004"/>
    <n v="2004"/>
    <n v="43012"/>
    <s v="No"/>
    <s v="Y"/>
    <m/>
    <x v="0"/>
    <m/>
    <n v="395349"/>
    <x v="2"/>
    <s v="Sophie"/>
    <s v="Dimmick"/>
    <x v="28"/>
    <d v="2011-12-29T00:00:00"/>
    <n v="11.649555099247092"/>
    <n v="6"/>
    <s v="872"/>
    <s v="872"/>
    <d v="2023-04-01T00:00:00"/>
    <n v="1"/>
    <d v="2023-07-21T00:00:00"/>
    <n v="63"/>
    <n v="63"/>
    <n v="0.328125"/>
    <s v="Yr 6"/>
    <n v="26"/>
    <m/>
    <m/>
    <x v="0"/>
    <x v="0"/>
    <x v="0"/>
    <s v="NO"/>
    <s v="NO"/>
    <s v="NO"/>
    <s v="NO"/>
    <m/>
    <n v="6292.02"/>
    <s v="ASD"/>
    <n v="1"/>
    <n v="0.328125"/>
    <n v="2064.5690625000002"/>
    <n v="2064.5690625000002"/>
    <n v="2064.5690625000002"/>
    <n v="0"/>
    <n v="2064.5690625000002"/>
    <m/>
    <m/>
    <e v="#N/A"/>
    <e v="#N/A"/>
    <e v="#N/A"/>
    <m/>
    <m/>
    <n v="0"/>
    <n v="2064.5690625000002"/>
    <s v="Maiden Erlegh"/>
    <n v="43012"/>
    <m/>
    <m/>
    <m/>
    <m/>
    <n v="26"/>
    <n v="6292.02"/>
    <m/>
    <m/>
    <m/>
    <n v="4161.9090624999999"/>
    <n v="6226.4781249999996"/>
    <m/>
    <m/>
    <n v="43012"/>
    <s v="Maiden Erlegh"/>
    <m/>
    <s v="12484 pa"/>
    <m/>
    <n v="6226.4781249999996"/>
    <m/>
    <n v="0"/>
    <n v="6226.4781249999996"/>
    <m/>
    <n v="6226.4781249999996"/>
    <n v="0"/>
    <m/>
  </r>
  <r>
    <x v="0"/>
    <n v="1"/>
    <n v="41103"/>
    <n v="41103"/>
    <n v="43011"/>
    <s v="No"/>
    <m/>
    <m/>
    <x v="0"/>
    <m/>
    <n v="407543"/>
    <x v="3"/>
    <s v="Alfie"/>
    <s v="Bourke"/>
    <x v="29"/>
    <d v="2013-03-07T00:00:00"/>
    <n v="10.461327857631758"/>
    <n v="5"/>
    <n v="872"/>
    <n v="872"/>
    <d v="2023-04-01T00:00:00"/>
    <n v="1"/>
    <d v="2024-03-31T00:00:00"/>
    <n v="192"/>
    <n v="192"/>
    <n v="1"/>
    <s v="open"/>
    <n v="23"/>
    <m/>
    <m/>
    <x v="1"/>
    <x v="1"/>
    <x v="0"/>
    <s v="NO"/>
    <s v="NO"/>
    <s v="NO"/>
    <s v="NO"/>
    <m/>
    <n v="4873.7099999999991"/>
    <s v="SEMH"/>
    <n v="1"/>
    <n v="1"/>
    <n v="4873.7099999999991"/>
    <n v="4873.7099999999991"/>
    <n v="4873.7099999999991"/>
    <n v="0"/>
    <n v="4873.7099999999991"/>
    <m/>
    <m/>
    <e v="#N/A"/>
    <e v="#N/A"/>
    <e v="#N/A"/>
    <m/>
    <m/>
    <n v="0"/>
    <n v="4873.7099999999991"/>
    <s v=""/>
    <m/>
    <m/>
    <m/>
    <m/>
    <m/>
    <m/>
    <m/>
    <m/>
    <m/>
    <m/>
    <m/>
    <n v="4873.7099999999991"/>
    <m/>
    <m/>
    <m/>
    <m/>
    <m/>
    <m/>
    <m/>
    <n v="4873.7099999999991"/>
    <m/>
    <n v="0"/>
    <n v="4873.7099999999991"/>
    <m/>
    <n v="4873.7099999999991"/>
    <n v="0"/>
    <m/>
  </r>
  <r>
    <x v="0"/>
    <n v="1"/>
    <n v="41103"/>
    <n v="41103"/>
    <n v="43011"/>
    <s v="No"/>
    <m/>
    <m/>
    <x v="0"/>
    <m/>
    <n v="440178"/>
    <x v="3"/>
    <s v="Gurvansh"/>
    <s v="Lubana"/>
    <x v="30"/>
    <d v="2015-05-08T00:00:00"/>
    <n v="8.2929500342231357"/>
    <n v="3"/>
    <n v="872"/>
    <n v="872"/>
    <d v="2023-04-01T00:00:00"/>
    <n v="1"/>
    <d v="2024-03-31T00:00:00"/>
    <n v="192"/>
    <n v="192"/>
    <n v="1"/>
    <s v="open"/>
    <n v="23"/>
    <m/>
    <m/>
    <x v="1"/>
    <x v="1"/>
    <x v="0"/>
    <s v="NO"/>
    <s v="NO"/>
    <s v="NO"/>
    <s v="NO"/>
    <m/>
    <n v="4873.7099999999991"/>
    <s v="SLCD"/>
    <n v="1"/>
    <n v="1"/>
    <n v="4873.7099999999991"/>
    <n v="4873.7099999999991"/>
    <n v="4873.7099999999991"/>
    <n v="4873.7099999999991"/>
    <n v="4873.7099999999991"/>
    <m/>
    <m/>
    <e v="#N/A"/>
    <e v="#N/A"/>
    <e v="#N/A"/>
    <m/>
    <m/>
    <n v="0"/>
    <n v="4873.7099999999991"/>
    <s v=""/>
    <m/>
    <m/>
    <m/>
    <m/>
    <m/>
    <m/>
    <m/>
    <m/>
    <m/>
    <m/>
    <m/>
    <n v="4873.7099999999991"/>
    <m/>
    <m/>
    <m/>
    <m/>
    <m/>
    <m/>
    <m/>
    <n v="4873.7099999999991"/>
    <m/>
    <n v="0"/>
    <n v="0"/>
    <m/>
    <n v="4873.7099999999991"/>
    <n v="0"/>
    <m/>
  </r>
  <r>
    <x v="0"/>
    <n v="1"/>
    <n v="41103"/>
    <n v="41103"/>
    <n v="43011"/>
    <s v="No"/>
    <m/>
    <m/>
    <x v="0"/>
    <m/>
    <n v="428346"/>
    <x v="3"/>
    <s v="Rhys"/>
    <s v="Craker"/>
    <x v="31"/>
    <d v="2016-03-24T00:00:00"/>
    <n v="7.4140999315537304"/>
    <m/>
    <n v="872"/>
    <n v="872"/>
    <d v="2023-06-02T00:00:00"/>
    <n v="29"/>
    <d v="2024-03-31T00:00:00"/>
    <n v="192"/>
    <n v="164"/>
    <n v="0.85416666666666663"/>
    <s v="open"/>
    <n v="25"/>
    <m/>
    <m/>
    <x v="1"/>
    <x v="1"/>
    <x v="0"/>
    <s v="NO"/>
    <s v="NO"/>
    <s v="NO"/>
    <s v="NO"/>
    <m/>
    <n v="5819.25"/>
    <s v="SLCD"/>
    <n v="1"/>
    <n v="0.85416666666666663"/>
    <n v="4970.609375"/>
    <n v="4970.609375"/>
    <n v="4970.609375"/>
    <n v="0"/>
    <m/>
    <m/>
    <m/>
    <m/>
    <m/>
    <m/>
    <m/>
    <m/>
    <n v="4970.609375"/>
    <n v="4970.609375"/>
    <s v=""/>
    <m/>
    <m/>
    <m/>
    <m/>
    <m/>
    <m/>
    <m/>
    <m/>
    <m/>
    <m/>
    <m/>
    <n v="4970.609375"/>
    <m/>
    <m/>
    <m/>
    <m/>
    <m/>
    <m/>
    <m/>
    <n v="4970.609375"/>
    <m/>
    <n v="0"/>
    <n v="4970.609375"/>
    <s v="increase in hours to 30"/>
    <n v="4970.609375"/>
    <n v="0"/>
    <m/>
  </r>
  <r>
    <x v="0"/>
    <n v="1"/>
    <n v="41103"/>
    <n v="41103"/>
    <n v="43011"/>
    <s v="No"/>
    <m/>
    <m/>
    <x v="0"/>
    <m/>
    <n v="402683"/>
    <x v="3"/>
    <s v="Sam Jason"/>
    <s v="Henry"/>
    <x v="32"/>
    <d v="2011-09-06T00:00:00"/>
    <n v="11.961670088980151"/>
    <n v="6"/>
    <n v="872"/>
    <n v="872"/>
    <d v="2023-04-01T00:00:00"/>
    <n v="1"/>
    <d v="2023-07-21T00:00:00"/>
    <n v="63"/>
    <n v="63"/>
    <n v="0.328125"/>
    <s v="Yr 6"/>
    <n v="25"/>
    <m/>
    <m/>
    <x v="1"/>
    <x v="1"/>
    <x v="0"/>
    <s v="NO"/>
    <s v="NO"/>
    <s v="NO"/>
    <s v="NO"/>
    <m/>
    <n v="5819.25"/>
    <s v="SEMH"/>
    <n v="1"/>
    <n v="0.328125"/>
    <n v="1909.44140625"/>
    <n v="1909.44140625"/>
    <n v="1909.44140625"/>
    <n v="1909.44140625"/>
    <n v="1909.44140625"/>
    <m/>
    <m/>
    <e v="#N/A"/>
    <s v="The Emmbrook"/>
    <e v="#N/A"/>
    <m/>
    <m/>
    <n v="0"/>
    <n v="1909.44140625"/>
    <s v="Name The Emmbrook - Funding Approved"/>
    <s v="WBC Academy"/>
    <n v="43012"/>
    <m/>
    <s v="Name The Emmbrook - Funding Approved"/>
    <m/>
    <n v="25"/>
    <n v="5819.25"/>
    <m/>
    <s v="Y"/>
    <m/>
    <n v="3849.19140625"/>
    <n v="5758.6328125"/>
    <m/>
    <m/>
    <m/>
    <m/>
    <m/>
    <m/>
    <m/>
    <n v="5758.6328125"/>
    <m/>
    <n v="0"/>
    <n v="3849.19140625"/>
    <m/>
    <n v="5758.6328125"/>
    <n v="0"/>
    <m/>
  </r>
  <r>
    <x v="0"/>
    <n v="1"/>
    <n v="41104"/>
    <n v="41104"/>
    <n v="43012"/>
    <s v="No"/>
    <s v="Y"/>
    <m/>
    <x v="0"/>
    <m/>
    <n v="410219"/>
    <x v="4"/>
    <s v="Aliza"/>
    <s v="Ishaq"/>
    <x v="33"/>
    <d v="2014-01-15T00:00:00"/>
    <n v="9.6016427104722801"/>
    <n v="3"/>
    <n v="872"/>
    <n v="872"/>
    <d v="2023-04-01T00:00:00"/>
    <n v="1"/>
    <d v="2024-03-31T00:00:00"/>
    <n v="192"/>
    <n v="192"/>
    <n v="1"/>
    <s v="open"/>
    <n v="32"/>
    <m/>
    <m/>
    <x v="0"/>
    <x v="1"/>
    <x v="1"/>
    <s v="NO"/>
    <s v="NO"/>
    <s v="NO"/>
    <s v="NO"/>
    <m/>
    <n v="9128.64"/>
    <s v="HI"/>
    <n v="1"/>
    <n v="1"/>
    <n v="9128.64"/>
    <n v="9128.64"/>
    <n v="9128.64"/>
    <n v="9128.64"/>
    <n v="9128.64"/>
    <m/>
    <m/>
    <e v="#N/A"/>
    <e v="#N/A"/>
    <e v="#N/A"/>
    <m/>
    <m/>
    <n v="0"/>
    <n v="9128.64"/>
    <s v=""/>
    <m/>
    <m/>
    <m/>
    <m/>
    <m/>
    <m/>
    <m/>
    <m/>
    <m/>
    <m/>
    <m/>
    <n v="9128.64"/>
    <m/>
    <m/>
    <m/>
    <m/>
    <m/>
    <m/>
    <m/>
    <n v="9128.64"/>
    <m/>
    <n v="0"/>
    <n v="0"/>
    <m/>
    <n v="9128.64"/>
    <n v="0"/>
    <m/>
  </r>
  <r>
    <x v="0"/>
    <n v="1"/>
    <n v="41104"/>
    <n v="41104"/>
    <n v="43012"/>
    <s v="No"/>
    <s v="Y"/>
    <m/>
    <x v="0"/>
    <m/>
    <n v="419932"/>
    <x v="4"/>
    <s v="Finley"/>
    <s v="Marson"/>
    <x v="34"/>
    <d v="2016-01-10T00:00:00"/>
    <n v="7.6167008898015061"/>
    <n v="2"/>
    <n v="872"/>
    <n v="872"/>
    <d v="2023-07-10T00:00:00"/>
    <n v="54"/>
    <d v="2024-03-31T00:00:00"/>
    <n v="192"/>
    <n v="139"/>
    <n v="0.72395833333333337"/>
    <s v="open"/>
    <n v="30"/>
    <m/>
    <m/>
    <x v="0"/>
    <x v="0"/>
    <x v="0"/>
    <s v="NO"/>
    <s v="NO"/>
    <s v="NO"/>
    <s v="NO"/>
    <m/>
    <n v="8183.0999999999985"/>
    <s v="Mod LD"/>
    <n v="1"/>
    <n v="0.72395833333333337"/>
    <n v="5924.2234374999989"/>
    <n v="5924.2234374999989"/>
    <n v="0"/>
    <n v="0"/>
    <n v="0"/>
    <m/>
    <m/>
    <e v="#N/A"/>
    <e v="#N/A"/>
    <e v="#N/A"/>
    <m/>
    <m/>
    <n v="0"/>
    <n v="0"/>
    <m/>
    <m/>
    <m/>
    <m/>
    <m/>
    <m/>
    <m/>
    <m/>
    <m/>
    <m/>
    <m/>
    <m/>
    <n v="0"/>
    <m/>
    <m/>
    <m/>
    <m/>
    <m/>
    <m/>
    <m/>
    <n v="5924.2234374999989"/>
    <s v="new provision"/>
    <n v="5924.2234374999989"/>
    <n v="5924.2234374999989"/>
    <m/>
    <n v="5924.2234374999989"/>
    <n v="0"/>
    <m/>
  </r>
  <r>
    <x v="0"/>
    <n v="1"/>
    <n v="41104"/>
    <n v="41104"/>
    <n v="43012"/>
    <s v="No"/>
    <s v="Y"/>
    <m/>
    <x v="0"/>
    <m/>
    <n v="434073"/>
    <x v="4"/>
    <s v="Finnley"/>
    <s v="Pitt"/>
    <x v="35"/>
    <d v="2017-12-12T00:00:00"/>
    <n v="5.6947296372347704"/>
    <n v="0"/>
    <n v="872"/>
    <n v="872"/>
    <d v="2023-04-01T00:00:00"/>
    <n v="1"/>
    <d v="2023-10-30T00:00:00"/>
    <n v="100"/>
    <n v="100"/>
    <n v="0.52083333333333337"/>
    <d v="2023-10-30T00:00:00"/>
    <n v="8866"/>
    <m/>
    <m/>
    <x v="0"/>
    <x v="1"/>
    <x v="1"/>
    <s v="NO"/>
    <s v="NO"/>
    <s v="NO"/>
    <s v="NO"/>
    <m/>
    <n v="8866"/>
    <m/>
    <n v="1"/>
    <n v="0.52083333333333337"/>
    <n v="4617.7083333333339"/>
    <n v="4617.7083333333339"/>
    <n v="4617.7083333333339"/>
    <n v="4617.7083333333339"/>
    <n v="4617.7083333333339"/>
    <m/>
    <m/>
    <e v="#N/A"/>
    <e v="#N/A"/>
    <e v="#N/A"/>
    <m/>
    <m/>
    <n v="0"/>
    <n v="4617.7083333333339"/>
    <s v=""/>
    <m/>
    <m/>
    <m/>
    <m/>
    <m/>
    <m/>
    <m/>
    <m/>
    <m/>
    <m/>
    <m/>
    <n v="4617.7083333333339"/>
    <m/>
    <m/>
    <m/>
    <m/>
    <m/>
    <m/>
    <m/>
    <n v="4617.7083333333339"/>
    <m/>
    <n v="0"/>
    <n v="0"/>
    <m/>
    <n v="4617.7083333333339"/>
    <n v="0"/>
    <m/>
  </r>
  <r>
    <x v="0"/>
    <n v="1"/>
    <n v="41104"/>
    <n v="41104"/>
    <n v="43012"/>
    <s v="No"/>
    <s v="Y"/>
    <m/>
    <x v="0"/>
    <m/>
    <n v="411582"/>
    <x v="4"/>
    <s v="Harry"/>
    <s v="Keep"/>
    <x v="36"/>
    <d v="2013-12-11T00:00:00"/>
    <n v="9.6974674880219034"/>
    <n v="4"/>
    <n v="872"/>
    <n v="872"/>
    <d v="2023-04-01T00:00:00"/>
    <n v="1"/>
    <d v="2024-03-31T00:00:00"/>
    <n v="192"/>
    <n v="192"/>
    <n v="1"/>
    <s v="open"/>
    <n v="23"/>
    <m/>
    <m/>
    <x v="1"/>
    <x v="1"/>
    <x v="0"/>
    <s v="NO"/>
    <s v="NO"/>
    <s v="NO"/>
    <s v="NO"/>
    <m/>
    <n v="4873.7099999999991"/>
    <s v="ASD"/>
    <n v="1"/>
    <n v="1"/>
    <n v="4873.7099999999991"/>
    <n v="4873.7099999999991"/>
    <n v="4873.7099999999991"/>
    <n v="4873.7099999999991"/>
    <n v="4873.7099999999991"/>
    <m/>
    <m/>
    <e v="#N/A"/>
    <e v="#N/A"/>
    <e v="#N/A"/>
    <m/>
    <m/>
    <n v="0"/>
    <n v="4873.7099999999991"/>
    <s v=""/>
    <m/>
    <m/>
    <m/>
    <m/>
    <m/>
    <m/>
    <m/>
    <m/>
    <m/>
    <m/>
    <m/>
    <n v="4873.7099999999991"/>
    <m/>
    <m/>
    <m/>
    <m/>
    <m/>
    <m/>
    <m/>
    <n v="4873.7099999999991"/>
    <m/>
    <n v="0"/>
    <n v="0"/>
    <m/>
    <n v="4873.7099999999991"/>
    <n v="0"/>
    <m/>
  </r>
  <r>
    <x v="0"/>
    <n v="1"/>
    <n v="41104"/>
    <n v="41104"/>
    <n v="43012"/>
    <s v="No"/>
    <s v="Y"/>
    <m/>
    <x v="0"/>
    <m/>
    <n v="443198"/>
    <x v="4"/>
    <s v="Idil"/>
    <s v="Inanc"/>
    <x v="37"/>
    <d v="2017-02-26T00:00:00"/>
    <n v="6.4859685147159478"/>
    <n v="0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Other Diff/Dis"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0"/>
    <n v="1"/>
    <n v="41104"/>
    <n v="41104"/>
    <n v="43012"/>
    <s v="No"/>
    <s v="Y"/>
    <m/>
    <x v="0"/>
    <m/>
    <n v="402410"/>
    <x v="4"/>
    <s v="Isabelle"/>
    <s v="O'Boyle"/>
    <x v="38"/>
    <d v="2012-05-15T00:00:00"/>
    <n v="11.271731690622861"/>
    <n v="6"/>
    <n v="872"/>
    <n v="872"/>
    <d v="2023-04-01T00:00:00"/>
    <n v="1"/>
    <d v="2023-07-21T00:00:00"/>
    <n v="63"/>
    <n v="63"/>
    <n v="0.328125"/>
    <s v="Yr 6"/>
    <n v="21"/>
    <m/>
    <m/>
    <x v="1"/>
    <x v="1"/>
    <x v="0"/>
    <s v="NO"/>
    <s v="NO"/>
    <s v="NO"/>
    <s v="NO"/>
    <m/>
    <n v="3928.17"/>
    <s v="ASD"/>
    <n v="1"/>
    <n v="0.328125"/>
    <n v="1288.9307812500001"/>
    <n v="1288.9307812500001"/>
    <n v="1288.9307812500001"/>
    <n v="1288.9307812500001"/>
    <n v="1288.9307812500001"/>
    <m/>
    <m/>
    <e v="#N/A"/>
    <s v="Oak Tree"/>
    <e v="#N/A"/>
    <s v="Y"/>
    <n v="2618.7800000000002"/>
    <n v="0"/>
    <n v="1288.9307812500001"/>
    <s v="Name Oak Tree "/>
    <s v="WBC Spec"/>
    <m/>
    <m/>
    <s v="Name Oak Tree "/>
    <m/>
    <n v="21"/>
    <n v="3928.17"/>
    <m/>
    <s v="Y"/>
    <m/>
    <n v="2598.32078125"/>
    <n v="3887.2515625000001"/>
    <n v="2598.32078125"/>
    <s v="remove"/>
    <m/>
    <m/>
    <m/>
    <m/>
    <m/>
    <n v="3887.2515625000001"/>
    <m/>
    <n v="0"/>
    <n v="2598.32078125"/>
    <m/>
    <n v="3887.2515625000001"/>
    <n v="0"/>
    <m/>
  </r>
  <r>
    <x v="1"/>
    <n v="1"/>
    <n v="41104"/>
    <n v="41104"/>
    <n v="43012"/>
    <s v="No"/>
    <s v="Y"/>
    <m/>
    <x v="0"/>
    <s v="AD"/>
    <n v="402410"/>
    <x v="4"/>
    <s v="Isabelle"/>
    <s v="O'Boyle"/>
    <x v="38"/>
    <d v="2012-05-15T00:00:00"/>
    <n v="11.271731690622861"/>
    <n v="6"/>
    <n v="872"/>
    <n v="872"/>
    <d v="2023-04-24T00:00:00"/>
    <n v="6"/>
    <d v="2023-07-21T00:00:00"/>
    <n v="63"/>
    <n v="58"/>
    <n v="0"/>
    <s v="Yr 6"/>
    <n v="990"/>
    <m/>
    <m/>
    <x v="0"/>
    <x v="1"/>
    <x v="1"/>
    <s v="NO"/>
    <s v="NO"/>
    <s v="NO"/>
    <s v="NO"/>
    <m/>
    <n v="990"/>
    <s v="ASD"/>
    <n v="1"/>
    <n v="0"/>
    <n v="0"/>
    <n v="0"/>
    <n v="0"/>
    <n v="0"/>
    <n v="0"/>
    <m/>
    <m/>
    <e v="#N/A"/>
    <e v="#N/A"/>
    <e v="#N/A"/>
    <m/>
    <m/>
    <n v="0"/>
    <n v="0"/>
    <s v="Name Oak Tree "/>
    <s v="WBC Spec"/>
    <m/>
    <m/>
    <s v="Name Oak Tree "/>
    <m/>
    <n v="990"/>
    <n v="990"/>
    <m/>
    <s v="Y"/>
    <m/>
    <n v="654.84375"/>
    <n v="654.84375"/>
    <m/>
    <m/>
    <m/>
    <m/>
    <m/>
    <m/>
    <m/>
    <n v="654.84375"/>
    <m/>
    <n v="0"/>
    <n v="654.84375"/>
    <m/>
    <n v="654.84375"/>
    <n v="0"/>
    <m/>
  </r>
  <r>
    <x v="1"/>
    <n v="1"/>
    <n v="41104"/>
    <n v="41104"/>
    <n v="43012"/>
    <s v="No"/>
    <s v="Y"/>
    <m/>
    <x v="0"/>
    <s v="AD"/>
    <n v="402410"/>
    <x v="4"/>
    <s v="Isabelle"/>
    <s v="O'Boyle"/>
    <x v="38"/>
    <d v="2012-05-15T00:00:00"/>
    <n v="11.271731690622861"/>
    <n v="6"/>
    <n v="872"/>
    <n v="872"/>
    <d v="2023-05-22T00:00:00"/>
    <n v="24"/>
    <d v="2023-07-21T00:00:00"/>
    <n v="63"/>
    <n v="40"/>
    <n v="1"/>
    <s v="Yr 6"/>
    <n v="3936"/>
    <m/>
    <m/>
    <x v="0"/>
    <x v="1"/>
    <x v="1"/>
    <s v="NO"/>
    <s v="NO"/>
    <s v="NO"/>
    <s v="NO"/>
    <m/>
    <n v="3936"/>
    <s v="ASD"/>
    <n v="1"/>
    <n v="1"/>
    <n v="3936"/>
    <n v="3936"/>
    <n v="3936"/>
    <n v="0"/>
    <n v="3936"/>
    <m/>
    <m/>
    <e v="#N/A"/>
    <e v="#N/A"/>
    <e v="#N/A"/>
    <m/>
    <m/>
    <n v="0"/>
    <n v="3936"/>
    <s v="Name Oak Tree "/>
    <s v="WBC Spec"/>
    <m/>
    <m/>
    <s v="Name Oak Tree "/>
    <m/>
    <n v="3936"/>
    <n v="3936"/>
    <m/>
    <s v="Y"/>
    <m/>
    <n v="2603.5"/>
    <n v="6539.5"/>
    <m/>
    <m/>
    <m/>
    <m/>
    <m/>
    <m/>
    <m/>
    <n v="6539.5"/>
    <m/>
    <n v="0"/>
    <n v="6539.5"/>
    <m/>
    <n v="6539.5"/>
    <n v="0"/>
    <m/>
  </r>
  <r>
    <x v="1"/>
    <n v="1"/>
    <n v="41104"/>
    <n v="41104"/>
    <n v="43012"/>
    <s v="No"/>
    <s v="Y"/>
    <m/>
    <x v="0"/>
    <s v="AD"/>
    <n v="402410"/>
    <x v="4"/>
    <s v="Isabelle"/>
    <s v="O'Boyle"/>
    <x v="38"/>
    <d v="2012-05-15T00:00:00"/>
    <n v="11.271731690622861"/>
    <n v="6"/>
    <n v="872"/>
    <n v="872"/>
    <d v="2023-04-01T00:00:00"/>
    <n v="1"/>
    <d v="2023-07-21T00:00:00"/>
    <n v="63"/>
    <n v="63"/>
    <n v="2"/>
    <s v="Yr 6"/>
    <n v="5904"/>
    <m/>
    <m/>
    <x v="0"/>
    <x v="1"/>
    <x v="1"/>
    <s v="NO"/>
    <s v="NO"/>
    <s v="NO"/>
    <s v="NO"/>
    <m/>
    <n v="5904"/>
    <s v="ASD"/>
    <n v="1"/>
    <n v="1"/>
    <n v="5904"/>
    <n v="5904"/>
    <n v="0"/>
    <n v="0"/>
    <n v="0"/>
    <m/>
    <m/>
    <e v="#N/A"/>
    <e v="#N/A"/>
    <e v="#N/A"/>
    <m/>
    <m/>
    <m/>
    <n v="0"/>
    <m/>
    <m/>
    <m/>
    <m/>
    <m/>
    <m/>
    <m/>
    <m/>
    <m/>
    <m/>
    <m/>
    <m/>
    <n v="0"/>
    <m/>
    <m/>
    <m/>
    <m/>
    <m/>
    <m/>
    <m/>
    <n v="5904"/>
    <s v="new additional provision"/>
    <n v="5904"/>
    <n v="5904"/>
    <m/>
    <n v="5904"/>
    <n v="0"/>
    <m/>
  </r>
  <r>
    <x v="1"/>
    <n v="1"/>
    <n v="41104"/>
    <n v="41104"/>
    <n v="43012"/>
    <s v="No"/>
    <s v="Y"/>
    <m/>
    <x v="0"/>
    <s v="AD"/>
    <n v="419928"/>
    <x v="4"/>
    <s v="Mir Ashar"/>
    <s v="Ammar"/>
    <x v="39"/>
    <d v="2015-03-11T00:00:00"/>
    <n v="8.4517453798767974"/>
    <n v="3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HI"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1"/>
    <n v="1"/>
    <n v="41104"/>
    <n v="41104"/>
    <n v="43012"/>
    <s v="No"/>
    <s v="Y"/>
    <m/>
    <x v="0"/>
    <m/>
    <n v="425924"/>
    <x v="4"/>
    <s v="Mason "/>
    <s v="Davies"/>
    <x v="40"/>
    <d v="2013-01-21T00:00:00"/>
    <n v="10.584531143052704"/>
    <n v="5"/>
    <n v="872"/>
    <n v="872"/>
    <d v="2023-04-01T00:00:00"/>
    <n v="1"/>
    <d v="2023-04-23T00:00:00"/>
    <n v="5"/>
    <n v="5"/>
    <n v="2.6041666666666668E-2"/>
    <d v="2023-04-23T00:00:00"/>
    <n v="30"/>
    <m/>
    <m/>
    <x v="0"/>
    <x v="0"/>
    <x v="0"/>
    <s v="NO"/>
    <s v="NO"/>
    <s v="NO"/>
    <s v="NO"/>
    <m/>
    <n v="8183.0999999999985"/>
    <m/>
    <n v="1"/>
    <n v="2.6041666666666668E-2"/>
    <n v="213.10156249999997"/>
    <n v="213.10156249999997"/>
    <n v="213.10156249999997"/>
    <n v="8183.0999999999985"/>
    <n v="213.1015625"/>
    <m/>
    <m/>
    <e v="#N/A"/>
    <e v="#N/A"/>
    <e v="#N/A"/>
    <m/>
    <m/>
    <n v="0"/>
    <n v="213.10156249999997"/>
    <s v=""/>
    <m/>
    <m/>
    <m/>
    <m/>
    <m/>
    <m/>
    <m/>
    <m/>
    <m/>
    <m/>
    <m/>
    <n v="213.10156249999997"/>
    <m/>
    <m/>
    <m/>
    <m/>
    <m/>
    <m/>
    <m/>
    <n v="213.10156249999997"/>
    <m/>
    <n v="0"/>
    <n v="-7969.9984374999985"/>
    <m/>
    <n v="213.10156249999997"/>
    <n v="0"/>
    <m/>
  </r>
  <r>
    <x v="0"/>
    <n v="1"/>
    <n v="41104"/>
    <n v="41104"/>
    <n v="43012"/>
    <s v="No"/>
    <s v="Y"/>
    <m/>
    <x v="0"/>
    <m/>
    <n v="416043"/>
    <x v="4"/>
    <s v="Nathan"/>
    <s v="Larkins"/>
    <x v="41"/>
    <d v="2015-05-14T00:00:00"/>
    <n v="8.2765229295003415"/>
    <n v="3"/>
    <n v="872"/>
    <n v="872"/>
    <d v="2023-04-25T00:00:00"/>
    <n v="8"/>
    <d v="2024-03-31T00:00:00"/>
    <n v="192"/>
    <n v="185"/>
    <n v="0.96354166666666663"/>
    <s v="open"/>
    <n v="30"/>
    <m/>
    <m/>
    <x v="0"/>
    <x v="0"/>
    <x v="0"/>
    <s v="NO"/>
    <s v="NO"/>
    <s v="NO"/>
    <s v="NO"/>
    <m/>
    <n v="8183.0999999999985"/>
    <s v="SEMH"/>
    <n v="1"/>
    <n v="0.96354166666666663"/>
    <n v="7884.7578124999982"/>
    <n v="7884.7578124999982"/>
    <n v="7884.7578124999982"/>
    <n v="0"/>
    <n v="7884.7578124999982"/>
    <m/>
    <m/>
    <e v="#N/A"/>
    <e v="#N/A"/>
    <e v="#N/A"/>
    <m/>
    <m/>
    <n v="0"/>
    <n v="7884.7578124999982"/>
    <s v=""/>
    <m/>
    <m/>
    <m/>
    <m/>
    <m/>
    <m/>
    <m/>
    <m/>
    <m/>
    <m/>
    <m/>
    <n v="7884.7578124999982"/>
    <m/>
    <m/>
    <m/>
    <m/>
    <m/>
    <m/>
    <m/>
    <n v="7884.7578124999982"/>
    <m/>
    <n v="0"/>
    <n v="7884.7578124999982"/>
    <m/>
    <n v="7884.7578124999982"/>
    <n v="0"/>
    <m/>
  </r>
  <r>
    <x v="0"/>
    <n v="1"/>
    <n v="41104"/>
    <n v="41104"/>
    <n v="43012"/>
    <s v="No"/>
    <s v="Y"/>
    <m/>
    <x v="0"/>
    <m/>
    <n v="440928"/>
    <x v="4"/>
    <s v="Phoebe"/>
    <s v="Lambert"/>
    <x v="42"/>
    <d v="2013-08-23T00:00:00"/>
    <n v="9.9986310746064344"/>
    <n v="4"/>
    <n v="872"/>
    <n v="872"/>
    <d v="2023-04-01T00:00:00"/>
    <n v="1"/>
    <d v="2024-03-31T00:00:00"/>
    <n v="192"/>
    <n v="192"/>
    <n v="1"/>
    <s v="open"/>
    <n v="37"/>
    <m/>
    <m/>
    <x v="0"/>
    <x v="1"/>
    <x v="1"/>
    <s v="NO"/>
    <s v="NO"/>
    <s v="NO"/>
    <s v="NO"/>
    <m/>
    <n v="11492.489999999998"/>
    <s v="PD"/>
    <n v="1"/>
    <n v="1"/>
    <n v="11492.489999999998"/>
    <n v="11492.489999999998"/>
    <n v="11492.489999999998"/>
    <n v="11492.489999999998"/>
    <n v="11492.489999999998"/>
    <m/>
    <m/>
    <e v="#N/A"/>
    <e v="#N/A"/>
    <e v="#N/A"/>
    <m/>
    <m/>
    <n v="0"/>
    <n v="11492.489999999998"/>
    <s v=""/>
    <m/>
    <m/>
    <m/>
    <m/>
    <m/>
    <m/>
    <m/>
    <m/>
    <m/>
    <m/>
    <m/>
    <n v="11492.489999999998"/>
    <m/>
    <m/>
    <m/>
    <m/>
    <m/>
    <m/>
    <m/>
    <n v="11492.489999999998"/>
    <m/>
    <n v="0"/>
    <n v="0"/>
    <m/>
    <n v="11492.489999999998"/>
    <n v="0"/>
    <m/>
  </r>
  <r>
    <x v="0"/>
    <n v="1"/>
    <n v="41104"/>
    <n v="41104"/>
    <n v="43012"/>
    <s v="No"/>
    <s v="Y"/>
    <m/>
    <x v="0"/>
    <m/>
    <n v="448441"/>
    <x v="4"/>
    <s v="Rivika"/>
    <s v="Pachauri"/>
    <x v="43"/>
    <d v="2016-11-10T00:00:00"/>
    <n v="6.7816563997262147"/>
    <n v="1"/>
    <n v="872"/>
    <n v="872"/>
    <d v="2023-04-01T00:00:00"/>
    <n v="1"/>
    <d v="2024-03-31T00:00:00"/>
    <n v="1"/>
    <n v="1"/>
    <n v="1"/>
    <s v="open"/>
    <n v="2260"/>
    <m/>
    <m/>
    <x v="0"/>
    <x v="1"/>
    <x v="1"/>
    <s v="NO"/>
    <s v="NO"/>
    <s v="NO"/>
    <s v="NO"/>
    <m/>
    <n v="2260"/>
    <m/>
    <n v="1"/>
    <n v="1"/>
    <n v="2260"/>
    <n v="2260"/>
    <n v="2260"/>
    <n v="0"/>
    <n v="2260"/>
    <m/>
    <m/>
    <e v="#N/A"/>
    <e v="#N/A"/>
    <e v="#N/A"/>
    <m/>
    <m/>
    <n v="0"/>
    <n v="2260"/>
    <s v=""/>
    <m/>
    <m/>
    <m/>
    <m/>
    <m/>
    <m/>
    <m/>
    <m/>
    <m/>
    <m/>
    <m/>
    <n v="2260"/>
    <m/>
    <m/>
    <m/>
    <m/>
    <m/>
    <m/>
    <m/>
    <n v="2260"/>
    <m/>
    <n v="0"/>
    <n v="2260"/>
    <m/>
    <n v="2260"/>
    <n v="0"/>
    <m/>
  </r>
  <r>
    <x v="0"/>
    <n v="1"/>
    <n v="4001"/>
    <n v="4001"/>
    <n v="43012"/>
    <s v="No"/>
    <s v="Y"/>
    <m/>
    <x v="1"/>
    <m/>
    <n v="383735"/>
    <x v="5"/>
    <s v="Alexander"/>
    <s v="Evans"/>
    <x v="44"/>
    <d v="2009-07-30T00:00:00"/>
    <n v="14.064339493497604"/>
    <n v="9"/>
    <n v="872"/>
    <n v="872"/>
    <d v="2023-04-01T00:00:00"/>
    <n v="1"/>
    <d v="2023-04-26T00:00:00"/>
    <n v="8"/>
    <n v="8"/>
    <n v="4.1666666666666664E-2"/>
    <s v="open"/>
    <n v="25"/>
    <m/>
    <m/>
    <x v="1"/>
    <x v="1"/>
    <x v="0"/>
    <s v="NO"/>
    <s v="NO"/>
    <s v="NO"/>
    <s v="NO"/>
    <m/>
    <n v="5819.25"/>
    <s v="SLCD"/>
    <n v="1"/>
    <n v="4.1666666666666664E-2"/>
    <n v="242.46875"/>
    <n v="242.46875"/>
    <n v="242.46875"/>
    <n v="5819.25"/>
    <n v="5819.25"/>
    <m/>
    <m/>
    <e v="#N/A"/>
    <e v="#N/A"/>
    <e v="#N/A"/>
    <m/>
    <m/>
    <n v="-5576.78125"/>
    <n v="242.46875"/>
    <s v=""/>
    <m/>
    <m/>
    <m/>
    <m/>
    <m/>
    <m/>
    <m/>
    <m/>
    <m/>
    <m/>
    <m/>
    <n v="242.46875"/>
    <m/>
    <m/>
    <m/>
    <m/>
    <m/>
    <m/>
    <m/>
    <n v="242.46875"/>
    <m/>
    <n v="0"/>
    <n v="-5576.78125"/>
    <m/>
    <n v="242.46875"/>
    <n v="0"/>
    <m/>
  </r>
  <r>
    <x v="0"/>
    <n v="1"/>
    <n v="4001"/>
    <n v="4001"/>
    <n v="43012"/>
    <s v="No"/>
    <s v="Y"/>
    <m/>
    <x v="1"/>
    <m/>
    <n v="401272"/>
    <x v="5"/>
    <s v="Alexander"/>
    <s v="Georgiev"/>
    <x v="45"/>
    <d v="2008-01-18T00:00:00"/>
    <n v="15.594798083504449"/>
    <n v="10"/>
    <n v="872"/>
    <n v="872"/>
    <d v="2023-05-12T00:00:00"/>
    <n v="18"/>
    <d v="2024-03-31T00:00:00"/>
    <n v="192"/>
    <n v="175"/>
    <n v="0.91145833333333337"/>
    <s v="open"/>
    <n v="25"/>
    <m/>
    <m/>
    <x v="1"/>
    <x v="1"/>
    <x v="0"/>
    <s v="NO"/>
    <s v="NO"/>
    <s v="NO"/>
    <s v="NO"/>
    <m/>
    <n v="5819.25"/>
    <s v="ASD"/>
    <n v="1"/>
    <n v="0.91145833333333337"/>
    <n v="5304.00390625"/>
    <n v="5304.00390625"/>
    <n v="5304.00390625"/>
    <n v="0"/>
    <n v="5304.00390625"/>
    <m/>
    <m/>
    <e v="#N/A"/>
    <e v="#N/A"/>
    <e v="#N/A"/>
    <m/>
    <m/>
    <n v="0"/>
    <n v="5304.00390625"/>
    <s v=""/>
    <m/>
    <m/>
    <m/>
    <m/>
    <m/>
    <m/>
    <m/>
    <m/>
    <m/>
    <m/>
    <m/>
    <n v="5304.00390625"/>
    <m/>
    <m/>
    <m/>
    <m/>
    <m/>
    <m/>
    <m/>
    <n v="5304.00390625"/>
    <m/>
    <n v="0"/>
    <n v="5304.00390625"/>
    <m/>
    <n v="5304.00390625"/>
    <n v="0"/>
    <m/>
  </r>
  <r>
    <x v="0"/>
    <n v="1"/>
    <n v="4001"/>
    <n v="4001"/>
    <n v="43012"/>
    <s v="No"/>
    <s v="Y"/>
    <m/>
    <x v="1"/>
    <m/>
    <n v="407084"/>
    <x v="5"/>
    <s v="Amber"/>
    <s v="Makemson"/>
    <x v="46"/>
    <d v="2007-08-01T00:00:00"/>
    <n v="16.060232717316907"/>
    <n v="11"/>
    <n v="872"/>
    <n v="872"/>
    <d v="2023-04-01T00:00:00"/>
    <n v="1"/>
    <d v="2023-07-21T00:00:00"/>
    <n v="63"/>
    <n v="63"/>
    <n v="0.328125"/>
    <s v="Yr 11"/>
    <n v="21"/>
    <m/>
    <m/>
    <x v="1"/>
    <x v="1"/>
    <x v="0"/>
    <s v="NO"/>
    <s v="NO"/>
    <s v="NO"/>
    <s v="NO"/>
    <m/>
    <n v="3928.17"/>
    <s v="ASD"/>
    <n v="1"/>
    <n v="0.328125"/>
    <n v="1288.9307812500001"/>
    <n v="1288.9307812500001"/>
    <n v="1288.9307812500001"/>
    <n v="1288.9307812500001"/>
    <n v="1288.9307812500001"/>
    <m/>
    <m/>
    <e v="#N/A"/>
    <e v="#N/A"/>
    <s v="BNLL Col"/>
    <s v="Y"/>
    <n v="2618.7800000000002"/>
    <n v="0"/>
    <n v="1288.9307812500001"/>
    <s v="Bracknell College"/>
    <s v="COLL"/>
    <m/>
    <m/>
    <m/>
    <s v="Bracknell College"/>
    <m/>
    <m/>
    <m/>
    <m/>
    <s v="Y"/>
    <m/>
    <n v="1288.9307812500001"/>
    <s v="COLL"/>
    <m/>
    <m/>
    <m/>
    <m/>
    <m/>
    <m/>
    <n v="1288.9307812500001"/>
    <m/>
    <n v="0"/>
    <n v="0"/>
    <m/>
    <n v="1288.9307812500001"/>
    <n v="0"/>
    <m/>
  </r>
  <r>
    <x v="0"/>
    <n v="1"/>
    <n v="4001"/>
    <n v="4001"/>
    <n v="43012"/>
    <s v="No"/>
    <s v="Y"/>
    <m/>
    <x v="1"/>
    <m/>
    <n v="452039"/>
    <x v="5"/>
    <s v="Arthur"/>
    <s v="Robertson"/>
    <x v="47"/>
    <d v="2009-07-07T00:00:00"/>
    <n v="14.127310061601642"/>
    <n v="9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m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0"/>
    <n v="1"/>
    <n v="4001"/>
    <n v="4001"/>
    <n v="43012"/>
    <s v="No"/>
    <s v="Y"/>
    <m/>
    <x v="1"/>
    <m/>
    <n v="397021"/>
    <x v="5"/>
    <s v="Aura"/>
    <s v="Staughton"/>
    <x v="48"/>
    <d v="2011-06-17T00:00:00"/>
    <n v="12.183436002737851"/>
    <n v="7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SEN Supp"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1"/>
    <n v="1"/>
    <n v="4001"/>
    <n v="4001"/>
    <n v="43012"/>
    <s v="No"/>
    <s v="Y"/>
    <m/>
    <x v="1"/>
    <m/>
    <n v="402002"/>
    <x v="6"/>
    <s v="Christopher"/>
    <s v="Rivers"/>
    <x v="49"/>
    <d v="2012-02-16T00:00:00"/>
    <n v="11.515400410677618"/>
    <n v="7"/>
    <n v="872"/>
    <n v="872"/>
    <d v="2023-09-04T00:00:00"/>
    <n v="66"/>
    <d v="2024-03-31T00:00:00"/>
    <n v="192"/>
    <n v="127"/>
    <n v="0.66145833333333337"/>
    <m/>
    <n v="30"/>
    <m/>
    <m/>
    <x v="0"/>
    <x v="0"/>
    <x v="0"/>
    <s v="NO"/>
    <s v="NO"/>
    <s v="NO"/>
    <s v="NO"/>
    <m/>
    <n v="8183.0999999999985"/>
    <m/>
    <n v="1"/>
    <n v="0.66145833333333337"/>
    <n v="5412.7796874999995"/>
    <n v="5412.7796874999995"/>
    <n v="5412.7796874999995"/>
    <n v="0"/>
    <n v="0"/>
    <m/>
    <m/>
    <m/>
    <m/>
    <m/>
    <m/>
    <m/>
    <n v="5412.7796874999995"/>
    <n v="5412.7796874999995"/>
    <s v="Name Bohunt- Funding approved"/>
    <s v="WBC Academy"/>
    <n v="43012"/>
    <m/>
    <s v="Name Bohunt- Funding approved"/>
    <m/>
    <s v="summer leaver"/>
    <m/>
    <m/>
    <m/>
    <m/>
    <m/>
    <n v="5412.7796874999995"/>
    <m/>
    <m/>
    <m/>
    <m/>
    <m/>
    <m/>
    <m/>
    <n v="5412.7796874999995"/>
    <m/>
    <n v="0"/>
    <n v="5412.7796874999995"/>
    <m/>
    <n v="5412.7796874999995"/>
    <n v="0"/>
    <m/>
  </r>
  <r>
    <x v="0"/>
    <n v="1"/>
    <n v="4001"/>
    <n v="4001"/>
    <n v="43012"/>
    <s v="No"/>
    <s v="Y"/>
    <m/>
    <x v="1"/>
    <m/>
    <n v="375409"/>
    <x v="5"/>
    <s v="Benjamin"/>
    <s v="Brooks"/>
    <x v="50"/>
    <d v="2009-11-23T00:00:00"/>
    <n v="13.746748802190281"/>
    <n v="8"/>
    <n v="872"/>
    <n v="872"/>
    <d v="2023-04-01T00:00:00"/>
    <n v="1"/>
    <d v="2024-03-31T00:00:00"/>
    <n v="192"/>
    <n v="192"/>
    <n v="1"/>
    <s v="open"/>
    <n v="23"/>
    <m/>
    <m/>
    <x v="1"/>
    <x v="1"/>
    <x v="0"/>
    <s v="NO"/>
    <s v="NO"/>
    <s v="NO"/>
    <s v="NO"/>
    <m/>
    <n v="4873.7099999999991"/>
    <s v="ASD"/>
    <n v="1"/>
    <n v="1"/>
    <n v="4873.7099999999991"/>
    <n v="4873.7099999999991"/>
    <n v="4873.7099999999991"/>
    <n v="4873.7099999999991"/>
    <n v="4873.7099999999991"/>
    <m/>
    <m/>
    <e v="#N/A"/>
    <e v="#N/A"/>
    <e v="#N/A"/>
    <m/>
    <m/>
    <n v="0"/>
    <n v="4873.7099999999991"/>
    <s v=""/>
    <m/>
    <m/>
    <m/>
    <m/>
    <m/>
    <m/>
    <m/>
    <m/>
    <m/>
    <m/>
    <m/>
    <n v="4873.7099999999991"/>
    <m/>
    <m/>
    <m/>
    <m/>
    <m/>
    <m/>
    <m/>
    <n v="4873.7099999999991"/>
    <m/>
    <n v="0"/>
    <n v="0"/>
    <m/>
    <n v="4873.7099999999991"/>
    <n v="0"/>
    <m/>
  </r>
  <r>
    <x v="0"/>
    <n v="1"/>
    <n v="4001"/>
    <n v="4001"/>
    <n v="43012"/>
    <s v="No"/>
    <s v="Y"/>
    <m/>
    <x v="1"/>
    <m/>
    <n v="429704"/>
    <x v="5"/>
    <s v="Daniel"/>
    <s v="Taylor"/>
    <x v="51"/>
    <d v="2009-07-09T00:00:00"/>
    <n v="14.121834360027378"/>
    <n v="9"/>
    <n v="872"/>
    <n v="872"/>
    <d v="2023-04-01T00:00:00"/>
    <n v="1"/>
    <d v="2024-03-31T00:00:00"/>
    <n v="192"/>
    <n v="192"/>
    <n v="1"/>
    <s v="open"/>
    <n v="24"/>
    <m/>
    <m/>
    <x v="1"/>
    <x v="1"/>
    <x v="0"/>
    <s v="NO"/>
    <s v="NO"/>
    <s v="NO"/>
    <s v="NO"/>
    <m/>
    <n v="5346.48"/>
    <s v="SEMH"/>
    <n v="1"/>
    <n v="1"/>
    <n v="5346.48"/>
    <n v="5346.48"/>
    <n v="5346.48"/>
    <n v="5346.48"/>
    <n v="5346.48"/>
    <m/>
    <m/>
    <e v="#N/A"/>
    <e v="#N/A"/>
    <e v="#N/A"/>
    <m/>
    <m/>
    <n v="0"/>
    <n v="5346.48"/>
    <s v=""/>
    <m/>
    <m/>
    <m/>
    <m/>
    <m/>
    <m/>
    <m/>
    <m/>
    <m/>
    <m/>
    <m/>
    <n v="5346.48"/>
    <m/>
    <m/>
    <m/>
    <m/>
    <m/>
    <m/>
    <m/>
    <n v="5346.48"/>
    <m/>
    <n v="0"/>
    <n v="0"/>
    <m/>
    <n v="5346.48"/>
    <n v="0"/>
    <m/>
  </r>
  <r>
    <x v="0"/>
    <n v="1"/>
    <n v="4001"/>
    <n v="4001"/>
    <n v="43012"/>
    <s v="No"/>
    <s v="Y"/>
    <m/>
    <x v="1"/>
    <m/>
    <n v="376348"/>
    <x v="5"/>
    <s v="Danuel"/>
    <s v="Roberts"/>
    <x v="52"/>
    <d v="2008-07-08T00:00:00"/>
    <n v="15.123887748117728"/>
    <n v="10"/>
    <n v="872"/>
    <n v="872"/>
    <d v="2023-04-01T00:00:00"/>
    <n v="1"/>
    <d v="2024-03-31T00:00:00"/>
    <n v="192"/>
    <n v="192"/>
    <n v="1"/>
    <s v="open"/>
    <n v="27"/>
    <m/>
    <m/>
    <x v="0"/>
    <x v="0"/>
    <x v="0"/>
    <s v="NO"/>
    <s v="NO"/>
    <s v="NO"/>
    <s v="NO"/>
    <m/>
    <n v="6764.7899999999991"/>
    <s v="ASD"/>
    <n v="1"/>
    <n v="1"/>
    <n v="6764.7899999999991"/>
    <n v="6764.7899999999991"/>
    <n v="6764.7899999999991"/>
    <n v="6764.7899999999991"/>
    <n v="6764.7899999999991"/>
    <m/>
    <m/>
    <e v="#N/A"/>
    <e v="#N/A"/>
    <e v="#N/A"/>
    <m/>
    <m/>
    <n v="0"/>
    <n v="6764.7899999999991"/>
    <s v=""/>
    <m/>
    <m/>
    <m/>
    <m/>
    <m/>
    <m/>
    <m/>
    <m/>
    <m/>
    <m/>
    <m/>
    <n v="6764.7899999999991"/>
    <m/>
    <m/>
    <m/>
    <m/>
    <m/>
    <m/>
    <m/>
    <n v="6764.7899999999991"/>
    <m/>
    <n v="0"/>
    <n v="0"/>
    <m/>
    <n v="6764.7899999999991"/>
    <n v="0"/>
    <m/>
  </r>
  <r>
    <x v="0"/>
    <n v="1"/>
    <n v="4001"/>
    <n v="4001"/>
    <n v="43012"/>
    <s v="No"/>
    <s v="Y"/>
    <m/>
    <x v="1"/>
    <m/>
    <n v="376530"/>
    <x v="5"/>
    <s v="Dev"/>
    <s v="Pawar"/>
    <x v="53"/>
    <d v="2009-06-30T00:00:00"/>
    <n v="14.146475017111568"/>
    <n v="9"/>
    <n v="872"/>
    <n v="872"/>
    <d v="2023-04-01T00:00:00"/>
    <n v="1"/>
    <d v="2024-03-31T00:00:00"/>
    <n v="192"/>
    <n v="192"/>
    <n v="1"/>
    <s v="open"/>
    <n v="23"/>
    <m/>
    <m/>
    <x v="1"/>
    <x v="1"/>
    <x v="0"/>
    <s v="NO"/>
    <s v="NO"/>
    <s v="NO"/>
    <s v="NO"/>
    <m/>
    <n v="4873.7099999999991"/>
    <s v="SLD"/>
    <n v="1"/>
    <n v="1"/>
    <n v="4873.7099999999991"/>
    <n v="4873.7099999999991"/>
    <n v="4873.7099999999991"/>
    <n v="4873.7099999999991"/>
    <n v="4873.7099999999991"/>
    <m/>
    <m/>
    <e v="#N/A"/>
    <e v="#N/A"/>
    <e v="#N/A"/>
    <m/>
    <m/>
    <n v="0"/>
    <n v="4873.7099999999991"/>
    <s v=""/>
    <m/>
    <m/>
    <m/>
    <m/>
    <m/>
    <m/>
    <m/>
    <m/>
    <m/>
    <m/>
    <m/>
    <n v="4873.7099999999991"/>
    <m/>
    <m/>
    <m/>
    <m/>
    <m/>
    <m/>
    <m/>
    <n v="4873.7099999999991"/>
    <m/>
    <n v="0"/>
    <n v="0"/>
    <m/>
    <n v="4873.7099999999991"/>
    <n v="0"/>
    <m/>
  </r>
  <r>
    <x v="0"/>
    <n v="1"/>
    <n v="4001"/>
    <n v="4001"/>
    <n v="43012"/>
    <s v="No"/>
    <s v="Y"/>
    <m/>
    <x v="1"/>
    <m/>
    <n v="430228"/>
    <x v="5"/>
    <s v="Erin"/>
    <s v="Bane"/>
    <x v="54"/>
    <d v="2009-06-23T00:00:00"/>
    <n v="14.165639972621491"/>
    <n v="9"/>
    <n v="872"/>
    <n v="872"/>
    <d v="2023-05-23T00:00:00"/>
    <n v="26"/>
    <d v="2024-03-31T00:00:00"/>
    <n v="192"/>
    <n v="167"/>
    <n v="0.86979166666666663"/>
    <s v="open"/>
    <n v="30"/>
    <m/>
    <m/>
    <x v="0"/>
    <x v="0"/>
    <x v="0"/>
    <s v="NO"/>
    <s v="NO"/>
    <s v="NO"/>
    <s v="NO"/>
    <m/>
    <n v="8183.0999999999985"/>
    <m/>
    <n v="1"/>
    <n v="0.86979166666666663"/>
    <n v="7117.5921874999985"/>
    <n v="7117.5921874999985"/>
    <n v="7117.5921874999985"/>
    <n v="0"/>
    <n v="0"/>
    <m/>
    <m/>
    <m/>
    <m/>
    <m/>
    <m/>
    <m/>
    <n v="7117.5921874999985"/>
    <n v="7117.5921874999985"/>
    <s v=""/>
    <m/>
    <m/>
    <m/>
    <m/>
    <m/>
    <m/>
    <m/>
    <m/>
    <m/>
    <m/>
    <m/>
    <n v="7117.5921874999985"/>
    <m/>
    <m/>
    <m/>
    <m/>
    <m/>
    <m/>
    <m/>
    <n v="7117.5921874999985"/>
    <m/>
    <n v="0"/>
    <n v="7117.5921874999985"/>
    <m/>
    <n v="7117.5921874999985"/>
    <n v="0"/>
    <m/>
  </r>
  <r>
    <x v="0"/>
    <n v="1"/>
    <n v="4001"/>
    <n v="4001"/>
    <n v="43012"/>
    <s v="No"/>
    <s v="Y"/>
    <m/>
    <x v="1"/>
    <m/>
    <n v="375252"/>
    <x v="5"/>
    <s v="Esme"/>
    <s v="Mackey"/>
    <x v="55"/>
    <d v="2008-02-20T00:00:00"/>
    <n v="15.504449007529089"/>
    <n v="10"/>
    <n v="872"/>
    <n v="872"/>
    <d v="2023-04-01T00:00:00"/>
    <n v="1"/>
    <d v="2024-03-31T00:00:00"/>
    <n v="192"/>
    <n v="192"/>
    <n v="1"/>
    <s v="open"/>
    <n v="21"/>
    <m/>
    <m/>
    <x v="1"/>
    <x v="1"/>
    <x v="0"/>
    <s v="NO"/>
    <s v="NO"/>
    <s v="NO"/>
    <s v="NO"/>
    <m/>
    <n v="3928.17"/>
    <s v="ASD"/>
    <n v="1"/>
    <n v="1"/>
    <n v="3928.17"/>
    <n v="3928.17"/>
    <n v="3928.17"/>
    <n v="3928.17"/>
    <n v="3928.17"/>
    <m/>
    <m/>
    <e v="#N/A"/>
    <e v="#N/A"/>
    <e v="#N/A"/>
    <m/>
    <m/>
    <n v="0"/>
    <n v="3928.17"/>
    <s v=""/>
    <m/>
    <m/>
    <m/>
    <m/>
    <m/>
    <m/>
    <m/>
    <m/>
    <m/>
    <m/>
    <m/>
    <n v="3928.17"/>
    <m/>
    <m/>
    <m/>
    <m/>
    <m/>
    <m/>
    <m/>
    <n v="3928.17"/>
    <m/>
    <n v="0"/>
    <n v="0"/>
    <m/>
    <n v="3928.17"/>
    <n v="0"/>
    <m/>
  </r>
  <r>
    <x v="0"/>
    <n v="1"/>
    <n v="4001"/>
    <n v="4001"/>
    <n v="43012"/>
    <s v="No"/>
    <s v="Y"/>
    <m/>
    <x v="1"/>
    <m/>
    <n v="367126"/>
    <x v="5"/>
    <s v="Ethan"/>
    <s v="Shaw"/>
    <x v="56"/>
    <d v="2007-08-17T00:00:00"/>
    <n v="16.016427104722794"/>
    <n v="11"/>
    <n v="872"/>
    <n v="872"/>
    <d v="2023-04-01T00:00:00"/>
    <n v="1"/>
    <d v="2023-07-21T00:00:00"/>
    <n v="63"/>
    <n v="63"/>
    <n v="0.328125"/>
    <s v="Yr 11"/>
    <n v="30"/>
    <m/>
    <m/>
    <x v="0"/>
    <x v="0"/>
    <x v="0"/>
    <s v="NO"/>
    <s v="NO"/>
    <s v="NO"/>
    <s v="NO"/>
    <m/>
    <n v="8183.0999999999985"/>
    <s v="ASD"/>
    <n v="1"/>
    <n v="0.328125"/>
    <n v="2685.0796874999996"/>
    <n v="2685.0796874999996"/>
    <n v="2685.0796874999996"/>
    <n v="2685.0796874999996"/>
    <n v="2685.0796874999996"/>
    <m/>
    <m/>
    <e v="#N/A"/>
    <e v="#N/A"/>
    <s v="Reading coll"/>
    <s v="Y"/>
    <n v="5455.3999999999987"/>
    <n v="0"/>
    <n v="2685.0796874999996"/>
    <s v="Reading College"/>
    <s v="COLL"/>
    <m/>
    <m/>
    <m/>
    <s v="Reading College"/>
    <m/>
    <m/>
    <m/>
    <m/>
    <s v="Y"/>
    <m/>
    <n v="2685.0796874999996"/>
    <s v="COLL"/>
    <m/>
    <m/>
    <m/>
    <m/>
    <m/>
    <m/>
    <n v="2685.0796874999996"/>
    <m/>
    <n v="0"/>
    <n v="0"/>
    <m/>
    <n v="2685.0796874999996"/>
    <n v="0"/>
    <m/>
  </r>
  <r>
    <x v="1"/>
    <n v="1"/>
    <n v="4001"/>
    <n v="4001"/>
    <n v="43012"/>
    <s v="No"/>
    <s v="Y"/>
    <m/>
    <x v="1"/>
    <s v="AP"/>
    <n v="367126"/>
    <x v="5"/>
    <s v="Ethan"/>
    <s v="Shaw"/>
    <x v="56"/>
    <d v="2007-08-17T00:00:00"/>
    <n v="16.016427104722794"/>
    <n v="11"/>
    <n v="872"/>
    <n v="872"/>
    <d v="2023-04-01T00:00:00"/>
    <n v="1"/>
    <d v="2023-07-21T00:00:00"/>
    <n v="63"/>
    <n v="63"/>
    <n v="0.328125"/>
    <s v="Yr 11"/>
    <s v="TOP"/>
    <m/>
    <m/>
    <x v="0"/>
    <x v="1"/>
    <x v="1"/>
    <s v="NO"/>
    <s v="NO"/>
    <s v="NO"/>
    <s v="NO"/>
    <m/>
    <n v="11137.8"/>
    <s v="ASD"/>
    <n v="1"/>
    <n v="0.328125"/>
    <n v="3654.5906249999998"/>
    <n v="3654.5906249999998"/>
    <n v="3654.5906249999998"/>
    <n v="3654.5906249999998"/>
    <n v="3654.5906249999998"/>
    <m/>
    <m/>
    <e v="#N/A"/>
    <e v="#N/A"/>
    <e v="#N/A"/>
    <m/>
    <m/>
    <n v="0"/>
    <n v="3654.5906249999998"/>
    <s v="Reading College"/>
    <s v="COLL"/>
    <m/>
    <m/>
    <m/>
    <s v="Reading College"/>
    <m/>
    <m/>
    <m/>
    <m/>
    <s v="Y"/>
    <m/>
    <n v="3654.5906249999998"/>
    <s v="COLL"/>
    <m/>
    <m/>
    <m/>
    <m/>
    <m/>
    <m/>
    <n v="3654.5906249999998"/>
    <m/>
    <n v="0"/>
    <n v="0"/>
    <m/>
    <n v="3654.5906249999998"/>
    <n v="0"/>
    <m/>
  </r>
  <r>
    <x v="0"/>
    <n v="1"/>
    <n v="4001"/>
    <n v="4001"/>
    <n v="43012"/>
    <s v="No"/>
    <s v="Y"/>
    <m/>
    <x v="1"/>
    <m/>
    <n v="389945"/>
    <x v="5"/>
    <s v="Filip"/>
    <s v="Mickiewicz"/>
    <x v="57"/>
    <d v="2010-03-22T00:00:00"/>
    <n v="13.42094455852156"/>
    <n v="8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ASD"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0"/>
    <n v="1"/>
    <n v="4001"/>
    <n v="4001"/>
    <n v="43012"/>
    <s v="No"/>
    <s v="Y"/>
    <m/>
    <x v="1"/>
    <m/>
    <n v="390833"/>
    <x v="5"/>
    <s v="Frankie"/>
    <s v="Mansell-Chisholm"/>
    <x v="58"/>
    <d v="2010-03-08T00:00:00"/>
    <n v="13.459274469541411"/>
    <n v="8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SLCD"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0"/>
    <n v="1"/>
    <n v="4001"/>
    <n v="4001"/>
    <n v="43012"/>
    <s v="No"/>
    <s v="Y"/>
    <m/>
    <x v="1"/>
    <m/>
    <n v="373829"/>
    <x v="5"/>
    <s v="Kasra"/>
    <s v="Tayebi"/>
    <x v="59"/>
    <d v="2007-12-07T00:00:00"/>
    <n v="15.709787816563997"/>
    <n v="10"/>
    <n v="872"/>
    <n v="872"/>
    <d v="2023-04-01T00:00:00"/>
    <n v="1"/>
    <d v="2024-03-31T00:00:00"/>
    <n v="192"/>
    <n v="192"/>
    <n v="1"/>
    <s v="open"/>
    <n v="26"/>
    <m/>
    <m/>
    <x v="0"/>
    <x v="0"/>
    <x v="0"/>
    <s v="NO"/>
    <s v="NO"/>
    <s v="NO"/>
    <s v="NO"/>
    <m/>
    <n v="6292.02"/>
    <s v="ASD"/>
    <n v="1"/>
    <n v="1"/>
    <n v="6292.02"/>
    <n v="6292.02"/>
    <n v="6292.02"/>
    <n v="6292.02"/>
    <n v="6292.02"/>
    <m/>
    <m/>
    <e v="#N/A"/>
    <e v="#N/A"/>
    <e v="#N/A"/>
    <m/>
    <m/>
    <n v="0"/>
    <n v="6292.02"/>
    <s v=""/>
    <m/>
    <m/>
    <m/>
    <m/>
    <m/>
    <m/>
    <m/>
    <m/>
    <m/>
    <m/>
    <m/>
    <n v="6292.02"/>
    <m/>
    <m/>
    <m/>
    <m/>
    <m/>
    <m/>
    <m/>
    <n v="6292.02"/>
    <m/>
    <n v="0"/>
    <n v="0"/>
    <m/>
    <n v="6292.02"/>
    <n v="0"/>
    <m/>
  </r>
  <r>
    <x v="0"/>
    <n v="1"/>
    <n v="4001"/>
    <n v="4001"/>
    <n v="43012"/>
    <s v="No"/>
    <s v="Y"/>
    <m/>
    <x v="1"/>
    <m/>
    <n v="392424"/>
    <x v="5"/>
    <s v="Kushaan"/>
    <s v="Roy"/>
    <x v="60"/>
    <d v="2010-11-04T00:00:00"/>
    <n v="12.799452429842573"/>
    <n v="7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m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0"/>
    <n v="1"/>
    <n v="4001"/>
    <n v="4001"/>
    <n v="43012"/>
    <s v="No"/>
    <s v="Y"/>
    <m/>
    <x v="1"/>
    <m/>
    <n v="378714"/>
    <x v="5"/>
    <s v="Layton"/>
    <s v="Brown"/>
    <x v="61"/>
    <d v="2009-12-10T00:00:00"/>
    <n v="13.700205338809035"/>
    <n v="8"/>
    <n v="872"/>
    <n v="872"/>
    <d v="2023-04-01T00:00:00"/>
    <n v="1"/>
    <d v="2024-03-31T00:00:00"/>
    <n v="192"/>
    <n v="192"/>
    <n v="1"/>
    <s v="open"/>
    <n v="29"/>
    <m/>
    <m/>
    <x v="0"/>
    <x v="0"/>
    <x v="0"/>
    <s v="NO"/>
    <s v="NO"/>
    <s v="NO"/>
    <s v="NO"/>
    <m/>
    <n v="7710.33"/>
    <s v="MLD"/>
    <n v="1"/>
    <n v="1"/>
    <n v="7710.33"/>
    <n v="7710.33"/>
    <n v="7710.33"/>
    <n v="7710.33"/>
    <n v="7710.33"/>
    <m/>
    <m/>
    <e v="#N/A"/>
    <e v="#N/A"/>
    <e v="#N/A"/>
    <m/>
    <m/>
    <n v="0"/>
    <n v="7710.33"/>
    <s v=""/>
    <m/>
    <m/>
    <m/>
    <m/>
    <m/>
    <m/>
    <m/>
    <m/>
    <m/>
    <m/>
    <m/>
    <n v="7710.33"/>
    <m/>
    <m/>
    <m/>
    <m/>
    <m/>
    <m/>
    <m/>
    <n v="7710.33"/>
    <m/>
    <n v="0"/>
    <n v="0"/>
    <m/>
    <n v="7710.33"/>
    <n v="0"/>
    <m/>
  </r>
  <r>
    <x v="0"/>
    <n v="1"/>
    <n v="4001"/>
    <n v="4001"/>
    <n v="43012"/>
    <s v="No"/>
    <s v="Y"/>
    <m/>
    <x v="1"/>
    <m/>
    <n v="374969"/>
    <x v="5"/>
    <s v="Leah"/>
    <s v="Bass"/>
    <x v="62"/>
    <d v="2008-01-01T00:00:00"/>
    <n v="15.641341546885695"/>
    <n v="10"/>
    <n v="872"/>
    <n v="872"/>
    <d v="2023-04-01T00:00:00"/>
    <n v="1"/>
    <d v="2024-03-31T00:00:00"/>
    <n v="192"/>
    <n v="192"/>
    <n v="1"/>
    <s v="open"/>
    <n v="45900"/>
    <m/>
    <m/>
    <x v="0"/>
    <x v="1"/>
    <x v="1"/>
    <s v="NO"/>
    <s v="NO"/>
    <s v="NO"/>
    <s v="NO"/>
    <m/>
    <n v="45900"/>
    <s v="SEMH"/>
    <n v="1"/>
    <n v="1"/>
    <n v="45900"/>
    <n v="45900"/>
    <n v="45900"/>
    <n v="8183.0999999999985"/>
    <n v="45900"/>
    <m/>
    <m/>
    <e v="#N/A"/>
    <e v="#N/A"/>
    <e v="#N/A"/>
    <m/>
    <m/>
    <n v="0"/>
    <n v="45900"/>
    <s v=""/>
    <m/>
    <m/>
    <m/>
    <m/>
    <m/>
    <m/>
    <m/>
    <m/>
    <m/>
    <m/>
    <m/>
    <n v="45900"/>
    <m/>
    <m/>
    <m/>
    <m/>
    <m/>
    <m/>
    <m/>
    <n v="45900"/>
    <m/>
    <n v="0"/>
    <n v="37716.9"/>
    <m/>
    <n v="45900"/>
    <n v="0"/>
    <m/>
  </r>
  <r>
    <x v="0"/>
    <n v="1"/>
    <n v="4001"/>
    <n v="4001"/>
    <n v="43012"/>
    <s v="No"/>
    <s v="Y"/>
    <m/>
    <x v="1"/>
    <m/>
    <n v="389593"/>
    <x v="5"/>
    <s v="Guest"/>
    <s v="Megan"/>
    <x v="63"/>
    <d v="2010-06-21T00:00:00"/>
    <n v="13.171800136892539"/>
    <n v="8"/>
    <n v="872"/>
    <n v="872"/>
    <d v="2023-07-21T00:00:00"/>
    <m/>
    <d v="2024-03-31T00:00:00"/>
    <m/>
    <m/>
    <n v="1"/>
    <s v="open"/>
    <n v="30"/>
    <m/>
    <m/>
    <x v="0"/>
    <x v="0"/>
    <x v="0"/>
    <s v="NO"/>
    <s v="NO"/>
    <s v="NO"/>
    <s v="NO"/>
    <m/>
    <n v="8183.0999999999985"/>
    <s v="Spfc LD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m/>
  </r>
  <r>
    <x v="0"/>
    <n v="1"/>
    <n v="4001"/>
    <n v="4001"/>
    <n v="43012"/>
    <s v="No"/>
    <s v="Y"/>
    <m/>
    <x v="1"/>
    <m/>
    <n v="379184"/>
    <x v="5"/>
    <s v="Matthew"/>
    <s v="Rolland"/>
    <x v="64"/>
    <d v="2008-10-10T00:00:00"/>
    <n v="14.86652977412731"/>
    <n v="9"/>
    <n v="872"/>
    <n v="872"/>
    <d v="2023-04-01T00:00:00"/>
    <n v="1"/>
    <d v="2024-03-31T00:00:00"/>
    <n v="192"/>
    <n v="192"/>
    <n v="1"/>
    <s v="open"/>
    <n v="29"/>
    <m/>
    <m/>
    <x v="0"/>
    <x v="0"/>
    <x v="0"/>
    <s v="NO"/>
    <s v="NO"/>
    <s v="NO"/>
    <s v="NO"/>
    <m/>
    <n v="7710.33"/>
    <s v="ASD"/>
    <n v="1"/>
    <n v="1"/>
    <n v="7710.33"/>
    <n v="7710.33"/>
    <n v="7710.33"/>
    <n v="7710.33"/>
    <n v="7710.33"/>
    <m/>
    <m/>
    <e v="#N/A"/>
    <e v="#N/A"/>
    <e v="#N/A"/>
    <m/>
    <m/>
    <n v="0"/>
    <n v="7710.33"/>
    <s v=""/>
    <m/>
    <m/>
    <m/>
    <m/>
    <m/>
    <m/>
    <m/>
    <m/>
    <m/>
    <m/>
    <m/>
    <n v="7710.33"/>
    <m/>
    <m/>
    <m/>
    <m/>
    <m/>
    <m/>
    <m/>
    <n v="7710.33"/>
    <m/>
    <n v="0"/>
    <n v="0"/>
    <m/>
    <n v="7710.33"/>
    <n v="0"/>
    <m/>
  </r>
  <r>
    <x v="0"/>
    <n v="1"/>
    <n v="4001"/>
    <n v="4001"/>
    <n v="43012"/>
    <s v="No"/>
    <s v="Y"/>
    <m/>
    <x v="1"/>
    <m/>
    <n v="445768"/>
    <x v="5"/>
    <s v="Nia"/>
    <s v="Silver"/>
    <x v="65"/>
    <d v="2009-07-23T00:00:00"/>
    <n v="14.083504449007529"/>
    <n v="9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SEMH"/>
    <n v="1"/>
    <n v="1"/>
    <n v="8183.0999999999985"/>
    <n v="8183.0999999999985"/>
    <n v="8183.0999999999985"/>
    <n v="0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8183.0999999999985"/>
    <m/>
    <n v="8183.0999999999985"/>
    <n v="0"/>
    <m/>
  </r>
  <r>
    <x v="0"/>
    <n v="1"/>
    <n v="4001"/>
    <n v="4001"/>
    <n v="43012"/>
    <s v="No"/>
    <s v="Y"/>
    <m/>
    <x v="1"/>
    <m/>
    <n v="369045"/>
    <x v="5"/>
    <s v="Oliver"/>
    <s v="Lincoln"/>
    <x v="66"/>
    <d v="2007-02-20T00:00:00"/>
    <n v="16.503764544832308"/>
    <n v="11"/>
    <n v="872"/>
    <n v="872"/>
    <d v="2023-04-01T00:00:00"/>
    <n v="1"/>
    <d v="2023-07-21T00:00:00"/>
    <n v="63"/>
    <n v="63"/>
    <n v="0.328125"/>
    <s v="Yr 11"/>
    <n v="29"/>
    <m/>
    <m/>
    <x v="0"/>
    <x v="0"/>
    <x v="0"/>
    <s v="NO"/>
    <s v="NO"/>
    <s v="NO"/>
    <s v="NO"/>
    <m/>
    <n v="7710.33"/>
    <s v="MDI"/>
    <n v="1"/>
    <n v="0.328125"/>
    <n v="2529.9520312499999"/>
    <n v="2529.9520312499999"/>
    <n v="2529.9520312499999"/>
    <n v="2529.9520312499999"/>
    <n v="2529.9520312499999"/>
    <m/>
    <m/>
    <e v="#N/A"/>
    <e v="#N/A"/>
    <s v="Reading coll"/>
    <s v="Y"/>
    <n v="5140.22"/>
    <n v="0"/>
    <n v="2529.9520312499999"/>
    <s v="Reading College"/>
    <s v="COLL"/>
    <m/>
    <m/>
    <m/>
    <s v="Reading College"/>
    <m/>
    <m/>
    <m/>
    <m/>
    <s v="Y"/>
    <m/>
    <n v="2529.9520312499999"/>
    <s v="COLL"/>
    <m/>
    <m/>
    <m/>
    <m/>
    <m/>
    <m/>
    <n v="2529.9520312499999"/>
    <m/>
    <n v="0"/>
    <n v="0"/>
    <m/>
    <n v="2529.9520312499999"/>
    <n v="0"/>
    <m/>
  </r>
  <r>
    <x v="1"/>
    <n v="1"/>
    <n v="4001"/>
    <n v="4001"/>
    <n v="43012"/>
    <s v="No"/>
    <s v="Y"/>
    <m/>
    <x v="1"/>
    <s v="AP"/>
    <n v="369045"/>
    <x v="5"/>
    <s v="Oliver"/>
    <s v="Lincoln"/>
    <x v="66"/>
    <d v="2007-02-20T00:00:00"/>
    <n v="16.503764544832308"/>
    <n v="11"/>
    <n v="872"/>
    <n v="872"/>
    <d v="2023-04-01T00:00:00"/>
    <n v="1"/>
    <d v="2023-04-01T00:00:00"/>
    <n v="0"/>
    <n v="0"/>
    <n v="0"/>
    <s v="Yr 11"/>
    <n v="14659.04"/>
    <m/>
    <m/>
    <x v="0"/>
    <x v="1"/>
    <x v="1"/>
    <s v="NO"/>
    <s v="NO"/>
    <s v="NO"/>
    <s v="NO"/>
    <m/>
    <n v="14659.04"/>
    <s v="PD"/>
    <n v="1"/>
    <n v="0"/>
    <n v="0"/>
    <n v="0"/>
    <n v="0"/>
    <n v="4809.9975000000004"/>
    <n v="0"/>
    <m/>
    <m/>
    <e v="#N/A"/>
    <e v="#N/A"/>
    <e v="#N/A"/>
    <m/>
    <m/>
    <n v="0"/>
    <n v="0"/>
    <s v="Reading College"/>
    <s v="COLL"/>
    <m/>
    <m/>
    <m/>
    <s v="Reading College"/>
    <m/>
    <m/>
    <m/>
    <m/>
    <s v="Y"/>
    <m/>
    <n v="0"/>
    <s v="COLL"/>
    <m/>
    <m/>
    <m/>
    <m/>
    <m/>
    <m/>
    <n v="0"/>
    <m/>
    <n v="0"/>
    <n v="-4809.9975000000004"/>
    <m/>
    <n v="0"/>
    <n v="0"/>
    <m/>
  </r>
  <r>
    <x v="1"/>
    <n v="1"/>
    <n v="4001"/>
    <n v="4001"/>
    <n v="43012"/>
    <s v="No"/>
    <s v="Y"/>
    <m/>
    <x v="1"/>
    <s v="AD"/>
    <n v="369045"/>
    <x v="5"/>
    <s v="Oliver"/>
    <s v="Lincoln"/>
    <x v="66"/>
    <d v="2007-02-20T00:00:00"/>
    <n v="16.503764544832308"/>
    <n v="11"/>
    <n v="872"/>
    <n v="872"/>
    <d v="2023-04-01T00:00:00"/>
    <n v="1"/>
    <d v="2023-07-23T00:00:00"/>
    <n v="63"/>
    <n v="63"/>
    <n v="0.328125"/>
    <s v="Yr 11"/>
    <n v="1140"/>
    <m/>
    <m/>
    <x v="0"/>
    <x v="1"/>
    <x v="1"/>
    <s v="NO"/>
    <s v="NO"/>
    <s v="NO"/>
    <s v="NO"/>
    <m/>
    <n v="1140"/>
    <s v="PD"/>
    <n v="1"/>
    <n v="0.328125"/>
    <n v="374.0625"/>
    <n v="1140"/>
    <n v="1140"/>
    <n v="0"/>
    <n v="0"/>
    <m/>
    <m/>
    <e v="#N/A"/>
    <e v="#N/A"/>
    <e v="#N/A"/>
    <m/>
    <m/>
    <n v="1140"/>
    <n v="1140"/>
    <s v="Reading College"/>
    <s v="COLL"/>
    <m/>
    <m/>
    <m/>
    <s v="Reading College"/>
    <m/>
    <m/>
    <m/>
    <m/>
    <s v="Y"/>
    <m/>
    <n v="1140"/>
    <s v="COLL"/>
    <m/>
    <m/>
    <m/>
    <m/>
    <m/>
    <m/>
    <n v="1140"/>
    <m/>
    <n v="0"/>
    <n v="1140"/>
    <m/>
    <n v="1140"/>
    <n v="0"/>
    <m/>
  </r>
  <r>
    <x v="0"/>
    <n v="1"/>
    <n v="4001"/>
    <n v="4001"/>
    <n v="43012"/>
    <s v="No"/>
    <s v="Y"/>
    <m/>
    <x v="1"/>
    <m/>
    <n v="410725"/>
    <x v="5"/>
    <s v="Princess"/>
    <s v="Huckle"/>
    <x v="67"/>
    <d v="2011-08-04T00:00:00"/>
    <n v="12.05201916495551"/>
    <n v="7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PD"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0"/>
    <n v="1"/>
    <n v="4001"/>
    <n v="4001"/>
    <n v="43012"/>
    <s v="No"/>
    <s v="Y"/>
    <m/>
    <x v="1"/>
    <m/>
    <n v="374908"/>
    <x v="5"/>
    <s v="Rebecca"/>
    <s v="Morris"/>
    <x v="68"/>
    <d v="2008-05-01T00:00:00"/>
    <n v="15.31006160164271"/>
    <n v="10"/>
    <n v="872"/>
    <n v="872"/>
    <d v="2023-05-26T00:00:00"/>
    <n v="29"/>
    <d v="2024-03-31T00:00:00"/>
    <n v="192"/>
    <n v="164"/>
    <n v="0.85416666666666663"/>
    <s v="open"/>
    <n v="30"/>
    <m/>
    <m/>
    <x v="0"/>
    <x v="0"/>
    <x v="0"/>
    <s v="NO"/>
    <s v="NO"/>
    <s v="NO"/>
    <s v="NO"/>
    <m/>
    <n v="8183.0999999999985"/>
    <s v="ASD"/>
    <n v="1"/>
    <n v="0.85416666666666663"/>
    <n v="6989.7312499999989"/>
    <n v="6989.7312499999989"/>
    <n v="6989.7312499999989"/>
    <n v="0"/>
    <n v="0"/>
    <m/>
    <m/>
    <m/>
    <m/>
    <m/>
    <m/>
    <m/>
    <n v="6989.7312499999989"/>
    <n v="6989.7312499999989"/>
    <s v=""/>
    <m/>
    <m/>
    <m/>
    <m/>
    <m/>
    <m/>
    <m/>
    <m/>
    <m/>
    <m/>
    <m/>
    <n v="6989.7312499999989"/>
    <m/>
    <m/>
    <m/>
    <m/>
    <m/>
    <m/>
    <m/>
    <n v="6989.7312499999989"/>
    <m/>
    <n v="0"/>
    <n v="6989.7312499999989"/>
    <m/>
    <n v="6989.7312499999989"/>
    <n v="0"/>
    <m/>
  </r>
  <r>
    <x v="0"/>
    <n v="1"/>
    <n v="4001"/>
    <n v="4001"/>
    <n v="43012"/>
    <s v="No"/>
    <s v="Y"/>
    <m/>
    <x v="1"/>
    <m/>
    <n v="418824"/>
    <x v="5"/>
    <s v="Reece"/>
    <s v="Byron"/>
    <x v="69"/>
    <d v="2008-04-14T00:00:00"/>
    <n v="15.356605065023956"/>
    <n v="10"/>
    <n v="872"/>
    <n v="872"/>
    <d v="2023-04-01T00:00:00"/>
    <n v="1"/>
    <d v="2024-03-31T00:00:00"/>
    <n v="192"/>
    <n v="192"/>
    <n v="1"/>
    <s v="open"/>
    <n v="26"/>
    <m/>
    <m/>
    <x v="0"/>
    <x v="0"/>
    <x v="0"/>
    <s v="NO"/>
    <s v="NO"/>
    <s v="NO"/>
    <s v="NO"/>
    <m/>
    <n v="6292.02"/>
    <s v="ASD"/>
    <n v="1"/>
    <n v="1"/>
    <n v="6292.02"/>
    <n v="6292.02"/>
    <n v="6292.02"/>
    <n v="6292.02"/>
    <n v="6292.02"/>
    <m/>
    <m/>
    <e v="#N/A"/>
    <e v="#N/A"/>
    <e v="#N/A"/>
    <m/>
    <m/>
    <n v="0"/>
    <n v="6292.02"/>
    <s v=""/>
    <m/>
    <m/>
    <m/>
    <m/>
    <m/>
    <m/>
    <m/>
    <m/>
    <m/>
    <m/>
    <m/>
    <n v="6292.02"/>
    <m/>
    <m/>
    <m/>
    <m/>
    <m/>
    <m/>
    <m/>
    <n v="6292.02"/>
    <m/>
    <n v="0"/>
    <n v="0"/>
    <m/>
    <n v="6292.02"/>
    <n v="0"/>
    <m/>
  </r>
  <r>
    <x v="0"/>
    <n v="1"/>
    <n v="4001"/>
    <n v="4001"/>
    <n v="43012"/>
    <s v="No"/>
    <s v="Y"/>
    <m/>
    <x v="1"/>
    <m/>
    <n v="371226"/>
    <x v="5"/>
    <s v="Scott"/>
    <s v="Bacon-Croad"/>
    <x v="70"/>
    <d v="2007-07-24T00:00:00"/>
    <n v="16.082135523613964"/>
    <n v="11"/>
    <n v="872"/>
    <n v="872"/>
    <d v="2023-04-01T00:00:00"/>
    <n v="1"/>
    <d v="2023-07-21T00:00:00"/>
    <n v="63"/>
    <n v="63"/>
    <n v="0.328125"/>
    <s v="Yr 11"/>
    <n v="27"/>
    <m/>
    <m/>
    <x v="0"/>
    <x v="0"/>
    <x v="0"/>
    <s v="NO"/>
    <s v="NO"/>
    <s v="NO"/>
    <s v="NO"/>
    <m/>
    <n v="6764.7899999999991"/>
    <s v="ASD"/>
    <n v="1"/>
    <n v="0.328125"/>
    <n v="2219.6967187499995"/>
    <n v="2219.6967187499995"/>
    <n v="2219.6967187499995"/>
    <n v="2219.6967187499995"/>
    <n v="2219.6967187499995"/>
    <m/>
    <m/>
    <e v="#N/A"/>
    <e v="#N/A"/>
    <s v="FCT"/>
    <s v="Y"/>
    <n v="4509.8599999999997"/>
    <n v="0"/>
    <n v="2219.6967187499995"/>
    <s v="Farnborough College of Technology"/>
    <s v="COLL"/>
    <m/>
    <m/>
    <m/>
    <s v="Farnborough College of Technology"/>
    <m/>
    <m/>
    <m/>
    <m/>
    <s v="Y"/>
    <m/>
    <n v="2219.6967187499995"/>
    <s v="COLL"/>
    <m/>
    <m/>
    <m/>
    <m/>
    <m/>
    <m/>
    <n v="2219.6967187499995"/>
    <m/>
    <n v="0"/>
    <n v="0"/>
    <m/>
    <n v="2219.6967187499995"/>
    <n v="0"/>
    <m/>
  </r>
  <r>
    <x v="0"/>
    <n v="1"/>
    <n v="4001"/>
    <n v="4001"/>
    <n v="43012"/>
    <s v="No"/>
    <s v="Y"/>
    <m/>
    <x v="1"/>
    <m/>
    <n v="380743"/>
    <x v="5"/>
    <s v="Sophie"/>
    <s v="Domingues"/>
    <x v="71"/>
    <d v="2009-03-25T00:00:00"/>
    <n v="14.412046543463381"/>
    <n v="9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ASD"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0"/>
    <n v="1"/>
    <n v="4001"/>
    <n v="4001"/>
    <n v="43012"/>
    <s v="No"/>
    <s v="Y"/>
    <m/>
    <x v="1"/>
    <m/>
    <n v="362269"/>
    <x v="5"/>
    <s v="Thomas"/>
    <s v="Henry"/>
    <x v="72"/>
    <d v="2007-10-30T00:00:00"/>
    <n v="15.813826146475018"/>
    <n v="10"/>
    <n v="872"/>
    <n v="872"/>
    <d v="2023-04-01T00:00:00"/>
    <n v="1"/>
    <d v="2024-03-31T00:00:00"/>
    <n v="192"/>
    <n v="192"/>
    <n v="1"/>
    <s v="open"/>
    <n v="13200"/>
    <m/>
    <m/>
    <x v="0"/>
    <x v="1"/>
    <x v="1"/>
    <s v="NO"/>
    <s v="NO"/>
    <s v="NO"/>
    <s v="NO"/>
    <m/>
    <n v="13200"/>
    <m/>
    <n v="1"/>
    <n v="1"/>
    <n v="13200"/>
    <n v="13200"/>
    <n v="13200"/>
    <n v="13200"/>
    <n v="13200"/>
    <m/>
    <m/>
    <e v="#N/A"/>
    <e v="#N/A"/>
    <e v="#N/A"/>
    <m/>
    <m/>
    <n v="0"/>
    <n v="13200"/>
    <s v=""/>
    <m/>
    <m/>
    <m/>
    <m/>
    <m/>
    <m/>
    <m/>
    <m/>
    <m/>
    <m/>
    <m/>
    <n v="13200"/>
    <m/>
    <m/>
    <m/>
    <m/>
    <m/>
    <m/>
    <m/>
    <n v="13200"/>
    <m/>
    <n v="0"/>
    <n v="0"/>
    <m/>
    <n v="13200"/>
    <n v="0"/>
    <m/>
  </r>
  <r>
    <x v="0"/>
    <n v="1"/>
    <n v="4001"/>
    <n v="4001"/>
    <n v="43012"/>
    <s v="No"/>
    <s v="Y"/>
    <m/>
    <x v="1"/>
    <m/>
    <n v="401202"/>
    <x v="5"/>
    <s v="Vasiliki"/>
    <s v="Malakoudi"/>
    <x v="73"/>
    <d v="2009-09-25T00:00:00"/>
    <n v="13.908281998631075"/>
    <n v="8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SEMH"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0"/>
    <n v="1"/>
    <n v="4001"/>
    <n v="4001"/>
    <n v="43012"/>
    <s v="No"/>
    <s v="Y"/>
    <m/>
    <x v="1"/>
    <m/>
    <n v="375651"/>
    <x v="5"/>
    <s v="Zoe"/>
    <s v="Tingley"/>
    <x v="74"/>
    <d v="2008-07-27T00:00:00"/>
    <n v="15.071868583162217"/>
    <n v="10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MLD"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0"/>
    <n v="1"/>
    <n v="41201"/>
    <n v="41201"/>
    <n v="43011"/>
    <s v="No"/>
    <m/>
    <m/>
    <x v="1"/>
    <m/>
    <n v="407015"/>
    <x v="7"/>
    <s v="Alexander"/>
    <s v="Tyler"/>
    <x v="75"/>
    <d v="2010-04-06T00:00:00"/>
    <n v="13.379876796714578"/>
    <n v="8"/>
    <n v="872"/>
    <n v="872"/>
    <d v="2023-04-01T00:00:00"/>
    <n v="1"/>
    <d v="2024-03-31T00:00:00"/>
    <n v="192"/>
    <n v="192"/>
    <n v="1"/>
    <s v="open"/>
    <n v="23"/>
    <m/>
    <m/>
    <x v="1"/>
    <x v="1"/>
    <x v="0"/>
    <s v="NO"/>
    <s v="NO"/>
    <s v="NO"/>
    <s v="NO"/>
    <m/>
    <n v="4873.7099999999991"/>
    <s v="ASD"/>
    <n v="1"/>
    <n v="1"/>
    <n v="4873.7099999999991"/>
    <n v="4873.7099999999991"/>
    <n v="4873.7099999999991"/>
    <n v="4873.7099999999991"/>
    <n v="4873.7099999999991"/>
    <m/>
    <m/>
    <e v="#N/A"/>
    <e v="#N/A"/>
    <e v="#N/A"/>
    <m/>
    <m/>
    <n v="0"/>
    <n v="4873.7099999999991"/>
    <s v=""/>
    <m/>
    <m/>
    <m/>
    <m/>
    <m/>
    <m/>
    <m/>
    <m/>
    <m/>
    <m/>
    <m/>
    <n v="4873.7099999999991"/>
    <m/>
    <m/>
    <m/>
    <m/>
    <m/>
    <m/>
    <m/>
    <n v="4873.7099999999991"/>
    <m/>
    <n v="0"/>
    <n v="0"/>
    <m/>
    <n v="4873.7099999999991"/>
    <n v="0"/>
    <m/>
  </r>
  <r>
    <x v="0"/>
    <n v="1"/>
    <n v="41201"/>
    <n v="41201"/>
    <n v="43011"/>
    <s v="No"/>
    <m/>
    <m/>
    <x v="1"/>
    <m/>
    <n v="373179"/>
    <x v="7"/>
    <s v="Amelie"/>
    <s v="Allchurch"/>
    <x v="76"/>
    <d v="2007-06-12T00:00:00"/>
    <n v="16.197125256673512"/>
    <n v="11"/>
    <n v="872"/>
    <n v="872"/>
    <d v="2023-04-01T00:00:00"/>
    <n v="1"/>
    <d v="2023-07-21T00:00:00"/>
    <n v="63"/>
    <n v="63"/>
    <n v="0.328125"/>
    <s v="Yr 11"/>
    <n v="14392.46"/>
    <m/>
    <m/>
    <x v="0"/>
    <x v="1"/>
    <x v="1"/>
    <s v="NO"/>
    <s v="NO"/>
    <s v="NO"/>
    <s v="NO"/>
    <m/>
    <n v="14392.46"/>
    <s v="MLD"/>
    <n v="1"/>
    <n v="0.328125"/>
    <n v="4722.5259374999996"/>
    <n v="4722.5259374999996"/>
    <n v="4722.5259374999996"/>
    <n v="4722.5259374999996"/>
    <n v="4722.5259374999996"/>
    <m/>
    <m/>
    <e v="#N/A"/>
    <e v="#N/A"/>
    <s v="Reading coll"/>
    <s v="Y"/>
    <n v="9594.9733333333334"/>
    <n v="0"/>
    <n v="4722.5259374999996"/>
    <s v="Reading College"/>
    <s v="COLL"/>
    <m/>
    <m/>
    <m/>
    <s v="Reading College"/>
    <m/>
    <m/>
    <m/>
    <m/>
    <s v="Y"/>
    <m/>
    <n v="4722.5259374999996"/>
    <s v="COLL"/>
    <m/>
    <m/>
    <m/>
    <m/>
    <m/>
    <m/>
    <n v="4722.5259374999996"/>
    <m/>
    <n v="0"/>
    <n v="0"/>
    <m/>
    <n v="4722.5259374999996"/>
    <n v="0"/>
    <m/>
  </r>
  <r>
    <x v="0"/>
    <n v="1"/>
    <n v="41201"/>
    <n v="41201"/>
    <n v="43011"/>
    <s v="No"/>
    <m/>
    <m/>
    <x v="1"/>
    <m/>
    <n v="369009"/>
    <x v="7"/>
    <s v="Avalon"/>
    <s v="Gilbert"/>
    <x v="77"/>
    <d v="2007-03-30T00:00:00"/>
    <n v="16.399726214921287"/>
    <n v="11"/>
    <n v="872"/>
    <n v="872"/>
    <d v="2023-04-01T00:00:00"/>
    <n v="1"/>
    <d v="2023-07-21T00:00:00"/>
    <n v="63"/>
    <n v="63"/>
    <n v="0.328125"/>
    <s v="Yr 11"/>
    <n v="25"/>
    <m/>
    <m/>
    <x v="1"/>
    <x v="1"/>
    <x v="0"/>
    <s v="NO"/>
    <s v="NO"/>
    <s v="NO"/>
    <s v="NO"/>
    <m/>
    <n v="5819.25"/>
    <s v="ASD"/>
    <n v="1"/>
    <n v="0.328125"/>
    <n v="1909.44140625"/>
    <n v="1909.44140625"/>
    <n v="1909.44140625"/>
    <n v="1909.44140625"/>
    <n v="1909.44140625"/>
    <m/>
    <m/>
    <e v="#N/A"/>
    <e v="#N/A"/>
    <s v="BCA"/>
    <s v="Y"/>
    <n v="3879.5"/>
    <n v="0"/>
    <n v="1909.44140625"/>
    <s v="BCA"/>
    <s v="COLL"/>
    <m/>
    <m/>
    <m/>
    <s v="BCA"/>
    <m/>
    <m/>
    <m/>
    <m/>
    <s v="Y"/>
    <m/>
    <n v="1909.44140625"/>
    <s v="COLL"/>
    <m/>
    <m/>
    <m/>
    <m/>
    <m/>
    <m/>
    <n v="1909.44140625"/>
    <m/>
    <n v="0"/>
    <n v="0"/>
    <m/>
    <n v="1909.44140625"/>
    <n v="0"/>
    <m/>
  </r>
  <r>
    <x v="0"/>
    <n v="1"/>
    <n v="41201"/>
    <n v="41201"/>
    <n v="43011"/>
    <s v="No"/>
    <m/>
    <m/>
    <x v="1"/>
    <m/>
    <n v="400461"/>
    <x v="7"/>
    <s v="Callum"/>
    <s v="Hutchinson"/>
    <x v="78"/>
    <d v="2010-11-06T00:00:00"/>
    <n v="12.793976728268309"/>
    <n v="7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SLCD"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0"/>
    <n v="1"/>
    <n v="41201"/>
    <n v="41201"/>
    <n v="43011"/>
    <s v="No"/>
    <m/>
    <m/>
    <x v="1"/>
    <m/>
    <n v="394901"/>
    <x v="7"/>
    <s v="Carmell"/>
    <s v="Hayes"/>
    <x v="79"/>
    <d v="2007-07-09T00:00:00"/>
    <n v="16.123203285420946"/>
    <n v="11"/>
    <n v="872"/>
    <n v="872"/>
    <d v="2023-04-01T00:00:00"/>
    <n v="1"/>
    <d v="2023-07-21T00:00:00"/>
    <n v="63"/>
    <n v="63"/>
    <n v="0.328125"/>
    <s v="Yr 11"/>
    <n v="25"/>
    <m/>
    <m/>
    <x v="1"/>
    <x v="1"/>
    <x v="0"/>
    <s v="NO"/>
    <s v="NO"/>
    <s v="NO"/>
    <s v="NO"/>
    <m/>
    <n v="5819.25"/>
    <s v="SEMH"/>
    <n v="1"/>
    <n v="0.328125"/>
    <n v="1909.44140625"/>
    <n v="1909.44140625"/>
    <n v="1909.44140625"/>
    <n v="1909.44140625"/>
    <n v="1909.44140625"/>
    <m/>
    <m/>
    <e v="#N/A"/>
    <e v="#N/A"/>
    <s v="Reading coll"/>
    <s v="Y"/>
    <n v="3879.5"/>
    <n v="0"/>
    <n v="1909.44140625"/>
    <s v="Reading College"/>
    <s v="COLL"/>
    <m/>
    <m/>
    <m/>
    <s v="Reading College"/>
    <m/>
    <m/>
    <m/>
    <m/>
    <s v="Y"/>
    <m/>
    <n v="1909.44140625"/>
    <s v="COLL"/>
    <m/>
    <m/>
    <m/>
    <m/>
    <m/>
    <m/>
    <n v="1909.44140625"/>
    <m/>
    <n v="0"/>
    <n v="0"/>
    <m/>
    <n v="1909.44140625"/>
    <n v="0"/>
    <m/>
  </r>
  <r>
    <x v="0"/>
    <n v="1"/>
    <n v="41201"/>
    <n v="41201"/>
    <n v="43011"/>
    <s v="No"/>
    <m/>
    <m/>
    <x v="1"/>
    <m/>
    <n v="389088"/>
    <x v="7"/>
    <s v="Daniel"/>
    <s v="Williams"/>
    <x v="80"/>
    <d v="2010-04-10T00:00:00"/>
    <n v="13.36892539356605"/>
    <n v="8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Severe LD"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0"/>
    <n v="1"/>
    <n v="41201"/>
    <n v="41201"/>
    <n v="43011"/>
    <s v="No"/>
    <m/>
    <m/>
    <x v="1"/>
    <m/>
    <n v="396193"/>
    <x v="7"/>
    <s v="Daniel"/>
    <s v="Wilson"/>
    <x v="81"/>
    <d v="2011-04-01T00:00:00"/>
    <n v="12.394250513347023"/>
    <n v="7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SLCD"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0"/>
    <n v="1"/>
    <n v="41201"/>
    <n v="41201"/>
    <n v="43011"/>
    <s v="No"/>
    <m/>
    <m/>
    <x v="1"/>
    <m/>
    <n v="392590"/>
    <x v="7"/>
    <s v="Harry"/>
    <s v="Curl"/>
    <x v="82"/>
    <d v="2010-09-13T00:00:00"/>
    <n v="12.941820670773442"/>
    <n v="7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ASD"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0"/>
    <n v="1"/>
    <n v="41201"/>
    <n v="41201"/>
    <n v="43011"/>
    <s v="No"/>
    <m/>
    <m/>
    <x v="1"/>
    <m/>
    <n v="368586"/>
    <x v="7"/>
    <s v="Kadey-Leigh"/>
    <s v="Vickery"/>
    <x v="83"/>
    <d v="2007-01-23T00:00:00"/>
    <n v="16.580424366872005"/>
    <n v="11"/>
    <n v="872"/>
    <n v="872"/>
    <d v="2023-04-01T00:00:00"/>
    <n v="1"/>
    <d v="2023-07-21T00:00:00"/>
    <n v="63"/>
    <n v="63"/>
    <n v="0.328125"/>
    <s v="Yr 11"/>
    <n v="23"/>
    <m/>
    <m/>
    <x v="1"/>
    <x v="1"/>
    <x v="0"/>
    <s v="NO"/>
    <s v="NO"/>
    <s v="NO"/>
    <s v="NO"/>
    <m/>
    <n v="4873.7099999999991"/>
    <s v="SLD"/>
    <n v="1"/>
    <n v="0.328125"/>
    <n v="1599.1860937499996"/>
    <n v="1599.1860937499996"/>
    <n v="1599.1860937499996"/>
    <n v="1599.1860937499996"/>
    <n v="1599.1860937499996"/>
    <m/>
    <m/>
    <e v="#N/A"/>
    <e v="#N/A"/>
    <s v="Reading coll"/>
    <s v="Y"/>
    <n v="3249.1399999999994"/>
    <n v="0"/>
    <n v="1599.1860937499996"/>
    <s v="Reading College"/>
    <s v="COLL"/>
    <m/>
    <m/>
    <m/>
    <s v="Reading College"/>
    <m/>
    <m/>
    <m/>
    <m/>
    <s v="Y"/>
    <m/>
    <n v="1599.1860937499996"/>
    <s v="COLL"/>
    <m/>
    <m/>
    <m/>
    <m/>
    <m/>
    <m/>
    <n v="1599.1860937499996"/>
    <m/>
    <n v="0"/>
    <n v="0"/>
    <m/>
    <n v="1599.1860937499996"/>
    <n v="0"/>
    <m/>
  </r>
  <r>
    <x v="0"/>
    <n v="1"/>
    <n v="41201"/>
    <n v="41201"/>
    <n v="43011"/>
    <s v="No"/>
    <m/>
    <m/>
    <x v="1"/>
    <m/>
    <n v="415257"/>
    <x v="7"/>
    <s v="Karanvir"/>
    <s v="Singh"/>
    <x v="84"/>
    <d v="2008-10-20T00:00:00"/>
    <n v="14.839151266255989"/>
    <n v="9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MLD"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0"/>
    <n v="1"/>
    <n v="41201"/>
    <n v="41201"/>
    <n v="43011"/>
    <s v="No"/>
    <m/>
    <m/>
    <x v="1"/>
    <m/>
    <n v="373230"/>
    <x v="7"/>
    <s v="Keiden"/>
    <s v="Townsend-Griffith"/>
    <x v="85"/>
    <d v="2007-10-09T00:00:00"/>
    <n v="15.871321013004792"/>
    <n v="10"/>
    <n v="872"/>
    <n v="872"/>
    <d v="2023-04-01T00:00:00"/>
    <n v="1"/>
    <d v="2024-03-31T00:00:00"/>
    <n v="192"/>
    <n v="192"/>
    <n v="1"/>
    <s v="open"/>
    <n v="23"/>
    <m/>
    <m/>
    <x v="1"/>
    <x v="1"/>
    <x v="0"/>
    <s v="NO"/>
    <s v="NO"/>
    <s v="NO"/>
    <s v="NO"/>
    <m/>
    <n v="4873.7099999999991"/>
    <s v="SEMH"/>
    <n v="1"/>
    <n v="1"/>
    <n v="4873.7099999999991"/>
    <n v="4873.7099999999991"/>
    <n v="4873.7099999999991"/>
    <n v="4873.7099999999991"/>
    <n v="4873.7099999999991"/>
    <m/>
    <m/>
    <e v="#N/A"/>
    <e v="#N/A"/>
    <e v="#N/A"/>
    <m/>
    <m/>
    <n v="0"/>
    <n v="4873.7099999999991"/>
    <s v=""/>
    <s v="COLL"/>
    <m/>
    <m/>
    <m/>
    <m/>
    <m/>
    <m/>
    <m/>
    <m/>
    <m/>
    <m/>
    <n v="4873.7099999999991"/>
    <m/>
    <m/>
    <m/>
    <m/>
    <m/>
    <m/>
    <m/>
    <n v="4873.7099999999991"/>
    <m/>
    <n v="0"/>
    <n v="0"/>
    <m/>
    <n v="4873.7099999999991"/>
    <n v="0"/>
    <m/>
  </r>
  <r>
    <x v="0"/>
    <n v="1"/>
    <n v="41201"/>
    <n v="41201"/>
    <n v="43011"/>
    <s v="No"/>
    <m/>
    <m/>
    <x v="1"/>
    <m/>
    <n v="372046"/>
    <x v="7"/>
    <s v="Kielan"/>
    <s v="Sampson"/>
    <x v="86"/>
    <d v="2006-09-27T00:00:00"/>
    <n v="16.903490759753595"/>
    <n v="11"/>
    <n v="872"/>
    <n v="872"/>
    <d v="2023-04-01T00:00:00"/>
    <n v="1"/>
    <d v="2023-07-21T00:00:00"/>
    <n v="63"/>
    <n v="63"/>
    <n v="0.328125"/>
    <s v="Yr 11"/>
    <n v="25"/>
    <m/>
    <m/>
    <x v="1"/>
    <x v="1"/>
    <x v="0"/>
    <s v="NO"/>
    <s v="NO"/>
    <s v="NO"/>
    <s v="NO"/>
    <m/>
    <n v="5819.25"/>
    <s v="SEMH"/>
    <n v="1"/>
    <n v="0.328125"/>
    <n v="1909.44140625"/>
    <n v="1909.44140625"/>
    <n v="1909.44140625"/>
    <n v="1909.44140625"/>
    <n v="1909.44140625"/>
    <m/>
    <m/>
    <e v="#N/A"/>
    <e v="#N/A"/>
    <s v="Reading coll"/>
    <s v="Y"/>
    <n v="3879.5"/>
    <n v="0"/>
    <n v="1909.44140625"/>
    <s v="Reading College"/>
    <s v="COLL"/>
    <m/>
    <m/>
    <m/>
    <s v="Reading College"/>
    <m/>
    <m/>
    <m/>
    <m/>
    <s v="Y"/>
    <m/>
    <n v="1909.44140625"/>
    <s v="COLL"/>
    <m/>
    <m/>
    <m/>
    <m/>
    <m/>
    <m/>
    <n v="1909.44140625"/>
    <m/>
    <n v="0"/>
    <n v="0"/>
    <m/>
    <n v="1909.44140625"/>
    <n v="0"/>
    <m/>
  </r>
  <r>
    <x v="0"/>
    <n v="1"/>
    <n v="41201"/>
    <n v="41201"/>
    <n v="43011"/>
    <s v="No"/>
    <m/>
    <m/>
    <x v="2"/>
    <m/>
    <n v="358533"/>
    <x v="7"/>
    <s v="Kyle"/>
    <s v="Dziaduch"/>
    <x v="87"/>
    <d v="2005-05-06T00:00:00"/>
    <n v="18.297056810403834"/>
    <n v="13"/>
    <n v="872"/>
    <n v="872"/>
    <d v="2023-04-01T00:00:00"/>
    <n v="1"/>
    <d v="2023-07-21T00:00:00"/>
    <n v="63"/>
    <n v="63"/>
    <n v="0.328125"/>
    <s v="16+"/>
    <n v="30"/>
    <m/>
    <m/>
    <x v="0"/>
    <x v="0"/>
    <x v="0"/>
    <s v="NO"/>
    <s v="NO"/>
    <s v="NO"/>
    <s v="NO"/>
    <m/>
    <n v="8183.0999999999985"/>
    <s v="ASD"/>
    <n v="1"/>
    <n v="0.328125"/>
    <n v="2685.0796874999996"/>
    <n v="2685.0796874999996"/>
    <n v="2685.0796874999996"/>
    <n v="2685.0796874999996"/>
    <n v="2685.0796874999996"/>
    <m/>
    <m/>
    <e v="#N/A"/>
    <e v="#N/A"/>
    <e v="#N/A"/>
    <m/>
    <m/>
    <n v="0"/>
    <n v="2685.0796874999996"/>
    <s v="???"/>
    <m/>
    <m/>
    <m/>
    <m/>
    <m/>
    <n v="30"/>
    <n v="8183.0999999999985"/>
    <m/>
    <m/>
    <m/>
    <n v="5412.7796874999985"/>
    <n v="8097.8593749999982"/>
    <m/>
    <m/>
    <m/>
    <m/>
    <m/>
    <m/>
    <m/>
    <n v="8097.8593749999982"/>
    <m/>
    <n v="0"/>
    <n v="5412.7796874999985"/>
    <m/>
    <n v="8097.8593749999982"/>
    <n v="0"/>
    <m/>
  </r>
  <r>
    <x v="0"/>
    <n v="1"/>
    <n v="41201"/>
    <n v="41201"/>
    <n v="43011"/>
    <s v="No"/>
    <m/>
    <m/>
    <x v="1"/>
    <m/>
    <n v="376892"/>
    <x v="7"/>
    <s v="Kyra-Louise"/>
    <s v="Vickery"/>
    <x v="88"/>
    <d v="2008-04-15T00:00:00"/>
    <n v="15.353867214236825"/>
    <n v="10"/>
    <n v="872"/>
    <n v="872"/>
    <d v="2023-04-17T00:00:00"/>
    <n v="2"/>
    <d v="2024-03-31T00:00:00"/>
    <n v="192"/>
    <n v="191"/>
    <n v="1"/>
    <d v="2024-07-31T00:00:00"/>
    <n v="4000"/>
    <m/>
    <m/>
    <x v="0"/>
    <x v="1"/>
    <x v="1"/>
    <s v="NO"/>
    <s v="NO"/>
    <s v="NO"/>
    <s v="NO"/>
    <m/>
    <n v="4000"/>
    <s v="HI"/>
    <n v="1"/>
    <n v="1"/>
    <n v="4000"/>
    <n v="4000"/>
    <n v="4000"/>
    <n v="0"/>
    <n v="4000"/>
    <m/>
    <m/>
    <e v="#N/A"/>
    <e v="#N/A"/>
    <e v="#N/A"/>
    <m/>
    <m/>
    <n v="0"/>
    <n v="4000"/>
    <s v=""/>
    <m/>
    <m/>
    <m/>
    <m/>
    <m/>
    <m/>
    <m/>
    <m/>
    <m/>
    <m/>
    <m/>
    <n v="4000"/>
    <m/>
    <m/>
    <m/>
    <m/>
    <m/>
    <m/>
    <m/>
    <n v="4000"/>
    <m/>
    <n v="0"/>
    <n v="4000"/>
    <s v="capita shows move to Foundry 10/5/23"/>
    <n v="4000"/>
    <n v="0"/>
    <m/>
  </r>
  <r>
    <x v="0"/>
    <n v="1"/>
    <n v="41201"/>
    <n v="41201"/>
    <n v="43011"/>
    <s v="No"/>
    <m/>
    <m/>
    <x v="1"/>
    <m/>
    <n v="396465"/>
    <x v="7"/>
    <s v="Layla"/>
    <s v="Wingrove"/>
    <x v="89"/>
    <d v="2011-01-05T00:00:00"/>
    <n v="12.629705681040383"/>
    <n v="7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ASD"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0"/>
    <n v="1"/>
    <n v="41201"/>
    <n v="41201"/>
    <n v="43011"/>
    <s v="No"/>
    <m/>
    <m/>
    <x v="1"/>
    <m/>
    <n v="402367"/>
    <x v="7"/>
    <s v="Malakai"/>
    <s v="Barnes"/>
    <x v="90"/>
    <d v="2007-01-02T00:00:00"/>
    <n v="16.637919233401778"/>
    <n v="11"/>
    <n v="872"/>
    <n v="872"/>
    <d v="2023-04-01T00:00:00"/>
    <n v="1"/>
    <d v="2023-07-21T00:00:00"/>
    <n v="63"/>
    <n v="63"/>
    <n v="0.328125"/>
    <s v="Yr 11"/>
    <n v="25"/>
    <m/>
    <m/>
    <x v="1"/>
    <x v="1"/>
    <x v="0"/>
    <s v="NO"/>
    <s v="NO"/>
    <s v="NO"/>
    <s v="NO"/>
    <m/>
    <n v="5819.25"/>
    <s v="SEMH"/>
    <n v="1"/>
    <n v="0.328125"/>
    <n v="1909.44140625"/>
    <n v="1909.44140625"/>
    <n v="1909.44140625"/>
    <n v="1909.44140625"/>
    <n v="1909.44140625"/>
    <m/>
    <m/>
    <e v="#N/A"/>
    <e v="#N/A"/>
    <s v="Reading coll"/>
    <s v="Y"/>
    <n v="3879.5"/>
    <n v="0"/>
    <n v="1909.44140625"/>
    <s v="Reading College"/>
    <s v="COLL"/>
    <m/>
    <m/>
    <m/>
    <s v="Reading College"/>
    <m/>
    <m/>
    <m/>
    <m/>
    <s v="Y"/>
    <m/>
    <n v="1909.44140625"/>
    <s v="COLL"/>
    <m/>
    <m/>
    <m/>
    <m/>
    <m/>
    <m/>
    <n v="1909.44140625"/>
    <m/>
    <n v="0"/>
    <n v="0"/>
    <m/>
    <n v="1909.44140625"/>
    <n v="0"/>
    <m/>
  </r>
  <r>
    <x v="0"/>
    <n v="1"/>
    <n v="41201"/>
    <n v="41201"/>
    <n v="43011"/>
    <s v="No"/>
    <m/>
    <m/>
    <x v="1"/>
    <m/>
    <n v="389496"/>
    <x v="7"/>
    <s v="Marcel"/>
    <s v="Czop"/>
    <x v="91"/>
    <d v="2009-11-08T00:00:00"/>
    <n v="13.787816563997263"/>
    <n v="8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MLD"/>
    <n v="1"/>
    <n v="1"/>
    <n v="8183.0999999999985"/>
    <n v="8183.0999999999985"/>
    <n v="8183.0999999999985"/>
    <n v="0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8183.0999999999985"/>
    <m/>
    <n v="8183.0999999999985"/>
    <n v="0"/>
    <m/>
  </r>
  <r>
    <x v="0"/>
    <n v="1"/>
    <n v="41201"/>
    <n v="41201"/>
    <n v="43011"/>
    <s v="No"/>
    <m/>
    <m/>
    <x v="1"/>
    <m/>
    <n v="382950"/>
    <x v="7"/>
    <s v="Muhammad"/>
    <s v="Hussain"/>
    <x v="92"/>
    <d v="2009-07-06T00:00:00"/>
    <n v="14.130047912388775"/>
    <n v="9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ASD"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0"/>
    <n v="1"/>
    <n v="41201"/>
    <n v="41201"/>
    <n v="43011"/>
    <s v="No"/>
    <m/>
    <m/>
    <x v="1"/>
    <m/>
    <n v="368411"/>
    <x v="7"/>
    <s v="Oliver"/>
    <s v="King"/>
    <x v="93"/>
    <d v="2007-02-09T00:00:00"/>
    <n v="16.533880903490761"/>
    <n v="11"/>
    <n v="872"/>
    <n v="872"/>
    <d v="2023-04-01T00:00:00"/>
    <n v="1"/>
    <d v="2023-07-21T00:00:00"/>
    <n v="63"/>
    <n v="63"/>
    <n v="0.328125"/>
    <s v="Yr 11"/>
    <n v="22"/>
    <m/>
    <m/>
    <x v="1"/>
    <x v="1"/>
    <x v="0"/>
    <s v="NO"/>
    <s v="NO"/>
    <s v="NO"/>
    <s v="NO"/>
    <m/>
    <n v="4400.9399999999987"/>
    <s v="SEMH"/>
    <n v="1"/>
    <n v="0.328125"/>
    <n v="1444.0584374999996"/>
    <n v="1444.0584374999996"/>
    <n v="1444.0584374999996"/>
    <n v="1444.0584374999996"/>
    <n v="1444.0584374999996"/>
    <m/>
    <m/>
    <e v="#N/A"/>
    <e v="#N/A"/>
    <s v="Reading coll"/>
    <s v="Y"/>
    <n v="2933.9599999999991"/>
    <n v="0"/>
    <n v="1444.0584374999996"/>
    <s v="Reading College"/>
    <s v="COLL"/>
    <m/>
    <m/>
    <m/>
    <s v="Reading College"/>
    <m/>
    <m/>
    <m/>
    <m/>
    <s v="Y"/>
    <m/>
    <n v="1444.0584374999996"/>
    <s v="COLL"/>
    <m/>
    <m/>
    <m/>
    <m/>
    <m/>
    <m/>
    <n v="1444.0584374999996"/>
    <m/>
    <n v="0"/>
    <n v="0"/>
    <m/>
    <n v="1444.0584374999996"/>
    <n v="0"/>
    <m/>
  </r>
  <r>
    <x v="0"/>
    <n v="1"/>
    <n v="41201"/>
    <n v="41201"/>
    <n v="43011"/>
    <s v="No"/>
    <m/>
    <m/>
    <x v="1"/>
    <m/>
    <n v="390751"/>
    <x v="7"/>
    <s v="Resian"/>
    <s v="Ward-Kirby"/>
    <x v="94"/>
    <d v="2010-08-03T00:00:00"/>
    <n v="13.054072553045859"/>
    <n v="9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SEMH"/>
    <n v="1"/>
    <n v="1"/>
    <n v="8183.0999999999985"/>
    <n v="8183.0999999999985"/>
    <n v="8183.0999999999985"/>
    <n v="0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8183.0999999999985"/>
    <m/>
    <n v="8183.0999999999985"/>
    <n v="0"/>
    <m/>
  </r>
  <r>
    <x v="0"/>
    <n v="1"/>
    <n v="41201"/>
    <n v="41201"/>
    <n v="43011"/>
    <s v="No"/>
    <m/>
    <m/>
    <x v="1"/>
    <m/>
    <n v="391738"/>
    <x v="7"/>
    <s v="Samuel"/>
    <s v="Richardson"/>
    <x v="95"/>
    <d v="2010-11-27T00:00:00"/>
    <n v="12.736481861738536"/>
    <n v="7"/>
    <n v="872"/>
    <n v="872"/>
    <d v="2023-04-01T00:00:00"/>
    <n v="1"/>
    <d v="2024-03-31T00:00:00"/>
    <n v="192"/>
    <n v="192"/>
    <n v="1"/>
    <s v="open"/>
    <n v="22"/>
    <m/>
    <m/>
    <x v="1"/>
    <x v="1"/>
    <x v="0"/>
    <s v="NO"/>
    <s v="NO"/>
    <s v="NO"/>
    <s v="NO"/>
    <m/>
    <n v="4400.9399999999987"/>
    <s v="SLCD"/>
    <n v="1"/>
    <n v="1"/>
    <n v="4400.9399999999987"/>
    <n v="4400.9399999999987"/>
    <n v="4400.9399999999987"/>
    <n v="4400.9399999999987"/>
    <n v="4400.9399999999987"/>
    <m/>
    <m/>
    <e v="#N/A"/>
    <e v="#N/A"/>
    <e v="#N/A"/>
    <m/>
    <m/>
    <n v="0"/>
    <n v="4400.9399999999987"/>
    <s v=""/>
    <m/>
    <m/>
    <m/>
    <m/>
    <m/>
    <m/>
    <m/>
    <m/>
    <m/>
    <m/>
    <m/>
    <n v="4400.9399999999987"/>
    <m/>
    <m/>
    <m/>
    <m/>
    <m/>
    <m/>
    <m/>
    <n v="4400.9399999999987"/>
    <m/>
    <n v="0"/>
    <n v="0"/>
    <m/>
    <n v="4400.9399999999987"/>
    <n v="0"/>
    <m/>
  </r>
  <r>
    <x v="0"/>
    <n v="1"/>
    <n v="41201"/>
    <n v="41201"/>
    <n v="43011"/>
    <s v="No"/>
    <m/>
    <m/>
    <x v="1"/>
    <m/>
    <n v="374635"/>
    <x v="7"/>
    <s v="Samuel"/>
    <s v="Weston"/>
    <x v="96"/>
    <d v="2008-06-28T00:00:00"/>
    <n v="15.151266255989048"/>
    <n v="10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ASD"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0"/>
    <n v="1"/>
    <n v="41201"/>
    <n v="41201"/>
    <n v="43011"/>
    <s v="No"/>
    <m/>
    <m/>
    <x v="1"/>
    <m/>
    <n v="440269"/>
    <x v="7"/>
    <s v="Summa"/>
    <s v="Thatcher"/>
    <x v="97"/>
    <d v="2007-08-15T00:00:00"/>
    <n v="16.021902806297057"/>
    <n v="11"/>
    <n v="872"/>
    <n v="872"/>
    <d v="2023-04-01T00:00:00"/>
    <n v="1"/>
    <d v="2023-07-21T00:00:00"/>
    <n v="63"/>
    <n v="63"/>
    <n v="0.328125"/>
    <s v="Yr 11"/>
    <n v="25"/>
    <m/>
    <m/>
    <x v="1"/>
    <x v="1"/>
    <x v="0"/>
    <s v="NO"/>
    <s v="NO"/>
    <s v="NO"/>
    <s v="NO"/>
    <m/>
    <n v="5819.25"/>
    <s v="SLD"/>
    <n v="1"/>
    <n v="0.328125"/>
    <n v="1909.44140625"/>
    <n v="1909.44140625"/>
    <n v="1909.44140625"/>
    <n v="1909.44140625"/>
    <n v="1909.44140625"/>
    <m/>
    <m/>
    <e v="#N/A"/>
    <e v="#N/A"/>
    <s v="Reading coll"/>
    <s v="Y"/>
    <n v="3879.5"/>
    <n v="0"/>
    <n v="1909.44140625"/>
    <s v="Reading College"/>
    <s v="COLL"/>
    <m/>
    <m/>
    <m/>
    <s v="Reading College"/>
    <m/>
    <m/>
    <m/>
    <m/>
    <s v="Y"/>
    <m/>
    <n v="1909.44140625"/>
    <s v="COLL"/>
    <m/>
    <m/>
    <m/>
    <m/>
    <m/>
    <m/>
    <n v="1909.44140625"/>
    <m/>
    <n v="0"/>
    <n v="0"/>
    <m/>
    <n v="1909.44140625"/>
    <n v="0"/>
    <m/>
  </r>
  <r>
    <x v="0"/>
    <n v="1"/>
    <n v="41201"/>
    <n v="41201"/>
    <n v="43011"/>
    <s v="No"/>
    <m/>
    <m/>
    <x v="1"/>
    <m/>
    <n v="377433"/>
    <x v="7"/>
    <s v="Tegan"/>
    <s v="Knight"/>
    <x v="98"/>
    <d v="2008-05-15T00:00:00"/>
    <n v="15.271731690622861"/>
    <n v="10"/>
    <n v="872"/>
    <n v="872"/>
    <d v="2023-04-01T00:00:00"/>
    <n v="1"/>
    <d v="2024-03-31T00:00:00"/>
    <n v="192"/>
    <n v="192"/>
    <n v="1"/>
    <s v="open"/>
    <n v="3260"/>
    <m/>
    <m/>
    <x v="0"/>
    <x v="1"/>
    <x v="1"/>
    <s v="NO"/>
    <s v="NO"/>
    <s v="NO"/>
    <s v="NO"/>
    <m/>
    <n v="3260"/>
    <s v="SEMH"/>
    <n v="1"/>
    <n v="1"/>
    <n v="3260"/>
    <n v="3260"/>
    <n v="3260"/>
    <n v="0"/>
    <n v="0"/>
    <m/>
    <m/>
    <m/>
    <m/>
    <m/>
    <m/>
    <m/>
    <n v="3260"/>
    <n v="3260"/>
    <s v=""/>
    <m/>
    <m/>
    <m/>
    <m/>
    <m/>
    <m/>
    <m/>
    <m/>
    <m/>
    <m/>
    <m/>
    <n v="3260"/>
    <m/>
    <m/>
    <m/>
    <m/>
    <m/>
    <m/>
    <m/>
    <n v="3260"/>
    <m/>
    <n v="0"/>
    <n v="3260"/>
    <m/>
    <n v="3260"/>
    <n v="0"/>
    <m/>
  </r>
  <r>
    <x v="0"/>
    <n v="1"/>
    <n v="41201"/>
    <n v="41201"/>
    <n v="43011"/>
    <s v="No"/>
    <m/>
    <m/>
    <x v="1"/>
    <m/>
    <n v="369723"/>
    <x v="7"/>
    <s v="Tierra"/>
    <s v="Johnson"/>
    <x v="99"/>
    <d v="2008-03-27T00:00:00"/>
    <n v="15.405886379192333"/>
    <n v="10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SEMH"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1"/>
    <n v="1"/>
    <n v="41201"/>
    <n v="41201"/>
    <n v="43011"/>
    <s v="No"/>
    <m/>
    <m/>
    <x v="1"/>
    <s v="AD"/>
    <n v="369723"/>
    <x v="7"/>
    <s v="Tierra"/>
    <s v="Johnson"/>
    <x v="99"/>
    <d v="2008-03-27T00:00:00"/>
    <n v="15.405886379192333"/>
    <n v="11"/>
    <n v="872"/>
    <n v="872"/>
    <d v="2023-04-01T00:00:00"/>
    <n v="1"/>
    <d v="2023-07-31T00:00:00"/>
    <n v="63"/>
    <n v="63"/>
    <n v="0.328125"/>
    <d v="2023-07-31T00:00:00"/>
    <n v="18551.16"/>
    <m/>
    <m/>
    <x v="0"/>
    <x v="1"/>
    <x v="1"/>
    <s v="NO"/>
    <s v="NO"/>
    <s v="NO"/>
    <s v="NO"/>
    <m/>
    <n v="18551.16"/>
    <s v="MLD"/>
    <n v="1"/>
    <n v="0.328125"/>
    <n v="6087.0993749999998"/>
    <n v="6087.0993749999998"/>
    <n v="6087.0993749999998"/>
    <n v="6087.0993749999998"/>
    <n v="6087.0993749999998"/>
    <m/>
    <m/>
    <e v="#N/A"/>
    <e v="#N/A"/>
    <e v="#N/A"/>
    <m/>
    <m/>
    <n v="0"/>
    <n v="6087.0993749999998"/>
    <s v="???"/>
    <m/>
    <m/>
    <m/>
    <m/>
    <m/>
    <n v="18551.16"/>
    <n v="18551.16"/>
    <m/>
    <m/>
    <m/>
    <n v="12270.819375000001"/>
    <n v="18357.918750000001"/>
    <m/>
    <m/>
    <m/>
    <m/>
    <m/>
    <m/>
    <m/>
    <n v="18357.918750000001"/>
    <m/>
    <n v="0"/>
    <n v="12270.819375000001"/>
    <m/>
    <n v="18357.918750000001"/>
    <n v="0"/>
    <m/>
  </r>
  <r>
    <x v="0"/>
    <n v="1"/>
    <n v="41105"/>
    <n v="41105"/>
    <n v="43011"/>
    <s v="No"/>
    <m/>
    <m/>
    <x v="0"/>
    <m/>
    <n v="410539"/>
    <x v="8"/>
    <s v="Amogh"/>
    <s v="Kalasenavaru"/>
    <x v="100"/>
    <d v="2013-05-16T00:00:00"/>
    <n v="10.269678302532512"/>
    <n v="5"/>
    <n v="872"/>
    <n v="872"/>
    <d v="2023-04-01T00:00:00"/>
    <n v="1"/>
    <d v="2023-07-21T00:00:00"/>
    <n v="63"/>
    <n v="63"/>
    <n v="0.328125"/>
    <s v="open"/>
    <n v="43419"/>
    <m/>
    <m/>
    <x v="0"/>
    <x v="1"/>
    <x v="1"/>
    <s v="NO"/>
    <s v="NO"/>
    <s v="NO"/>
    <s v="NO"/>
    <m/>
    <n v="43419"/>
    <s v="ASD"/>
    <n v="1"/>
    <n v="0.328125"/>
    <n v="14246.859375"/>
    <n v="14246.859375"/>
    <n v="43419"/>
    <n v="43419"/>
    <n v="43419"/>
    <m/>
    <m/>
    <e v="#N/A"/>
    <e v="#N/A"/>
    <e v="#N/A"/>
    <m/>
    <m/>
    <n v="0"/>
    <n v="43419"/>
    <s v=""/>
    <m/>
    <m/>
    <m/>
    <m/>
    <m/>
    <m/>
    <m/>
    <m/>
    <m/>
    <m/>
    <m/>
    <n v="43419"/>
    <m/>
    <m/>
    <s v="OOBs Spec"/>
    <s v="Forest Bridge"/>
    <m/>
    <s v="CCF_19/07/2023 £41,965"/>
    <m/>
    <n v="14246.859375"/>
    <m/>
    <n v="-29172.140625"/>
    <n v="-29172.140625"/>
    <s v="mover to OOBs Special"/>
    <n v="14246.859375"/>
    <n v="0"/>
    <m/>
  </r>
  <r>
    <x v="0"/>
    <n v="1"/>
    <n v="41105"/>
    <n v="41105"/>
    <n v="43011"/>
    <s v="No"/>
    <m/>
    <m/>
    <x v="0"/>
    <m/>
    <n v="416910"/>
    <x v="8"/>
    <s v="Blake"/>
    <s v="Howton"/>
    <x v="101"/>
    <d v="2014-05-14T00:00:00"/>
    <n v="9.2758384668035596"/>
    <n v="4"/>
    <n v="872"/>
    <n v="872"/>
    <d v="2023-04-01T00:00:00"/>
    <n v="1"/>
    <d v="2024-03-31T00:00:00"/>
    <n v="192"/>
    <n v="192"/>
    <n v="1"/>
    <s v="open"/>
    <n v="32"/>
    <m/>
    <m/>
    <x v="0"/>
    <x v="1"/>
    <x v="1"/>
    <s v="NO"/>
    <s v="NO"/>
    <s v="NO"/>
    <s v="NO"/>
    <m/>
    <n v="9128.64"/>
    <s v="ASD"/>
    <n v="1"/>
    <n v="1"/>
    <n v="9128.64"/>
    <n v="9128.64"/>
    <n v="9128.64"/>
    <n v="9128.64"/>
    <n v="9128.64"/>
    <m/>
    <m/>
    <e v="#N/A"/>
    <e v="#N/A"/>
    <e v="#N/A"/>
    <m/>
    <m/>
    <n v="0"/>
    <n v="9128.64"/>
    <s v=""/>
    <m/>
    <m/>
    <m/>
    <m/>
    <m/>
    <m/>
    <m/>
    <m/>
    <m/>
    <m/>
    <m/>
    <n v="9128.64"/>
    <m/>
    <m/>
    <m/>
    <m/>
    <m/>
    <m/>
    <m/>
    <n v="9128.64"/>
    <m/>
    <n v="0"/>
    <n v="0"/>
    <m/>
    <n v="9128.64"/>
    <n v="0"/>
    <m/>
  </r>
  <r>
    <x v="1"/>
    <n v="1"/>
    <n v="41105"/>
    <n v="41105"/>
    <n v="43011"/>
    <s v="No"/>
    <m/>
    <m/>
    <x v="0"/>
    <s v="AD"/>
    <n v="416910"/>
    <x v="8"/>
    <s v="Blake"/>
    <s v="Howton"/>
    <x v="101"/>
    <d v="2014-05-14T00:00:00"/>
    <n v="9.2758384668035596"/>
    <n v="4"/>
    <n v="872"/>
    <n v="872"/>
    <d v="2023-04-17T00:00:00"/>
    <n v="2"/>
    <d v="2023-05-26T00:00:00"/>
    <n v="28"/>
    <n v="27"/>
    <n v="1"/>
    <d v="2023-05-26T00:00:00"/>
    <n v="1185"/>
    <m/>
    <m/>
    <x v="0"/>
    <x v="1"/>
    <x v="1"/>
    <s v="NO"/>
    <s v="NO"/>
    <s v="NO"/>
    <s v="NO"/>
    <m/>
    <n v="1185"/>
    <s v="ASD"/>
    <n v="1"/>
    <n v="1"/>
    <n v="1185"/>
    <n v="1185"/>
    <n v="1185"/>
    <n v="0"/>
    <n v="1185"/>
    <m/>
    <m/>
    <e v="#N/A"/>
    <e v="#N/A"/>
    <e v="#N/A"/>
    <m/>
    <m/>
    <n v="0"/>
    <n v="1185"/>
    <s v=""/>
    <m/>
    <m/>
    <m/>
    <m/>
    <m/>
    <m/>
    <m/>
    <m/>
    <m/>
    <m/>
    <m/>
    <n v="1185"/>
    <m/>
    <m/>
    <m/>
    <m/>
    <m/>
    <m/>
    <m/>
    <n v="1185"/>
    <m/>
    <n v="0"/>
    <n v="1185"/>
    <m/>
    <n v="1185"/>
    <n v="0"/>
    <m/>
  </r>
  <r>
    <x v="0"/>
    <n v="1"/>
    <n v="41105"/>
    <n v="41105"/>
    <n v="43011"/>
    <s v="No"/>
    <m/>
    <m/>
    <x v="0"/>
    <m/>
    <n v="428769"/>
    <x v="8"/>
    <s v="Buddie"/>
    <s v="Young"/>
    <x v="102"/>
    <d v="2016-06-22T00:00:00"/>
    <n v="7.1676933607118416"/>
    <n v="1"/>
    <n v="872"/>
    <n v="872"/>
    <d v="2023-04-01T00:00:00"/>
    <n v="1"/>
    <d v="2024-03-31T00:00:00"/>
    <n v="192"/>
    <n v="192"/>
    <n v="1"/>
    <s v="open"/>
    <n v="32"/>
    <m/>
    <m/>
    <x v="0"/>
    <x v="1"/>
    <x v="1"/>
    <s v="NO"/>
    <s v="NO"/>
    <s v="NO"/>
    <s v="NO"/>
    <m/>
    <n v="9128.64"/>
    <s v="SLCD"/>
    <n v="1"/>
    <n v="1"/>
    <n v="9128.64"/>
    <n v="9128.64"/>
    <n v="9128.64"/>
    <n v="9128.64"/>
    <n v="9128.64"/>
    <m/>
    <m/>
    <e v="#N/A"/>
    <e v="#N/A"/>
    <e v="#N/A"/>
    <m/>
    <m/>
    <n v="0"/>
    <n v="9128.64"/>
    <s v=""/>
    <m/>
    <m/>
    <m/>
    <m/>
    <m/>
    <m/>
    <m/>
    <m/>
    <m/>
    <m/>
    <m/>
    <n v="9128.64"/>
    <m/>
    <m/>
    <m/>
    <m/>
    <m/>
    <m/>
    <m/>
    <n v="9128.64"/>
    <m/>
    <n v="0"/>
    <n v="0"/>
    <m/>
    <n v="9128.64"/>
    <n v="0"/>
    <m/>
  </r>
  <r>
    <x v="0"/>
    <n v="1"/>
    <n v="41105"/>
    <n v="41105"/>
    <n v="43011"/>
    <s v="No"/>
    <m/>
    <m/>
    <x v="0"/>
    <m/>
    <n v="403652"/>
    <x v="8"/>
    <s v="Garth"/>
    <s v="Neveling-Kehoe"/>
    <x v="103"/>
    <d v="2012-09-08T00:00:00"/>
    <n v="10.954140999315538"/>
    <n v="5"/>
    <n v="872"/>
    <n v="872"/>
    <d v="2023-04-01T00:00:00"/>
    <n v="1"/>
    <d v="2024-03-31T00:00:00"/>
    <n v="192"/>
    <n v="192"/>
    <n v="1"/>
    <s v="open"/>
    <n v="24"/>
    <m/>
    <m/>
    <x v="1"/>
    <x v="1"/>
    <x v="0"/>
    <s v="NO"/>
    <s v="NO"/>
    <s v="NO"/>
    <s v="NO"/>
    <m/>
    <n v="5346.48"/>
    <s v="PD"/>
    <n v="1"/>
    <n v="1"/>
    <n v="5346.48"/>
    <n v="5346.48"/>
    <n v="5346.48"/>
    <n v="5346.48"/>
    <n v="5346.48"/>
    <m/>
    <m/>
    <e v="#N/A"/>
    <e v="#N/A"/>
    <e v="#N/A"/>
    <m/>
    <m/>
    <n v="0"/>
    <n v="5346.48"/>
    <s v=""/>
    <m/>
    <m/>
    <m/>
    <m/>
    <m/>
    <m/>
    <m/>
    <m/>
    <m/>
    <m/>
    <m/>
    <n v="5346.48"/>
    <m/>
    <m/>
    <m/>
    <m/>
    <m/>
    <m/>
    <m/>
    <n v="5346.48"/>
    <m/>
    <n v="0"/>
    <n v="0"/>
    <m/>
    <n v="5346.48"/>
    <n v="0"/>
    <m/>
  </r>
  <r>
    <x v="0"/>
    <n v="1"/>
    <n v="41105"/>
    <n v="41105"/>
    <n v="43011"/>
    <s v="No"/>
    <m/>
    <m/>
    <x v="0"/>
    <m/>
    <n v="395715"/>
    <x v="8"/>
    <s v="Holly"/>
    <s v="Durand"/>
    <x v="104"/>
    <d v="2011-11-29T00:00:00"/>
    <n v="11.731690622861054"/>
    <n v="6"/>
    <n v="872"/>
    <n v="872"/>
    <d v="2023-04-01T00:00:00"/>
    <n v="1"/>
    <d v="2023-07-21T00:00:00"/>
    <n v="63"/>
    <n v="63"/>
    <n v="0.328125"/>
    <s v="Yr 6"/>
    <n v="25"/>
    <m/>
    <m/>
    <x v="1"/>
    <x v="1"/>
    <x v="0"/>
    <s v="NO"/>
    <s v="NO"/>
    <s v="NO"/>
    <s v="NO"/>
    <m/>
    <n v="5819.25"/>
    <s v="MLD"/>
    <n v="1"/>
    <n v="0.328125"/>
    <n v="1909.44140625"/>
    <n v="1909.44140625"/>
    <n v="1909.44140625"/>
    <n v="1909.44140625"/>
    <n v="1909.44140625"/>
    <m/>
    <m/>
    <e v="#N/A"/>
    <s v="Alfriston/ OOBs"/>
    <e v="#N/A"/>
    <m/>
    <m/>
    <n v="0"/>
    <n v="1909.44140625"/>
    <s v="Alfriston School"/>
    <s v="OOBsMnstr"/>
    <n v="43013"/>
    <m/>
    <s v="Alfriston School"/>
    <m/>
    <n v="25"/>
    <n v="5819.25"/>
    <m/>
    <s v="Y"/>
    <m/>
    <n v="3849.19140625"/>
    <n v="5758.6328125"/>
    <n v="3849.19140625"/>
    <s v="remove"/>
    <m/>
    <m/>
    <m/>
    <m/>
    <m/>
    <n v="5758.6328125"/>
    <m/>
    <n v="0"/>
    <n v="3849.19140625"/>
    <m/>
    <n v="5758.6328125"/>
    <n v="0"/>
    <m/>
  </r>
  <r>
    <x v="0"/>
    <n v="1"/>
    <n v="41105"/>
    <n v="41105"/>
    <n v="43011"/>
    <s v="No"/>
    <m/>
    <m/>
    <x v="0"/>
    <m/>
    <n v="423447"/>
    <x v="8"/>
    <s v="Isabelle"/>
    <s v="Wood"/>
    <x v="105"/>
    <d v="2015-08-27T00:00:00"/>
    <n v="7.9890485968514717"/>
    <n v="2"/>
    <n v="872"/>
    <n v="872"/>
    <d v="2023-06-30T00:00:00"/>
    <n v="48"/>
    <d v="2024-03-31T00:00:00"/>
    <n v="192"/>
    <n v="145"/>
    <n v="0.75520833333333337"/>
    <s v="open"/>
    <n v="25"/>
    <m/>
    <m/>
    <x v="1"/>
    <x v="1"/>
    <x v="0"/>
    <s v="NO"/>
    <s v="NO"/>
    <s v="NO"/>
    <s v="NO"/>
    <m/>
    <n v="5819.25"/>
    <s v="SLCD"/>
    <n v="1"/>
    <n v="0.75520833333333337"/>
    <n v="4394.74609375"/>
    <n v="4394.74609375"/>
    <n v="0"/>
    <n v="0"/>
    <n v="0"/>
    <m/>
    <m/>
    <e v="#N/A"/>
    <e v="#N/A"/>
    <e v="#N/A"/>
    <m/>
    <m/>
    <n v="0"/>
    <n v="0"/>
    <m/>
    <m/>
    <m/>
    <m/>
    <m/>
    <m/>
    <m/>
    <m/>
    <m/>
    <m/>
    <m/>
    <m/>
    <n v="0"/>
    <m/>
    <m/>
    <m/>
    <m/>
    <m/>
    <m/>
    <m/>
    <n v="4394.74609375"/>
    <s v="new provision"/>
    <n v="4394.74609375"/>
    <n v="4394.74609375"/>
    <m/>
    <n v="4394.74609375"/>
    <n v="0"/>
    <m/>
  </r>
  <r>
    <x v="0"/>
    <n v="1"/>
    <n v="41105"/>
    <n v="41105"/>
    <n v="43011"/>
    <s v="No"/>
    <m/>
    <m/>
    <x v="0"/>
    <m/>
    <n v="450522"/>
    <x v="8"/>
    <s v="Jake"/>
    <s v="Emerton"/>
    <x v="106"/>
    <d v="2019-05-27T00:00:00"/>
    <n v="4.2409308692676246"/>
    <n v="-1"/>
    <n v="872"/>
    <n v="872"/>
    <d v="2023-09-04T00:00:00"/>
    <n v="65"/>
    <d v="2023-12-22T00:00:00"/>
    <n v="192"/>
    <n v="128"/>
    <n v="0.66666666666666663"/>
    <s v="open"/>
    <n v="30"/>
    <m/>
    <m/>
    <x v="0"/>
    <x v="0"/>
    <x v="0"/>
    <s v="NO"/>
    <s v="NO"/>
    <s v="NO"/>
    <s v="NO"/>
    <m/>
    <n v="8183.0999999999985"/>
    <m/>
    <n v="1"/>
    <n v="0.66666666666666663"/>
    <n v="5455.3999999999987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m/>
    <n v="5455.3999999999987"/>
    <n v="5455.3999999999987"/>
    <m/>
  </r>
  <r>
    <x v="1"/>
    <n v="1"/>
    <n v="41105"/>
    <n v="41105"/>
    <n v="43011"/>
    <s v="No"/>
    <m/>
    <m/>
    <x v="0"/>
    <m/>
    <n v="450522"/>
    <x v="8"/>
    <s v="Jake"/>
    <s v="Emerton"/>
    <x v="106"/>
    <d v="2019-05-27T00:00:00"/>
    <n v="4.2409308692676246"/>
    <n v="-1"/>
    <n v="872"/>
    <n v="872"/>
    <d v="2024-01-01T00:00:00"/>
    <n v="135"/>
    <d v="2024-03-31T00:00:00"/>
    <n v="192"/>
    <n v="58"/>
    <n v="0.30208333333333331"/>
    <s v="open"/>
    <n v="25"/>
    <m/>
    <m/>
    <x v="1"/>
    <x v="1"/>
    <x v="0"/>
    <s v="NO"/>
    <s v="NO"/>
    <s v="NO"/>
    <s v="NO"/>
    <m/>
    <n v="5819.25"/>
    <m/>
    <n v="1"/>
    <n v="0.30208333333333331"/>
    <n v="1757.8984375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m/>
    <n v="1757.8984375"/>
    <n v="1757.8984375"/>
    <m/>
  </r>
  <r>
    <x v="0"/>
    <n v="1"/>
    <n v="41105"/>
    <n v="41105"/>
    <n v="43011"/>
    <s v="No"/>
    <m/>
    <m/>
    <x v="0"/>
    <m/>
    <n v="406023"/>
    <x v="8"/>
    <s v="Laeko"/>
    <s v="Lokombe-Hitti"/>
    <x v="107"/>
    <d v="2013-12-13T00:00:00"/>
    <n v="9.6919917864476393"/>
    <n v="4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ASD"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0"/>
    <n v="1"/>
    <n v="41105"/>
    <n v="41105"/>
    <n v="43011"/>
    <s v="No"/>
    <m/>
    <m/>
    <x v="0"/>
    <m/>
    <n v="397379"/>
    <x v="8"/>
    <s v="Max"/>
    <s v="Longhurst"/>
    <x v="108"/>
    <d v="2012-04-19T00:00:00"/>
    <n v="11.342915811088295"/>
    <n v="6"/>
    <n v="872"/>
    <n v="872"/>
    <d v="2023-04-01T00:00:00"/>
    <n v="1"/>
    <d v="2023-07-21T00:00:00"/>
    <n v="63"/>
    <n v="63"/>
    <n v="0.328125"/>
    <s v="Yr 6"/>
    <n v="30"/>
    <m/>
    <m/>
    <x v="0"/>
    <x v="0"/>
    <x v="0"/>
    <s v="NO"/>
    <s v="NO"/>
    <s v="NO"/>
    <s v="NO"/>
    <m/>
    <n v="8183.0999999999985"/>
    <s v="SEMH"/>
    <n v="1"/>
    <n v="0.328125"/>
    <n v="2685.0796874999996"/>
    <n v="2685.0796874999996"/>
    <n v="2685.0796874999996"/>
    <n v="2685.0796874999996"/>
    <n v="2685.0796874999996"/>
    <m/>
    <m/>
    <e v="#N/A"/>
    <s v="Oak Tree (high Close parfental choice)"/>
    <e v="#N/A"/>
    <s v="Y"/>
    <n v="5455.3999999999987"/>
    <n v="0"/>
    <n v="2685.0796874999996"/>
    <s v="Name Oak Tree - Parents want High Close and have taster sessions arranged after half term"/>
    <s v="WBC Spec"/>
    <m/>
    <m/>
    <s v="Name Oak Tree - Parents want High Close and have taster sessions arranged after half term"/>
    <m/>
    <n v="30"/>
    <n v="8183.0999999999985"/>
    <m/>
    <s v="Y"/>
    <m/>
    <n v="5412.7796874999985"/>
    <n v="8097.8593749999982"/>
    <n v="5412.7796874999985"/>
    <s v="remove"/>
    <m/>
    <m/>
    <m/>
    <m/>
    <m/>
    <n v="8097.8593749999982"/>
    <m/>
    <n v="0"/>
    <n v="5412.7796874999985"/>
    <m/>
    <n v="8097.8593749999982"/>
    <n v="0"/>
    <m/>
  </r>
  <r>
    <x v="0"/>
    <n v="1"/>
    <n v="41105"/>
    <n v="41105"/>
    <n v="43011"/>
    <s v="No"/>
    <m/>
    <m/>
    <x v="0"/>
    <m/>
    <n v="429757"/>
    <x v="8"/>
    <s v="Riley"/>
    <s v="Jarvis"/>
    <x v="109"/>
    <d v="2013-07-08T00:00:00"/>
    <n v="10.124572210814511"/>
    <n v="5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SEMH"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0"/>
    <n v="1"/>
    <n v="41105"/>
    <n v="41105"/>
    <n v="43011"/>
    <s v="No"/>
    <m/>
    <m/>
    <x v="0"/>
    <m/>
    <n v="421770"/>
    <x v="8"/>
    <s v="Scarlett"/>
    <s v="Bennett"/>
    <x v="110"/>
    <d v="2015-09-05T00:00:00"/>
    <n v="7.9644079397672831"/>
    <n v="2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SLCD"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0"/>
    <n v="1"/>
    <n v="41155"/>
    <n v="41155"/>
    <n v="43012"/>
    <s v="No"/>
    <s v="Y"/>
    <m/>
    <x v="0"/>
    <m/>
    <n v="403855"/>
    <x v="9"/>
    <s v="Caleb"/>
    <s v="Cook"/>
    <x v="111"/>
    <d v="2013-07-16T00:00:00"/>
    <n v="10.102669404517453"/>
    <n v="5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SEMH"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0"/>
    <n v="1"/>
    <n v="41155"/>
    <n v="41155"/>
    <n v="43012"/>
    <s v="No"/>
    <s v="Y"/>
    <m/>
    <x v="0"/>
    <m/>
    <n v="431731"/>
    <x v="9"/>
    <s v="Connor"/>
    <s v="Cross"/>
    <x v="112"/>
    <d v="2017-12-04T00:00:00"/>
    <n v="5.7166324435318279"/>
    <n v="0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m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1"/>
    <n v="1"/>
    <n v="41155"/>
    <n v="41155"/>
    <n v="43012"/>
    <s v="No"/>
    <s v="Y"/>
    <m/>
    <x v="0"/>
    <s v="AP"/>
    <n v="431731"/>
    <x v="9"/>
    <s v="Connor"/>
    <s v="Cross"/>
    <x v="112"/>
    <d v="2017-12-04T00:00:00"/>
    <n v="5.7166324435318279"/>
    <n v="0"/>
    <n v="872"/>
    <n v="872"/>
    <d v="2023-04-17T00:00:00"/>
    <n v="2"/>
    <d v="2023-07-21T00:00:00"/>
    <n v="63"/>
    <n v="62"/>
    <n v="1"/>
    <d v="2023-07-21T00:00:00"/>
    <n v="19500"/>
    <m/>
    <m/>
    <x v="0"/>
    <x v="1"/>
    <x v="1"/>
    <s v="NO"/>
    <s v="NO"/>
    <s v="NO"/>
    <s v="NO"/>
    <m/>
    <n v="19500"/>
    <m/>
    <n v="1"/>
    <n v="1"/>
    <n v="19500"/>
    <n v="19500"/>
    <n v="19500"/>
    <n v="0"/>
    <n v="19500"/>
    <m/>
    <m/>
    <e v="#N/A"/>
    <e v="#N/A"/>
    <e v="#N/A"/>
    <m/>
    <m/>
    <n v="0"/>
    <n v="19500"/>
    <s v=""/>
    <m/>
    <m/>
    <m/>
    <m/>
    <m/>
    <n v="19500"/>
    <n v="19500"/>
    <m/>
    <m/>
    <m/>
    <n v="12898.4375"/>
    <n v="32398.4375"/>
    <m/>
    <m/>
    <m/>
    <m/>
    <m/>
    <m/>
    <m/>
    <n v="32398.4375"/>
    <m/>
    <n v="0"/>
    <n v="32398.4375"/>
    <m/>
    <n v="32398.4375"/>
    <n v="0"/>
    <m/>
  </r>
  <r>
    <x v="0"/>
    <n v="1"/>
    <n v="41155"/>
    <n v="41155"/>
    <n v="43012"/>
    <s v="No"/>
    <s v="Y"/>
    <m/>
    <x v="0"/>
    <m/>
    <n v="399898"/>
    <x v="9"/>
    <s v="Edward-Mark"/>
    <s v="Smith"/>
    <x v="113"/>
    <d v="2012-12-17T00:00:00"/>
    <n v="10.680355920602327"/>
    <n v="5"/>
    <n v="872"/>
    <n v="872"/>
    <d v="2023-04-01T00:00:00"/>
    <n v="1"/>
    <d v="2024-03-31T00:00:00"/>
    <n v="192"/>
    <n v="192"/>
    <n v="1"/>
    <s v="open"/>
    <n v="36"/>
    <m/>
    <m/>
    <x v="0"/>
    <x v="1"/>
    <x v="1"/>
    <s v="NO"/>
    <s v="NO"/>
    <s v="NO"/>
    <s v="NO"/>
    <m/>
    <n v="11019.720000000001"/>
    <s v="ASD"/>
    <n v="1"/>
    <n v="1"/>
    <n v="11019.720000000001"/>
    <n v="11019.720000000001"/>
    <n v="11019.720000000001"/>
    <n v="11019.720000000001"/>
    <n v="11019.720000000001"/>
    <m/>
    <m/>
    <e v="#N/A"/>
    <e v="#N/A"/>
    <e v="#N/A"/>
    <m/>
    <m/>
    <n v="0"/>
    <n v="11019.720000000001"/>
    <s v=""/>
    <m/>
    <m/>
    <m/>
    <m/>
    <m/>
    <m/>
    <m/>
    <m/>
    <m/>
    <m/>
    <m/>
    <n v="11019.720000000001"/>
    <m/>
    <m/>
    <m/>
    <m/>
    <m/>
    <m/>
    <m/>
    <n v="11019.720000000001"/>
    <m/>
    <n v="0"/>
    <n v="0"/>
    <m/>
    <n v="11019.720000000001"/>
    <n v="0"/>
    <m/>
  </r>
  <r>
    <x v="1"/>
    <n v="1"/>
    <n v="41155"/>
    <n v="41155"/>
    <n v="43012"/>
    <s v="No"/>
    <s v="Y"/>
    <m/>
    <x v="0"/>
    <s v="AD"/>
    <n v="399898"/>
    <x v="9"/>
    <s v="Edward-Mark"/>
    <s v="Smith"/>
    <x v="113"/>
    <d v="2012-12-17T00:00:00"/>
    <n v="10.680355920602327"/>
    <n v="5"/>
    <n v="872"/>
    <n v="872"/>
    <d v="2023-04-01T00:00:00"/>
    <n v="1"/>
    <d v="2024-03-31T00:00:00"/>
    <n v="192"/>
    <n v="192"/>
    <n v="1"/>
    <s v="open"/>
    <n v="3465.72"/>
    <m/>
    <m/>
    <x v="0"/>
    <x v="1"/>
    <x v="1"/>
    <s v="NO"/>
    <s v="NO"/>
    <s v="NO"/>
    <s v="NO"/>
    <m/>
    <n v="3465.72"/>
    <s v="ASD"/>
    <n v="1"/>
    <n v="1"/>
    <n v="3465.72"/>
    <n v="3465.72"/>
    <n v="3465.72"/>
    <n v="0"/>
    <n v="3465.72"/>
    <m/>
    <m/>
    <e v="#N/A"/>
    <e v="#N/A"/>
    <e v="#N/A"/>
    <m/>
    <m/>
    <n v="0"/>
    <n v="3465.72"/>
    <s v=""/>
    <m/>
    <m/>
    <m/>
    <m/>
    <m/>
    <m/>
    <m/>
    <m/>
    <m/>
    <m/>
    <m/>
    <n v="3465.72"/>
    <m/>
    <m/>
    <m/>
    <m/>
    <m/>
    <m/>
    <m/>
    <n v="3465.72"/>
    <m/>
    <n v="0"/>
    <n v="3465.72"/>
    <m/>
    <n v="3465.72"/>
    <n v="0"/>
    <m/>
  </r>
  <r>
    <x v="0"/>
    <n v="1"/>
    <n v="41155"/>
    <n v="41155"/>
    <n v="43012"/>
    <s v="No"/>
    <s v="Y"/>
    <m/>
    <x v="0"/>
    <m/>
    <n v="402405"/>
    <x v="9"/>
    <s v="Elsie"/>
    <s v="Roberts"/>
    <x v="114"/>
    <d v="2012-04-04T00:00:00"/>
    <n v="11.383983572895277"/>
    <n v="6"/>
    <n v="872"/>
    <n v="872"/>
    <d v="2023-04-01T00:00:00"/>
    <n v="1"/>
    <d v="2023-07-21T00:00:00"/>
    <n v="63"/>
    <n v="63"/>
    <n v="0.328125"/>
    <s v="Yr 6"/>
    <n v="30"/>
    <m/>
    <m/>
    <x v="0"/>
    <x v="0"/>
    <x v="0"/>
    <s v="NO"/>
    <s v="NO"/>
    <s v="NO"/>
    <s v="NO"/>
    <m/>
    <n v="8183.0999999999985"/>
    <s v="ASD"/>
    <n v="1"/>
    <n v="0.328125"/>
    <n v="2685.0796874999996"/>
    <n v="2685.0796874999996"/>
    <n v="2685.0796874999996"/>
    <n v="2685.0796874999996"/>
    <n v="2685.0796874999996"/>
    <m/>
    <m/>
    <e v="#N/A"/>
    <s v="Oak Tree"/>
    <e v="#N/A"/>
    <s v="Y"/>
    <n v="5455.3999999999987"/>
    <n v="0"/>
    <n v="2685.0796874999996"/>
    <s v="Oak Tree "/>
    <s v="WBC Spec"/>
    <m/>
    <m/>
    <s v="Oak Tree "/>
    <m/>
    <n v="30"/>
    <n v="8183.0999999999985"/>
    <m/>
    <s v="Y"/>
    <m/>
    <n v="5412.7796874999985"/>
    <n v="8097.8593749999982"/>
    <n v="5412.7796874999985"/>
    <s v="remove"/>
    <m/>
    <m/>
    <m/>
    <m/>
    <m/>
    <n v="8097.8593749999982"/>
    <m/>
    <n v="0"/>
    <n v="5412.7796874999985"/>
    <m/>
    <n v="8097.8593749999982"/>
    <n v="0"/>
    <m/>
  </r>
  <r>
    <x v="0"/>
    <n v="1"/>
    <n v="41155"/>
    <n v="41155"/>
    <n v="43012"/>
    <s v="No"/>
    <s v="Y"/>
    <m/>
    <x v="0"/>
    <m/>
    <n v="422640"/>
    <x v="9"/>
    <s v="Harvey"/>
    <s v="Phillips"/>
    <x v="115"/>
    <d v="2013-02-06T00:00:00"/>
    <n v="10.540725530458589"/>
    <n v="5"/>
    <n v="872"/>
    <n v="872"/>
    <d v="2023-04-01T00:00:00"/>
    <n v="1"/>
    <d v="2024-03-31T00:00:00"/>
    <n v="192"/>
    <n v="192"/>
    <n v="1"/>
    <s v="open"/>
    <n v="925.9"/>
    <m/>
    <m/>
    <x v="0"/>
    <x v="1"/>
    <x v="1"/>
    <s v="NO"/>
    <s v="NO"/>
    <s v="NO"/>
    <s v="NO"/>
    <m/>
    <n v="925.9"/>
    <s v="MLD"/>
    <n v="1"/>
    <n v="1"/>
    <n v="925.9"/>
    <n v="925.9"/>
    <n v="925.9"/>
    <n v="0"/>
    <n v="925.9"/>
    <m/>
    <m/>
    <e v="#N/A"/>
    <e v="#N/A"/>
    <e v="#N/A"/>
    <m/>
    <m/>
    <n v="0"/>
    <n v="925.9"/>
    <s v=""/>
    <m/>
    <m/>
    <m/>
    <m/>
    <m/>
    <m/>
    <m/>
    <m/>
    <m/>
    <m/>
    <m/>
    <n v="925.9"/>
    <m/>
    <m/>
    <m/>
    <m/>
    <m/>
    <m/>
    <m/>
    <n v="925.9"/>
    <m/>
    <n v="0"/>
    <n v="925.9"/>
    <m/>
    <n v="925.9"/>
    <n v="0"/>
    <m/>
  </r>
  <r>
    <x v="0"/>
    <n v="1"/>
    <n v="41155"/>
    <n v="41155"/>
    <n v="43012"/>
    <s v="No"/>
    <s v="Y"/>
    <m/>
    <x v="0"/>
    <m/>
    <n v="402799"/>
    <x v="9"/>
    <s v="Kaylan"/>
    <s v="Watson"/>
    <x v="116"/>
    <d v="2013-06-12T00:00:00"/>
    <n v="10.195756331279945"/>
    <n v="5"/>
    <n v="872"/>
    <n v="872"/>
    <d v="2023-04-01T00:00:00"/>
    <n v="1"/>
    <d v="2024-03-31T00:00:00"/>
    <n v="192"/>
    <n v="192"/>
    <n v="1"/>
    <d v="2024-07-26T00:00:00"/>
    <n v="26"/>
    <m/>
    <m/>
    <x v="0"/>
    <x v="0"/>
    <x v="0"/>
    <s v="NO"/>
    <s v="NO"/>
    <s v="NO"/>
    <s v="NO"/>
    <m/>
    <n v="6292.02"/>
    <s v="ASD"/>
    <n v="1"/>
    <n v="1"/>
    <n v="6292.02"/>
    <n v="6292.02"/>
    <n v="6292.02"/>
    <n v="6292.02"/>
    <n v="6292.02"/>
    <m/>
    <m/>
    <e v="#N/A"/>
    <e v="#N/A"/>
    <e v="#N/A"/>
    <m/>
    <m/>
    <n v="0"/>
    <n v="6292.02"/>
    <s v=""/>
    <m/>
    <m/>
    <m/>
    <m/>
    <m/>
    <m/>
    <m/>
    <m/>
    <m/>
    <m/>
    <m/>
    <n v="6292.02"/>
    <m/>
    <m/>
    <m/>
    <m/>
    <m/>
    <m/>
    <m/>
    <n v="6292.02"/>
    <m/>
    <n v="0"/>
    <n v="0"/>
    <m/>
    <n v="6292.02"/>
    <n v="0"/>
    <m/>
  </r>
  <r>
    <x v="0"/>
    <n v="1"/>
    <n v="41155"/>
    <n v="41155"/>
    <n v="43012"/>
    <s v="No"/>
    <s v="Y"/>
    <m/>
    <x v="0"/>
    <m/>
    <n v="422822"/>
    <x v="9"/>
    <s v="Lorena"/>
    <s v="Monteiro E Matos"/>
    <x v="117"/>
    <d v="2015-08-30T00:00:00"/>
    <n v="7.9808350444900755"/>
    <n v="3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SLCD"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0"/>
    <n v="1"/>
    <n v="41155"/>
    <n v="41155"/>
    <n v="43012"/>
    <s v="No"/>
    <s v="Y"/>
    <m/>
    <x v="0"/>
    <m/>
    <n v="407161"/>
    <x v="9"/>
    <s v="Oliver"/>
    <s v="Price"/>
    <x v="118"/>
    <d v="2013-02-19T00:00:00"/>
    <n v="10.505133470225873"/>
    <n v="5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SEMH"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0"/>
    <n v="1"/>
    <n v="41155"/>
    <n v="41155"/>
    <n v="43012"/>
    <s v="No"/>
    <s v="Y"/>
    <m/>
    <x v="0"/>
    <m/>
    <n v="395368"/>
    <x v="9"/>
    <s v="Ralphie-Ray"/>
    <s v="Smith"/>
    <x v="119"/>
    <d v="2012-01-26T00:00:00"/>
    <n v="11.572895277207392"/>
    <n v="6"/>
    <n v="872"/>
    <n v="872"/>
    <d v="2023-04-01T00:00:00"/>
    <n v="1"/>
    <d v="2023-07-21T00:00:00"/>
    <n v="63"/>
    <n v="63"/>
    <n v="0.328125"/>
    <s v="Yr 6"/>
    <n v="26"/>
    <m/>
    <m/>
    <x v="0"/>
    <x v="0"/>
    <x v="0"/>
    <s v="NO"/>
    <s v="NO"/>
    <s v="NO"/>
    <s v="NO"/>
    <m/>
    <n v="6292.02"/>
    <s v="SEMH"/>
    <n v="1"/>
    <n v="0.328125"/>
    <n v="2064.5690625000002"/>
    <n v="2064.5690625000002"/>
    <n v="2064.5690625000002"/>
    <n v="0"/>
    <n v="2064.5690625000002"/>
    <m/>
    <m/>
    <e v="#N/A"/>
    <e v="#N/A"/>
    <e v="#N/A"/>
    <m/>
    <m/>
    <n v="0"/>
    <n v="2064.5690625000002"/>
    <s v="???"/>
    <m/>
    <m/>
    <m/>
    <m/>
    <m/>
    <n v="26"/>
    <n v="6292.02"/>
    <m/>
    <m/>
    <m/>
    <n v="4161.9090624999999"/>
    <n v="6226.4781249999996"/>
    <m/>
    <m/>
    <s v="?"/>
    <s v="?"/>
    <m/>
    <m/>
    <m/>
    <n v="6226.4781249999996"/>
    <m/>
    <n v="0"/>
    <n v="6226.4781249999996"/>
    <m/>
    <n v="6226.4781249999996"/>
    <n v="0"/>
    <m/>
  </r>
  <r>
    <x v="1"/>
    <n v="1"/>
    <n v="41155"/>
    <n v="41155"/>
    <n v="43012"/>
    <s v="No"/>
    <s v="Y"/>
    <m/>
    <x v="0"/>
    <m/>
    <n v="422097"/>
    <x v="9"/>
    <s v="Wraith"/>
    <s v="Thomas"/>
    <x v="120"/>
    <d v="2015-08-29T00:00:00"/>
    <n v="7.9835728952772076"/>
    <n v="3"/>
    <n v="872"/>
    <n v="872"/>
    <d v="2023-04-01T00:00:00"/>
    <n v="1"/>
    <d v="2023-04-23T00:00:00"/>
    <n v="5"/>
    <n v="5"/>
    <n v="2.6041666666666668E-2"/>
    <d v="2023-04-23T00:00:00"/>
    <n v="25"/>
    <m/>
    <m/>
    <x v="1"/>
    <x v="1"/>
    <x v="0"/>
    <s v="NO"/>
    <s v="NO"/>
    <s v="NO"/>
    <s v="NO"/>
    <m/>
    <n v="5819.25"/>
    <s v="MLD"/>
    <n v="1"/>
    <n v="2.6041666666666668E-2"/>
    <n v="151.54296875"/>
    <n v="151.54296875"/>
    <n v="151.54296875"/>
    <n v="151.54296875"/>
    <n v="151.54296875"/>
    <s v="change of provison!"/>
    <m/>
    <e v="#N/A"/>
    <e v="#N/A"/>
    <e v="#N/A"/>
    <m/>
    <m/>
    <n v="0"/>
    <n v="151.54296875"/>
    <s v=""/>
    <m/>
    <m/>
    <m/>
    <m/>
    <m/>
    <m/>
    <m/>
    <m/>
    <m/>
    <m/>
    <m/>
    <n v="151.54296875"/>
    <m/>
    <m/>
    <m/>
    <m/>
    <m/>
    <m/>
    <m/>
    <n v="151.54296875"/>
    <m/>
    <n v="0"/>
    <n v="0"/>
    <m/>
    <n v="151.54296875"/>
    <n v="0"/>
    <m/>
  </r>
  <r>
    <x v="0"/>
    <n v="1"/>
    <n v="41155"/>
    <n v="41155"/>
    <n v="43012"/>
    <s v="No"/>
    <s v="Y"/>
    <m/>
    <x v="0"/>
    <s v="AD"/>
    <n v="422097"/>
    <x v="9"/>
    <s v="Wraith"/>
    <s v="Thomas"/>
    <x v="120"/>
    <d v="2015-08-29T00:00:00"/>
    <n v="7.9835728952772076"/>
    <n v="3"/>
    <n v="872"/>
    <n v="872"/>
    <d v="2023-04-24T00:00:00"/>
    <n v="6"/>
    <d v="2023-04-24T00:00:00"/>
    <n v="6"/>
    <n v="0"/>
    <n v="0"/>
    <s v="open"/>
    <n v="35"/>
    <m/>
    <m/>
    <x v="0"/>
    <x v="1"/>
    <x v="1"/>
    <s v="NO"/>
    <s v="NO"/>
    <s v="NO"/>
    <s v="NO"/>
    <m/>
    <n v="10546.95"/>
    <s v="MLD"/>
    <n v="1"/>
    <n v="0"/>
    <n v="0"/>
    <n v="-10217.36"/>
    <n v="10217.3578125"/>
    <n v="0"/>
    <n v="10217.3578125"/>
    <m/>
    <m/>
    <e v="#N/A"/>
    <e v="#N/A"/>
    <e v="#N/A"/>
    <m/>
    <m/>
    <n v="0"/>
    <n v="10217.3578125"/>
    <s v=""/>
    <m/>
    <m/>
    <m/>
    <m/>
    <m/>
    <m/>
    <m/>
    <m/>
    <m/>
    <m/>
    <m/>
    <n v="10217.3578125"/>
    <m/>
    <m/>
    <m/>
    <m/>
    <m/>
    <m/>
    <m/>
    <n v="-10217.36"/>
    <s v="Farley Hill"/>
    <n v="-20434.717812499999"/>
    <n v="-10217.36"/>
    <m/>
    <n v="-10217.36"/>
    <n v="0"/>
    <m/>
  </r>
  <r>
    <x v="0"/>
    <n v="1"/>
    <n v="41107"/>
    <n v="41107"/>
    <n v="43012"/>
    <s v="No"/>
    <s v="Y"/>
    <m/>
    <x v="0"/>
    <m/>
    <n v="424831"/>
    <x v="10"/>
    <s v="Harvey"/>
    <s v="Cunningham"/>
    <x v="121"/>
    <d v="2015-12-07T00:00:00"/>
    <n v="7.7097878165639973"/>
    <n v="2"/>
    <n v="872"/>
    <n v="872"/>
    <d v="2023-04-01T00:00:00"/>
    <n v="1"/>
    <d v="2024-03-31T00:00:00"/>
    <n v="192"/>
    <n v="192"/>
    <n v="1"/>
    <s v="open"/>
    <n v="35"/>
    <m/>
    <m/>
    <x v="0"/>
    <x v="1"/>
    <x v="1"/>
    <s v="NO"/>
    <s v="NO"/>
    <s v="NO"/>
    <s v="NO"/>
    <m/>
    <n v="10546.95"/>
    <s v="SLCD"/>
    <n v="1"/>
    <n v="1"/>
    <n v="10546.95"/>
    <n v="10546.95"/>
    <n v="10546.95"/>
    <n v="10546.95"/>
    <n v="10546.95"/>
    <m/>
    <m/>
    <e v="#N/A"/>
    <e v="#N/A"/>
    <e v="#N/A"/>
    <m/>
    <m/>
    <n v="0"/>
    <n v="10546.95"/>
    <s v=""/>
    <m/>
    <m/>
    <m/>
    <m/>
    <m/>
    <m/>
    <m/>
    <m/>
    <m/>
    <m/>
    <m/>
    <n v="10546.95"/>
    <m/>
    <m/>
    <m/>
    <m/>
    <m/>
    <m/>
    <m/>
    <n v="10546.95"/>
    <m/>
    <n v="0"/>
    <n v="0"/>
    <m/>
    <n v="10546.95"/>
    <n v="0"/>
    <m/>
  </r>
  <r>
    <x v="0"/>
    <n v="1"/>
    <n v="41107"/>
    <n v="41107"/>
    <n v="43012"/>
    <s v="No"/>
    <s v="Y"/>
    <m/>
    <x v="0"/>
    <m/>
    <n v="410330"/>
    <x v="10"/>
    <s v="Kya"/>
    <s v="Hetherington"/>
    <x v="122"/>
    <d v="2013-07-02T00:00:00"/>
    <n v="10.140999315537304"/>
    <n v="5"/>
    <n v="872"/>
    <n v="872"/>
    <d v="2023-04-01T00:00:00"/>
    <n v="1"/>
    <d v="2024-03-31T00:00:00"/>
    <n v="192"/>
    <n v="192"/>
    <n v="1"/>
    <s v="open"/>
    <n v="27"/>
    <m/>
    <m/>
    <x v="0"/>
    <x v="0"/>
    <x v="0"/>
    <s v="NO"/>
    <s v="NO"/>
    <s v="NO"/>
    <s v="NO"/>
    <m/>
    <n v="6764.7899999999991"/>
    <m/>
    <n v="1"/>
    <n v="1"/>
    <n v="6764.7899999999991"/>
    <n v="6764.7899999999991"/>
    <n v="6764.7899999999991"/>
    <n v="6764.7899999999991"/>
    <n v="6764.7899999999991"/>
    <m/>
    <m/>
    <e v="#N/A"/>
    <e v="#N/A"/>
    <e v="#N/A"/>
    <m/>
    <m/>
    <n v="0"/>
    <n v="6764.7899999999991"/>
    <s v=""/>
    <m/>
    <m/>
    <m/>
    <m/>
    <m/>
    <m/>
    <m/>
    <m/>
    <m/>
    <m/>
    <m/>
    <n v="6764.7899999999991"/>
    <m/>
    <m/>
    <m/>
    <m/>
    <m/>
    <m/>
    <m/>
    <n v="6764.7899999999991"/>
    <m/>
    <n v="0"/>
    <n v="0"/>
    <m/>
    <n v="6764.7899999999991"/>
    <n v="0"/>
    <m/>
  </r>
  <r>
    <x v="0"/>
    <n v="1"/>
    <n v="41107"/>
    <n v="41107"/>
    <n v="43012"/>
    <s v="No"/>
    <s v="Y"/>
    <m/>
    <x v="0"/>
    <m/>
    <n v="397796"/>
    <x v="10"/>
    <s v="Penelope"/>
    <s v="Dunne"/>
    <x v="123"/>
    <d v="2011-08-01T00:00:00"/>
    <n v="12.060232717316905"/>
    <n v="6"/>
    <n v="872"/>
    <n v="872"/>
    <d v="2023-04-01T00:00:00"/>
    <n v="1"/>
    <d v="2023-07-21T00:00:00"/>
    <n v="63"/>
    <n v="63"/>
    <n v="0.328125"/>
    <s v="Yr 6"/>
    <n v="22"/>
    <m/>
    <m/>
    <x v="1"/>
    <x v="1"/>
    <x v="0"/>
    <s v="NO"/>
    <s v="NO"/>
    <s v="NO"/>
    <s v="NO"/>
    <m/>
    <n v="4400.9399999999987"/>
    <s v="MLD"/>
    <n v="1"/>
    <n v="0.328125"/>
    <n v="1444.0584374999996"/>
    <n v="1444.0584374999996"/>
    <n v="1444.0584374999996"/>
    <n v="1444.0584374999996"/>
    <n v="1444.0584374999996"/>
    <m/>
    <m/>
    <e v="#N/A"/>
    <s v="Alfriston/ OOBs"/>
    <e v="#N/A"/>
    <m/>
    <m/>
    <n v="0"/>
    <n v="1444.0584374999996"/>
    <s v="Name Alfriston-Funding agreed"/>
    <s v="OOBsMnstr"/>
    <n v="43013"/>
    <m/>
    <s v="Name Alfriston-Funding agreed"/>
    <m/>
    <n v="22"/>
    <n v="4400.9399999999987"/>
    <m/>
    <s v="Y"/>
    <m/>
    <n v="2911.038437499999"/>
    <n v="4355.0968749999984"/>
    <n v="2911.038437499999"/>
    <s v="remove"/>
    <m/>
    <m/>
    <m/>
    <m/>
    <m/>
    <n v="4355.0968749999984"/>
    <m/>
    <n v="0"/>
    <n v="2911.0384374999985"/>
    <m/>
    <n v="4355.0968749999984"/>
    <n v="0"/>
    <m/>
  </r>
  <r>
    <x v="0"/>
    <n v="1"/>
    <n v="41108"/>
    <n v="41108"/>
    <n v="43012"/>
    <s v="No"/>
    <s v="Y"/>
    <m/>
    <x v="0"/>
    <m/>
    <n v="434432"/>
    <x v="11"/>
    <s v="Aahaan"/>
    <s v="Chokhani"/>
    <x v="124"/>
    <d v="2015-12-27T00:00:00"/>
    <n v="7.655030800821355"/>
    <n v="2"/>
    <n v="872"/>
    <n v="872"/>
    <d v="2023-04-01T00:00:00"/>
    <n v="1"/>
    <d v="2024-03-31T00:00:00"/>
    <n v="192"/>
    <n v="192"/>
    <n v="1"/>
    <s v="open"/>
    <n v="24"/>
    <m/>
    <m/>
    <x v="1"/>
    <x v="1"/>
    <x v="0"/>
    <s v="NO"/>
    <s v="NO"/>
    <s v="NO"/>
    <s v="NO"/>
    <m/>
    <n v="5346.48"/>
    <s v="SLCD"/>
    <n v="1"/>
    <n v="1"/>
    <n v="5346.48"/>
    <n v="5346.48"/>
    <n v="5346.48"/>
    <n v="5346.48"/>
    <n v="5346.48"/>
    <m/>
    <m/>
    <e v="#N/A"/>
    <e v="#N/A"/>
    <e v="#N/A"/>
    <m/>
    <m/>
    <n v="0"/>
    <n v="5346.48"/>
    <s v=""/>
    <m/>
    <m/>
    <m/>
    <m/>
    <m/>
    <m/>
    <m/>
    <m/>
    <m/>
    <m/>
    <m/>
    <n v="5346.48"/>
    <m/>
    <m/>
    <m/>
    <m/>
    <m/>
    <m/>
    <m/>
    <n v="5346.48"/>
    <m/>
    <n v="0"/>
    <n v="0"/>
    <m/>
    <n v="5346.48"/>
    <n v="0"/>
    <m/>
  </r>
  <r>
    <x v="0"/>
    <n v="1"/>
    <n v="41108"/>
    <n v="41108"/>
    <n v="43012"/>
    <s v="No"/>
    <s v="Y"/>
    <m/>
    <x v="0"/>
    <m/>
    <n v="424211"/>
    <x v="11"/>
    <s v="Jagjot"/>
    <s v="DULAI"/>
    <x v="125"/>
    <d v="2014-11-23T00:00:00"/>
    <n v="8.7474332648870643"/>
    <n v="3"/>
    <n v="872"/>
    <n v="872"/>
    <d v="2023-04-21T00:00:00"/>
    <n v="6"/>
    <d v="2024-03-31T00:00:00"/>
    <n v="192"/>
    <n v="187"/>
    <n v="0.97395833333333337"/>
    <s v="open"/>
    <n v="30"/>
    <m/>
    <m/>
    <x v="0"/>
    <x v="0"/>
    <x v="0"/>
    <s v="NO"/>
    <s v="NO"/>
    <s v="NO"/>
    <s v="NO"/>
    <m/>
    <n v="8183.0999999999985"/>
    <s v="SEMH"/>
    <n v="1"/>
    <n v="0.97395833333333337"/>
    <n v="7969.9984374999985"/>
    <n v="7969.9984374999985"/>
    <n v="7969.9984374999985"/>
    <n v="0"/>
    <n v="7969.9984374999985"/>
    <m/>
    <m/>
    <e v="#N/A"/>
    <e v="#N/A"/>
    <e v="#N/A"/>
    <m/>
    <m/>
    <n v="0"/>
    <n v="7969.9984374999985"/>
    <s v=""/>
    <m/>
    <m/>
    <m/>
    <m/>
    <m/>
    <m/>
    <m/>
    <m/>
    <m/>
    <m/>
    <m/>
    <n v="7969.9984374999985"/>
    <m/>
    <m/>
    <m/>
    <m/>
    <m/>
    <m/>
    <m/>
    <n v="7969.9984374999985"/>
    <m/>
    <n v="0"/>
    <n v="7969.9984374999985"/>
    <m/>
    <n v="7969.9984374999985"/>
    <n v="0"/>
    <m/>
  </r>
  <r>
    <x v="0"/>
    <n v="1"/>
    <n v="41108"/>
    <n v="41108"/>
    <n v="43012"/>
    <s v="No"/>
    <s v="Y"/>
    <m/>
    <x v="0"/>
    <m/>
    <n v="429318"/>
    <x v="11"/>
    <s v="Jeff-Wesley"/>
    <s v="Randolph"/>
    <x v="126"/>
    <d v="2017-05-01T00:00:00"/>
    <n v="6.3107460643394937"/>
    <n v="1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ASD"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1"/>
    <n v="1"/>
    <n v="41108"/>
    <n v="41108"/>
    <n v="43012"/>
    <s v="No"/>
    <s v="Y"/>
    <m/>
    <x v="0"/>
    <s v="AD"/>
    <n v="429318"/>
    <x v="11"/>
    <s v="Jeff-Wesley"/>
    <s v="Randolph"/>
    <x v="126"/>
    <d v="2017-05-01T00:00:00"/>
    <n v="6.3107460643394937"/>
    <n v="1"/>
    <n v="872"/>
    <n v="872"/>
    <d v="2023-04-17T00:00:00"/>
    <n v="2"/>
    <d v="2023-07-21T00:00:00"/>
    <n v="63"/>
    <n v="62"/>
    <n v="1"/>
    <s v="open"/>
    <n v="10500"/>
    <m/>
    <m/>
    <x v="0"/>
    <x v="1"/>
    <x v="1"/>
    <s v="NO"/>
    <s v="NO"/>
    <s v="NO"/>
    <s v="NO"/>
    <m/>
    <n v="10500"/>
    <s v="ASD"/>
    <n v="1"/>
    <n v="1"/>
    <n v="10500"/>
    <n v="10500"/>
    <n v="10500"/>
    <n v="0"/>
    <n v="10500"/>
    <m/>
    <m/>
    <e v="#N/A"/>
    <e v="#N/A"/>
    <e v="#N/A"/>
    <m/>
    <m/>
    <n v="0"/>
    <n v="10500"/>
    <s v=""/>
    <m/>
    <m/>
    <m/>
    <m/>
    <m/>
    <n v="10500"/>
    <n v="10500"/>
    <m/>
    <m/>
    <m/>
    <n v="6945.3125"/>
    <n v="17445.3125"/>
    <m/>
    <m/>
    <m/>
    <m/>
    <m/>
    <m/>
    <m/>
    <n v="17445.3125"/>
    <m/>
    <n v="0"/>
    <n v="17445.3125"/>
    <m/>
    <n v="17445.3125"/>
    <n v="0"/>
    <m/>
  </r>
  <r>
    <x v="0"/>
    <n v="1"/>
    <n v="41108"/>
    <n v="41108"/>
    <n v="43012"/>
    <s v="No"/>
    <s v="Y"/>
    <m/>
    <x v="0"/>
    <m/>
    <n v="433937"/>
    <x v="11"/>
    <s v="Mohammed"/>
    <s v="Sultan"/>
    <x v="127"/>
    <d v="2017-08-10T00:00:00"/>
    <n v="6.0342231348391513"/>
    <n v="1"/>
    <n v="872"/>
    <n v="872"/>
    <d v="2023-06-26T00:00:00"/>
    <n v="44"/>
    <d v="2024-03-31T00:00:00"/>
    <n v="192"/>
    <n v="149"/>
    <n v="0.77604166666666663"/>
    <s v="open"/>
    <n v="23"/>
    <m/>
    <m/>
    <x v="1"/>
    <x v="1"/>
    <x v="0"/>
    <s v="NO"/>
    <s v="NO"/>
    <s v="NO"/>
    <s v="NO"/>
    <m/>
    <n v="4873.7099999999991"/>
    <s v="SLCD"/>
    <n v="1"/>
    <n v="0.77604166666666663"/>
    <n v="3782.202031249999"/>
    <n v="3782.202031249999"/>
    <n v="0"/>
    <n v="0"/>
    <n v="0"/>
    <m/>
    <m/>
    <e v="#N/A"/>
    <e v="#N/A"/>
    <e v="#N/A"/>
    <m/>
    <m/>
    <n v="0"/>
    <n v="0"/>
    <m/>
    <m/>
    <m/>
    <m/>
    <m/>
    <m/>
    <m/>
    <m/>
    <m/>
    <m/>
    <m/>
    <m/>
    <n v="0"/>
    <m/>
    <m/>
    <m/>
    <m/>
    <m/>
    <m/>
    <m/>
    <n v="3782.202031249999"/>
    <s v="new provision"/>
    <n v="3782.202031249999"/>
    <n v="3782.202031249999"/>
    <m/>
    <n v="3782.202031249999"/>
    <n v="0"/>
    <m/>
  </r>
  <r>
    <x v="0"/>
    <n v="1"/>
    <n v="41108"/>
    <n v="41108"/>
    <n v="43012"/>
    <s v="No"/>
    <s v="Y"/>
    <m/>
    <x v="0"/>
    <m/>
    <n v="428144"/>
    <x v="11"/>
    <s v="Oliver"/>
    <s v="Thomas"/>
    <x v="128"/>
    <d v="2015-10-03T00:00:00"/>
    <n v="7.8877481177275834"/>
    <n v="2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SLCD"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0"/>
    <n v="1"/>
    <n v="41108"/>
    <n v="41108"/>
    <n v="43012"/>
    <s v="No"/>
    <s v="Y"/>
    <m/>
    <x v="0"/>
    <m/>
    <n v="403656"/>
    <x v="11"/>
    <s v="Tobias"/>
    <s v="Ahmed"/>
    <x v="129"/>
    <d v="2012-09-12T00:00:00"/>
    <n v="10.943189596167009"/>
    <n v="5"/>
    <n v="872"/>
    <n v="872"/>
    <d v="2023-04-01T00:00:00"/>
    <n v="1"/>
    <d v="2024-03-31T00:00:00"/>
    <n v="192"/>
    <n v="192"/>
    <n v="1"/>
    <s v="open"/>
    <n v="26"/>
    <m/>
    <m/>
    <x v="0"/>
    <x v="0"/>
    <x v="0"/>
    <s v="NO"/>
    <s v="NO"/>
    <s v="NO"/>
    <s v="NO"/>
    <m/>
    <n v="6292.02"/>
    <s v="SLCD"/>
    <n v="1"/>
    <n v="1"/>
    <n v="6292.02"/>
    <n v="6292.02"/>
    <n v="6292.02"/>
    <n v="6292.02"/>
    <n v="6292.02"/>
    <m/>
    <m/>
    <e v="#N/A"/>
    <e v="#N/A"/>
    <e v="#N/A"/>
    <m/>
    <m/>
    <n v="0"/>
    <n v="6292.02"/>
    <s v=""/>
    <m/>
    <m/>
    <m/>
    <m/>
    <m/>
    <m/>
    <m/>
    <m/>
    <m/>
    <m/>
    <m/>
    <n v="6292.02"/>
    <m/>
    <m/>
    <m/>
    <m/>
    <m/>
    <m/>
    <m/>
    <n v="6292.02"/>
    <m/>
    <n v="0"/>
    <n v="0"/>
    <m/>
    <n v="6292.02"/>
    <n v="0"/>
    <m/>
  </r>
  <r>
    <x v="0"/>
    <n v="1"/>
    <n v="41108"/>
    <n v="41108"/>
    <n v="43012"/>
    <s v="No"/>
    <s v="Y"/>
    <m/>
    <x v="0"/>
    <m/>
    <n v="399920"/>
    <x v="11"/>
    <s v="William"/>
    <s v="Hearn"/>
    <x v="130"/>
    <d v="2012-10-12T00:00:00"/>
    <n v="10.861054072553046"/>
    <n v="5"/>
    <n v="872"/>
    <n v="872"/>
    <d v="2023-04-01T00:00:00"/>
    <n v="1"/>
    <d v="2024-03-31T00:00:00"/>
    <n v="192"/>
    <n v="192"/>
    <n v="1"/>
    <s v="open"/>
    <n v="28"/>
    <m/>
    <m/>
    <x v="0"/>
    <x v="0"/>
    <x v="0"/>
    <s v="NO"/>
    <s v="NO"/>
    <s v="NO"/>
    <s v="NO"/>
    <m/>
    <n v="7237.5599999999995"/>
    <s v="VI"/>
    <n v="1"/>
    <n v="1"/>
    <n v="7237.5599999999995"/>
    <n v="7237.5599999999995"/>
    <n v="7237.5599999999995"/>
    <n v="7237.5599999999995"/>
    <n v="7237.5599999999995"/>
    <m/>
    <m/>
    <e v="#N/A"/>
    <e v="#N/A"/>
    <e v="#N/A"/>
    <m/>
    <m/>
    <n v="0"/>
    <n v="7237.5599999999995"/>
    <s v=""/>
    <m/>
    <m/>
    <m/>
    <m/>
    <m/>
    <m/>
    <m/>
    <m/>
    <m/>
    <m/>
    <m/>
    <n v="7237.5599999999995"/>
    <m/>
    <m/>
    <m/>
    <m/>
    <m/>
    <m/>
    <m/>
    <n v="7237.5599999999995"/>
    <m/>
    <n v="0"/>
    <n v="0"/>
    <m/>
    <n v="7237.5599999999995"/>
    <n v="0"/>
    <m/>
  </r>
  <r>
    <x v="0"/>
    <n v="1"/>
    <n v="41108"/>
    <n v="41108"/>
    <n v="43012"/>
    <s v="No"/>
    <s v="Y"/>
    <m/>
    <x v="0"/>
    <m/>
    <n v="403532"/>
    <x v="11"/>
    <s v="Zeeniya"/>
    <s v="Asif"/>
    <x v="131"/>
    <d v="2012-02-11T00:00:00"/>
    <n v="11.529089664613279"/>
    <n v="6"/>
    <n v="872"/>
    <n v="872"/>
    <d v="2023-04-01T00:00:00"/>
    <n v="1"/>
    <d v="2023-07-21T00:00:00"/>
    <n v="63"/>
    <n v="63"/>
    <n v="0.328125"/>
    <s v="Yr 6"/>
    <n v="21"/>
    <m/>
    <m/>
    <x v="1"/>
    <x v="1"/>
    <x v="0"/>
    <s v="NO"/>
    <s v="NO"/>
    <s v="NO"/>
    <s v="NO"/>
    <m/>
    <n v="3928.17"/>
    <s v="MLD"/>
    <n v="1"/>
    <n v="0.328125"/>
    <n v="1288.9307812500001"/>
    <n v="1288.9307812500001"/>
    <n v="1288.9307812500001"/>
    <n v="1288.9307812500001"/>
    <n v="1288.9307812500001"/>
    <m/>
    <m/>
    <e v="#N/A"/>
    <s v="Holt"/>
    <e v="#N/A"/>
    <m/>
    <m/>
    <n v="0"/>
    <n v="1288.9307812500001"/>
    <s v="Holt - consulting with others"/>
    <s v="WBC Academy"/>
    <n v="43012"/>
    <m/>
    <s v="Holt - consulting with others"/>
    <m/>
    <n v="21"/>
    <n v="3928.17"/>
    <m/>
    <s v="Y"/>
    <m/>
    <n v="2598.32078125"/>
    <n v="3887.2515625000001"/>
    <m/>
    <m/>
    <m/>
    <m/>
    <m/>
    <m/>
    <m/>
    <n v="3887.2515625000001"/>
    <m/>
    <n v="0"/>
    <n v="2598.32078125"/>
    <m/>
    <n v="3887.2515625000001"/>
    <n v="0"/>
    <m/>
  </r>
  <r>
    <x v="0"/>
    <n v="1"/>
    <n v="41108"/>
    <n v="41108"/>
    <n v="43012"/>
    <s v="No"/>
    <s v="Y"/>
    <m/>
    <x v="0"/>
    <m/>
    <n v="440802"/>
    <x v="11"/>
    <s v="Zak"/>
    <s v="Wheeler"/>
    <x v="132"/>
    <d v="2018-05-25T00:00:00"/>
    <n v="5.245722108145106"/>
    <n v="0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m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0"/>
    <n v="1"/>
    <n v="41509"/>
    <n v="41509"/>
    <n v="43014"/>
    <s v="No"/>
    <m/>
    <s v="Y"/>
    <x v="0"/>
    <m/>
    <n v="407193"/>
    <x v="12"/>
    <s v="Fatima"/>
    <s v="Hussain"/>
    <x v="133"/>
    <d v="2013-11-19T00:00:00"/>
    <n v="9.7577002053388089"/>
    <n v="4"/>
    <n v="872"/>
    <n v="872"/>
    <d v="2023-04-01T00:00:00"/>
    <n v="1"/>
    <d v="2023-06-30T00:00:00"/>
    <n v="48"/>
    <n v="48"/>
    <n v="0.25"/>
    <s v="open"/>
    <s v="HIR-BAND6"/>
    <s v="HIR-BAND6"/>
    <s v="BAND6"/>
    <x v="0"/>
    <x v="1"/>
    <x v="1"/>
    <s v="NO"/>
    <s v="NO"/>
    <s v="NO"/>
    <s v="YES"/>
    <n v="31337.324999999997"/>
    <n v="31337.324999999997"/>
    <s v="HI"/>
    <n v="1"/>
    <n v="0.25"/>
    <n v="7834.3312499999993"/>
    <n v="7834.3312499999993"/>
    <n v="31337.324999999997"/>
    <n v="37487.324999999997"/>
    <n v="31337.324999999997"/>
    <m/>
    <m/>
    <e v="#N/A"/>
    <e v="#N/A"/>
    <e v="#N/A"/>
    <m/>
    <m/>
    <n v="0"/>
    <n v="31337.324999999997"/>
    <s v=""/>
    <m/>
    <m/>
    <m/>
    <m/>
    <m/>
    <m/>
    <m/>
    <m/>
    <m/>
    <m/>
    <m/>
    <n v="31337.324999999997"/>
    <m/>
    <m/>
    <m/>
    <m/>
    <m/>
    <m/>
    <m/>
    <n v="7834.3312499999993"/>
    <s v="conversion to academy"/>
    <n v="-23502.993749999998"/>
    <n v="-29652.993749999998"/>
    <m/>
    <n v="7834.3312499999993"/>
    <n v="0"/>
    <m/>
  </r>
  <r>
    <x v="0"/>
    <n v="1"/>
    <n v="41509"/>
    <n v="41509"/>
    <n v="43014"/>
    <s v="No"/>
    <m/>
    <s v="Y"/>
    <x v="0"/>
    <m/>
    <n v="424710"/>
    <x v="12"/>
    <s v="Marcus"/>
    <s v="Wood"/>
    <x v="134"/>
    <d v="2016-11-05T00:00:00"/>
    <n v="6.795345653661875"/>
    <n v="1"/>
    <n v="872"/>
    <n v="872"/>
    <d v="2023-04-01T00:00:00"/>
    <n v="1"/>
    <d v="2023-06-30T00:00:00"/>
    <n v="48"/>
    <n v="48"/>
    <n v="0.25"/>
    <s v="open"/>
    <s v="HIR-BAND6"/>
    <s v="HIR-BAND6"/>
    <s v="BAND6"/>
    <x v="0"/>
    <x v="1"/>
    <x v="1"/>
    <s v="NO"/>
    <s v="NO"/>
    <s v="NO"/>
    <s v="YES"/>
    <n v="34691.125"/>
    <n v="34691.125"/>
    <s v="HI"/>
    <n v="1"/>
    <n v="0.25"/>
    <n v="8672.78125"/>
    <n v="8672.78125"/>
    <n v="34691.125"/>
    <n v="40841.125"/>
    <n v="34691.125"/>
    <m/>
    <m/>
    <e v="#N/A"/>
    <e v="#N/A"/>
    <e v="#N/A"/>
    <m/>
    <m/>
    <n v="0"/>
    <n v="34691.125"/>
    <s v=""/>
    <m/>
    <m/>
    <m/>
    <m/>
    <m/>
    <m/>
    <m/>
    <m/>
    <m/>
    <m/>
    <m/>
    <n v="34691.125"/>
    <m/>
    <m/>
    <m/>
    <m/>
    <m/>
    <m/>
    <m/>
    <n v="8672.78125"/>
    <s v="conversion to academy"/>
    <n v="-26018.34375"/>
    <n v="-32168.34375"/>
    <m/>
    <n v="8672.78125"/>
    <n v="0"/>
    <m/>
  </r>
  <r>
    <x v="0"/>
    <n v="1"/>
    <n v="41509"/>
    <n v="41509"/>
    <n v="43014"/>
    <s v="No"/>
    <m/>
    <s v="Y"/>
    <x v="0"/>
    <m/>
    <n v="441340"/>
    <x v="12"/>
    <s v="Oscar"/>
    <s v="O'Grady"/>
    <x v="135"/>
    <d v="2014-08-06T00:00:00"/>
    <n v="9.0458590006844624"/>
    <n v="4"/>
    <n v="872"/>
    <n v="872"/>
    <d v="2023-04-01T00:00:00"/>
    <n v="1"/>
    <d v="2023-06-30T00:00:00"/>
    <n v="48"/>
    <n v="48"/>
    <n v="0.25"/>
    <s v="open"/>
    <s v="HIR-BAND6"/>
    <s v="HIR-BAND6"/>
    <s v="BAND6"/>
    <x v="0"/>
    <x v="1"/>
    <x v="1"/>
    <s v="NO"/>
    <s v="NO"/>
    <s v="NO"/>
    <s v="YES"/>
    <n v="31337.324999999997"/>
    <n v="31337.324999999997"/>
    <s v="HI"/>
    <n v="1"/>
    <n v="0.25"/>
    <n v="7834.3312499999993"/>
    <n v="7834.3312499999993"/>
    <n v="31337.324999999997"/>
    <n v="37487.324999999997"/>
    <n v="31337.324999999997"/>
    <m/>
    <m/>
    <e v="#N/A"/>
    <e v="#N/A"/>
    <e v="#N/A"/>
    <m/>
    <m/>
    <n v="0"/>
    <n v="31337.324999999997"/>
    <s v=""/>
    <m/>
    <m/>
    <m/>
    <m/>
    <m/>
    <m/>
    <m/>
    <m/>
    <m/>
    <m/>
    <m/>
    <n v="31337.324999999997"/>
    <m/>
    <m/>
    <m/>
    <m/>
    <m/>
    <m/>
    <m/>
    <n v="7834.3312499999993"/>
    <s v="conversion to academy"/>
    <n v="-23502.993749999998"/>
    <n v="-29652.993749999998"/>
    <m/>
    <n v="7834.3312499999993"/>
    <n v="0"/>
    <m/>
  </r>
  <r>
    <x v="0"/>
    <n v="1"/>
    <n v="41509"/>
    <n v="41509"/>
    <n v="43014"/>
    <s v="No"/>
    <s v="Y"/>
    <s v="Y"/>
    <x v="0"/>
    <m/>
    <n v="407193"/>
    <x v="12"/>
    <s v="Fatima"/>
    <s v="Hussain"/>
    <x v="133"/>
    <d v="2013-11-19T00:00:00"/>
    <n v="9.7577002053388089"/>
    <n v="4"/>
    <n v="872"/>
    <n v="872"/>
    <d v="2023-07-01T00:00:00"/>
    <n v="49"/>
    <d v="2024-03-31T00:00:00"/>
    <n v="192"/>
    <n v="144"/>
    <n v="0.75"/>
    <s v="open"/>
    <s v="HIR-BAND6"/>
    <s v="HIR-BAND6"/>
    <s v="BAND6"/>
    <x v="0"/>
    <x v="1"/>
    <x v="1"/>
    <s v="NO"/>
    <s v="NO"/>
    <s v="NO"/>
    <s v="YES"/>
    <n v="31337.324999999997"/>
    <n v="31337.324999999997"/>
    <s v="HI"/>
    <n v="1"/>
    <n v="0.75"/>
    <n v="23502.993749999998"/>
    <n v="23502.993749999998"/>
    <n v="0"/>
    <n v="0"/>
    <n v="0"/>
    <m/>
    <m/>
    <e v="#N/A"/>
    <e v="#N/A"/>
    <e v="#N/A"/>
    <m/>
    <m/>
    <n v="0"/>
    <n v="0"/>
    <s v=""/>
    <m/>
    <m/>
    <m/>
    <m/>
    <m/>
    <m/>
    <m/>
    <m/>
    <m/>
    <m/>
    <m/>
    <n v="0"/>
    <m/>
    <m/>
    <m/>
    <m/>
    <m/>
    <m/>
    <m/>
    <n v="23502.993749999998"/>
    <s v="conversion to academy"/>
    <n v="23502.993749999998"/>
    <n v="23502.993749999998"/>
    <m/>
    <n v="23502.993749999998"/>
    <n v="0"/>
    <m/>
  </r>
  <r>
    <x v="0"/>
    <n v="1"/>
    <n v="41509"/>
    <n v="41509"/>
    <n v="43014"/>
    <s v="No"/>
    <s v="Y"/>
    <s v="Y"/>
    <x v="0"/>
    <m/>
    <n v="424710"/>
    <x v="12"/>
    <s v="Marcus"/>
    <s v="Wood"/>
    <x v="134"/>
    <d v="2016-11-05T00:00:00"/>
    <n v="6.795345653661875"/>
    <n v="1"/>
    <n v="872"/>
    <n v="872"/>
    <d v="2023-07-01T00:00:00"/>
    <n v="49"/>
    <d v="2024-03-31T00:00:00"/>
    <n v="192"/>
    <n v="144"/>
    <n v="0.75"/>
    <s v="open"/>
    <s v="HIR-BAND6"/>
    <s v="HIR-BAND6"/>
    <s v="BAND6"/>
    <x v="0"/>
    <x v="1"/>
    <x v="1"/>
    <s v="NO"/>
    <s v="NO"/>
    <s v="NO"/>
    <s v="YES"/>
    <n v="34691.125"/>
    <n v="34691.125"/>
    <s v="HI"/>
    <n v="1"/>
    <n v="0.75"/>
    <n v="26018.34375"/>
    <n v="26018.34375"/>
    <n v="0"/>
    <n v="0"/>
    <n v="0"/>
    <m/>
    <m/>
    <e v="#N/A"/>
    <e v="#N/A"/>
    <e v="#N/A"/>
    <m/>
    <m/>
    <n v="0"/>
    <n v="0"/>
    <s v=""/>
    <m/>
    <m/>
    <m/>
    <m/>
    <m/>
    <m/>
    <m/>
    <m/>
    <m/>
    <m/>
    <m/>
    <n v="0"/>
    <m/>
    <m/>
    <m/>
    <m/>
    <m/>
    <m/>
    <m/>
    <n v="26018.34375"/>
    <s v="conversion to academy"/>
    <n v="26018.34375"/>
    <n v="26018.34375"/>
    <m/>
    <n v="26018.34375"/>
    <n v="0"/>
    <m/>
  </r>
  <r>
    <x v="0"/>
    <n v="1"/>
    <n v="41509"/>
    <n v="41509"/>
    <n v="43014"/>
    <s v="No"/>
    <s v="Y"/>
    <s v="Y"/>
    <x v="0"/>
    <m/>
    <n v="441340"/>
    <x v="12"/>
    <s v="Oscar"/>
    <s v="O'Grady"/>
    <x v="135"/>
    <d v="2014-08-06T00:00:00"/>
    <n v="9.0458590006844624"/>
    <n v="4"/>
    <n v="872"/>
    <n v="872"/>
    <d v="2023-07-01T00:00:00"/>
    <n v="49"/>
    <d v="2024-03-31T00:00:00"/>
    <n v="192"/>
    <n v="144"/>
    <n v="0.75"/>
    <s v="open"/>
    <s v="HIR-BAND6"/>
    <s v="HIR-BAND6"/>
    <s v="BAND6"/>
    <x v="0"/>
    <x v="1"/>
    <x v="1"/>
    <s v="NO"/>
    <s v="NO"/>
    <s v="NO"/>
    <s v="YES"/>
    <n v="31337.324999999997"/>
    <n v="31337.324999999997"/>
    <s v="HI"/>
    <n v="1"/>
    <n v="0.75"/>
    <n v="23502.993749999998"/>
    <n v="23502.993749999998"/>
    <n v="0"/>
    <n v="0"/>
    <n v="0"/>
    <m/>
    <m/>
    <e v="#N/A"/>
    <e v="#N/A"/>
    <e v="#N/A"/>
    <m/>
    <m/>
    <n v="0"/>
    <n v="0"/>
    <s v=""/>
    <m/>
    <m/>
    <m/>
    <m/>
    <m/>
    <m/>
    <m/>
    <m/>
    <m/>
    <m/>
    <m/>
    <n v="0"/>
    <m/>
    <m/>
    <m/>
    <m/>
    <m/>
    <m/>
    <m/>
    <n v="23502.993749999998"/>
    <s v="conversion to academy"/>
    <n v="23502.993749999998"/>
    <n v="23502.993749999998"/>
    <m/>
    <n v="23502.993749999998"/>
    <n v="0"/>
    <m/>
  </r>
  <r>
    <x v="1"/>
    <n v="0"/>
    <n v="41109"/>
    <n v="41109"/>
    <n v="43011"/>
    <s v="Yes"/>
    <m/>
    <m/>
    <x v="0"/>
    <m/>
    <n v="428626"/>
    <x v="13"/>
    <s v="Finley"/>
    <s v="Fletcher"/>
    <x v="136"/>
    <d v="2016-07-23T00:00:00"/>
    <n v="7.0828199863107457"/>
    <n v="2"/>
    <s v="872"/>
    <s v="872"/>
    <d v="2023-04-01T00:00:00"/>
    <n v="1"/>
    <d v="2023-06-30T00:00:00"/>
    <n v="48"/>
    <n v="48"/>
    <n v="0.25"/>
    <s v="Yr 2 Infant"/>
    <n v="30"/>
    <m/>
    <m/>
    <x v="0"/>
    <x v="0"/>
    <x v="0"/>
    <s v="NO"/>
    <s v="NO"/>
    <s v="NO"/>
    <s v="NO"/>
    <m/>
    <n v="8183.0999999999985"/>
    <s v="SLCD"/>
    <n v="1"/>
    <n v="0.25"/>
    <n v="2045.7749999999996"/>
    <n v="2045.7749999999996"/>
    <n v="2685.0796874999996"/>
    <n v="2685.0796874999996"/>
    <n v="2685.0796874999996"/>
    <m/>
    <s v="SLA"/>
    <s v="Oak Tree -FAP V2"/>
    <e v="#N/A"/>
    <e v="#N/A"/>
    <m/>
    <m/>
    <n v="0"/>
    <n v="2685.0796874999996"/>
    <s v="Oak Tree -FAP V2"/>
    <s v="WBC Spec"/>
    <m/>
    <s v="Oak Tree -FAP V2"/>
    <m/>
    <m/>
    <n v="30"/>
    <n v="8183.0999999999985"/>
    <s v="Y"/>
    <m/>
    <m/>
    <n v="5412.7796874999985"/>
    <n v="8097.8593749999982"/>
    <m/>
    <m/>
    <m/>
    <m/>
    <m/>
    <m/>
    <m/>
    <n v="7458.5546874999982"/>
    <m/>
    <n v="-639.3046875"/>
    <n v="4773.4749999999985"/>
    <m/>
    <n v="7458.5546874999982"/>
    <n v="0"/>
    <m/>
  </r>
  <r>
    <x v="1"/>
    <n v="0"/>
    <n v="41109"/>
    <n v="41109"/>
    <n v="43011"/>
    <s v="Yes"/>
    <m/>
    <m/>
    <x v="0"/>
    <m/>
    <n v="437285"/>
    <x v="13"/>
    <s v="Jude"/>
    <s v="Gray"/>
    <x v="137"/>
    <d v="2017-10-20T00:00:00"/>
    <n v="5.8398357289527718"/>
    <n v="0"/>
    <s v="872"/>
    <s v="872"/>
    <d v="2023-04-01T00:00:00"/>
    <n v="1"/>
    <d v="2023-06-30T00:00:00"/>
    <n v="48"/>
    <n v="48"/>
    <n v="0.25"/>
    <s v="open"/>
    <n v="28"/>
    <m/>
    <m/>
    <x v="0"/>
    <x v="0"/>
    <x v="0"/>
    <s v="NO"/>
    <s v="NO"/>
    <s v="NO"/>
    <s v="NO"/>
    <m/>
    <n v="7237.5599999999995"/>
    <m/>
    <n v="1"/>
    <n v="0.25"/>
    <n v="1809.3899999999999"/>
    <n v="1809.3899999999999"/>
    <n v="7237.5599999999995"/>
    <n v="7237.5599999999995"/>
    <n v="7237.5599999999995"/>
    <m/>
    <m/>
    <e v="#N/A"/>
    <e v="#N/A"/>
    <e v="#N/A"/>
    <m/>
    <m/>
    <n v="0"/>
    <n v="7237.5599999999995"/>
    <s v=""/>
    <m/>
    <m/>
    <m/>
    <m/>
    <m/>
    <m/>
    <m/>
    <m/>
    <m/>
    <m/>
    <m/>
    <n v="7237.5599999999995"/>
    <m/>
    <m/>
    <m/>
    <m/>
    <m/>
    <m/>
    <m/>
    <n v="1809.3899999999999"/>
    <m/>
    <n v="-5428.17"/>
    <n v="-5428.17"/>
    <m/>
    <n v="1809.3899999999999"/>
    <n v="0"/>
    <m/>
  </r>
  <r>
    <x v="1"/>
    <n v="0"/>
    <n v="41109"/>
    <n v="41109"/>
    <n v="43011"/>
    <s v="Yes"/>
    <m/>
    <m/>
    <x v="0"/>
    <m/>
    <n v="441288"/>
    <x v="13"/>
    <s v="Lacie-Mae"/>
    <s v="Green"/>
    <x v="138"/>
    <d v="2018-08-23T00:00:00"/>
    <n v="4.9993155373032172"/>
    <n v="0"/>
    <n v="872"/>
    <n v="872"/>
    <d v="2023-04-01T00:00:00"/>
    <n v="1"/>
    <d v="2023-06-30T00:00:00"/>
    <n v="48"/>
    <n v="48"/>
    <n v="0.25"/>
    <s v="open"/>
    <n v="30"/>
    <m/>
    <m/>
    <x v="0"/>
    <x v="0"/>
    <x v="0"/>
    <s v="NO"/>
    <s v="NO"/>
    <s v="NO"/>
    <s v="NO"/>
    <m/>
    <n v="8183.0999999999985"/>
    <s v="SLCD"/>
    <n v="1"/>
    <n v="0.25"/>
    <n v="2045.7749999999996"/>
    <n v="2045.7749999999996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2045.7749999999996"/>
    <m/>
    <n v="-6137.3249999999989"/>
    <n v="-6137.3249999999989"/>
    <m/>
    <n v="2045.7749999999996"/>
    <n v="0"/>
    <m/>
  </r>
  <r>
    <x v="1"/>
    <n v="0"/>
    <n v="41109"/>
    <n v="41109"/>
    <n v="43011"/>
    <s v="Yes"/>
    <m/>
    <m/>
    <x v="0"/>
    <m/>
    <n v="428633"/>
    <x v="13"/>
    <s v="Luca"/>
    <s v="Gray"/>
    <x v="139"/>
    <d v="2016-05-08T00:00:00"/>
    <n v="7.2908966461327855"/>
    <n v="2"/>
    <n v="872"/>
    <n v="872"/>
    <d v="2023-04-01T00:00:00"/>
    <n v="1"/>
    <d v="2023-06-30T00:00:00"/>
    <n v="48"/>
    <n v="48"/>
    <n v="0.25"/>
    <s v="Yr 2 Infant"/>
    <n v="25"/>
    <m/>
    <m/>
    <x v="1"/>
    <x v="1"/>
    <x v="0"/>
    <s v="NO"/>
    <s v="NO"/>
    <s v="NO"/>
    <s v="NO"/>
    <m/>
    <n v="5819.25"/>
    <s v="MLD"/>
    <n v="1"/>
    <n v="0.25"/>
    <n v="1454.8125"/>
    <n v="1454.8125"/>
    <n v="1909.44140625"/>
    <n v="1909.44140625"/>
    <n v="1909.44140625"/>
    <m/>
    <m/>
    <s v="St Paul's Cof E Junior school "/>
    <e v="#N/A"/>
    <e v="#N/A"/>
    <m/>
    <m/>
    <n v="0"/>
    <n v="1909.44140625"/>
    <s v="St Paul's Cof E Junior school "/>
    <s v="WBC Mnstr"/>
    <m/>
    <s v="St Paul's Cof E Junior school "/>
    <m/>
    <m/>
    <n v="25"/>
    <n v="5819.25"/>
    <s v="Y"/>
    <m/>
    <m/>
    <n v="3849.19140625"/>
    <n v="5758.6328125"/>
    <m/>
    <m/>
    <m/>
    <m/>
    <m/>
    <m/>
    <m/>
    <n v="5304.00390625"/>
    <m/>
    <n v="-454.62890625"/>
    <n v="3394.5625"/>
    <m/>
    <n v="5304.00390625"/>
    <n v="0"/>
    <m/>
  </r>
  <r>
    <x v="1"/>
    <n v="0"/>
    <n v="41109"/>
    <n v="41109"/>
    <n v="43011"/>
    <s v="Yes"/>
    <m/>
    <m/>
    <x v="0"/>
    <m/>
    <n v="437011"/>
    <x v="13"/>
    <s v="Nina"/>
    <s v="Kucieba"/>
    <x v="140"/>
    <d v="2017-03-18T00:00:00"/>
    <n v="6.4312114989733056"/>
    <n v="1"/>
    <n v="872"/>
    <n v="872"/>
    <d v="2023-04-01T00:00:00"/>
    <n v="1"/>
    <d v="2023-06-30T00:00:00"/>
    <n v="48"/>
    <n v="48"/>
    <n v="0.25"/>
    <s v="open"/>
    <n v="30"/>
    <m/>
    <m/>
    <x v="0"/>
    <x v="0"/>
    <x v="0"/>
    <s v="NO"/>
    <s v="NO"/>
    <s v="NO"/>
    <s v="NO"/>
    <m/>
    <n v="8183.0999999999985"/>
    <m/>
    <n v="1"/>
    <n v="0.25"/>
    <n v="2045.7749999999996"/>
    <n v="2045.7749999999996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2045.7749999999996"/>
    <m/>
    <n v="-6137.3249999999989"/>
    <n v="-6137.3249999999989"/>
    <m/>
    <n v="2045.7749999999996"/>
    <n v="0"/>
    <m/>
  </r>
  <r>
    <x v="1"/>
    <n v="0"/>
    <n v="41109"/>
    <n v="41109"/>
    <n v="43011"/>
    <s v="Yes"/>
    <m/>
    <m/>
    <x v="0"/>
    <s v="AD"/>
    <n v="437011"/>
    <x v="13"/>
    <s v="Nina"/>
    <s v="Kucieba"/>
    <x v="140"/>
    <d v="2017-03-18T00:00:00"/>
    <n v="6.4312114989733056"/>
    <n v="1"/>
    <n v="872"/>
    <n v="872"/>
    <d v="2023-04-01T00:00:00"/>
    <n v="1"/>
    <d v="2023-06-30T00:00:00"/>
    <n v="48"/>
    <n v="48"/>
    <n v="0.25"/>
    <s v="open"/>
    <n v="7483"/>
    <m/>
    <m/>
    <x v="0"/>
    <x v="1"/>
    <x v="1"/>
    <s v="NO"/>
    <s v="NO"/>
    <s v="NO"/>
    <s v="NO"/>
    <m/>
    <n v="7483"/>
    <m/>
    <n v="1"/>
    <n v="0.25"/>
    <n v="1870.75"/>
    <n v="1870.75"/>
    <n v="7483"/>
    <n v="7483"/>
    <n v="7483"/>
    <m/>
    <m/>
    <e v="#N/A"/>
    <e v="#N/A"/>
    <e v="#N/A"/>
    <m/>
    <m/>
    <n v="0"/>
    <n v="7483"/>
    <s v=""/>
    <m/>
    <m/>
    <m/>
    <m/>
    <m/>
    <m/>
    <m/>
    <m/>
    <m/>
    <m/>
    <m/>
    <n v="7483"/>
    <m/>
    <m/>
    <m/>
    <m/>
    <m/>
    <m/>
    <m/>
    <n v="1870.75"/>
    <m/>
    <n v="-5612.25"/>
    <n v="-5612.25"/>
    <m/>
    <n v="1870.75"/>
    <n v="0"/>
    <m/>
  </r>
  <r>
    <x v="1"/>
    <n v="0"/>
    <n v="41109"/>
    <n v="41109"/>
    <n v="43011"/>
    <s v="Yes"/>
    <m/>
    <m/>
    <x v="0"/>
    <m/>
    <n v="432645"/>
    <x v="13"/>
    <s v="Savanna"/>
    <s v="McLoughlin"/>
    <x v="141"/>
    <d v="2017-11-22T00:00:00"/>
    <n v="5.7494866529774127"/>
    <n v="0"/>
    <n v="872"/>
    <n v="872"/>
    <d v="2023-04-01T00:00:00"/>
    <n v="1"/>
    <d v="2023-06-30T00:00:00"/>
    <n v="48"/>
    <n v="48"/>
    <n v="0.25"/>
    <s v="open"/>
    <n v="27"/>
    <m/>
    <m/>
    <x v="0"/>
    <x v="0"/>
    <x v="0"/>
    <s v="NO"/>
    <s v="NO"/>
    <s v="NO"/>
    <s v="NO"/>
    <m/>
    <n v="6764.7899999999991"/>
    <s v="ASD"/>
    <n v="1"/>
    <n v="0.25"/>
    <n v="1691.1974999999998"/>
    <n v="1691.1974999999998"/>
    <n v="6764.7899999999991"/>
    <n v="0"/>
    <n v="6764.7899999999991"/>
    <m/>
    <m/>
    <e v="#N/A"/>
    <e v="#N/A"/>
    <e v="#N/A"/>
    <m/>
    <m/>
    <n v="0"/>
    <n v="6764.7899999999991"/>
    <s v=""/>
    <m/>
    <m/>
    <m/>
    <m/>
    <m/>
    <m/>
    <m/>
    <m/>
    <m/>
    <m/>
    <m/>
    <n v="6764.7899999999991"/>
    <m/>
    <m/>
    <m/>
    <m/>
    <m/>
    <m/>
    <m/>
    <n v="1691.1974999999998"/>
    <m/>
    <n v="-5073.5924999999988"/>
    <n v="1691.1974999999998"/>
    <m/>
    <n v="1691.1974999999998"/>
    <n v="0"/>
    <m/>
  </r>
  <r>
    <x v="1"/>
    <n v="0"/>
    <n v="41109"/>
    <n v="41109"/>
    <n v="43011"/>
    <s v="Yes"/>
    <m/>
    <m/>
    <x v="0"/>
    <m/>
    <n v="425970"/>
    <x v="13"/>
    <s v="Tommy"/>
    <s v="McLoughlin"/>
    <x v="142"/>
    <d v="2016-11-25T00:00:00"/>
    <n v="6.7405886379192337"/>
    <n v="1"/>
    <n v="872"/>
    <n v="872"/>
    <d v="2023-04-01T00:00:00"/>
    <n v="1"/>
    <d v="2023-06-30T00:00:00"/>
    <n v="48"/>
    <n v="48"/>
    <n v="0.25"/>
    <s v="open"/>
    <n v="32.5"/>
    <m/>
    <m/>
    <x v="0"/>
    <x v="1"/>
    <x v="1"/>
    <s v="NO"/>
    <s v="NO"/>
    <s v="NO"/>
    <s v="NO"/>
    <s v="TOP"/>
    <n v="9365.0249999999996"/>
    <s v="SLCD"/>
    <n v="1"/>
    <n v="0.25"/>
    <n v="2341.2562499999999"/>
    <n v="2341.2562499999999"/>
    <n v="9365.0249999999996"/>
    <n v="0"/>
    <n v="9365.0249999999996"/>
    <m/>
    <m/>
    <e v="#N/A"/>
    <e v="#N/A"/>
    <e v="#N/A"/>
    <m/>
    <m/>
    <n v="0"/>
    <n v="9365.0249999999996"/>
    <s v=""/>
    <m/>
    <m/>
    <m/>
    <m/>
    <m/>
    <m/>
    <m/>
    <m/>
    <m/>
    <m/>
    <m/>
    <n v="9365.0249999999996"/>
    <m/>
    <m/>
    <m/>
    <m/>
    <m/>
    <m/>
    <m/>
    <n v="2341.2562499999999"/>
    <m/>
    <n v="-7023.7687499999993"/>
    <n v="2341.2562499999999"/>
    <m/>
    <n v="2341.2562499999999"/>
    <n v="0"/>
    <m/>
  </r>
  <r>
    <x v="1"/>
    <n v="1"/>
    <n v="41109"/>
    <n v="41109"/>
    <n v="43011"/>
    <s v="Yes"/>
    <m/>
    <m/>
    <x v="0"/>
    <s v="AP"/>
    <n v="425970"/>
    <x v="13"/>
    <s v="Tommy"/>
    <s v="McLoughlin"/>
    <x v="142"/>
    <d v="2016-11-25T00:00:00"/>
    <n v="6.7405886379192337"/>
    <n v="1"/>
    <n v="872"/>
    <n v="872"/>
    <d v="2023-04-17T00:00:00"/>
    <n v="2"/>
    <d v="2023-07-21T00:00:00"/>
    <n v="63"/>
    <n v="62"/>
    <n v="1"/>
    <d v="2023-07-21T00:00:00"/>
    <n v="7750"/>
    <m/>
    <m/>
    <x v="0"/>
    <x v="1"/>
    <x v="1"/>
    <s v="NO"/>
    <s v="NO"/>
    <s v="NO"/>
    <s v="NO"/>
    <m/>
    <n v="7750"/>
    <s v="SLCD"/>
    <n v="1"/>
    <n v="1"/>
    <n v="7750"/>
    <n v="7750"/>
    <n v="7750"/>
    <n v="0"/>
    <n v="7750"/>
    <m/>
    <m/>
    <e v="#N/A"/>
    <e v="#N/A"/>
    <e v="#N/A"/>
    <m/>
    <m/>
    <n v="0"/>
    <n v="7750"/>
    <s v=""/>
    <m/>
    <m/>
    <m/>
    <m/>
    <m/>
    <n v="7750"/>
    <n v="7750"/>
    <m/>
    <m/>
    <m/>
    <n v="5126.3020833333339"/>
    <n v="12876.302083333334"/>
    <m/>
    <m/>
    <m/>
    <m/>
    <m/>
    <m/>
    <m/>
    <n v="12876.302083333334"/>
    <m/>
    <n v="0"/>
    <n v="12876.302083333334"/>
    <m/>
    <n v="12876.302083333334"/>
    <n v="0"/>
    <m/>
  </r>
  <r>
    <x v="0"/>
    <n v="1"/>
    <n v="41109"/>
    <n v="41109"/>
    <n v="43011"/>
    <s v="Yes"/>
    <s v="Y"/>
    <m/>
    <x v="0"/>
    <m/>
    <n v="428626"/>
    <x v="13"/>
    <s v="Finley"/>
    <s v="Fletcher"/>
    <x v="136"/>
    <d v="2016-07-23T00:00:00"/>
    <n v="7.0828199863107457"/>
    <n v="2"/>
    <s v="872"/>
    <s v="872"/>
    <d v="2023-07-01T00:00:00"/>
    <n v="49"/>
    <d v="2023-07-21T00:00:00"/>
    <n v="63"/>
    <n v="15"/>
    <n v="7.8125E-2"/>
    <s v="Yr 2 Infant"/>
    <n v="30"/>
    <m/>
    <m/>
    <x v="0"/>
    <x v="0"/>
    <x v="0"/>
    <s v="NO"/>
    <s v="NO"/>
    <s v="NO"/>
    <s v="NO"/>
    <m/>
    <n v="8183.0999999999985"/>
    <s v="SLCD"/>
    <n v="1"/>
    <n v="7.8125E-2"/>
    <n v="639.30468749999989"/>
    <n v="639.30468749999989"/>
    <n v="0"/>
    <n v="0"/>
    <n v="0"/>
    <m/>
    <s v="SLA"/>
    <s v="Oak Tree -FAP V2"/>
    <e v="#N/A"/>
    <e v="#N/A"/>
    <m/>
    <m/>
    <n v="0"/>
    <n v="0"/>
    <s v="Oak Tree -FAP V2"/>
    <s v="WBC Spec"/>
    <m/>
    <s v="Oak Tree -FAP V2"/>
    <m/>
    <m/>
    <n v="30"/>
    <n v="8183.0999999999985"/>
    <s v="Y"/>
    <m/>
    <m/>
    <n v="5412.7796874999985"/>
    <n v="5412.7796874999985"/>
    <m/>
    <m/>
    <m/>
    <m/>
    <m/>
    <m/>
    <m/>
    <n v="6052.0843749999985"/>
    <m/>
    <n v="639.3046875"/>
    <n v="6052.0843749999985"/>
    <m/>
    <n v="6052.0843749999985"/>
    <n v="0"/>
    <m/>
  </r>
  <r>
    <x v="0"/>
    <n v="1"/>
    <n v="41109"/>
    <n v="41109"/>
    <n v="43011"/>
    <s v="Yes"/>
    <s v="Y"/>
    <m/>
    <x v="0"/>
    <m/>
    <n v="437285"/>
    <x v="13"/>
    <s v="Jude"/>
    <s v="Gray"/>
    <x v="137"/>
    <d v="2017-10-20T00:00:00"/>
    <n v="5.8398357289527718"/>
    <n v="0"/>
    <s v="872"/>
    <s v="872"/>
    <d v="2023-07-01T00:00:00"/>
    <n v="49"/>
    <d v="2024-03-31T00:00:00"/>
    <n v="192"/>
    <n v="144"/>
    <n v="0.75"/>
    <s v="open"/>
    <n v="28"/>
    <m/>
    <m/>
    <x v="0"/>
    <x v="0"/>
    <x v="0"/>
    <s v="NO"/>
    <s v="NO"/>
    <s v="NO"/>
    <s v="NO"/>
    <m/>
    <n v="7237.5599999999995"/>
    <m/>
    <n v="1"/>
    <n v="0.75"/>
    <n v="5428.17"/>
    <n v="5428.17"/>
    <n v="0"/>
    <n v="0"/>
    <n v="0"/>
    <m/>
    <m/>
    <e v="#N/A"/>
    <e v="#N/A"/>
    <e v="#N/A"/>
    <m/>
    <m/>
    <n v="0"/>
    <n v="0"/>
    <s v=""/>
    <m/>
    <m/>
    <m/>
    <m/>
    <m/>
    <m/>
    <m/>
    <m/>
    <m/>
    <m/>
    <m/>
    <n v="0"/>
    <m/>
    <m/>
    <m/>
    <m/>
    <m/>
    <m/>
    <m/>
    <n v="5428.17"/>
    <m/>
    <n v="5428.17"/>
    <n v="5428.17"/>
    <m/>
    <n v="5428.17"/>
    <n v="0"/>
    <m/>
  </r>
  <r>
    <x v="0"/>
    <n v="1"/>
    <n v="41109"/>
    <n v="41109"/>
    <n v="43011"/>
    <s v="Yes"/>
    <s v="Y"/>
    <m/>
    <x v="0"/>
    <m/>
    <n v="441288"/>
    <x v="13"/>
    <s v="Lacie-Mae"/>
    <s v="Green"/>
    <x v="138"/>
    <d v="2018-08-23T00:00:00"/>
    <n v="4.9993155373032172"/>
    <n v="0"/>
    <n v="872"/>
    <n v="872"/>
    <d v="2023-07-01T00:00:00"/>
    <n v="49"/>
    <d v="2024-03-31T00:00:00"/>
    <n v="192"/>
    <n v="144"/>
    <n v="0.75"/>
    <s v="open"/>
    <n v="30"/>
    <m/>
    <m/>
    <x v="0"/>
    <x v="0"/>
    <x v="0"/>
    <s v="NO"/>
    <s v="NO"/>
    <s v="NO"/>
    <s v="NO"/>
    <m/>
    <n v="8183.0999999999985"/>
    <s v="SLCD"/>
    <n v="1"/>
    <n v="0.75"/>
    <n v="6137.3249999999989"/>
    <n v="6137.3249999999989"/>
    <n v="0"/>
    <n v="0"/>
    <n v="0"/>
    <m/>
    <m/>
    <e v="#N/A"/>
    <e v="#N/A"/>
    <e v="#N/A"/>
    <m/>
    <m/>
    <n v="0"/>
    <n v="0"/>
    <s v=""/>
    <m/>
    <m/>
    <m/>
    <m/>
    <m/>
    <m/>
    <m/>
    <m/>
    <m/>
    <m/>
    <m/>
    <n v="0"/>
    <m/>
    <m/>
    <m/>
    <m/>
    <m/>
    <m/>
    <m/>
    <n v="6137.3249999999989"/>
    <m/>
    <n v="6137.3249999999989"/>
    <n v="6137.3249999999989"/>
    <m/>
    <n v="6137.3249999999989"/>
    <n v="0"/>
    <m/>
  </r>
  <r>
    <x v="0"/>
    <n v="1"/>
    <n v="41109"/>
    <n v="41109"/>
    <n v="43011"/>
    <s v="Yes"/>
    <s v="Y"/>
    <m/>
    <x v="0"/>
    <m/>
    <n v="428633"/>
    <x v="13"/>
    <s v="Luca"/>
    <s v="Gray"/>
    <x v="139"/>
    <d v="2016-05-08T00:00:00"/>
    <n v="7.2908966461327855"/>
    <n v="2"/>
    <n v="872"/>
    <n v="872"/>
    <d v="2023-07-01T00:00:00"/>
    <n v="49"/>
    <d v="2023-07-21T00:00:00"/>
    <n v="63"/>
    <n v="15"/>
    <n v="7.8125E-2"/>
    <s v="Yr 2 Infant"/>
    <n v="25"/>
    <m/>
    <m/>
    <x v="1"/>
    <x v="1"/>
    <x v="0"/>
    <s v="NO"/>
    <s v="NO"/>
    <s v="NO"/>
    <s v="NO"/>
    <m/>
    <n v="5819.25"/>
    <s v="MLD"/>
    <n v="1"/>
    <n v="7.8125E-2"/>
    <n v="454.62890625"/>
    <n v="454.62890625"/>
    <n v="0"/>
    <n v="0"/>
    <n v="0"/>
    <m/>
    <m/>
    <s v="St Paul's Cof E Junior school "/>
    <e v="#N/A"/>
    <e v="#N/A"/>
    <m/>
    <m/>
    <n v="0"/>
    <n v="0"/>
    <s v="St Paul's Cof E Junior school "/>
    <s v="WBC Mnstr"/>
    <m/>
    <s v="St Paul's Cof E Junior school "/>
    <m/>
    <m/>
    <n v="25"/>
    <n v="5819.25"/>
    <s v="Y"/>
    <m/>
    <m/>
    <n v="3849.19140625"/>
    <n v="3849.19140625"/>
    <m/>
    <m/>
    <m/>
    <m/>
    <m/>
    <m/>
    <m/>
    <n v="4303.8203125"/>
    <m/>
    <n v="454.62890625"/>
    <n v="4303.8203125"/>
    <m/>
    <n v="4303.8203125"/>
    <n v="0"/>
    <m/>
  </r>
  <r>
    <x v="0"/>
    <n v="1"/>
    <n v="41109"/>
    <n v="41109"/>
    <n v="43011"/>
    <s v="Yes"/>
    <s v="Y"/>
    <m/>
    <x v="0"/>
    <m/>
    <n v="437011"/>
    <x v="13"/>
    <s v="Nina"/>
    <s v="Kucieba"/>
    <x v="140"/>
    <d v="2017-03-18T00:00:00"/>
    <n v="6.4312114989733056"/>
    <n v="1"/>
    <n v="872"/>
    <n v="872"/>
    <d v="2023-07-01T00:00:00"/>
    <n v="49"/>
    <d v="2024-03-31T00:00:00"/>
    <n v="192"/>
    <n v="144"/>
    <n v="0.75"/>
    <s v="open"/>
    <n v="30"/>
    <m/>
    <m/>
    <x v="0"/>
    <x v="0"/>
    <x v="0"/>
    <s v="NO"/>
    <s v="NO"/>
    <s v="NO"/>
    <s v="NO"/>
    <m/>
    <n v="8183.0999999999985"/>
    <m/>
    <n v="1"/>
    <n v="0.75"/>
    <n v="6137.3249999999989"/>
    <n v="6137.3249999999989"/>
    <n v="0"/>
    <n v="0"/>
    <n v="0"/>
    <m/>
    <m/>
    <e v="#N/A"/>
    <e v="#N/A"/>
    <e v="#N/A"/>
    <m/>
    <m/>
    <n v="0"/>
    <n v="0"/>
    <s v=""/>
    <m/>
    <m/>
    <m/>
    <m/>
    <m/>
    <m/>
    <m/>
    <m/>
    <m/>
    <m/>
    <m/>
    <n v="0"/>
    <m/>
    <m/>
    <m/>
    <m/>
    <m/>
    <m/>
    <m/>
    <n v="6137.3249999999989"/>
    <m/>
    <n v="6137.3249999999989"/>
    <n v="6137.3249999999989"/>
    <m/>
    <n v="6137.3249999999989"/>
    <n v="0"/>
    <m/>
  </r>
  <r>
    <x v="1"/>
    <n v="1"/>
    <n v="41109"/>
    <n v="41109"/>
    <n v="43011"/>
    <s v="Yes"/>
    <s v="Y"/>
    <m/>
    <x v="0"/>
    <s v="AD"/>
    <n v="437011"/>
    <x v="13"/>
    <s v="Nina"/>
    <s v="Kucieba"/>
    <x v="140"/>
    <d v="2017-03-18T00:00:00"/>
    <n v="6.4312114989733056"/>
    <n v="1"/>
    <n v="872"/>
    <n v="872"/>
    <d v="2023-07-01T00:00:00"/>
    <n v="49"/>
    <d v="2024-03-31T00:00:00"/>
    <n v="192"/>
    <n v="144"/>
    <n v="0.75"/>
    <s v="open"/>
    <n v="7483"/>
    <m/>
    <m/>
    <x v="0"/>
    <x v="1"/>
    <x v="1"/>
    <s v="NO"/>
    <s v="NO"/>
    <s v="NO"/>
    <s v="NO"/>
    <m/>
    <n v="7483"/>
    <m/>
    <n v="1"/>
    <n v="0.75"/>
    <n v="5612.25"/>
    <n v="5612.25"/>
    <n v="0"/>
    <n v="0"/>
    <n v="0"/>
    <m/>
    <m/>
    <e v="#N/A"/>
    <e v="#N/A"/>
    <e v="#N/A"/>
    <m/>
    <m/>
    <n v="0"/>
    <n v="0"/>
    <s v=""/>
    <m/>
    <m/>
    <m/>
    <m/>
    <m/>
    <m/>
    <m/>
    <m/>
    <m/>
    <m/>
    <m/>
    <n v="0"/>
    <m/>
    <m/>
    <m/>
    <m/>
    <m/>
    <m/>
    <m/>
    <n v="5612.25"/>
    <m/>
    <n v="5612.25"/>
    <n v="5612.25"/>
    <m/>
    <n v="5612.25"/>
    <n v="0"/>
    <m/>
  </r>
  <r>
    <x v="0"/>
    <n v="1"/>
    <n v="41109"/>
    <n v="41109"/>
    <n v="43011"/>
    <s v="Yes"/>
    <s v="Y"/>
    <m/>
    <x v="0"/>
    <m/>
    <n v="432645"/>
    <x v="13"/>
    <s v="Savanna"/>
    <s v="McLoughlin"/>
    <x v="141"/>
    <d v="2017-11-22T00:00:00"/>
    <n v="5.7494866529774127"/>
    <n v="0"/>
    <n v="872"/>
    <n v="872"/>
    <d v="2023-07-01T00:00:00"/>
    <n v="49"/>
    <d v="2024-03-31T00:00:00"/>
    <n v="192"/>
    <n v="144"/>
    <n v="0.75"/>
    <s v="open"/>
    <n v="27"/>
    <m/>
    <m/>
    <x v="0"/>
    <x v="0"/>
    <x v="0"/>
    <s v="NO"/>
    <s v="NO"/>
    <s v="NO"/>
    <s v="NO"/>
    <m/>
    <n v="6764.7899999999991"/>
    <s v="ASD"/>
    <n v="1"/>
    <n v="0.75"/>
    <n v="5073.5924999999988"/>
    <n v="5073.5924999999988"/>
    <n v="0"/>
    <n v="0"/>
    <n v="0"/>
    <m/>
    <m/>
    <e v="#N/A"/>
    <e v="#N/A"/>
    <e v="#N/A"/>
    <m/>
    <m/>
    <n v="0"/>
    <n v="0"/>
    <s v=""/>
    <m/>
    <m/>
    <m/>
    <m/>
    <m/>
    <m/>
    <m/>
    <m/>
    <m/>
    <m/>
    <m/>
    <n v="0"/>
    <m/>
    <m/>
    <m/>
    <m/>
    <m/>
    <m/>
    <m/>
    <n v="5073.5924999999988"/>
    <m/>
    <n v="5073.5924999999988"/>
    <n v="5073.5924999999988"/>
    <m/>
    <n v="5073.5924999999988"/>
    <n v="0"/>
    <m/>
  </r>
  <r>
    <x v="0"/>
    <n v="1"/>
    <n v="41109"/>
    <n v="41109"/>
    <n v="43011"/>
    <s v="Yes"/>
    <s v="Y"/>
    <m/>
    <x v="0"/>
    <m/>
    <n v="425970"/>
    <x v="13"/>
    <s v="Tommy"/>
    <s v="McLoughlin"/>
    <x v="142"/>
    <d v="2016-11-25T00:00:00"/>
    <n v="6.7405886379192337"/>
    <n v="1"/>
    <n v="872"/>
    <n v="872"/>
    <d v="2023-07-01T00:00:00"/>
    <n v="49"/>
    <d v="2024-03-31T00:00:00"/>
    <n v="192"/>
    <n v="144"/>
    <n v="0.75"/>
    <s v="open"/>
    <n v="32.5"/>
    <m/>
    <m/>
    <x v="0"/>
    <x v="1"/>
    <x v="1"/>
    <s v="NO"/>
    <s v="NO"/>
    <s v="NO"/>
    <s v="NO"/>
    <s v="TOP"/>
    <n v="9365.0249999999996"/>
    <s v="SLCD"/>
    <n v="1"/>
    <n v="0.75"/>
    <n v="7023.7687499999993"/>
    <n v="7023.7687499999993"/>
    <n v="0"/>
    <n v="0"/>
    <n v="0"/>
    <m/>
    <m/>
    <e v="#N/A"/>
    <e v="#N/A"/>
    <e v="#N/A"/>
    <m/>
    <m/>
    <n v="0"/>
    <n v="0"/>
    <s v=""/>
    <m/>
    <m/>
    <m/>
    <m/>
    <m/>
    <m/>
    <m/>
    <m/>
    <m/>
    <m/>
    <m/>
    <n v="0"/>
    <m/>
    <m/>
    <m/>
    <m/>
    <m/>
    <m/>
    <m/>
    <n v="7023.7687499999993"/>
    <m/>
    <n v="7023.7687499999993"/>
    <n v="7023.7687499999993"/>
    <m/>
    <n v="7023.7687499999993"/>
    <n v="0"/>
    <m/>
  </r>
  <r>
    <x v="0"/>
    <n v="1"/>
    <n v="41110"/>
    <n v="41110"/>
    <n v="43011"/>
    <s v="No"/>
    <m/>
    <m/>
    <x v="0"/>
    <m/>
    <n v="405884"/>
    <x v="14"/>
    <s v="Florence"/>
    <s v="Leddy"/>
    <x v="143"/>
    <d v="2012-11-05T00:00:00"/>
    <n v="10.795345653661876"/>
    <n v="5"/>
    <n v="872"/>
    <n v="872"/>
    <d v="2023-06-07T00:00:00"/>
    <n v="32"/>
    <d v="2023-06-30T00:00:00"/>
    <n v="48"/>
    <n v="17"/>
    <n v="8.8541666666666671E-2"/>
    <s v="open"/>
    <n v="24"/>
    <m/>
    <m/>
    <x v="1"/>
    <x v="1"/>
    <x v="0"/>
    <s v="NO"/>
    <s v="NO"/>
    <s v="NO"/>
    <s v="NO"/>
    <m/>
    <n v="5346.48"/>
    <s v="ASD"/>
    <n v="1"/>
    <n v="8.8541666666666671E-2"/>
    <n v="473.38624999999996"/>
    <n v="473.38624999999996"/>
    <n v="4483.2462499999992"/>
    <n v="0"/>
    <n v="0"/>
    <m/>
    <m/>
    <m/>
    <m/>
    <m/>
    <m/>
    <m/>
    <n v="4483.2462499999992"/>
    <n v="4483.2462499999992"/>
    <s v=""/>
    <m/>
    <m/>
    <m/>
    <m/>
    <m/>
    <m/>
    <m/>
    <m/>
    <m/>
    <m/>
    <m/>
    <n v="4483.2462499999992"/>
    <m/>
    <m/>
    <m/>
    <m/>
    <m/>
    <m/>
    <m/>
    <n v="473.38624999999996"/>
    <m/>
    <n v="-4009.8599999999992"/>
    <n v="473.38624999999996"/>
    <m/>
    <n v="473.38624999999996"/>
    <n v="0"/>
    <m/>
  </r>
  <r>
    <x v="0"/>
    <n v="1"/>
    <n v="41110"/>
    <n v="41110"/>
    <n v="43011"/>
    <s v="No"/>
    <m/>
    <m/>
    <x v="0"/>
    <m/>
    <n v="403604"/>
    <x v="14"/>
    <s v="Harry"/>
    <s v="Simmons"/>
    <x v="144"/>
    <d v="2012-04-29T00:00:00"/>
    <n v="11.315537303216974"/>
    <n v="6"/>
    <n v="872"/>
    <n v="872"/>
    <d v="2023-04-01T00:00:00"/>
    <n v="1"/>
    <d v="2023-06-30T00:00:00"/>
    <n v="48"/>
    <n v="48"/>
    <n v="0.25"/>
    <s v="Yr 6"/>
    <n v="30"/>
    <m/>
    <m/>
    <x v="0"/>
    <x v="0"/>
    <x v="0"/>
    <s v="NO"/>
    <s v="NO"/>
    <s v="NO"/>
    <s v="NO"/>
    <m/>
    <n v="8183.0999999999985"/>
    <s v="SEMH"/>
    <n v="1"/>
    <n v="0.25"/>
    <n v="2045.7749999999996"/>
    <n v="2045.7749999999996"/>
    <n v="2685.0796874999996"/>
    <n v="2685.0796874999996"/>
    <n v="2685.0796874999996"/>
    <m/>
    <m/>
    <e v="#N/A"/>
    <s v="ME MAT- Indigo"/>
    <e v="#N/A"/>
    <m/>
    <m/>
    <n v="0"/>
    <n v="2685.0796874999996"/>
    <s v="Maiden Erlegh Resource"/>
    <s v="WBC Aca_RU_ INDIGO"/>
    <n v="43015"/>
    <m/>
    <s v="Maiden Erlegh Resource"/>
    <m/>
    <n v="30"/>
    <n v="8183.0999999999985"/>
    <m/>
    <s v="Y"/>
    <m/>
    <n v="5412.7796874999985"/>
    <n v="8097.8593749999982"/>
    <m/>
    <m/>
    <m/>
    <m/>
    <m/>
    <m/>
    <m/>
    <n v="7458.5546874999982"/>
    <m/>
    <n v="-639.3046875"/>
    <n v="4773.4749999999985"/>
    <m/>
    <n v="7458.5546874999982"/>
    <n v="0"/>
    <m/>
  </r>
  <r>
    <x v="0"/>
    <n v="1"/>
    <n v="41110"/>
    <n v="41110"/>
    <n v="43011"/>
    <s v="No"/>
    <m/>
    <m/>
    <x v="0"/>
    <m/>
    <n v="403896"/>
    <x v="14"/>
    <s v="Harvey"/>
    <s v="Cooper"/>
    <x v="145"/>
    <d v="2013-05-20T00:00:00"/>
    <n v="10.258726899383984"/>
    <n v="5"/>
    <n v="872"/>
    <n v="872"/>
    <d v="2023-04-01T00:00:00"/>
    <n v="1"/>
    <d v="2023-06-30T00:00:00"/>
    <n v="48"/>
    <n v="48"/>
    <n v="0.25"/>
    <s v="open"/>
    <n v="21"/>
    <m/>
    <m/>
    <x v="1"/>
    <x v="1"/>
    <x v="0"/>
    <s v="NO"/>
    <s v="NO"/>
    <s v="NO"/>
    <s v="NO"/>
    <m/>
    <n v="3928.17"/>
    <s v="MLD"/>
    <n v="1"/>
    <n v="0.25"/>
    <n v="982.04250000000002"/>
    <n v="982.04250000000002"/>
    <n v="3928.17"/>
    <n v="3928.17"/>
    <n v="3928.17"/>
    <m/>
    <m/>
    <e v="#N/A"/>
    <e v="#N/A"/>
    <e v="#N/A"/>
    <m/>
    <m/>
    <n v="0"/>
    <n v="3928.17"/>
    <s v=""/>
    <m/>
    <m/>
    <m/>
    <m/>
    <m/>
    <m/>
    <m/>
    <m/>
    <m/>
    <m/>
    <m/>
    <n v="3928.17"/>
    <m/>
    <m/>
    <m/>
    <m/>
    <m/>
    <m/>
    <m/>
    <n v="982.04250000000002"/>
    <m/>
    <n v="-2946.1275000000001"/>
    <n v="-2946.1275000000001"/>
    <m/>
    <n v="982.04250000000002"/>
    <n v="0"/>
    <m/>
  </r>
  <r>
    <x v="0"/>
    <n v="1"/>
    <n v="41110"/>
    <n v="41110"/>
    <n v="43011"/>
    <s v="No"/>
    <m/>
    <m/>
    <x v="0"/>
    <m/>
    <n v="421832"/>
    <x v="14"/>
    <s v="Jacob"/>
    <s v="Pearce"/>
    <x v="146"/>
    <d v="2015-05-24T00:00:00"/>
    <n v="8.2491444216290208"/>
    <n v="3"/>
    <s v="872"/>
    <s v="872"/>
    <d v="2023-04-01T00:00:00"/>
    <n v="1"/>
    <d v="2023-06-30T00:00:00"/>
    <n v="48"/>
    <n v="48"/>
    <n v="0.25"/>
    <s v="open"/>
    <n v="25"/>
    <m/>
    <m/>
    <x v="1"/>
    <x v="1"/>
    <x v="0"/>
    <s v="NO"/>
    <s v="NO"/>
    <s v="NO"/>
    <s v="NO"/>
    <m/>
    <n v="5819.25"/>
    <s v="ASD"/>
    <n v="1"/>
    <n v="0.25"/>
    <n v="1454.8125"/>
    <n v="1454.81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1454.8125"/>
    <m/>
    <n v="-4364.4375"/>
    <n v="-4364.4375"/>
    <m/>
    <n v="1454.8125"/>
    <n v="0"/>
    <m/>
  </r>
  <r>
    <x v="0"/>
    <n v="1"/>
    <n v="41110"/>
    <n v="41110"/>
    <n v="43011"/>
    <s v="No"/>
    <m/>
    <m/>
    <x v="0"/>
    <m/>
    <n v="401650"/>
    <x v="14"/>
    <s v="James"/>
    <s v="Stott"/>
    <x v="147"/>
    <d v="2012-02-15T00:00:00"/>
    <n v="11.518138261464751"/>
    <n v="6"/>
    <n v="872"/>
    <n v="872"/>
    <d v="2023-04-01T00:00:00"/>
    <n v="1"/>
    <d v="2023-06-30T00:00:00"/>
    <n v="48"/>
    <n v="48"/>
    <n v="0.25"/>
    <s v="Yr 6"/>
    <n v="22"/>
    <m/>
    <m/>
    <x v="1"/>
    <x v="1"/>
    <x v="0"/>
    <s v="NO"/>
    <s v="NO"/>
    <s v="NO"/>
    <s v="NO"/>
    <m/>
    <n v="4400.9399999999987"/>
    <s v="ASD"/>
    <n v="1"/>
    <n v="0.25"/>
    <n v="1100.2349999999997"/>
    <n v="1100.2349999999997"/>
    <n v="1444.0584374999996"/>
    <n v="1444.0584374999996"/>
    <n v="1444.0584374999996"/>
    <m/>
    <m/>
    <e v="#N/A"/>
    <s v="The Emmbrook"/>
    <e v="#N/A"/>
    <m/>
    <m/>
    <n v="0"/>
    <n v="1444.0584374999996"/>
    <s v="The Emmbrook School"/>
    <s v="WBC Academy"/>
    <n v="43012"/>
    <m/>
    <s v="The Emmbrook School"/>
    <m/>
    <n v="22"/>
    <n v="4400.9399999999987"/>
    <m/>
    <s v="Y"/>
    <m/>
    <n v="2911.038437499999"/>
    <n v="4355.0968749999984"/>
    <m/>
    <m/>
    <m/>
    <m/>
    <m/>
    <m/>
    <m/>
    <n v="4011.2734374999986"/>
    <m/>
    <n v="-343.82343749999973"/>
    <n v="2567.2149999999992"/>
    <m/>
    <n v="4011.2734374999986"/>
    <n v="0"/>
    <m/>
  </r>
  <r>
    <x v="0"/>
    <n v="1"/>
    <n v="41110"/>
    <n v="41110"/>
    <n v="43011"/>
    <s v="No"/>
    <m/>
    <m/>
    <x v="0"/>
    <m/>
    <n v="414994"/>
    <x v="14"/>
    <s v="Jude"/>
    <s v="Mpofu"/>
    <x v="148"/>
    <d v="2014-07-31T00:00:00"/>
    <n v="9.0622861054072548"/>
    <n v="4"/>
    <n v="872"/>
    <n v="872"/>
    <d v="2023-04-01T00:00:00"/>
    <n v="1"/>
    <d v="2023-06-30T00:00:00"/>
    <n v="48"/>
    <n v="48"/>
    <n v="0.25"/>
    <s v="open"/>
    <n v="30"/>
    <m/>
    <m/>
    <x v="0"/>
    <x v="0"/>
    <x v="0"/>
    <s v="NO"/>
    <s v="NO"/>
    <s v="NO"/>
    <s v="NO"/>
    <m/>
    <n v="8183.0999999999985"/>
    <s v="SLCD"/>
    <n v="1"/>
    <n v="0.25"/>
    <n v="2045.7749999999996"/>
    <n v="2045.7749999999996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2045.7749999999996"/>
    <m/>
    <n v="-6137.3249999999989"/>
    <n v="-6137.3249999999989"/>
    <m/>
    <n v="2045.7749999999996"/>
    <n v="0"/>
    <m/>
  </r>
  <r>
    <x v="0"/>
    <n v="1"/>
    <n v="41110"/>
    <n v="41110"/>
    <n v="43011"/>
    <s v="No"/>
    <m/>
    <m/>
    <x v="0"/>
    <m/>
    <n v="422418"/>
    <x v="14"/>
    <s v="Kitty"/>
    <s v="Riches"/>
    <x v="149"/>
    <d v="2015-07-18T00:00:00"/>
    <n v="8.0985626283367562"/>
    <n v="3"/>
    <n v="872"/>
    <n v="872"/>
    <d v="2023-04-18T00:00:00"/>
    <n v="3"/>
    <d v="2023-06-30T00:00:00"/>
    <n v="48"/>
    <n v="46"/>
    <n v="0.23958333333333334"/>
    <s v="open"/>
    <n v="22"/>
    <m/>
    <m/>
    <x v="1"/>
    <x v="1"/>
    <x v="0"/>
    <s v="NO"/>
    <s v="NO"/>
    <s v="NO"/>
    <s v="NO"/>
    <m/>
    <n v="4400.9399999999987"/>
    <s v="SLCD"/>
    <n v="1"/>
    <n v="0.23958333333333334"/>
    <n v="1054.3918749999998"/>
    <n v="1054.3918749999998"/>
    <n v="4355.0968749999993"/>
    <n v="0"/>
    <n v="4355.0968749999993"/>
    <m/>
    <m/>
    <e v="#N/A"/>
    <e v="#N/A"/>
    <e v="#N/A"/>
    <m/>
    <m/>
    <n v="0"/>
    <n v="4355.0968749999993"/>
    <s v=""/>
    <m/>
    <m/>
    <m/>
    <m/>
    <m/>
    <m/>
    <m/>
    <m/>
    <m/>
    <m/>
    <m/>
    <n v="4355.0968749999993"/>
    <m/>
    <m/>
    <m/>
    <m/>
    <m/>
    <m/>
    <m/>
    <n v="1054.3918749999998"/>
    <m/>
    <n v="-3300.7049999999995"/>
    <n v="1054.3918749999998"/>
    <m/>
    <n v="1054.3918749999998"/>
    <n v="0"/>
    <m/>
  </r>
  <r>
    <x v="0"/>
    <n v="1"/>
    <n v="41110"/>
    <n v="41110"/>
    <n v="43011"/>
    <s v="No"/>
    <m/>
    <m/>
    <x v="0"/>
    <m/>
    <n v="419836"/>
    <x v="14"/>
    <s v="Phoebe"/>
    <s v="Langley Hawkins"/>
    <x v="150"/>
    <d v="2015-02-04T00:00:00"/>
    <n v="8.5475701574264207"/>
    <n v="3"/>
    <n v="872"/>
    <n v="872"/>
    <d v="2023-04-01T00:00:00"/>
    <n v="1"/>
    <d v="2023-06-30T00:00:00"/>
    <n v="48"/>
    <n v="48"/>
    <n v="0.25"/>
    <s v="open"/>
    <n v="25"/>
    <m/>
    <m/>
    <x v="1"/>
    <x v="1"/>
    <x v="0"/>
    <s v="NO"/>
    <s v="NO"/>
    <s v="NO"/>
    <s v="NO"/>
    <m/>
    <n v="5819.25"/>
    <s v="SLCD"/>
    <n v="1"/>
    <n v="0.25"/>
    <n v="1454.8125"/>
    <n v="1454.81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1454.8125"/>
    <m/>
    <n v="-4364.4375"/>
    <n v="-4364.4375"/>
    <m/>
    <n v="1454.8125"/>
    <n v="0"/>
    <m/>
  </r>
  <r>
    <x v="0"/>
    <n v="1"/>
    <n v="41110"/>
    <n v="41110"/>
    <n v="43011"/>
    <s v="No"/>
    <m/>
    <m/>
    <x v="0"/>
    <m/>
    <n v="419686"/>
    <x v="14"/>
    <s v="Marnie"/>
    <s v="Hearnon"/>
    <x v="151"/>
    <d v="2015-01-02T00:00:00"/>
    <n v="8.6379192334017798"/>
    <n v="3"/>
    <n v="872"/>
    <n v="872"/>
    <d v="2023-04-01T00:00:00"/>
    <n v="1"/>
    <d v="2023-06-30T00:00:00"/>
    <n v="48"/>
    <n v="48"/>
    <n v="0.25"/>
    <s v="open"/>
    <n v="30"/>
    <m/>
    <m/>
    <x v="0"/>
    <x v="0"/>
    <x v="0"/>
    <s v="NO"/>
    <s v="NO"/>
    <s v="NO"/>
    <s v="NO"/>
    <m/>
    <n v="8183.0999999999985"/>
    <m/>
    <n v="1"/>
    <n v="0.25"/>
    <n v="2045.7749999999996"/>
    <n v="2045.7749999999996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2045.7749999999996"/>
    <m/>
    <n v="-6137.3249999999989"/>
    <n v="-6137.3249999999989"/>
    <m/>
    <n v="2045.7749999999996"/>
    <n v="0"/>
    <m/>
  </r>
  <r>
    <x v="0"/>
    <n v="1"/>
    <n v="41110"/>
    <n v="41110"/>
    <n v="43011"/>
    <s v="No"/>
    <m/>
    <m/>
    <x v="0"/>
    <m/>
    <n v="413640"/>
    <x v="14"/>
    <s v="Muhammad"/>
    <s v="Abdul Hamid"/>
    <x v="152"/>
    <d v="2013-04-21T00:00:00"/>
    <n v="10.338124572210814"/>
    <n v="5"/>
    <n v="872"/>
    <n v="872"/>
    <d v="2023-04-01T00:00:00"/>
    <n v="1"/>
    <d v="2023-06-30T00:00:00"/>
    <n v="48"/>
    <n v="48"/>
    <n v="0.25"/>
    <s v="open"/>
    <n v="28"/>
    <m/>
    <m/>
    <x v="0"/>
    <x v="0"/>
    <x v="0"/>
    <s v="NO"/>
    <s v="NO"/>
    <s v="NO"/>
    <s v="NO"/>
    <m/>
    <n v="7237.5599999999995"/>
    <s v="MLD"/>
    <n v="1"/>
    <n v="0.25"/>
    <n v="1809.3899999999999"/>
    <n v="1809.3899999999999"/>
    <n v="7237.5599999999995"/>
    <n v="7237.5599999999995"/>
    <n v="7237.5599999999995"/>
    <m/>
    <m/>
    <e v="#N/A"/>
    <e v="#N/A"/>
    <e v="#N/A"/>
    <m/>
    <m/>
    <n v="0"/>
    <n v="7237.5599999999995"/>
    <s v=""/>
    <m/>
    <m/>
    <m/>
    <m/>
    <m/>
    <m/>
    <m/>
    <m/>
    <m/>
    <m/>
    <m/>
    <n v="7237.5599999999995"/>
    <m/>
    <m/>
    <m/>
    <m/>
    <m/>
    <m/>
    <m/>
    <n v="1809.3899999999999"/>
    <m/>
    <n v="-5428.17"/>
    <n v="-5428.17"/>
    <m/>
    <n v="1809.3899999999999"/>
    <n v="0"/>
    <m/>
  </r>
  <r>
    <x v="0"/>
    <n v="1"/>
    <n v="41110"/>
    <n v="41110"/>
    <n v="43011"/>
    <s v="No"/>
    <m/>
    <m/>
    <x v="0"/>
    <m/>
    <n v="407072"/>
    <x v="14"/>
    <s v="Noah"/>
    <s v="Loveluck"/>
    <x v="153"/>
    <d v="2012-05-23T00:00:00"/>
    <n v="11.249828884325805"/>
    <n v="6"/>
    <n v="872"/>
    <n v="872"/>
    <d v="2023-04-01T00:00:00"/>
    <n v="1"/>
    <d v="2023-06-30T00:00:00"/>
    <n v="48"/>
    <n v="48"/>
    <n v="0.25"/>
    <s v="Yr 6"/>
    <n v="30"/>
    <m/>
    <m/>
    <x v="0"/>
    <x v="0"/>
    <x v="0"/>
    <s v="NO"/>
    <s v="NO"/>
    <s v="NO"/>
    <s v="NO"/>
    <m/>
    <n v="8183.0999999999985"/>
    <s v="ASD"/>
    <n v="1"/>
    <n v="0.25"/>
    <n v="2045.7749999999996"/>
    <n v="2045.7749999999996"/>
    <n v="2685.0796874999996"/>
    <n v="2685.0796874999996"/>
    <n v="2685.0796874999996"/>
    <m/>
    <m/>
    <e v="#N/A"/>
    <s v="special"/>
    <e v="#N/A"/>
    <s v="Y"/>
    <n v="5455.3999999999987"/>
    <n v="0"/>
    <n v="2685.0796874999996"/>
    <s v="special"/>
    <s v="special"/>
    <n v="43012"/>
    <m/>
    <s v="named on type"/>
    <m/>
    <n v="30"/>
    <n v="8183.0999999999985"/>
    <m/>
    <s v="Y"/>
    <m/>
    <n v="5412.7796874999985"/>
    <n v="8097.8593749999982"/>
    <n v="5412.7796874999985"/>
    <s v="remove"/>
    <m/>
    <m/>
    <m/>
    <m/>
    <m/>
    <n v="7458.5546874999982"/>
    <m/>
    <n v="-639.3046875"/>
    <n v="4773.4749999999985"/>
    <m/>
    <n v="7458.5546874999982"/>
    <n v="0"/>
    <m/>
  </r>
  <r>
    <x v="0"/>
    <n v="1"/>
    <n v="41110"/>
    <n v="41110"/>
    <n v="43011"/>
    <s v="No"/>
    <m/>
    <m/>
    <x v="0"/>
    <m/>
    <n v="406183"/>
    <x v="14"/>
    <s v="Ollie"/>
    <s v="Brown"/>
    <x v="154"/>
    <d v="2012-11-25T00:00:00"/>
    <n v="10.740588637919233"/>
    <n v="5"/>
    <n v="872"/>
    <n v="872"/>
    <d v="2023-04-01T00:00:00"/>
    <n v="1"/>
    <d v="2023-06-30T00:00:00"/>
    <n v="48"/>
    <n v="48"/>
    <n v="0.25"/>
    <s v="open"/>
    <n v="30"/>
    <m/>
    <m/>
    <x v="0"/>
    <x v="0"/>
    <x v="0"/>
    <s v="NO"/>
    <s v="NO"/>
    <s v="NO"/>
    <s v="NO"/>
    <m/>
    <n v="8183.0999999999985"/>
    <s v="SEMH"/>
    <n v="1"/>
    <n v="0.25"/>
    <n v="2045.7749999999996"/>
    <n v="2045.7749999999996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2045.7749999999996"/>
    <m/>
    <n v="-6137.3249999999989"/>
    <n v="-6137.3249999999989"/>
    <m/>
    <n v="2045.7749999999996"/>
    <n v="0"/>
    <m/>
  </r>
  <r>
    <x v="1"/>
    <n v="1"/>
    <n v="41110"/>
    <n v="41110"/>
    <n v="43011"/>
    <s v="No"/>
    <m/>
    <m/>
    <x v="0"/>
    <s v="AP"/>
    <n v="406183"/>
    <x v="14"/>
    <s v="Ollie"/>
    <s v="Brown"/>
    <x v="154"/>
    <d v="2012-11-25T00:00:00"/>
    <n v="10.740588637919233"/>
    <n v="5"/>
    <n v="872"/>
    <n v="872"/>
    <d v="2023-04-01T00:00:00"/>
    <n v="1"/>
    <d v="2023-06-30T00:00:00"/>
    <n v="48"/>
    <n v="48"/>
    <n v="1"/>
    <d v="2023-07-28T00:00:00"/>
    <n v="28500"/>
    <m/>
    <m/>
    <x v="0"/>
    <x v="1"/>
    <x v="1"/>
    <s v="NO"/>
    <s v="NO"/>
    <s v="NO"/>
    <s v="NO"/>
    <m/>
    <n v="28500"/>
    <s v="SEMH"/>
    <n v="1"/>
    <n v="1"/>
    <n v="28500"/>
    <n v="28500"/>
    <n v="28500"/>
    <n v="28500"/>
    <n v="28500"/>
    <m/>
    <m/>
    <e v="#N/A"/>
    <e v="#N/A"/>
    <e v="#N/A"/>
    <m/>
    <m/>
    <n v="0"/>
    <n v="28500"/>
    <s v=""/>
    <m/>
    <m/>
    <m/>
    <m/>
    <m/>
    <n v="28500"/>
    <n v="28500"/>
    <m/>
    <m/>
    <m/>
    <n v="18851.5625"/>
    <n v="47351.5625"/>
    <m/>
    <m/>
    <m/>
    <m/>
    <m/>
    <m/>
    <m/>
    <n v="47351.5625"/>
    <m/>
    <n v="0"/>
    <n v="18851.5625"/>
    <m/>
    <n v="47351.5625"/>
    <n v="0"/>
    <m/>
  </r>
  <r>
    <x v="0"/>
    <n v="1"/>
    <n v="41110"/>
    <n v="41110"/>
    <n v="43011"/>
    <s v="No"/>
    <m/>
    <m/>
    <x v="0"/>
    <m/>
    <n v="422955"/>
    <x v="14"/>
    <s v="Oliver"/>
    <s v="Yates"/>
    <x v="155"/>
    <d v="2014-11-28T00:00:00"/>
    <n v="8.7337440109514031"/>
    <n v="3"/>
    <n v="872"/>
    <n v="872"/>
    <d v="2023-04-01T00:00:00"/>
    <n v="1"/>
    <d v="2023-06-30T00:00:00"/>
    <n v="48"/>
    <n v="48"/>
    <n v="0.25"/>
    <s v="open"/>
    <n v="22"/>
    <m/>
    <m/>
    <x v="1"/>
    <x v="1"/>
    <x v="0"/>
    <s v="NO"/>
    <s v="NO"/>
    <s v="NO"/>
    <s v="NO"/>
    <m/>
    <n v="4400.9399999999987"/>
    <s v="SLCD"/>
    <n v="1"/>
    <n v="0.25"/>
    <n v="1100.2349999999997"/>
    <n v="1100.2349999999997"/>
    <n v="4400.9399999999987"/>
    <n v="4400.9399999999987"/>
    <n v="4400.9399999999987"/>
    <m/>
    <m/>
    <e v="#N/A"/>
    <e v="#N/A"/>
    <e v="#N/A"/>
    <m/>
    <m/>
    <n v="0"/>
    <n v="4400.9399999999987"/>
    <s v=""/>
    <m/>
    <m/>
    <m/>
    <m/>
    <m/>
    <m/>
    <m/>
    <m/>
    <m/>
    <m/>
    <m/>
    <n v="4400.9399999999987"/>
    <m/>
    <m/>
    <m/>
    <m/>
    <m/>
    <m/>
    <m/>
    <n v="1100.2349999999997"/>
    <m/>
    <n v="-3300.704999999999"/>
    <n v="-3300.704999999999"/>
    <m/>
    <n v="1100.2349999999997"/>
    <n v="0"/>
    <m/>
  </r>
  <r>
    <x v="0"/>
    <n v="1"/>
    <n v="41110"/>
    <n v="41110"/>
    <n v="43011"/>
    <s v="No"/>
    <m/>
    <m/>
    <x v="0"/>
    <m/>
    <n v="407797"/>
    <x v="14"/>
    <s v="Olivia"/>
    <s v="Evans"/>
    <x v="156"/>
    <d v="2013-03-12T00:00:00"/>
    <n v="10.447638603696099"/>
    <n v="5"/>
    <n v="872"/>
    <n v="872"/>
    <d v="2023-04-01T00:00:00"/>
    <n v="1"/>
    <d v="2023-06-30T00:00:00"/>
    <n v="48"/>
    <n v="48"/>
    <n v="0.25"/>
    <s v="open"/>
    <n v="25"/>
    <m/>
    <m/>
    <x v="1"/>
    <x v="1"/>
    <x v="0"/>
    <s v="NO"/>
    <s v="NO"/>
    <s v="NO"/>
    <s v="NO"/>
    <m/>
    <n v="5819.25"/>
    <m/>
    <n v="1"/>
    <n v="0.25"/>
    <n v="1454.8125"/>
    <n v="1454.81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1454.8125"/>
    <m/>
    <n v="-4364.4375"/>
    <n v="-4364.4375"/>
    <m/>
    <n v="1454.8125"/>
    <n v="0"/>
    <m/>
  </r>
  <r>
    <x v="0"/>
    <n v="1"/>
    <n v="41110"/>
    <n v="41110"/>
    <n v="43011"/>
    <s v="No"/>
    <m/>
    <m/>
    <x v="0"/>
    <m/>
    <n v="414089"/>
    <x v="14"/>
    <s v="Thomas"/>
    <s v="Powell"/>
    <x v="157"/>
    <d v="2014-10-28T00:00:00"/>
    <n v="8.8186173853524981"/>
    <n v="3"/>
    <n v="872"/>
    <n v="872"/>
    <d v="2023-04-01T00:00:00"/>
    <n v="1"/>
    <d v="2023-06-30T00:00:00"/>
    <n v="48"/>
    <n v="48"/>
    <n v="0.25"/>
    <s v="open"/>
    <n v="22"/>
    <m/>
    <m/>
    <x v="1"/>
    <x v="1"/>
    <x v="0"/>
    <s v="NO"/>
    <s v="NO"/>
    <s v="NO"/>
    <s v="NO"/>
    <m/>
    <n v="4400.9399999999987"/>
    <m/>
    <n v="1"/>
    <n v="0.25"/>
    <n v="1100.2349999999997"/>
    <n v="1100.2349999999997"/>
    <n v="4400.9399999999987"/>
    <n v="4400.9399999999987"/>
    <n v="4400.9399999999987"/>
    <m/>
    <m/>
    <e v="#N/A"/>
    <e v="#N/A"/>
    <e v="#N/A"/>
    <m/>
    <m/>
    <n v="0"/>
    <n v="4400.9399999999987"/>
    <s v=""/>
    <m/>
    <m/>
    <m/>
    <m/>
    <m/>
    <m/>
    <m/>
    <m/>
    <m/>
    <m/>
    <m/>
    <n v="4400.9399999999987"/>
    <m/>
    <m/>
    <m/>
    <m/>
    <m/>
    <m/>
    <m/>
    <n v="1100.2349999999997"/>
    <m/>
    <n v="-3300.704999999999"/>
    <n v="-3300.704999999999"/>
    <m/>
    <n v="1100.2349999999997"/>
    <n v="0"/>
    <m/>
  </r>
  <r>
    <x v="0"/>
    <n v="1"/>
    <n v="41110"/>
    <n v="41110"/>
    <n v="43011"/>
    <s v="No"/>
    <m/>
    <m/>
    <x v="0"/>
    <m/>
    <n v="417617"/>
    <x v="14"/>
    <s v="Yoofi"/>
    <s v="Enchill"/>
    <x v="158"/>
    <d v="2014-07-11T00:00:00"/>
    <n v="9.1170431211498979"/>
    <n v="4"/>
    <n v="872"/>
    <n v="872"/>
    <d v="2023-04-01T00:00:00"/>
    <n v="1"/>
    <d v="2023-06-30T00:00:00"/>
    <n v="48"/>
    <n v="48"/>
    <n v="0.25"/>
    <s v="open"/>
    <n v="26"/>
    <m/>
    <m/>
    <x v="0"/>
    <x v="0"/>
    <x v="0"/>
    <s v="NO"/>
    <s v="NO"/>
    <s v="NO"/>
    <s v="NO"/>
    <m/>
    <n v="6292.02"/>
    <s v="SEMH"/>
    <n v="1"/>
    <n v="0.25"/>
    <n v="1573.0050000000001"/>
    <n v="1573.0050000000001"/>
    <n v="6292.02"/>
    <n v="6292.02"/>
    <n v="6292.02"/>
    <m/>
    <m/>
    <e v="#N/A"/>
    <e v="#N/A"/>
    <e v="#N/A"/>
    <m/>
    <m/>
    <n v="0"/>
    <n v="6292.02"/>
    <s v=""/>
    <m/>
    <m/>
    <m/>
    <m/>
    <m/>
    <m/>
    <m/>
    <m/>
    <m/>
    <m/>
    <m/>
    <n v="6292.02"/>
    <m/>
    <m/>
    <m/>
    <m/>
    <m/>
    <m/>
    <m/>
    <n v="1573.0050000000001"/>
    <m/>
    <n v="-4719.0150000000003"/>
    <n v="-4719.0150000000003"/>
    <m/>
    <n v="1573.0050000000001"/>
    <n v="0"/>
    <m/>
  </r>
  <r>
    <x v="0"/>
    <n v="1"/>
    <n v="41110"/>
    <n v="41110"/>
    <n v="43011"/>
    <s v="No"/>
    <s v="Y"/>
    <m/>
    <x v="0"/>
    <m/>
    <n v="405884"/>
    <x v="14"/>
    <s v="Florence"/>
    <s v="Leddy"/>
    <x v="143"/>
    <d v="2012-11-05T00:00:00"/>
    <n v="10.795345653661876"/>
    <n v="5"/>
    <n v="872"/>
    <n v="872"/>
    <d v="2023-07-01T00:00:00"/>
    <n v="49"/>
    <d v="2024-03-31T00:00:00"/>
    <n v="192"/>
    <n v="144"/>
    <n v="0.75"/>
    <s v="open"/>
    <n v="24"/>
    <m/>
    <m/>
    <x v="1"/>
    <x v="1"/>
    <x v="0"/>
    <s v="NO"/>
    <s v="NO"/>
    <s v="NO"/>
    <s v="NO"/>
    <m/>
    <n v="5346.48"/>
    <s v="ASD"/>
    <n v="1"/>
    <n v="0.75"/>
    <n v="4009.8599999999997"/>
    <n v="4009.8599999999997"/>
    <n v="0"/>
    <n v="0"/>
    <n v="0"/>
    <m/>
    <m/>
    <m/>
    <m/>
    <m/>
    <m/>
    <m/>
    <n v="0"/>
    <n v="0"/>
    <s v=""/>
    <m/>
    <m/>
    <m/>
    <m/>
    <m/>
    <m/>
    <m/>
    <m/>
    <m/>
    <m/>
    <m/>
    <n v="0"/>
    <m/>
    <m/>
    <m/>
    <m/>
    <m/>
    <m/>
    <m/>
    <n v="4009.8599999999997"/>
    <m/>
    <n v="4009.8599999999997"/>
    <n v="4009.8599999999997"/>
    <m/>
    <n v="4009.8599999999997"/>
    <n v="0"/>
    <m/>
  </r>
  <r>
    <x v="0"/>
    <n v="1"/>
    <n v="41110"/>
    <n v="41110"/>
    <n v="43011"/>
    <s v="No"/>
    <s v="Y"/>
    <m/>
    <x v="0"/>
    <m/>
    <n v="403604"/>
    <x v="15"/>
    <s v="Harry"/>
    <s v="Simmons"/>
    <x v="144"/>
    <d v="2012-04-29T00:00:00"/>
    <n v="11.315537303216974"/>
    <n v="6"/>
    <n v="872"/>
    <n v="872"/>
    <d v="2023-07-01T00:00:00"/>
    <n v="49"/>
    <d v="2023-07-21T00:00:00"/>
    <n v="63"/>
    <n v="15"/>
    <n v="7.8125E-2"/>
    <s v="Yr 6"/>
    <n v="30"/>
    <m/>
    <m/>
    <x v="0"/>
    <x v="0"/>
    <x v="0"/>
    <s v="NO"/>
    <s v="NO"/>
    <s v="NO"/>
    <s v="NO"/>
    <m/>
    <n v="8183.0999999999985"/>
    <s v="SEMH"/>
    <n v="1"/>
    <n v="7.8125E-2"/>
    <n v="639.30468749999989"/>
    <n v="639.30468749999989"/>
    <n v="0"/>
    <n v="0"/>
    <n v="0"/>
    <m/>
    <m/>
    <e v="#N/A"/>
    <s v="ME MAT- Indigo"/>
    <e v="#N/A"/>
    <m/>
    <m/>
    <n v="0"/>
    <n v="0"/>
    <s v="Maiden Erlegh Resource"/>
    <s v="WBC Aca_RU_ INDIGO"/>
    <n v="43015"/>
    <m/>
    <s v="Maiden Erlegh Resource"/>
    <m/>
    <n v="30"/>
    <n v="8183.0999999999985"/>
    <m/>
    <s v="Y"/>
    <m/>
    <n v="5412.7796874999985"/>
    <n v="5412.7796874999985"/>
    <m/>
    <m/>
    <m/>
    <m/>
    <m/>
    <m/>
    <m/>
    <n v="6052.0843749999985"/>
    <m/>
    <n v="639.3046875"/>
    <n v="6052.0843749999985"/>
    <m/>
    <n v="6052.0843749999985"/>
    <n v="0"/>
    <m/>
  </r>
  <r>
    <x v="0"/>
    <n v="1"/>
    <n v="41110"/>
    <n v="41110"/>
    <n v="43011"/>
    <s v="No"/>
    <s v="Y"/>
    <m/>
    <x v="0"/>
    <m/>
    <n v="403896"/>
    <x v="14"/>
    <s v="Harvey"/>
    <s v="Cooper"/>
    <x v="145"/>
    <d v="2013-05-20T00:00:00"/>
    <n v="10.258726899383984"/>
    <n v="5"/>
    <n v="872"/>
    <n v="872"/>
    <d v="2023-07-01T00:00:00"/>
    <n v="49"/>
    <d v="2024-03-31T00:00:00"/>
    <n v="192"/>
    <n v="144"/>
    <n v="0.75"/>
    <s v="open"/>
    <n v="21"/>
    <m/>
    <m/>
    <x v="1"/>
    <x v="1"/>
    <x v="0"/>
    <s v="NO"/>
    <s v="NO"/>
    <s v="NO"/>
    <s v="NO"/>
    <m/>
    <n v="3928.17"/>
    <s v="MLD"/>
    <n v="1"/>
    <n v="0.75"/>
    <n v="2946.1275000000001"/>
    <n v="2946.1275000000001"/>
    <n v="0"/>
    <n v="0"/>
    <n v="0"/>
    <m/>
    <m/>
    <e v="#N/A"/>
    <e v="#N/A"/>
    <e v="#N/A"/>
    <m/>
    <m/>
    <n v="0"/>
    <n v="0"/>
    <s v=""/>
    <m/>
    <m/>
    <m/>
    <m/>
    <m/>
    <m/>
    <m/>
    <m/>
    <m/>
    <m/>
    <m/>
    <n v="0"/>
    <m/>
    <m/>
    <m/>
    <m/>
    <m/>
    <m/>
    <m/>
    <n v="2946.1275000000001"/>
    <m/>
    <n v="2946.1275000000001"/>
    <n v="2946.1275000000001"/>
    <m/>
    <n v="2946.1275000000001"/>
    <n v="0"/>
    <m/>
  </r>
  <r>
    <x v="0"/>
    <n v="1"/>
    <n v="41110"/>
    <n v="41110"/>
    <n v="43011"/>
    <s v="No"/>
    <s v="Y"/>
    <m/>
    <x v="0"/>
    <m/>
    <n v="421832"/>
    <x v="14"/>
    <s v="Jacob"/>
    <s v="Pearce"/>
    <x v="146"/>
    <d v="2015-05-24T00:00:00"/>
    <n v="8.2491444216290208"/>
    <n v="3"/>
    <s v="872"/>
    <s v="872"/>
    <d v="2023-07-01T00:00:00"/>
    <n v="49"/>
    <d v="2024-03-31T00:00:00"/>
    <n v="192"/>
    <n v="144"/>
    <n v="0.75"/>
    <s v="open"/>
    <n v="25"/>
    <m/>
    <m/>
    <x v="1"/>
    <x v="1"/>
    <x v="0"/>
    <s v="NO"/>
    <s v="NO"/>
    <s v="NO"/>
    <s v="NO"/>
    <m/>
    <n v="5819.25"/>
    <s v="ASD"/>
    <n v="1"/>
    <n v="0.75"/>
    <n v="4364.4375"/>
    <n v="4364.4375"/>
    <n v="0"/>
    <n v="0"/>
    <n v="0"/>
    <m/>
    <m/>
    <e v="#N/A"/>
    <e v="#N/A"/>
    <e v="#N/A"/>
    <m/>
    <m/>
    <n v="0"/>
    <n v="0"/>
    <s v=""/>
    <m/>
    <m/>
    <m/>
    <m/>
    <m/>
    <m/>
    <m/>
    <m/>
    <m/>
    <m/>
    <m/>
    <n v="0"/>
    <m/>
    <m/>
    <m/>
    <m/>
    <m/>
    <m/>
    <m/>
    <n v="4364.4375"/>
    <m/>
    <n v="4364.4375"/>
    <n v="4364.4375"/>
    <m/>
    <n v="4364.4375"/>
    <n v="0"/>
    <m/>
  </r>
  <r>
    <x v="0"/>
    <n v="1"/>
    <n v="41110"/>
    <n v="41110"/>
    <n v="43011"/>
    <s v="No"/>
    <s v="Y"/>
    <m/>
    <x v="0"/>
    <m/>
    <n v="401650"/>
    <x v="15"/>
    <s v="James"/>
    <s v="Stott"/>
    <x v="147"/>
    <d v="2012-02-15T00:00:00"/>
    <n v="11.518138261464751"/>
    <n v="6"/>
    <n v="872"/>
    <n v="872"/>
    <d v="2023-07-01T00:00:00"/>
    <n v="49"/>
    <d v="2023-07-21T00:00:00"/>
    <n v="63"/>
    <n v="15"/>
    <n v="7.8125E-2"/>
    <s v="Yr 6"/>
    <n v="22"/>
    <m/>
    <m/>
    <x v="1"/>
    <x v="1"/>
    <x v="0"/>
    <s v="NO"/>
    <s v="NO"/>
    <s v="NO"/>
    <s v="NO"/>
    <m/>
    <n v="4400.9399999999987"/>
    <s v="ASD"/>
    <n v="1"/>
    <n v="7.8125E-2"/>
    <n v="343.8234374999999"/>
    <n v="343.8234374999999"/>
    <n v="0"/>
    <n v="0"/>
    <n v="0"/>
    <m/>
    <m/>
    <e v="#N/A"/>
    <s v="The Emmbrook"/>
    <e v="#N/A"/>
    <m/>
    <m/>
    <n v="0"/>
    <n v="0"/>
    <s v="The Emmbrook School"/>
    <s v="WBC Academy"/>
    <n v="43012"/>
    <m/>
    <s v="The Emmbrook School"/>
    <m/>
    <n v="22"/>
    <n v="4400.9399999999987"/>
    <m/>
    <s v="Y"/>
    <m/>
    <n v="2911.038437499999"/>
    <n v="2911.038437499999"/>
    <m/>
    <m/>
    <m/>
    <m/>
    <m/>
    <m/>
    <m/>
    <n v="3254.8618749999987"/>
    <m/>
    <n v="343.82343749999973"/>
    <n v="3254.8618749999987"/>
    <m/>
    <n v="3254.8618749999987"/>
    <n v="0"/>
    <m/>
  </r>
  <r>
    <x v="0"/>
    <n v="1"/>
    <n v="41110"/>
    <n v="41110"/>
    <n v="43011"/>
    <s v="No"/>
    <s v="Y"/>
    <m/>
    <x v="0"/>
    <m/>
    <n v="414994"/>
    <x v="14"/>
    <s v="Jude"/>
    <s v="Mpofu"/>
    <x v="148"/>
    <d v="2014-07-31T00:00:00"/>
    <n v="9.0622861054072548"/>
    <n v="4"/>
    <n v="872"/>
    <n v="872"/>
    <d v="2023-07-01T00:00:00"/>
    <n v="49"/>
    <d v="2024-03-31T00:00:00"/>
    <n v="192"/>
    <n v="144"/>
    <n v="0.75"/>
    <s v="open"/>
    <n v="30"/>
    <m/>
    <m/>
    <x v="0"/>
    <x v="0"/>
    <x v="0"/>
    <s v="NO"/>
    <s v="NO"/>
    <s v="NO"/>
    <s v="NO"/>
    <m/>
    <n v="8183.0999999999985"/>
    <s v="SLCD"/>
    <n v="1"/>
    <n v="0.75"/>
    <n v="6137.3249999999989"/>
    <n v="6137.3249999999989"/>
    <n v="0"/>
    <n v="0"/>
    <n v="0"/>
    <m/>
    <m/>
    <e v="#N/A"/>
    <e v="#N/A"/>
    <e v="#N/A"/>
    <m/>
    <m/>
    <n v="0"/>
    <n v="0"/>
    <s v=""/>
    <m/>
    <m/>
    <m/>
    <m/>
    <m/>
    <m/>
    <m/>
    <m/>
    <m/>
    <m/>
    <m/>
    <n v="0"/>
    <m/>
    <m/>
    <m/>
    <m/>
    <m/>
    <m/>
    <m/>
    <n v="6137.3249999999989"/>
    <m/>
    <n v="6137.3249999999989"/>
    <n v="6137.3249999999989"/>
    <m/>
    <n v="6137.3249999999989"/>
    <n v="0"/>
    <m/>
  </r>
  <r>
    <x v="0"/>
    <n v="1"/>
    <n v="41110"/>
    <n v="41110"/>
    <n v="43011"/>
    <s v="No"/>
    <s v="Y"/>
    <m/>
    <x v="0"/>
    <m/>
    <n v="422418"/>
    <x v="14"/>
    <s v="Kitty"/>
    <s v="Riches"/>
    <x v="149"/>
    <d v="2015-07-18T00:00:00"/>
    <n v="8.0985626283367562"/>
    <n v="3"/>
    <n v="872"/>
    <n v="872"/>
    <d v="2023-07-01T00:00:00"/>
    <n v="49"/>
    <d v="2024-03-31T00:00:00"/>
    <n v="192"/>
    <n v="144"/>
    <n v="0.75"/>
    <s v="open"/>
    <n v="22"/>
    <m/>
    <m/>
    <x v="1"/>
    <x v="1"/>
    <x v="0"/>
    <s v="NO"/>
    <s v="NO"/>
    <s v="NO"/>
    <s v="NO"/>
    <m/>
    <n v="4400.9399999999987"/>
    <s v="SLCD"/>
    <n v="1"/>
    <n v="0.75"/>
    <n v="3300.704999999999"/>
    <n v="3300.704999999999"/>
    <n v="0"/>
    <n v="0"/>
    <n v="0"/>
    <m/>
    <m/>
    <e v="#N/A"/>
    <e v="#N/A"/>
    <e v="#N/A"/>
    <m/>
    <m/>
    <n v="0"/>
    <n v="0"/>
    <s v=""/>
    <m/>
    <m/>
    <m/>
    <m/>
    <m/>
    <m/>
    <m/>
    <m/>
    <m/>
    <m/>
    <m/>
    <n v="0"/>
    <m/>
    <m/>
    <m/>
    <m/>
    <m/>
    <m/>
    <m/>
    <n v="3300.704999999999"/>
    <m/>
    <n v="3300.704999999999"/>
    <n v="3300.704999999999"/>
    <m/>
    <n v="3300.704999999999"/>
    <n v="0"/>
    <m/>
  </r>
  <r>
    <x v="0"/>
    <n v="1"/>
    <n v="41110"/>
    <n v="41110"/>
    <n v="43011"/>
    <s v="No"/>
    <s v="Y"/>
    <m/>
    <x v="0"/>
    <m/>
    <n v="419836"/>
    <x v="14"/>
    <s v="Phoebe"/>
    <s v="Langley Hawkins"/>
    <x v="150"/>
    <d v="2015-02-04T00:00:00"/>
    <n v="8.5475701574264207"/>
    <n v="3"/>
    <n v="872"/>
    <n v="872"/>
    <d v="2023-07-01T00:00:00"/>
    <n v="49"/>
    <d v="2024-03-31T00:00:00"/>
    <n v="192"/>
    <n v="144"/>
    <n v="0.75"/>
    <s v="open"/>
    <n v="25"/>
    <m/>
    <m/>
    <x v="1"/>
    <x v="1"/>
    <x v="0"/>
    <s v="NO"/>
    <s v="NO"/>
    <s v="NO"/>
    <s v="NO"/>
    <m/>
    <n v="5819.25"/>
    <s v="SLCD"/>
    <n v="1"/>
    <n v="0.75"/>
    <n v="4364.4375"/>
    <n v="4364.4375"/>
    <n v="0"/>
    <n v="0"/>
    <n v="0"/>
    <m/>
    <m/>
    <e v="#N/A"/>
    <e v="#N/A"/>
    <e v="#N/A"/>
    <m/>
    <m/>
    <n v="0"/>
    <n v="0"/>
    <s v=""/>
    <m/>
    <m/>
    <m/>
    <m/>
    <m/>
    <m/>
    <m/>
    <m/>
    <m/>
    <m/>
    <m/>
    <n v="0"/>
    <m/>
    <m/>
    <m/>
    <m/>
    <m/>
    <m/>
    <m/>
    <n v="4364.4375"/>
    <m/>
    <n v="4364.4375"/>
    <n v="4364.4375"/>
    <m/>
    <n v="4364.4375"/>
    <n v="0"/>
    <m/>
  </r>
  <r>
    <x v="0"/>
    <n v="1"/>
    <n v="41110"/>
    <n v="41110"/>
    <n v="43011"/>
    <s v="No"/>
    <s v="Y"/>
    <m/>
    <x v="0"/>
    <m/>
    <n v="419686"/>
    <x v="14"/>
    <s v="Marnie"/>
    <s v="Hearnon"/>
    <x v="151"/>
    <d v="2015-01-02T00:00:00"/>
    <n v="8.6379192334017798"/>
    <n v="3"/>
    <n v="872"/>
    <n v="872"/>
    <d v="2023-07-01T00:00:00"/>
    <n v="49"/>
    <d v="2024-03-31T00:00:00"/>
    <n v="192"/>
    <n v="144"/>
    <n v="0.75"/>
    <s v="open"/>
    <n v="30"/>
    <m/>
    <m/>
    <x v="0"/>
    <x v="0"/>
    <x v="0"/>
    <s v="NO"/>
    <s v="NO"/>
    <s v="NO"/>
    <s v="NO"/>
    <m/>
    <n v="8183.0999999999985"/>
    <m/>
    <n v="1"/>
    <n v="0.75"/>
    <n v="6137.3249999999989"/>
    <n v="6137.3249999999989"/>
    <n v="0"/>
    <n v="0"/>
    <n v="0"/>
    <m/>
    <m/>
    <e v="#N/A"/>
    <e v="#N/A"/>
    <e v="#N/A"/>
    <m/>
    <m/>
    <n v="0"/>
    <n v="0"/>
    <s v=""/>
    <m/>
    <m/>
    <m/>
    <m/>
    <m/>
    <m/>
    <m/>
    <m/>
    <m/>
    <m/>
    <m/>
    <n v="0"/>
    <m/>
    <m/>
    <m/>
    <m/>
    <m/>
    <m/>
    <m/>
    <n v="6137.3249999999989"/>
    <m/>
    <n v="6137.3249999999989"/>
    <n v="6137.3249999999989"/>
    <m/>
    <n v="6137.3249999999989"/>
    <n v="0"/>
    <m/>
  </r>
  <r>
    <x v="0"/>
    <n v="1"/>
    <n v="41110"/>
    <n v="41110"/>
    <n v="43011"/>
    <s v="No"/>
    <s v="Y"/>
    <m/>
    <x v="0"/>
    <m/>
    <n v="413640"/>
    <x v="14"/>
    <s v="Muhammad"/>
    <s v="Abdul Hamid"/>
    <x v="152"/>
    <d v="2013-04-21T00:00:00"/>
    <n v="10.338124572210814"/>
    <n v="5"/>
    <n v="872"/>
    <n v="872"/>
    <d v="2023-07-01T00:00:00"/>
    <n v="49"/>
    <d v="2024-03-31T00:00:00"/>
    <n v="192"/>
    <n v="144"/>
    <n v="0.75"/>
    <s v="open"/>
    <n v="28"/>
    <m/>
    <m/>
    <x v="0"/>
    <x v="0"/>
    <x v="0"/>
    <s v="NO"/>
    <s v="NO"/>
    <s v="NO"/>
    <s v="NO"/>
    <m/>
    <n v="7237.5599999999995"/>
    <s v="MLD"/>
    <n v="1"/>
    <n v="0.75"/>
    <n v="5428.17"/>
    <n v="5428.17"/>
    <n v="0"/>
    <n v="0"/>
    <n v="0"/>
    <m/>
    <m/>
    <e v="#N/A"/>
    <e v="#N/A"/>
    <e v="#N/A"/>
    <m/>
    <m/>
    <n v="0"/>
    <n v="0"/>
    <s v=""/>
    <m/>
    <m/>
    <m/>
    <m/>
    <m/>
    <m/>
    <m/>
    <m/>
    <m/>
    <m/>
    <m/>
    <n v="0"/>
    <m/>
    <m/>
    <m/>
    <m/>
    <m/>
    <m/>
    <m/>
    <n v="5428.17"/>
    <m/>
    <n v="5428.17"/>
    <n v="5428.17"/>
    <m/>
    <n v="5428.17"/>
    <n v="0"/>
    <m/>
  </r>
  <r>
    <x v="0"/>
    <n v="1"/>
    <n v="41110"/>
    <n v="41110"/>
    <n v="43011"/>
    <s v="No"/>
    <s v="Y"/>
    <m/>
    <x v="0"/>
    <m/>
    <n v="407072"/>
    <x v="15"/>
    <s v="Noah"/>
    <s v="Loveluck"/>
    <x v="153"/>
    <d v="2012-05-23T00:00:00"/>
    <n v="11.249828884325805"/>
    <n v="6"/>
    <n v="872"/>
    <n v="872"/>
    <d v="2023-07-01T00:00:00"/>
    <n v="49"/>
    <d v="2023-07-21T00:00:00"/>
    <n v="63"/>
    <n v="15"/>
    <n v="7.8125E-2"/>
    <s v="Yr 6"/>
    <n v="30"/>
    <m/>
    <m/>
    <x v="0"/>
    <x v="0"/>
    <x v="0"/>
    <s v="NO"/>
    <s v="NO"/>
    <s v="NO"/>
    <s v="NO"/>
    <m/>
    <n v="8183.0999999999985"/>
    <s v="ASD"/>
    <n v="1"/>
    <n v="7.8125E-2"/>
    <n v="639.30468749999989"/>
    <n v="639.30468749999989"/>
    <n v="0"/>
    <n v="0"/>
    <n v="0"/>
    <m/>
    <m/>
    <e v="#N/A"/>
    <s v="special"/>
    <e v="#N/A"/>
    <s v="Y"/>
    <n v="5455.3999999999987"/>
    <n v="0"/>
    <n v="0"/>
    <s v="special"/>
    <s v="special"/>
    <n v="43012"/>
    <m/>
    <s v="named on type"/>
    <m/>
    <n v="30"/>
    <n v="8183.0999999999985"/>
    <m/>
    <s v="Y"/>
    <m/>
    <n v="5412.7796874999985"/>
    <n v="5412.7796874999985"/>
    <n v="5412.7796874999985"/>
    <s v="remove"/>
    <m/>
    <m/>
    <m/>
    <m/>
    <m/>
    <n v="6052.0843749999985"/>
    <m/>
    <n v="639.3046875"/>
    <n v="6052.0843749999985"/>
    <m/>
    <n v="6052.0843749999985"/>
    <n v="0"/>
    <m/>
  </r>
  <r>
    <x v="0"/>
    <n v="1"/>
    <n v="41110"/>
    <n v="41110"/>
    <n v="43011"/>
    <s v="No"/>
    <s v="Y"/>
    <m/>
    <x v="0"/>
    <m/>
    <n v="406183"/>
    <x v="14"/>
    <s v="Ollie"/>
    <s v="Brown"/>
    <x v="154"/>
    <d v="2012-11-25T00:00:00"/>
    <n v="10.740588637919233"/>
    <n v="5"/>
    <n v="872"/>
    <n v="872"/>
    <d v="2023-07-01T00:00:00"/>
    <n v="49"/>
    <d v="2024-03-31T00:00:00"/>
    <n v="192"/>
    <n v="144"/>
    <n v="0.75"/>
    <s v="open"/>
    <n v="30"/>
    <m/>
    <m/>
    <x v="0"/>
    <x v="0"/>
    <x v="0"/>
    <s v="NO"/>
    <s v="NO"/>
    <s v="NO"/>
    <s v="NO"/>
    <m/>
    <n v="8183.0999999999985"/>
    <s v="SEMH"/>
    <n v="1"/>
    <n v="0.75"/>
    <n v="6137.3249999999989"/>
    <n v="6137.3249999999989"/>
    <n v="0"/>
    <n v="0"/>
    <n v="0"/>
    <m/>
    <m/>
    <e v="#N/A"/>
    <e v="#N/A"/>
    <e v="#N/A"/>
    <m/>
    <m/>
    <n v="0"/>
    <n v="0"/>
    <s v=""/>
    <m/>
    <m/>
    <m/>
    <m/>
    <m/>
    <m/>
    <m/>
    <m/>
    <m/>
    <m/>
    <m/>
    <n v="0"/>
    <m/>
    <m/>
    <m/>
    <m/>
    <m/>
    <m/>
    <m/>
    <n v="6137.3249999999989"/>
    <m/>
    <n v="6137.3249999999989"/>
    <n v="6137.3249999999989"/>
    <m/>
    <n v="6137.3249999999989"/>
    <n v="0"/>
    <m/>
  </r>
  <r>
    <x v="1"/>
    <n v="1"/>
    <n v="41110"/>
    <n v="41110"/>
    <n v="43011"/>
    <s v="No"/>
    <s v="Y"/>
    <m/>
    <x v="0"/>
    <s v="AP"/>
    <n v="406183"/>
    <x v="14"/>
    <s v="Ollie"/>
    <s v="Brown"/>
    <x v="154"/>
    <d v="2012-11-25T00:00:00"/>
    <n v="10.740588637919233"/>
    <n v="5"/>
    <n v="872"/>
    <n v="872"/>
    <d v="2023-07-01T00:00:00"/>
    <n v="49"/>
    <d v="2023-07-28T00:00:00"/>
    <n v="63"/>
    <n v="15"/>
    <n v="1"/>
    <n v="45135"/>
    <n v="28500"/>
    <m/>
    <m/>
    <x v="0"/>
    <x v="1"/>
    <x v="1"/>
    <s v="NO"/>
    <s v="NO"/>
    <s v="NO"/>
    <s v="NO"/>
    <m/>
    <n v="28500"/>
    <s v="SEMH"/>
    <n v="1"/>
    <n v="1"/>
    <n v="28500"/>
    <n v="28500"/>
    <n v="0"/>
    <n v="0"/>
    <n v="0"/>
    <m/>
    <m/>
    <e v="#N/A"/>
    <e v="#N/A"/>
    <e v="#N/A"/>
    <m/>
    <m/>
    <n v="0"/>
    <n v="0"/>
    <s v=""/>
    <m/>
    <m/>
    <m/>
    <m/>
    <m/>
    <n v="28500"/>
    <n v="28500"/>
    <m/>
    <m/>
    <m/>
    <n v="18851.5625"/>
    <n v="18851.5625"/>
    <m/>
    <m/>
    <m/>
    <m/>
    <m/>
    <m/>
    <m/>
    <n v="47351.5625"/>
    <m/>
    <n v="28500"/>
    <n v="47351.5625"/>
    <m/>
    <n v="47351.5625"/>
    <n v="0"/>
    <m/>
  </r>
  <r>
    <x v="0"/>
    <n v="1"/>
    <n v="41110"/>
    <n v="41110"/>
    <n v="43011"/>
    <s v="No"/>
    <s v="Y"/>
    <m/>
    <x v="0"/>
    <m/>
    <n v="422955"/>
    <x v="14"/>
    <s v="Oliver"/>
    <s v="Yates"/>
    <x v="155"/>
    <d v="2014-11-28T00:00:00"/>
    <n v="8.7337440109514031"/>
    <n v="3"/>
    <n v="872"/>
    <n v="872"/>
    <d v="2023-07-01T00:00:00"/>
    <n v="49"/>
    <d v="2024-03-31T00:00:00"/>
    <n v="192"/>
    <n v="144"/>
    <n v="0.75"/>
    <s v="open"/>
    <n v="22"/>
    <m/>
    <m/>
    <x v="1"/>
    <x v="1"/>
    <x v="0"/>
    <s v="NO"/>
    <s v="NO"/>
    <s v="NO"/>
    <s v="NO"/>
    <m/>
    <n v="4400.9399999999987"/>
    <s v="SLCD"/>
    <n v="1"/>
    <n v="0.75"/>
    <n v="3300.704999999999"/>
    <n v="3300.704999999999"/>
    <n v="0"/>
    <n v="0"/>
    <n v="0"/>
    <m/>
    <m/>
    <e v="#N/A"/>
    <e v="#N/A"/>
    <e v="#N/A"/>
    <m/>
    <m/>
    <n v="0"/>
    <n v="0"/>
    <s v=""/>
    <m/>
    <m/>
    <m/>
    <m/>
    <m/>
    <m/>
    <m/>
    <m/>
    <m/>
    <m/>
    <m/>
    <n v="0"/>
    <m/>
    <m/>
    <m/>
    <m/>
    <m/>
    <m/>
    <m/>
    <n v="3300.704999999999"/>
    <m/>
    <n v="3300.704999999999"/>
    <n v="3300.704999999999"/>
    <m/>
    <n v="3300.704999999999"/>
    <n v="0"/>
    <m/>
  </r>
  <r>
    <x v="0"/>
    <n v="1"/>
    <n v="41110"/>
    <n v="41110"/>
    <n v="43011"/>
    <s v="No"/>
    <s v="Y"/>
    <m/>
    <x v="0"/>
    <m/>
    <n v="407797"/>
    <x v="14"/>
    <s v="Olivia"/>
    <s v="Evans"/>
    <x v="156"/>
    <d v="2013-03-12T00:00:00"/>
    <n v="10.447638603696099"/>
    <n v="5"/>
    <n v="872"/>
    <n v="872"/>
    <d v="2023-07-01T00:00:00"/>
    <n v="49"/>
    <d v="2024-03-31T00:00:00"/>
    <n v="192"/>
    <n v="144"/>
    <n v="0.75"/>
    <s v="open"/>
    <n v="25"/>
    <m/>
    <m/>
    <x v="1"/>
    <x v="1"/>
    <x v="0"/>
    <s v="NO"/>
    <s v="NO"/>
    <s v="NO"/>
    <s v="NO"/>
    <m/>
    <n v="5819.25"/>
    <m/>
    <n v="1"/>
    <n v="0.75"/>
    <n v="4364.4375"/>
    <n v="4364.4375"/>
    <n v="0"/>
    <n v="0"/>
    <n v="0"/>
    <m/>
    <m/>
    <e v="#N/A"/>
    <e v="#N/A"/>
    <e v="#N/A"/>
    <m/>
    <m/>
    <n v="0"/>
    <n v="0"/>
    <s v=""/>
    <m/>
    <m/>
    <m/>
    <m/>
    <m/>
    <m/>
    <m/>
    <m/>
    <m/>
    <m/>
    <m/>
    <n v="0"/>
    <m/>
    <m/>
    <m/>
    <m/>
    <m/>
    <m/>
    <m/>
    <n v="4364.4375"/>
    <m/>
    <n v="4364.4375"/>
    <n v="4364.4375"/>
    <m/>
    <n v="4364.4375"/>
    <n v="0"/>
    <m/>
  </r>
  <r>
    <x v="0"/>
    <n v="1"/>
    <n v="41110"/>
    <n v="41110"/>
    <n v="43011"/>
    <s v="No"/>
    <s v="Y"/>
    <m/>
    <x v="0"/>
    <m/>
    <n v="414089"/>
    <x v="14"/>
    <s v="Thomas"/>
    <s v="Powell"/>
    <x v="157"/>
    <d v="2014-10-28T00:00:00"/>
    <n v="8.8186173853524981"/>
    <n v="3"/>
    <n v="872"/>
    <n v="872"/>
    <d v="2023-07-01T00:00:00"/>
    <n v="49"/>
    <d v="2024-03-31T00:00:00"/>
    <n v="192"/>
    <n v="144"/>
    <n v="0.75"/>
    <s v="open"/>
    <n v="22"/>
    <m/>
    <m/>
    <x v="1"/>
    <x v="1"/>
    <x v="0"/>
    <s v="NO"/>
    <s v="NO"/>
    <s v="NO"/>
    <s v="NO"/>
    <m/>
    <n v="4400.9399999999987"/>
    <m/>
    <n v="1"/>
    <n v="0.75"/>
    <n v="3300.704999999999"/>
    <n v="3300.704999999999"/>
    <n v="0"/>
    <n v="0"/>
    <n v="0"/>
    <m/>
    <m/>
    <e v="#N/A"/>
    <e v="#N/A"/>
    <e v="#N/A"/>
    <m/>
    <m/>
    <n v="0"/>
    <n v="0"/>
    <s v=""/>
    <m/>
    <m/>
    <m/>
    <m/>
    <m/>
    <m/>
    <m/>
    <m/>
    <m/>
    <m/>
    <m/>
    <n v="0"/>
    <m/>
    <m/>
    <m/>
    <m/>
    <m/>
    <m/>
    <m/>
    <n v="3300.704999999999"/>
    <m/>
    <n v="3300.704999999999"/>
    <n v="3300.704999999999"/>
    <m/>
    <n v="3300.704999999999"/>
    <n v="0"/>
    <m/>
  </r>
  <r>
    <x v="0"/>
    <n v="1"/>
    <n v="41110"/>
    <n v="41110"/>
    <n v="43011"/>
    <s v="No"/>
    <s v="Y"/>
    <m/>
    <x v="0"/>
    <m/>
    <n v="417617"/>
    <x v="14"/>
    <s v="Yoofi"/>
    <s v="Enchill"/>
    <x v="158"/>
    <d v="2014-07-11T00:00:00"/>
    <n v="9.1170431211498979"/>
    <n v="4"/>
    <n v="872"/>
    <n v="872"/>
    <d v="2023-07-01T00:00:00"/>
    <n v="49"/>
    <d v="2024-03-31T00:00:00"/>
    <n v="192"/>
    <n v="144"/>
    <n v="0.75"/>
    <s v="open"/>
    <n v="26"/>
    <m/>
    <m/>
    <x v="0"/>
    <x v="0"/>
    <x v="0"/>
    <s v="NO"/>
    <s v="NO"/>
    <s v="NO"/>
    <s v="NO"/>
    <m/>
    <n v="6292.02"/>
    <s v="SEMH"/>
    <n v="1"/>
    <n v="0.75"/>
    <n v="4719.0150000000003"/>
    <n v="4719.0150000000003"/>
    <n v="0"/>
    <n v="0"/>
    <n v="0"/>
    <m/>
    <m/>
    <e v="#N/A"/>
    <e v="#N/A"/>
    <e v="#N/A"/>
    <m/>
    <m/>
    <n v="0"/>
    <n v="0"/>
    <s v=""/>
    <m/>
    <m/>
    <m/>
    <m/>
    <m/>
    <m/>
    <m/>
    <m/>
    <m/>
    <m/>
    <m/>
    <n v="0"/>
    <m/>
    <m/>
    <m/>
    <m/>
    <m/>
    <m/>
    <m/>
    <n v="4719.0150000000003"/>
    <m/>
    <n v="4719.0150000000003"/>
    <n v="4719.0150000000003"/>
    <m/>
    <n v="4719.0150000000003"/>
    <n v="0"/>
    <m/>
  </r>
  <r>
    <x v="0"/>
    <n v="1"/>
    <n v="41202"/>
    <n v="41202"/>
    <n v="43012"/>
    <s v="No"/>
    <s v="Y"/>
    <m/>
    <x v="1"/>
    <m/>
    <n v="359818"/>
    <x v="16"/>
    <s v="Amber"/>
    <s v="Sharda"/>
    <x v="159"/>
    <d v="2007-04-27T00:00:00"/>
    <n v="16.323066392881589"/>
    <n v="11"/>
    <n v="872"/>
    <n v="872"/>
    <d v="2023-04-01T00:00:00"/>
    <n v="1"/>
    <d v="2023-07-21T00:00:00"/>
    <n v="63"/>
    <n v="63"/>
    <n v="0.328125"/>
    <s v="Yr 11"/>
    <n v="26"/>
    <m/>
    <m/>
    <x v="0"/>
    <x v="0"/>
    <x v="0"/>
    <s v="NO"/>
    <s v="NO"/>
    <s v="NO"/>
    <s v="NO"/>
    <m/>
    <n v="6292.02"/>
    <s v="SEMH"/>
    <n v="1"/>
    <n v="0.328125"/>
    <n v="2064.5690625000002"/>
    <n v="2064.5690625000002"/>
    <n v="2064.5690625000002"/>
    <n v="2064.5690625000002"/>
    <n v="2064.5690625000002"/>
    <m/>
    <m/>
    <e v="#N/A"/>
    <e v="#N/A"/>
    <s v="Henley  Coll"/>
    <s v="Y"/>
    <n v="4194.68"/>
    <n v="0"/>
    <n v="2064.5690625000002"/>
    <s v="Henley college"/>
    <s v="COLL"/>
    <m/>
    <m/>
    <m/>
    <s v="Henley college"/>
    <m/>
    <m/>
    <m/>
    <m/>
    <s v="Y"/>
    <m/>
    <n v="2064.5690625000002"/>
    <s v="COLL"/>
    <m/>
    <m/>
    <m/>
    <m/>
    <m/>
    <m/>
    <n v="2064.5690625000002"/>
    <m/>
    <n v="0"/>
    <n v="0"/>
    <m/>
    <n v="2064.5690625000002"/>
    <n v="0"/>
    <m/>
  </r>
  <r>
    <x v="0"/>
    <n v="1"/>
    <n v="41202"/>
    <n v="41202"/>
    <n v="43012"/>
    <s v="No"/>
    <s v="Y"/>
    <m/>
    <x v="1"/>
    <m/>
    <n v="373738"/>
    <x v="16"/>
    <s v="Angel"/>
    <s v="Perrin"/>
    <x v="160"/>
    <d v="2007-12-10T00:00:00"/>
    <n v="15.7015742642026"/>
    <n v="10"/>
    <n v="872"/>
    <n v="872"/>
    <d v="2023-04-01T00:00:00"/>
    <n v="1"/>
    <d v="2024-03-31T00:00:00"/>
    <n v="192"/>
    <n v="192"/>
    <n v="1"/>
    <s v="open"/>
    <n v="24"/>
    <m/>
    <m/>
    <x v="1"/>
    <x v="1"/>
    <x v="0"/>
    <s v="NO"/>
    <s v="NO"/>
    <s v="NO"/>
    <s v="NO"/>
    <m/>
    <n v="5346.48"/>
    <s v="ASD"/>
    <n v="1"/>
    <n v="1"/>
    <n v="5346.48"/>
    <n v="5346.48"/>
    <n v="5346.48"/>
    <n v="5346.48"/>
    <n v="5346.48"/>
    <m/>
    <m/>
    <e v="#N/A"/>
    <e v="#N/A"/>
    <e v="#N/A"/>
    <m/>
    <m/>
    <n v="0"/>
    <n v="5346.48"/>
    <s v=""/>
    <m/>
    <m/>
    <m/>
    <m/>
    <m/>
    <m/>
    <m/>
    <m/>
    <m/>
    <m/>
    <m/>
    <n v="5346.48"/>
    <m/>
    <m/>
    <m/>
    <m/>
    <m/>
    <m/>
    <m/>
    <n v="5346.48"/>
    <m/>
    <n v="0"/>
    <n v="0"/>
    <m/>
    <n v="5346.48"/>
    <n v="0"/>
    <m/>
  </r>
  <r>
    <x v="1"/>
    <n v="1"/>
    <n v="41202"/>
    <n v="41202"/>
    <n v="43012"/>
    <s v="No"/>
    <s v="Y"/>
    <m/>
    <x v="1"/>
    <s v="AD"/>
    <n v="373738"/>
    <x v="16"/>
    <s v="Angel"/>
    <s v="Perrin"/>
    <x v="160"/>
    <d v="2007-12-10T00:00:00"/>
    <n v="15.7015742642026"/>
    <n v="11"/>
    <n v="872"/>
    <n v="872"/>
    <d v="2023-04-01T00:00:00"/>
    <n v="1"/>
    <d v="2023-07-31T00:00:00"/>
    <n v="63"/>
    <n v="63"/>
    <n v="0.328125"/>
    <d v="2023-07-31T00:00:00"/>
    <n v="8664.93"/>
    <m/>
    <m/>
    <x v="0"/>
    <x v="1"/>
    <x v="1"/>
    <s v="NO"/>
    <s v="NO"/>
    <s v="NO"/>
    <s v="NO"/>
    <m/>
    <n v="8664.93"/>
    <m/>
    <n v="1"/>
    <n v="0.328125"/>
    <n v="2843.18015625"/>
    <n v="2843.18015625"/>
    <n v="2843.18015625"/>
    <n v="2843.18015625"/>
    <n v="2843.18015625"/>
    <m/>
    <m/>
    <e v="#N/A"/>
    <e v="#N/A"/>
    <e v="#N/A"/>
    <m/>
    <m/>
    <n v="0"/>
    <n v="2843.18015625"/>
    <s v="???"/>
    <m/>
    <m/>
    <m/>
    <m/>
    <m/>
    <n v="8664.93"/>
    <n v="8664.93"/>
    <m/>
    <m/>
    <m/>
    <n v="5731.4901562499999"/>
    <n v="8574.6703125000004"/>
    <m/>
    <m/>
    <m/>
    <m/>
    <m/>
    <m/>
    <m/>
    <n v="8574.6703125000004"/>
    <m/>
    <n v="0"/>
    <n v="5731.4901562499999"/>
    <m/>
    <n v="8574.6703125000004"/>
    <n v="0"/>
    <m/>
  </r>
  <r>
    <x v="0"/>
    <n v="1"/>
    <n v="41202"/>
    <n v="41202"/>
    <n v="43012"/>
    <s v="No"/>
    <s v="Y"/>
    <m/>
    <x v="1"/>
    <m/>
    <n v="368336"/>
    <x v="16"/>
    <s v="Allan"/>
    <s v="Masterman"/>
    <x v="161"/>
    <d v="2006-11-16T00:00:00"/>
    <n v="16.76659822039699"/>
    <n v="11"/>
    <n v="872"/>
    <n v="872"/>
    <d v="2023-04-01T00:00:00"/>
    <n v="1"/>
    <d v="2023-07-21T00:00:00"/>
    <n v="63"/>
    <n v="63"/>
    <n v="0.328125"/>
    <s v="Yr 11"/>
    <n v="26"/>
    <m/>
    <m/>
    <x v="0"/>
    <x v="0"/>
    <x v="0"/>
    <s v="NO"/>
    <s v="NO"/>
    <s v="NO"/>
    <s v="NO"/>
    <m/>
    <n v="6292.02"/>
    <s v="SEMH"/>
    <n v="1"/>
    <n v="0.328125"/>
    <n v="2064.5690625000002"/>
    <n v="2064.5690625000002"/>
    <n v="2064.5690625000002"/>
    <n v="2064.5690625000002"/>
    <n v="2064.5690625000002"/>
    <m/>
    <m/>
    <e v="#N/A"/>
    <e v="#N/A"/>
    <s v="BNLL&amp;Wok"/>
    <s v="Y"/>
    <n v="4194.68"/>
    <n v="0"/>
    <n v="2064.5690625000002"/>
    <s v="Bracknell and Wokingham"/>
    <s v="COLL"/>
    <m/>
    <m/>
    <m/>
    <s v="Bracknell and Wokingham"/>
    <m/>
    <m/>
    <m/>
    <m/>
    <s v="Y"/>
    <m/>
    <n v="2064.5690625000002"/>
    <s v="COLL"/>
    <m/>
    <m/>
    <m/>
    <m/>
    <m/>
    <m/>
    <n v="2064.5690625000002"/>
    <m/>
    <n v="0"/>
    <n v="0"/>
    <m/>
    <n v="2064.5690625000002"/>
    <n v="0"/>
    <m/>
  </r>
  <r>
    <x v="1"/>
    <n v="1"/>
    <n v="41202"/>
    <n v="41202"/>
    <n v="43012"/>
    <s v="No"/>
    <s v="Y"/>
    <m/>
    <x v="1"/>
    <m/>
    <n v="387761"/>
    <x v="16"/>
    <s v="Archie"/>
    <s v="Russell"/>
    <x v="162"/>
    <d v="2010-01-24T00:00:00"/>
    <n v="13.577002053388091"/>
    <n v="8"/>
    <n v="872"/>
    <n v="872"/>
    <d v="2023-04-01T00:00:00"/>
    <n v="1"/>
    <d v="2023-04-01T00:00:00"/>
    <n v="0"/>
    <n v="0"/>
    <n v="0"/>
    <d v="2023-04-01T00:00:00"/>
    <n v="27"/>
    <m/>
    <m/>
    <x v="0"/>
    <x v="0"/>
    <x v="0"/>
    <s v="NO"/>
    <s v="NO"/>
    <s v="NO"/>
    <s v="NO"/>
    <m/>
    <n v="6764.7899999999991"/>
    <s v="SLCD"/>
    <n v="1"/>
    <n v="0"/>
    <n v="0"/>
    <n v="0"/>
    <n v="0"/>
    <n v="6764.7899999999991"/>
    <n v="0"/>
    <m/>
    <m/>
    <e v="#N/A"/>
    <e v="#N/A"/>
    <e v="#N/A"/>
    <m/>
    <m/>
    <n v="0"/>
    <n v="0"/>
    <s v=""/>
    <m/>
    <m/>
    <m/>
    <m/>
    <m/>
    <m/>
    <m/>
    <m/>
    <m/>
    <m/>
    <m/>
    <n v="0"/>
    <m/>
    <m/>
    <m/>
    <m/>
    <m/>
    <m/>
    <m/>
    <n v="0"/>
    <m/>
    <n v="0"/>
    <n v="-6764.7899999999991"/>
    <m/>
    <n v="0"/>
    <n v="0"/>
    <m/>
  </r>
  <r>
    <x v="0"/>
    <n v="1"/>
    <n v="41202"/>
    <n v="41202"/>
    <n v="43012"/>
    <s v="No"/>
    <s v="Y"/>
    <m/>
    <x v="1"/>
    <m/>
    <n v="387761"/>
    <x v="16"/>
    <s v="Archie"/>
    <s v="Russell"/>
    <x v="162"/>
    <d v="2010-01-24T00:00:00"/>
    <n v="13.577002053388091"/>
    <n v="8"/>
    <n v="872"/>
    <n v="872"/>
    <d v="2023-04-01T00:00:00"/>
    <n v="1"/>
    <d v="2024-03-31T00:00:00"/>
    <n v="192"/>
    <n v="192"/>
    <n v="1"/>
    <s v="open"/>
    <n v="21"/>
    <m/>
    <m/>
    <x v="1"/>
    <x v="1"/>
    <x v="0"/>
    <s v="NO"/>
    <s v="NO"/>
    <s v="NO"/>
    <s v="NO"/>
    <m/>
    <n v="3928.17"/>
    <s v="SLCD"/>
    <n v="1"/>
    <n v="1"/>
    <n v="3928.17"/>
    <n v="3928.17"/>
    <n v="3928.17"/>
    <n v="0"/>
    <n v="3928.17"/>
    <m/>
    <m/>
    <e v="#N/A"/>
    <e v="#N/A"/>
    <e v="#N/A"/>
    <m/>
    <m/>
    <n v="0"/>
    <n v="3928.17"/>
    <s v=""/>
    <m/>
    <m/>
    <m/>
    <m/>
    <m/>
    <m/>
    <m/>
    <m/>
    <m/>
    <m/>
    <m/>
    <n v="3928.17"/>
    <m/>
    <m/>
    <m/>
    <m/>
    <m/>
    <m/>
    <m/>
    <n v="3928.17"/>
    <m/>
    <n v="0"/>
    <n v="3928.17"/>
    <m/>
    <n v="3928.17"/>
    <n v="0"/>
    <m/>
  </r>
  <r>
    <x v="0"/>
    <n v="1"/>
    <n v="41202"/>
    <n v="41202"/>
    <n v="43012"/>
    <s v="No"/>
    <s v="Y"/>
    <m/>
    <x v="1"/>
    <m/>
    <n v="375898"/>
    <x v="16"/>
    <s v="Athanasios"/>
    <s v="Xanthoulis"/>
    <x v="163"/>
    <d v="2009-01-27T00:00:00"/>
    <n v="14.568104038329912"/>
    <n v="9"/>
    <n v="872"/>
    <n v="872"/>
    <d v="2023-04-01T00:00:00"/>
    <n v="1"/>
    <d v="2024-03-31T00:00:00"/>
    <n v="192"/>
    <n v="192"/>
    <n v="1"/>
    <s v="open"/>
    <n v="26"/>
    <m/>
    <m/>
    <x v="0"/>
    <x v="0"/>
    <x v="0"/>
    <s v="NO"/>
    <s v="NO"/>
    <s v="NO"/>
    <s v="NO"/>
    <m/>
    <n v="6292.02"/>
    <s v="ASD"/>
    <n v="1"/>
    <n v="1"/>
    <n v="6292.02"/>
    <n v="6292.02"/>
    <n v="6292.02"/>
    <n v="6292.02"/>
    <n v="6292.02"/>
    <m/>
    <m/>
    <e v="#N/A"/>
    <e v="#N/A"/>
    <e v="#N/A"/>
    <m/>
    <m/>
    <n v="0"/>
    <n v="6292.02"/>
    <s v=""/>
    <m/>
    <m/>
    <m/>
    <m/>
    <m/>
    <m/>
    <m/>
    <m/>
    <m/>
    <m/>
    <m/>
    <n v="6292.02"/>
    <m/>
    <m/>
    <m/>
    <m/>
    <m/>
    <m/>
    <m/>
    <n v="6292.02"/>
    <m/>
    <n v="0"/>
    <n v="0"/>
    <m/>
    <n v="6292.02"/>
    <n v="0"/>
    <m/>
  </r>
  <r>
    <x v="0"/>
    <n v="1"/>
    <n v="41202"/>
    <n v="41202"/>
    <n v="43012"/>
    <s v="No"/>
    <s v="Y"/>
    <m/>
    <x v="1"/>
    <m/>
    <n v="429470"/>
    <x v="16"/>
    <s v="Batsirai"/>
    <s v="Mutisi"/>
    <x v="164"/>
    <d v="2011-04-15T00:00:00"/>
    <n v="12.355920602327172"/>
    <n v="7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ASD"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0"/>
    <n v="1"/>
    <n v="41202"/>
    <n v="41202"/>
    <n v="43012"/>
    <s v="No"/>
    <s v="Y"/>
    <m/>
    <x v="1"/>
    <m/>
    <n v="383212"/>
    <x v="16"/>
    <s v="Brooke"/>
    <s v="Carter West"/>
    <x v="165"/>
    <d v="2009-10-08T00:00:00"/>
    <n v="13.872689938398358"/>
    <n v="8"/>
    <n v="872"/>
    <n v="872"/>
    <d v="2023-04-01T00:00:00"/>
    <n v="1"/>
    <d v="2024-03-31T00:00:00"/>
    <n v="192"/>
    <n v="192"/>
    <n v="1"/>
    <s v="open"/>
    <n v="32"/>
    <m/>
    <m/>
    <x v="0"/>
    <x v="1"/>
    <x v="1"/>
    <s v="NO"/>
    <s v="NO"/>
    <s v="NO"/>
    <s v="NO"/>
    <m/>
    <n v="9128.64"/>
    <s v="ASD"/>
    <n v="1"/>
    <n v="1"/>
    <n v="9128.64"/>
    <n v="9128.64"/>
    <n v="9128.64"/>
    <n v="9128.64"/>
    <n v="9128.64"/>
    <m/>
    <m/>
    <e v="#N/A"/>
    <e v="#N/A"/>
    <e v="#N/A"/>
    <m/>
    <m/>
    <n v="0"/>
    <n v="9128.64"/>
    <s v=""/>
    <m/>
    <m/>
    <m/>
    <m/>
    <m/>
    <m/>
    <m/>
    <m/>
    <m/>
    <m/>
    <m/>
    <n v="9128.64"/>
    <m/>
    <m/>
    <m/>
    <m/>
    <m/>
    <m/>
    <m/>
    <n v="9128.64"/>
    <m/>
    <n v="0"/>
    <n v="0"/>
    <m/>
    <n v="9128.64"/>
    <n v="0"/>
    <m/>
  </r>
  <r>
    <x v="1"/>
    <n v="1"/>
    <n v="41202"/>
    <n v="41202"/>
    <n v="43012"/>
    <s v="No"/>
    <s v="Y"/>
    <m/>
    <x v="1"/>
    <s v="AD"/>
    <n v="383212"/>
    <x v="16"/>
    <s v="Brooke"/>
    <s v="Carter West"/>
    <x v="165"/>
    <d v="2009-10-08T00:00:00"/>
    <n v="13.872689938398358"/>
    <n v="8"/>
    <n v="872"/>
    <n v="872"/>
    <d v="2023-04-01T00:00:00"/>
    <n v="1"/>
    <d v="2023-05-26T00:00:00"/>
    <n v="28"/>
    <n v="28"/>
    <n v="0.14583333333333334"/>
    <d v="2023-05-26T00:00:00"/>
    <n v="8200"/>
    <m/>
    <m/>
    <x v="0"/>
    <x v="1"/>
    <x v="1"/>
    <s v="NO"/>
    <s v="NO"/>
    <s v="NO"/>
    <s v="NO"/>
    <m/>
    <n v="8200"/>
    <s v="ASD"/>
    <n v="1"/>
    <n v="1"/>
    <n v="8200"/>
    <n v="8200"/>
    <n v="8200"/>
    <n v="0"/>
    <n v="0"/>
    <m/>
    <m/>
    <m/>
    <m/>
    <m/>
    <m/>
    <m/>
    <n v="8200"/>
    <n v="8200"/>
    <s v=""/>
    <m/>
    <m/>
    <m/>
    <m/>
    <m/>
    <m/>
    <m/>
    <m/>
    <m/>
    <m/>
    <m/>
    <n v="8200"/>
    <m/>
    <m/>
    <m/>
    <m/>
    <m/>
    <m/>
    <m/>
    <n v="8200"/>
    <m/>
    <n v="0"/>
    <n v="8200"/>
    <m/>
    <n v="8200"/>
    <n v="0"/>
    <m/>
  </r>
  <r>
    <x v="0"/>
    <n v="1"/>
    <n v="41202"/>
    <n v="41202"/>
    <n v="43012"/>
    <s v="No"/>
    <s v="Y"/>
    <m/>
    <x v="1"/>
    <m/>
    <n v="397440"/>
    <x v="16"/>
    <s v="Caleb"/>
    <s v="McCormick"/>
    <x v="166"/>
    <d v="2011-07-21T00:00:00"/>
    <n v="12.090349075975359"/>
    <n v="7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ASD"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0"/>
    <n v="1"/>
    <n v="41202"/>
    <n v="41202"/>
    <n v="43012"/>
    <s v="No"/>
    <s v="Y"/>
    <m/>
    <x v="1"/>
    <m/>
    <n v="385941"/>
    <x v="16"/>
    <s v="Charlotte"/>
    <s v="Evans"/>
    <x v="167"/>
    <d v="2009-11-19T00:00:00"/>
    <n v="13.757700205338809"/>
    <n v="8"/>
    <n v="872"/>
    <n v="872"/>
    <d v="2023-04-01T00:00:00"/>
    <n v="1"/>
    <d v="2023-04-01T00:00:00"/>
    <n v="0"/>
    <n v="0"/>
    <n v="0"/>
    <s v="open"/>
    <n v="25"/>
    <m/>
    <m/>
    <x v="1"/>
    <x v="1"/>
    <x v="0"/>
    <s v="NO"/>
    <s v="NO"/>
    <s v="NO"/>
    <s v="NO"/>
    <m/>
    <n v="5819.25"/>
    <s v="SLD"/>
    <n v="1"/>
    <n v="0"/>
    <n v="0"/>
    <n v="0"/>
    <n v="0"/>
    <n v="5819.25"/>
    <n v="0"/>
    <m/>
    <m/>
    <e v="#N/A"/>
    <e v="#N/A"/>
    <e v="#N/A"/>
    <m/>
    <m/>
    <n v="0"/>
    <n v="0"/>
    <s v=""/>
    <m/>
    <m/>
    <m/>
    <m/>
    <m/>
    <m/>
    <m/>
    <m/>
    <m/>
    <m/>
    <m/>
    <n v="0"/>
    <m/>
    <m/>
    <m/>
    <m/>
    <m/>
    <m/>
    <m/>
    <n v="0"/>
    <m/>
    <n v="0"/>
    <n v="-5819.25"/>
    <m/>
    <n v="0"/>
    <n v="0"/>
    <m/>
  </r>
  <r>
    <x v="0"/>
    <n v="1"/>
    <n v="41202"/>
    <n v="41202"/>
    <n v="43012"/>
    <s v="No"/>
    <s v="Y"/>
    <m/>
    <x v="1"/>
    <m/>
    <n v="433396"/>
    <x v="16"/>
    <s v="Charlotte"/>
    <s v="Woolford"/>
    <x v="168"/>
    <d v="2008-04-29T00:00:00"/>
    <n v="15.315537303216974"/>
    <n v="10"/>
    <n v="872"/>
    <n v="872"/>
    <d v="2023-04-01T00:00:00"/>
    <n v="1"/>
    <d v="2024-03-31T00:00:00"/>
    <n v="192"/>
    <n v="192"/>
    <n v="1"/>
    <s v="open"/>
    <n v="21"/>
    <m/>
    <m/>
    <x v="1"/>
    <x v="1"/>
    <x v="0"/>
    <s v="NO"/>
    <s v="NO"/>
    <s v="NO"/>
    <s v="NO"/>
    <m/>
    <n v="3928.17"/>
    <m/>
    <n v="1"/>
    <n v="1"/>
    <n v="3928.17"/>
    <n v="3928.17"/>
    <n v="3928.17"/>
    <n v="3928.17"/>
    <n v="3928.17"/>
    <m/>
    <m/>
    <e v="#N/A"/>
    <e v="#N/A"/>
    <e v="#N/A"/>
    <m/>
    <m/>
    <n v="0"/>
    <n v="3928.17"/>
    <s v=""/>
    <m/>
    <m/>
    <m/>
    <m/>
    <m/>
    <m/>
    <m/>
    <m/>
    <m/>
    <m/>
    <m/>
    <n v="3928.17"/>
    <m/>
    <m/>
    <m/>
    <m/>
    <m/>
    <m/>
    <m/>
    <n v="3928.17"/>
    <m/>
    <n v="0"/>
    <n v="0"/>
    <m/>
    <n v="3928.17"/>
    <n v="0"/>
    <m/>
  </r>
  <r>
    <x v="1"/>
    <n v="1"/>
    <n v="41202"/>
    <n v="41202"/>
    <n v="43012"/>
    <s v="No"/>
    <s v="Y"/>
    <m/>
    <x v="1"/>
    <s v="AD"/>
    <n v="433396"/>
    <x v="16"/>
    <s v="Charlotte"/>
    <s v="Woolford"/>
    <x v="168"/>
    <d v="2008-04-29T00:00:00"/>
    <n v="15.315537303216974"/>
    <n v="10"/>
    <n v="872"/>
    <n v="872"/>
    <d v="2023-04-01T00:00:00"/>
    <n v="1"/>
    <d v="2024-02-15T00:00:00"/>
    <n v="163"/>
    <n v="163"/>
    <n v="0.84895833333333337"/>
    <d v="2024-02-15T00:00:00"/>
    <n v="4"/>
    <m/>
    <m/>
    <x v="0"/>
    <x v="1"/>
    <x v="0"/>
    <s v="NO"/>
    <s v="NO"/>
    <s v="NO"/>
    <s v="NO"/>
    <m/>
    <n v="1891.08"/>
    <m/>
    <n v="1"/>
    <n v="1"/>
    <n v="1891.08"/>
    <n v="1891.08"/>
    <n v="1891.08"/>
    <n v="0"/>
    <n v="0"/>
    <m/>
    <m/>
    <m/>
    <m/>
    <m/>
    <m/>
    <m/>
    <n v="1891.08"/>
    <n v="1891.08"/>
    <s v=""/>
    <m/>
    <m/>
    <m/>
    <m/>
    <m/>
    <m/>
    <m/>
    <m/>
    <m/>
    <m/>
    <m/>
    <n v="1891.08"/>
    <m/>
    <m/>
    <m/>
    <m/>
    <m/>
    <m/>
    <m/>
    <n v="1891.08"/>
    <m/>
    <n v="0"/>
    <n v="1891.08"/>
    <m/>
    <n v="1891.08"/>
    <n v="0"/>
    <m/>
  </r>
  <r>
    <x v="0"/>
    <n v="1"/>
    <n v="41202"/>
    <n v="41202"/>
    <n v="43012"/>
    <s v="No"/>
    <s v="Y"/>
    <m/>
    <x v="1"/>
    <m/>
    <n v="412990"/>
    <x v="16"/>
    <s v="Daniel"/>
    <s v="Mallinson"/>
    <x v="169"/>
    <d v="2008-05-28T00:00:00"/>
    <n v="15.236139630390143"/>
    <n v="10"/>
    <n v="872"/>
    <n v="872"/>
    <d v="2023-04-01T00:00:00"/>
    <n v="1"/>
    <d v="2024-03-31T00:00:00"/>
    <n v="192"/>
    <n v="192"/>
    <n v="1"/>
    <s v="open"/>
    <n v="27"/>
    <m/>
    <m/>
    <x v="0"/>
    <x v="0"/>
    <x v="0"/>
    <s v="NO"/>
    <s v="NO"/>
    <s v="NO"/>
    <s v="NO"/>
    <m/>
    <n v="6764.7899999999991"/>
    <s v="HI"/>
    <n v="1"/>
    <n v="1"/>
    <n v="6764.7899999999991"/>
    <n v="6764.7899999999991"/>
    <n v="6764.7899999999991"/>
    <n v="6764.7899999999991"/>
    <n v="6764.7899999999991"/>
    <m/>
    <m/>
    <e v="#N/A"/>
    <e v="#N/A"/>
    <e v="#N/A"/>
    <m/>
    <m/>
    <n v="0"/>
    <n v="6764.7899999999991"/>
    <s v=""/>
    <m/>
    <m/>
    <m/>
    <m/>
    <m/>
    <m/>
    <m/>
    <m/>
    <m/>
    <m/>
    <m/>
    <n v="6764.7899999999991"/>
    <m/>
    <m/>
    <m/>
    <m/>
    <m/>
    <m/>
    <m/>
    <n v="6764.7899999999991"/>
    <m/>
    <n v="0"/>
    <n v="0"/>
    <m/>
    <n v="6764.7899999999991"/>
    <n v="0"/>
    <m/>
  </r>
  <r>
    <x v="0"/>
    <n v="1"/>
    <n v="41202"/>
    <n v="41202"/>
    <n v="43012"/>
    <s v="No"/>
    <s v="Y"/>
    <m/>
    <x v="1"/>
    <m/>
    <n v="368804"/>
    <x v="16"/>
    <s v="David"/>
    <s v="Cash"/>
    <x v="170"/>
    <d v="2006-10-04T00:00:00"/>
    <n v="16.884325804243669"/>
    <n v="11"/>
    <n v="872"/>
    <n v="872"/>
    <d v="2023-04-01T00:00:00"/>
    <n v="1"/>
    <d v="2023-07-21T00:00:00"/>
    <n v="63"/>
    <n v="63"/>
    <n v="0.328125"/>
    <s v="Yr 11"/>
    <n v="30"/>
    <m/>
    <m/>
    <x v="0"/>
    <x v="0"/>
    <x v="0"/>
    <s v="NO"/>
    <s v="NO"/>
    <s v="NO"/>
    <s v="NO"/>
    <m/>
    <n v="8183.0999999999985"/>
    <s v="SEMH"/>
    <n v="1"/>
    <n v="0.328125"/>
    <n v="2685.0796874999996"/>
    <n v="2685.0796874999996"/>
    <n v="2685.0796874999996"/>
    <n v="2685.0796874999996"/>
    <n v="2685.0796874999996"/>
    <m/>
    <m/>
    <e v="#N/A"/>
    <e v="#N/A"/>
    <s v="Cease"/>
    <s v="Y"/>
    <n v="5455.3999999999987"/>
    <n v="0"/>
    <n v="2685.0796874999996"/>
    <s v="Cease letter issued"/>
    <m/>
    <m/>
    <m/>
    <m/>
    <s v="Cease letter issued"/>
    <m/>
    <m/>
    <m/>
    <m/>
    <s v="Y"/>
    <m/>
    <n v="2685.0796874999996"/>
    <s v="COLL"/>
    <m/>
    <m/>
    <m/>
    <m/>
    <m/>
    <m/>
    <n v="2685.0796874999996"/>
    <m/>
    <n v="0"/>
    <n v="0"/>
    <m/>
    <n v="2685.0796874999996"/>
    <n v="0"/>
    <m/>
  </r>
  <r>
    <x v="0"/>
    <n v="1"/>
    <n v="41202"/>
    <n v="41202"/>
    <n v="43012"/>
    <s v="No"/>
    <s v="Y"/>
    <m/>
    <x v="1"/>
    <m/>
    <n v="385523"/>
    <x v="16"/>
    <s v="Eddie"/>
    <s v="Shatri"/>
    <x v="171"/>
    <d v="2006-09-09T00:00:00"/>
    <n v="16.95277207392197"/>
    <n v="11"/>
    <n v="872"/>
    <n v="872"/>
    <d v="2023-04-01T00:00:00"/>
    <n v="1"/>
    <d v="2023-07-21T00:00:00"/>
    <n v="63"/>
    <n v="63"/>
    <n v="0.328125"/>
    <s v="Yr 11"/>
    <n v="24"/>
    <m/>
    <m/>
    <x v="1"/>
    <x v="1"/>
    <x v="0"/>
    <s v="NO"/>
    <s v="NO"/>
    <s v="NO"/>
    <s v="NO"/>
    <m/>
    <n v="5346.48"/>
    <s v="Spcf LD"/>
    <n v="1"/>
    <n v="0.328125"/>
    <n v="1754.3137499999998"/>
    <n v="1754.3137499999998"/>
    <n v="1754.3137499999998"/>
    <n v="1754.3137499999998"/>
    <n v="1754.3137499999998"/>
    <m/>
    <m/>
    <e v="#N/A"/>
    <e v="#N/A"/>
    <s v="Reading coll"/>
    <s v="Y"/>
    <n v="3564.3199999999997"/>
    <n v="0"/>
    <n v="1754.3137499999998"/>
    <s v="Reading College"/>
    <s v="COLL"/>
    <m/>
    <m/>
    <m/>
    <s v="Reading College"/>
    <m/>
    <m/>
    <m/>
    <m/>
    <s v="Y"/>
    <m/>
    <n v="1754.3137499999998"/>
    <s v="COLL"/>
    <m/>
    <m/>
    <m/>
    <m/>
    <m/>
    <m/>
    <n v="1754.3137499999998"/>
    <m/>
    <n v="0"/>
    <n v="0"/>
    <m/>
    <n v="1754.3137499999998"/>
    <n v="0"/>
    <m/>
  </r>
  <r>
    <x v="0"/>
    <n v="1"/>
    <n v="41202"/>
    <n v="41202"/>
    <n v="43012"/>
    <s v="No"/>
    <s v="Y"/>
    <m/>
    <x v="1"/>
    <m/>
    <n v="396847"/>
    <x v="16"/>
    <s v="Ethan"/>
    <s v="Beckett"/>
    <x v="172"/>
    <d v="2011-05-24T00:00:00"/>
    <n v="12.249144421629021"/>
    <n v="7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ASD"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1"/>
    <n v="1"/>
    <n v="41202"/>
    <n v="41202"/>
    <n v="43012"/>
    <s v="No"/>
    <s v="Y"/>
    <m/>
    <x v="1"/>
    <m/>
    <n v="385676"/>
    <x v="16"/>
    <s v="Finley"/>
    <s v="Turner"/>
    <x v="173"/>
    <d v="2009-12-04T00:00:00"/>
    <n v="13.716632443531827"/>
    <n v="8"/>
    <n v="872"/>
    <n v="872"/>
    <d v="2023-04-01T00:00:00"/>
    <n v="1"/>
    <d v="2023-04-14T00:00:00"/>
    <n v="0"/>
    <n v="0"/>
    <n v="0"/>
    <d v="2023-04-14T00:00:00"/>
    <n v="25"/>
    <m/>
    <m/>
    <x v="1"/>
    <x v="1"/>
    <x v="0"/>
    <s v="NO"/>
    <s v="NO"/>
    <s v="NO"/>
    <s v="NO"/>
    <m/>
    <n v="5819.25"/>
    <s v="SEMH"/>
    <n v="1"/>
    <n v="0"/>
    <n v="0"/>
    <n v="0"/>
    <n v="0"/>
    <n v="0"/>
    <n v="0"/>
    <s v="Chiltern Way_left already"/>
    <m/>
    <e v="#N/A"/>
    <e v="#N/A"/>
    <e v="#N/A"/>
    <m/>
    <m/>
    <n v="0"/>
    <n v="0"/>
    <s v=""/>
    <m/>
    <m/>
    <m/>
    <m/>
    <m/>
    <m/>
    <m/>
    <m/>
    <m/>
    <m/>
    <m/>
    <n v="0"/>
    <m/>
    <m/>
    <m/>
    <m/>
    <m/>
    <m/>
    <m/>
    <n v="0"/>
    <m/>
    <n v="0"/>
    <n v="0"/>
    <m/>
    <n v="0"/>
    <n v="0"/>
    <m/>
  </r>
  <r>
    <x v="1"/>
    <n v="1"/>
    <n v="41202"/>
    <n v="41202"/>
    <n v="43012"/>
    <s v="No"/>
    <s v="Y"/>
    <m/>
    <x v="1"/>
    <s v="AD"/>
    <n v="385676"/>
    <x v="16"/>
    <s v="Finley"/>
    <s v="Turner"/>
    <x v="173"/>
    <d v="2009-12-04T00:00:00"/>
    <n v="13.716632443531827"/>
    <n v="8"/>
    <n v="872"/>
    <n v="872"/>
    <d v="2023-04-01T00:00:00"/>
    <n v="1"/>
    <d v="2023-04-14T00:00:00"/>
    <n v="0"/>
    <n v="0"/>
    <n v="0"/>
    <d v="2023-07-28T00:00:00"/>
    <n v="1200"/>
    <m/>
    <m/>
    <x v="0"/>
    <x v="1"/>
    <x v="1"/>
    <s v="NO"/>
    <s v="NO"/>
    <s v="NO"/>
    <s v="NO"/>
    <m/>
    <n v="1200"/>
    <s v="SEMH"/>
    <n v="1"/>
    <n v="0"/>
    <n v="0"/>
    <n v="0"/>
    <n v="0"/>
    <n v="0"/>
    <n v="0"/>
    <s v="Chiltern Way_left already"/>
    <m/>
    <e v="#N/A"/>
    <e v="#N/A"/>
    <e v="#N/A"/>
    <m/>
    <m/>
    <n v="0"/>
    <n v="0"/>
    <s v=""/>
    <m/>
    <m/>
    <m/>
    <m/>
    <m/>
    <m/>
    <m/>
    <m/>
    <m/>
    <m/>
    <m/>
    <n v="0"/>
    <m/>
    <m/>
    <m/>
    <m/>
    <m/>
    <m/>
    <m/>
    <n v="0"/>
    <m/>
    <n v="0"/>
    <n v="0"/>
    <m/>
    <n v="0"/>
    <n v="0"/>
    <m/>
  </r>
  <r>
    <x v="0"/>
    <n v="1"/>
    <n v="41202"/>
    <n v="41202"/>
    <n v="43012"/>
    <s v="No"/>
    <s v="Y"/>
    <m/>
    <x v="1"/>
    <m/>
    <n v="370503"/>
    <x v="16"/>
    <s v="Gary"/>
    <s v="Smith"/>
    <x v="174"/>
    <d v="2007-05-23T00:00:00"/>
    <n v="16.251882272416154"/>
    <n v="11"/>
    <n v="872"/>
    <n v="872"/>
    <d v="2023-04-01T00:00:00"/>
    <n v="1"/>
    <d v="2023-07-21T00:00:00"/>
    <n v="63"/>
    <n v="63"/>
    <n v="0.328125"/>
    <s v="Yr 11"/>
    <n v="30"/>
    <m/>
    <m/>
    <x v="0"/>
    <x v="0"/>
    <x v="0"/>
    <s v="NO"/>
    <s v="NO"/>
    <s v="NO"/>
    <s v="NO"/>
    <m/>
    <n v="8183.0999999999985"/>
    <s v="SEMH"/>
    <n v="1"/>
    <n v="0.328125"/>
    <n v="2685.0796874999996"/>
    <n v="2685.0796874999996"/>
    <n v="2685.0796874999996"/>
    <n v="2685.0796874999996"/>
    <n v="2685.0796874999996"/>
    <m/>
    <m/>
    <e v="#N/A"/>
    <e v="#N/A"/>
    <s v="Farnborough 6th form"/>
    <s v="Y"/>
    <n v="5455.3999999999987"/>
    <n v="0"/>
    <n v="2685.0796874999996"/>
    <s v="Farnborough Sixth Form "/>
    <s v="COLL"/>
    <m/>
    <m/>
    <m/>
    <s v="Farnborough Sixth Form "/>
    <m/>
    <m/>
    <m/>
    <m/>
    <s v="Y"/>
    <m/>
    <n v="2685.0796874999996"/>
    <s v="COLL"/>
    <m/>
    <m/>
    <m/>
    <m/>
    <m/>
    <m/>
    <n v="2685.0796874999996"/>
    <m/>
    <n v="0"/>
    <n v="0"/>
    <m/>
    <n v="2685.0796874999996"/>
    <n v="0"/>
    <m/>
  </r>
  <r>
    <x v="0"/>
    <n v="1"/>
    <n v="41202"/>
    <n v="41202"/>
    <n v="43012"/>
    <s v="No"/>
    <s v="Y"/>
    <m/>
    <x v="1"/>
    <m/>
    <n v="373641"/>
    <x v="16"/>
    <s v="Giorgio"/>
    <s v="Zottarelli"/>
    <x v="175"/>
    <d v="2007-11-28T00:00:00"/>
    <n v="15.734428473648187"/>
    <n v="10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ASD"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0"/>
    <n v="1"/>
    <n v="41202"/>
    <n v="41202"/>
    <n v="43012"/>
    <s v="No"/>
    <s v="Y"/>
    <m/>
    <x v="1"/>
    <m/>
    <n v="376623"/>
    <x v="16"/>
    <s v="James"/>
    <s v="Cash"/>
    <x v="176"/>
    <d v="2006-11-02T00:00:00"/>
    <n v="16.804928131416837"/>
    <n v="11"/>
    <n v="872"/>
    <n v="872"/>
    <d v="2023-04-01T00:00:00"/>
    <n v="1"/>
    <d v="2023-07-21T00:00:00"/>
    <n v="63"/>
    <n v="63"/>
    <n v="0.328125"/>
    <s v="Yr 11"/>
    <n v="30"/>
    <m/>
    <m/>
    <x v="0"/>
    <x v="0"/>
    <x v="0"/>
    <s v="NO"/>
    <s v="NO"/>
    <s v="NO"/>
    <s v="NO"/>
    <m/>
    <n v="8183.0999999999985"/>
    <s v="SEMH"/>
    <n v="1"/>
    <n v="0.328125"/>
    <n v="2685.0796874999996"/>
    <n v="2685.0796874999996"/>
    <n v="2685.0796874999996"/>
    <n v="2685.0796874999996"/>
    <n v="2685.0796874999996"/>
    <m/>
    <m/>
    <e v="#N/A"/>
    <e v="#N/A"/>
    <s v="Cease"/>
    <s v="Y"/>
    <n v="5455.3999999999987"/>
    <n v="0"/>
    <n v="2685.0796874999996"/>
    <s v="Cease to Amend "/>
    <m/>
    <m/>
    <m/>
    <m/>
    <s v="Cease to Amend "/>
    <m/>
    <m/>
    <m/>
    <m/>
    <s v="Y"/>
    <m/>
    <n v="2685.0796874999996"/>
    <s v="COLL"/>
    <m/>
    <m/>
    <m/>
    <m/>
    <m/>
    <m/>
    <n v="2685.0796874999996"/>
    <m/>
    <n v="0"/>
    <n v="0"/>
    <m/>
    <n v="2685.0796874999996"/>
    <n v="0"/>
    <m/>
  </r>
  <r>
    <x v="0"/>
    <n v="1"/>
    <n v="41202"/>
    <n v="41202"/>
    <n v="43012"/>
    <s v="No"/>
    <s v="Y"/>
    <m/>
    <x v="1"/>
    <m/>
    <n v="402289"/>
    <x v="16"/>
    <s v="James"/>
    <s v="Test1"/>
    <x v="177"/>
    <d v="2008-07-15T00:00:00"/>
    <n v="15.104722792607802"/>
    <n v="10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m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0"/>
    <n v="1"/>
    <n v="41202"/>
    <n v="41202"/>
    <n v="43012"/>
    <s v="No"/>
    <s v="Y"/>
    <m/>
    <x v="1"/>
    <m/>
    <n v="383035"/>
    <x v="16"/>
    <s v="Jason"/>
    <s v="Clarke"/>
    <x v="178"/>
    <d v="2009-08-02T00:00:00"/>
    <n v="14.056125941136209"/>
    <n v="9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SEMH"/>
    <n v="1"/>
    <n v="1"/>
    <n v="5819.25"/>
    <n v="5819.25"/>
    <n v="5819.25"/>
    <n v="8183.099999999998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-2363.8499999999985"/>
    <m/>
    <n v="5819.25"/>
    <n v="0"/>
    <m/>
  </r>
  <r>
    <x v="0"/>
    <n v="1"/>
    <n v="41202"/>
    <n v="41202"/>
    <n v="43012"/>
    <s v="No"/>
    <s v="Y"/>
    <m/>
    <x v="1"/>
    <m/>
    <n v="383273"/>
    <x v="16"/>
    <s v="Jayde"/>
    <s v="Ferrier"/>
    <x v="179"/>
    <d v="2009-01-24T00:00:00"/>
    <n v="14.576317590691307"/>
    <n v="9"/>
    <n v="872"/>
    <n v="872"/>
    <d v="2023-04-01T00:00:00"/>
    <n v="1"/>
    <d v="2024-03-31T00:00:00"/>
    <n v="192"/>
    <n v="192"/>
    <n v="1"/>
    <s v="open"/>
    <n v="24"/>
    <m/>
    <m/>
    <x v="1"/>
    <x v="1"/>
    <x v="0"/>
    <s v="NO"/>
    <s v="NO"/>
    <s v="NO"/>
    <s v="NO"/>
    <m/>
    <n v="5346.48"/>
    <s v="SEMH"/>
    <n v="1"/>
    <n v="1"/>
    <n v="5346.48"/>
    <n v="5346.48"/>
    <n v="5346.48"/>
    <n v="5346.48"/>
    <n v="5346.48"/>
    <m/>
    <m/>
    <e v="#N/A"/>
    <e v="#N/A"/>
    <e v="#N/A"/>
    <m/>
    <m/>
    <n v="0"/>
    <n v="5346.48"/>
    <s v=""/>
    <m/>
    <m/>
    <m/>
    <m/>
    <m/>
    <m/>
    <m/>
    <m/>
    <m/>
    <m/>
    <m/>
    <n v="5346.48"/>
    <m/>
    <m/>
    <m/>
    <m/>
    <m/>
    <m/>
    <m/>
    <n v="5346.48"/>
    <m/>
    <n v="0"/>
    <n v="0"/>
    <m/>
    <n v="5346.48"/>
    <n v="0"/>
    <m/>
  </r>
  <r>
    <x v="0"/>
    <n v="1"/>
    <n v="41202"/>
    <n v="41202"/>
    <n v="43012"/>
    <s v="No"/>
    <s v="Y"/>
    <m/>
    <x v="1"/>
    <m/>
    <n v="395215"/>
    <x v="16"/>
    <s v="Joshua"/>
    <s v="Beighton"/>
    <x v="180"/>
    <d v="2011-03-27T00:00:00"/>
    <n v="12.407939767282683"/>
    <n v="7"/>
    <n v="872"/>
    <n v="872"/>
    <d v="2023-04-01T00:00:00"/>
    <n v="1"/>
    <d v="2024-03-31T00:00:00"/>
    <n v="192"/>
    <n v="192"/>
    <n v="1"/>
    <s v="open"/>
    <n v="28"/>
    <m/>
    <m/>
    <x v="0"/>
    <x v="0"/>
    <x v="0"/>
    <s v="NO"/>
    <s v="NO"/>
    <s v="NO"/>
    <s v="NO"/>
    <m/>
    <n v="7237.5599999999995"/>
    <s v="SLCD"/>
    <n v="1"/>
    <n v="1"/>
    <n v="7237.5599999999995"/>
    <n v="7237.5599999999995"/>
    <n v="7237.5599999999995"/>
    <n v="7237.5599999999995"/>
    <n v="7237.5599999999995"/>
    <m/>
    <m/>
    <e v="#N/A"/>
    <e v="#N/A"/>
    <e v="#N/A"/>
    <m/>
    <m/>
    <n v="0"/>
    <n v="7237.5599999999995"/>
    <s v=""/>
    <m/>
    <m/>
    <m/>
    <m/>
    <m/>
    <m/>
    <m/>
    <m/>
    <m/>
    <m/>
    <m/>
    <n v="7237.5599999999995"/>
    <m/>
    <m/>
    <m/>
    <m/>
    <m/>
    <m/>
    <m/>
    <n v="7237.5599999999995"/>
    <m/>
    <n v="0"/>
    <n v="0"/>
    <m/>
    <n v="7237.5599999999995"/>
    <n v="0"/>
    <m/>
  </r>
  <r>
    <x v="0"/>
    <n v="1"/>
    <n v="41202"/>
    <n v="41202"/>
    <n v="43012"/>
    <s v="No"/>
    <s v="Y"/>
    <m/>
    <x v="1"/>
    <m/>
    <n v="367489"/>
    <x v="16"/>
    <s v="Kameron"/>
    <s v="Waddon"/>
    <x v="181"/>
    <d v="2006-11-09T00:00:00"/>
    <n v="16.785763175906911"/>
    <n v="11"/>
    <n v="872"/>
    <n v="872"/>
    <d v="2023-04-01T00:00:00"/>
    <n v="1"/>
    <d v="2023-07-21T00:00:00"/>
    <n v="63"/>
    <n v="63"/>
    <n v="0.328125"/>
    <s v="Yr 11"/>
    <n v="21"/>
    <m/>
    <m/>
    <x v="1"/>
    <x v="1"/>
    <x v="0"/>
    <s v="NO"/>
    <s v="NO"/>
    <s v="NO"/>
    <s v="NO"/>
    <m/>
    <n v="3928.17"/>
    <s v="SEMH"/>
    <n v="1"/>
    <n v="0.328125"/>
    <n v="1288.9307812500001"/>
    <n v="1288.9307812500001"/>
    <n v="1288.9307812500001"/>
    <n v="1288.9307812500001"/>
    <n v="1288.9307812500001"/>
    <m/>
    <m/>
    <e v="#N/A"/>
    <e v="#N/A"/>
    <s v="Reading coll"/>
    <s v="Y"/>
    <n v="2618.7800000000002"/>
    <n v="0"/>
    <n v="1288.9307812500001"/>
    <s v="Reading College"/>
    <s v="COLL"/>
    <m/>
    <m/>
    <m/>
    <s v="Reading College"/>
    <m/>
    <m/>
    <m/>
    <m/>
    <s v="Y"/>
    <m/>
    <n v="1288.9307812500001"/>
    <s v="COLL"/>
    <m/>
    <m/>
    <m/>
    <m/>
    <m/>
    <m/>
    <n v="1288.9307812500001"/>
    <m/>
    <n v="0"/>
    <n v="0"/>
    <m/>
    <n v="1288.9307812500001"/>
    <n v="0"/>
    <m/>
  </r>
  <r>
    <x v="1"/>
    <n v="1"/>
    <n v="41202"/>
    <n v="41202"/>
    <n v="43012"/>
    <s v="No"/>
    <s v="Y"/>
    <m/>
    <x v="1"/>
    <s v="AD"/>
    <n v="367489"/>
    <x v="16"/>
    <s v="Kameron"/>
    <s v="Waddon"/>
    <x v="181"/>
    <d v="2006-11-09T00:00:00"/>
    <n v="16.785763175906911"/>
    <n v="11"/>
    <n v="872"/>
    <n v="872"/>
    <d v="2023-04-01T00:00:00"/>
    <n v="1"/>
    <d v="2023-07-21T00:00:00"/>
    <n v="63"/>
    <n v="63"/>
    <n v="0.328125"/>
    <d v="2023-07-31T00:00:00"/>
    <n v="922.48"/>
    <m/>
    <m/>
    <x v="0"/>
    <x v="1"/>
    <x v="1"/>
    <s v="NO"/>
    <s v="NO"/>
    <s v="NO"/>
    <s v="NO"/>
    <m/>
    <n v="922.48"/>
    <s v="ASD"/>
    <n v="1"/>
    <n v="0.328125"/>
    <n v="302.68875000000003"/>
    <n v="302.68875000000003"/>
    <n v="302.68875000000003"/>
    <n v="302.68875000000003"/>
    <n v="302.68875000000003"/>
    <m/>
    <m/>
    <e v="#N/A"/>
    <e v="#N/A"/>
    <e v="#N/A"/>
    <m/>
    <m/>
    <n v="0"/>
    <n v="302.68875000000003"/>
    <s v="Reading College"/>
    <s v="COLL"/>
    <m/>
    <m/>
    <m/>
    <s v="Reading College"/>
    <m/>
    <m/>
    <m/>
    <m/>
    <s v="Y"/>
    <m/>
    <n v="302.68875000000003"/>
    <s v="COLL"/>
    <m/>
    <m/>
    <m/>
    <m/>
    <m/>
    <m/>
    <n v="302.68875000000003"/>
    <m/>
    <n v="0"/>
    <n v="0"/>
    <m/>
    <n v="302.68875000000003"/>
    <n v="0"/>
    <m/>
  </r>
  <r>
    <x v="0"/>
    <n v="1"/>
    <n v="41202"/>
    <n v="41202"/>
    <n v="43012"/>
    <s v="No"/>
    <s v="Y"/>
    <m/>
    <x v="1"/>
    <m/>
    <n v="421085"/>
    <x v="16"/>
    <s v="Kayden"/>
    <s v="Regis-Ellis"/>
    <x v="182"/>
    <d v="2010-10-12T00:00:00"/>
    <n v="12.862422997946611"/>
    <n v="7"/>
    <n v="872"/>
    <n v="872"/>
    <d v="2023-04-01T00:00:00"/>
    <n v="1"/>
    <d v="2024-03-31T00:00:00"/>
    <n v="192"/>
    <n v="192"/>
    <n v="1"/>
    <s v="open"/>
    <n v="28"/>
    <m/>
    <m/>
    <x v="0"/>
    <x v="0"/>
    <x v="0"/>
    <s v="NO"/>
    <s v="NO"/>
    <s v="NO"/>
    <s v="NO"/>
    <m/>
    <n v="7237.5599999999995"/>
    <s v="SEMH"/>
    <n v="1"/>
    <n v="1"/>
    <n v="7237.5599999999995"/>
    <n v="7237.5599999999995"/>
    <n v="7237.5599999999995"/>
    <n v="7237.5599999999995"/>
    <n v="7237.5599999999995"/>
    <m/>
    <m/>
    <e v="#N/A"/>
    <e v="#N/A"/>
    <e v="#N/A"/>
    <m/>
    <m/>
    <n v="0"/>
    <n v="7237.5599999999995"/>
    <s v=""/>
    <m/>
    <m/>
    <m/>
    <m/>
    <m/>
    <m/>
    <m/>
    <m/>
    <m/>
    <m/>
    <m/>
    <n v="7237.5599999999995"/>
    <m/>
    <m/>
    <m/>
    <m/>
    <m/>
    <m/>
    <m/>
    <n v="7237.5599999999995"/>
    <m/>
    <n v="0"/>
    <n v="0"/>
    <m/>
    <n v="7237.5599999999995"/>
    <n v="0"/>
    <m/>
  </r>
  <r>
    <x v="1"/>
    <n v="1"/>
    <n v="41202"/>
    <n v="41202"/>
    <n v="43012"/>
    <s v="No"/>
    <s v="Y"/>
    <m/>
    <x v="1"/>
    <s v="AD"/>
    <n v="421085"/>
    <x v="16"/>
    <s v="Kayden"/>
    <s v="Regis-Ellis"/>
    <x v="182"/>
    <d v="2010-10-12T00:00:00"/>
    <n v="12.862422997946611"/>
    <n v="7"/>
    <n v="872"/>
    <n v="872"/>
    <d v="2023-04-01T00:00:00"/>
    <n v="1"/>
    <d v="2023-05-31T00:00:00"/>
    <n v="28"/>
    <n v="28"/>
    <n v="1"/>
    <d v="2023-05-31T00:00:00"/>
    <n v="7380"/>
    <m/>
    <m/>
    <x v="0"/>
    <x v="1"/>
    <x v="1"/>
    <s v="NO"/>
    <s v="NO"/>
    <s v="NO"/>
    <s v="NO"/>
    <m/>
    <n v="7380"/>
    <s v="SEMH"/>
    <n v="1"/>
    <n v="1"/>
    <n v="7380"/>
    <n v="7380"/>
    <n v="7380"/>
    <n v="0"/>
    <n v="7380"/>
    <m/>
    <m/>
    <e v="#N/A"/>
    <e v="#N/A"/>
    <e v="#N/A"/>
    <m/>
    <m/>
    <n v="0"/>
    <n v="7380"/>
    <s v=""/>
    <m/>
    <m/>
    <m/>
    <m/>
    <m/>
    <m/>
    <m/>
    <m/>
    <m/>
    <m/>
    <m/>
    <n v="7380"/>
    <m/>
    <m/>
    <m/>
    <m/>
    <m/>
    <m/>
    <m/>
    <n v="7380"/>
    <m/>
    <n v="0"/>
    <n v="7380"/>
    <m/>
    <n v="7380"/>
    <n v="0"/>
    <m/>
  </r>
  <r>
    <x v="0"/>
    <n v="1"/>
    <n v="41202"/>
    <n v="41202"/>
    <n v="43012"/>
    <s v="No"/>
    <s v="Y"/>
    <m/>
    <x v="1"/>
    <m/>
    <n v="381574"/>
    <x v="16"/>
    <s v="Keira"/>
    <s v="Bradshaw"/>
    <x v="183"/>
    <d v="2010-02-03T00:00:00"/>
    <n v="13.54962354551677"/>
    <n v="8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m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0"/>
    <n v="1"/>
    <n v="41202"/>
    <n v="41202"/>
    <n v="43012"/>
    <s v="No"/>
    <s v="Y"/>
    <m/>
    <x v="1"/>
    <m/>
    <n v="389977"/>
    <x v="16"/>
    <s v="Lauren"/>
    <s v="Joseph"/>
    <x v="184"/>
    <d v="2010-08-01T00:00:00"/>
    <n v="13.059548254620124"/>
    <n v="8"/>
    <n v="872"/>
    <n v="872"/>
    <d v="2023-04-01T00:00:00"/>
    <n v="1"/>
    <d v="2024-03-31T00:00:00"/>
    <n v="192"/>
    <n v="192"/>
    <n v="1"/>
    <s v="open"/>
    <n v="27"/>
    <m/>
    <m/>
    <x v="0"/>
    <x v="0"/>
    <x v="0"/>
    <s v="NO"/>
    <s v="NO"/>
    <s v="NO"/>
    <s v="NO"/>
    <m/>
    <n v="6764.7899999999991"/>
    <s v="ASD"/>
    <n v="1"/>
    <n v="1"/>
    <n v="6764.7899999999991"/>
    <n v="6764.7899999999991"/>
    <n v="6764.7899999999991"/>
    <n v="6764.7899999999991"/>
    <n v="6764.7899999999991"/>
    <m/>
    <m/>
    <e v="#N/A"/>
    <e v="#N/A"/>
    <e v="#N/A"/>
    <m/>
    <m/>
    <n v="0"/>
    <n v="6764.7899999999991"/>
    <s v=""/>
    <m/>
    <m/>
    <m/>
    <m/>
    <m/>
    <m/>
    <m/>
    <m/>
    <m/>
    <m/>
    <m/>
    <n v="6764.7899999999991"/>
    <m/>
    <m/>
    <m/>
    <m/>
    <m/>
    <m/>
    <m/>
    <n v="6764.7899999999991"/>
    <m/>
    <n v="0"/>
    <n v="0"/>
    <m/>
    <n v="6764.7899999999991"/>
    <n v="0"/>
    <m/>
  </r>
  <r>
    <x v="0"/>
    <n v="1"/>
    <n v="41202"/>
    <n v="41202"/>
    <n v="43012"/>
    <s v="No"/>
    <s v="Y"/>
    <m/>
    <x v="1"/>
    <m/>
    <n v="436292"/>
    <x v="16"/>
    <s v="Lik Tai"/>
    <s v="Ho"/>
    <x v="185"/>
    <d v="2007-11-06T00:00:00"/>
    <n v="15.794661190965092"/>
    <n v="10"/>
    <n v="872"/>
    <n v="872"/>
    <d v="2023-04-01T00:00:00"/>
    <n v="1"/>
    <d v="2024-03-31T00:00:00"/>
    <n v="192"/>
    <n v="192"/>
    <n v="1"/>
    <s v="open"/>
    <n v="28"/>
    <m/>
    <m/>
    <x v="0"/>
    <x v="0"/>
    <x v="0"/>
    <s v="NO"/>
    <s v="NO"/>
    <s v="NO"/>
    <s v="NO"/>
    <m/>
    <n v="7237.5599999999995"/>
    <s v="ASD"/>
    <n v="1"/>
    <n v="1"/>
    <n v="7237.5599999999995"/>
    <n v="7237.5599999999995"/>
    <n v="7237.5599999999995"/>
    <n v="7237.5599999999995"/>
    <n v="7237.5599999999995"/>
    <m/>
    <m/>
    <e v="#N/A"/>
    <e v="#N/A"/>
    <e v="#N/A"/>
    <m/>
    <m/>
    <n v="0"/>
    <n v="7237.5599999999995"/>
    <s v=""/>
    <m/>
    <m/>
    <m/>
    <m/>
    <m/>
    <m/>
    <m/>
    <m/>
    <m/>
    <m/>
    <m/>
    <n v="7237.5599999999995"/>
    <m/>
    <m/>
    <m/>
    <m/>
    <m/>
    <m/>
    <m/>
    <n v="7237.5599999999995"/>
    <m/>
    <n v="0"/>
    <n v="0"/>
    <m/>
    <n v="7237.5599999999995"/>
    <n v="0"/>
    <m/>
  </r>
  <r>
    <x v="0"/>
    <n v="1"/>
    <n v="41202"/>
    <n v="41202"/>
    <n v="43012"/>
    <s v="No"/>
    <s v="Y"/>
    <m/>
    <x v="1"/>
    <m/>
    <n v="374732"/>
    <x v="16"/>
    <s v="Louie"/>
    <s v="Gaudreau"/>
    <x v="186"/>
    <d v="2007-02-10T00:00:00"/>
    <n v="16.531143052703626"/>
    <n v="11"/>
    <n v="872"/>
    <n v="872"/>
    <d v="2023-04-01T00:00:00"/>
    <n v="1"/>
    <d v="2023-07-21T00:00:00"/>
    <n v="63"/>
    <n v="63"/>
    <n v="0.328125"/>
    <s v="Yr 11"/>
    <n v="25"/>
    <m/>
    <m/>
    <x v="1"/>
    <x v="1"/>
    <x v="0"/>
    <s v="NO"/>
    <s v="NO"/>
    <s v="NO"/>
    <s v="NO"/>
    <m/>
    <n v="5819.25"/>
    <s v="SEMH"/>
    <n v="1"/>
    <n v="0.328125"/>
    <n v="1909.44140625"/>
    <n v="1909.44140625"/>
    <n v="1909.44140625"/>
    <n v="1909.44140625"/>
    <n v="1909.44140625"/>
    <m/>
    <m/>
    <e v="#N/A"/>
    <e v="#N/A"/>
    <s v="BNLL coll"/>
    <s v="Y"/>
    <n v="3879.5"/>
    <n v="0"/>
    <n v="1909.44140625"/>
    <s v="Bracknell College"/>
    <s v="COLL"/>
    <m/>
    <m/>
    <m/>
    <s v="Bracknell College"/>
    <m/>
    <m/>
    <m/>
    <m/>
    <s v="Y"/>
    <m/>
    <n v="1909.44140625"/>
    <s v="COLL"/>
    <m/>
    <m/>
    <m/>
    <m/>
    <m/>
    <m/>
    <n v="1909.44140625"/>
    <m/>
    <n v="0"/>
    <n v="0"/>
    <m/>
    <n v="1909.44140625"/>
    <n v="0"/>
    <m/>
  </r>
  <r>
    <x v="0"/>
    <n v="1"/>
    <n v="41202"/>
    <n v="41202"/>
    <n v="43012"/>
    <s v="No"/>
    <s v="Y"/>
    <m/>
    <x v="1"/>
    <m/>
    <n v="437805"/>
    <x v="16"/>
    <s v="Maiia"/>
    <s v="Falkova"/>
    <x v="187"/>
    <d v="2009-04-17T00:00:00"/>
    <n v="14.349075975359343"/>
    <n v="9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SEMH"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0"/>
    <n v="1"/>
    <n v="41202"/>
    <n v="41202"/>
    <n v="43012"/>
    <s v="No"/>
    <s v="Y"/>
    <m/>
    <x v="1"/>
    <m/>
    <n v="378540"/>
    <x v="16"/>
    <s v="Noah"/>
    <s v="Care-McDermott"/>
    <x v="188"/>
    <d v="2009-01-19T00:00:00"/>
    <n v="14.590006844626968"/>
    <n v="9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ASD"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1"/>
    <n v="1"/>
    <n v="41202"/>
    <n v="41202"/>
    <n v="43012"/>
    <s v="No"/>
    <s v="Y"/>
    <m/>
    <x v="1"/>
    <s v="AD"/>
    <n v="378540"/>
    <x v="16"/>
    <s v="Noah"/>
    <s v="Care-McDermott"/>
    <x v="188"/>
    <d v="2009-01-19T00:00:00"/>
    <n v="14.590006844626968"/>
    <n v="9"/>
    <n v="872"/>
    <n v="872"/>
    <d v="2023-04-01T00:00:00"/>
    <n v="1"/>
    <d v="2023-07-31T00:00:00"/>
    <n v="63"/>
    <n v="63"/>
    <n v="0.328125"/>
    <d v="2023-07-31T00:00:00"/>
    <n v="4980.1499999999996"/>
    <m/>
    <m/>
    <x v="0"/>
    <x v="1"/>
    <x v="1"/>
    <s v="NO"/>
    <s v="NO"/>
    <s v="NO"/>
    <s v="NO"/>
    <m/>
    <n v="4980.1499999999996"/>
    <s v="ASD"/>
    <n v="1"/>
    <n v="0.328125"/>
    <n v="1634.1117187499999"/>
    <n v="1634.1117187499999"/>
    <n v="1634.1117187499999"/>
    <n v="1634.1117187499999"/>
    <n v="1634.1117187499999"/>
    <m/>
    <m/>
    <e v="#N/A"/>
    <e v="#N/A"/>
    <e v="#N/A"/>
    <m/>
    <m/>
    <n v="0"/>
    <n v="1634.1117187499999"/>
    <s v=""/>
    <m/>
    <m/>
    <m/>
    <m/>
    <m/>
    <n v="4980.1499999999996"/>
    <n v="4980.1499999999996"/>
    <m/>
    <m/>
    <m/>
    <n v="3294.1617187500001"/>
    <n v="4928.2734375"/>
    <m/>
    <m/>
    <m/>
    <m/>
    <m/>
    <m/>
    <m/>
    <n v="4928.2734375"/>
    <m/>
    <n v="0"/>
    <n v="3294.1617187500001"/>
    <m/>
    <n v="4928.2734375"/>
    <n v="0"/>
    <m/>
  </r>
  <r>
    <x v="0"/>
    <n v="1"/>
    <n v="41202"/>
    <n v="41202"/>
    <n v="43012"/>
    <s v="No"/>
    <s v="Y"/>
    <m/>
    <x v="1"/>
    <m/>
    <n v="377087"/>
    <x v="16"/>
    <s v="Phelix"/>
    <s v="Manning"/>
    <x v="189"/>
    <d v="2008-06-14T00:00:00"/>
    <n v="15.189596167008897"/>
    <n v="10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SEMH"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0"/>
    <n v="1"/>
    <n v="41202"/>
    <n v="41202"/>
    <n v="43012"/>
    <s v="No"/>
    <s v="Y"/>
    <m/>
    <x v="1"/>
    <m/>
    <n v="380936"/>
    <x v="16"/>
    <s v="Russell"/>
    <s v="Butler-Cook"/>
    <x v="190"/>
    <d v="2009-01-11T00:00:00"/>
    <n v="14.611909650924025"/>
    <n v="9"/>
    <n v="872"/>
    <n v="872"/>
    <d v="2023-04-01T00:00:00"/>
    <n v="1"/>
    <d v="2024-03-31T00:00:00"/>
    <n v="192"/>
    <n v="192"/>
    <n v="1"/>
    <s v="open"/>
    <n v="28"/>
    <m/>
    <m/>
    <x v="0"/>
    <x v="0"/>
    <x v="0"/>
    <s v="NO"/>
    <s v="NO"/>
    <s v="NO"/>
    <s v="NO"/>
    <m/>
    <n v="7237.5599999999995"/>
    <s v="OD"/>
    <n v="1"/>
    <n v="1"/>
    <n v="7237.5599999999995"/>
    <n v="7237.5599999999995"/>
    <n v="7237.5599999999995"/>
    <n v="7237.5599999999995"/>
    <n v="7237.5599999999995"/>
    <m/>
    <m/>
    <e v="#N/A"/>
    <e v="#N/A"/>
    <e v="#N/A"/>
    <m/>
    <m/>
    <n v="0"/>
    <n v="7237.5599999999995"/>
    <s v=""/>
    <m/>
    <m/>
    <m/>
    <m/>
    <m/>
    <m/>
    <m/>
    <m/>
    <m/>
    <m/>
    <m/>
    <n v="7237.5599999999995"/>
    <m/>
    <m/>
    <m/>
    <m/>
    <m/>
    <m/>
    <m/>
    <n v="7237.5599999999995"/>
    <m/>
    <n v="0"/>
    <n v="0"/>
    <m/>
    <n v="7237.5599999999995"/>
    <n v="0"/>
    <m/>
  </r>
  <r>
    <x v="0"/>
    <n v="1"/>
    <n v="41202"/>
    <n v="41202"/>
    <n v="43012"/>
    <s v="No"/>
    <s v="Y"/>
    <m/>
    <x v="1"/>
    <m/>
    <n v="375542"/>
    <x v="16"/>
    <s v="Ryan"/>
    <s v="Brombley"/>
    <x v="191"/>
    <d v="2008-09-07T00:00:00"/>
    <n v="14.956878850102669"/>
    <n v="9"/>
    <n v="872"/>
    <n v="872"/>
    <d v="2023-05-21T00:00:00"/>
    <n v="24"/>
    <d v="2024-03-31T00:00:00"/>
    <n v="192"/>
    <n v="169"/>
    <n v="0.88020833333333337"/>
    <s v="open"/>
    <n v="26"/>
    <m/>
    <m/>
    <x v="0"/>
    <x v="0"/>
    <x v="0"/>
    <s v="NO"/>
    <s v="NO"/>
    <s v="NO"/>
    <s v="NO"/>
    <m/>
    <n v="6292.02"/>
    <s v="ASD"/>
    <n v="1"/>
    <n v="0.88020833333333337"/>
    <n v="5538.2884375000003"/>
    <n v="5538.2884375000003"/>
    <n v="5538.2884375000003"/>
    <n v="0"/>
    <n v="0"/>
    <m/>
    <m/>
    <m/>
    <m/>
    <m/>
    <m/>
    <m/>
    <n v="5538.2884375000003"/>
    <n v="5538.2884375000003"/>
    <s v=""/>
    <m/>
    <m/>
    <m/>
    <m/>
    <m/>
    <m/>
    <m/>
    <m/>
    <m/>
    <m/>
    <m/>
    <n v="5538.2884375000003"/>
    <m/>
    <m/>
    <m/>
    <m/>
    <m/>
    <m/>
    <m/>
    <n v="5538.2884375000003"/>
    <m/>
    <n v="0"/>
    <n v="5538.2884375000003"/>
    <m/>
    <n v="5538.2884375000003"/>
    <n v="0"/>
    <m/>
  </r>
  <r>
    <x v="0"/>
    <n v="1"/>
    <n v="41202"/>
    <n v="41202"/>
    <n v="43012"/>
    <s v="No"/>
    <s v="Y"/>
    <m/>
    <x v="1"/>
    <m/>
    <n v="368463"/>
    <x v="16"/>
    <s v="Sarah"/>
    <s v="Gwilliam"/>
    <x v="192"/>
    <d v="2007-03-05T00:00:00"/>
    <n v="16.468172484599588"/>
    <n v="11"/>
    <n v="872"/>
    <n v="872"/>
    <d v="2023-04-01T00:00:00"/>
    <n v="1"/>
    <d v="2023-07-21T00:00:00"/>
    <n v="63"/>
    <n v="63"/>
    <n v="0.328125"/>
    <s v="Yr 11"/>
    <n v="25"/>
    <m/>
    <m/>
    <x v="1"/>
    <x v="1"/>
    <x v="0"/>
    <s v="NO"/>
    <s v="NO"/>
    <s v="NO"/>
    <s v="NO"/>
    <m/>
    <n v="5819.25"/>
    <s v="SEMH"/>
    <n v="1"/>
    <n v="0.328125"/>
    <n v="1909.44140625"/>
    <n v="1909.44140625"/>
    <n v="1909.44140625"/>
    <n v="1909.44140625"/>
    <n v="1909.44140625"/>
    <m/>
    <m/>
    <e v="#N/A"/>
    <e v="#N/A"/>
    <s v="Reading coll"/>
    <s v="Y"/>
    <n v="3879.5"/>
    <n v="0"/>
    <n v="1909.44140625"/>
    <s v="Reading College"/>
    <s v="COLL"/>
    <m/>
    <m/>
    <m/>
    <s v="Reading College"/>
    <m/>
    <m/>
    <m/>
    <m/>
    <s v="Y"/>
    <m/>
    <n v="1909.44140625"/>
    <s v="COLL"/>
    <m/>
    <m/>
    <m/>
    <m/>
    <m/>
    <m/>
    <n v="1909.44140625"/>
    <m/>
    <n v="0"/>
    <n v="0"/>
    <m/>
    <n v="1909.44140625"/>
    <n v="0"/>
    <m/>
  </r>
  <r>
    <x v="0"/>
    <n v="1"/>
    <n v="41202"/>
    <n v="41202"/>
    <n v="43012"/>
    <s v="No"/>
    <s v="Y"/>
    <m/>
    <x v="1"/>
    <m/>
    <n v="371168"/>
    <x v="16"/>
    <s v="Shannon-Grace"/>
    <s v="Grantham"/>
    <x v="193"/>
    <d v="2007-08-01T00:00:00"/>
    <n v="16.060232717316907"/>
    <n v="11"/>
    <n v="872"/>
    <n v="872"/>
    <d v="2023-04-01T00:00:00"/>
    <n v="1"/>
    <d v="2023-07-21T00:00:00"/>
    <n v="63"/>
    <n v="63"/>
    <n v="1"/>
    <s v="Yr 11"/>
    <n v="9831.24"/>
    <m/>
    <m/>
    <x v="0"/>
    <x v="1"/>
    <x v="1"/>
    <s v="NO"/>
    <s v="NO"/>
    <s v="NO"/>
    <s v="NO"/>
    <m/>
    <n v="9831.24"/>
    <s v="MLD"/>
    <n v="1"/>
    <n v="1"/>
    <n v="9831.24"/>
    <n v="9831.24"/>
    <n v="9831.24"/>
    <n v="0"/>
    <n v="9831.24"/>
    <m/>
    <m/>
    <e v="#N/A"/>
    <e v="#N/A"/>
    <s v="BNLL&amp;Wok"/>
    <s v="Y"/>
    <n v="6554.16"/>
    <n v="0"/>
    <n v="9831.24"/>
    <s v="Bracknell and Wokingham "/>
    <s v="COLL"/>
    <m/>
    <m/>
    <m/>
    <s v="Bracknell and Wokingham "/>
    <m/>
    <m/>
    <m/>
    <m/>
    <s v="Y"/>
    <m/>
    <n v="9831.24"/>
    <s v="COLL"/>
    <m/>
    <m/>
    <m/>
    <m/>
    <m/>
    <m/>
    <n v="9831.24"/>
    <m/>
    <n v="0"/>
    <n v="9831.24"/>
    <m/>
    <n v="9831.24"/>
    <n v="0"/>
    <m/>
  </r>
  <r>
    <x v="0"/>
    <n v="1"/>
    <n v="41202"/>
    <n v="41202"/>
    <n v="43012"/>
    <s v="No"/>
    <s v="Y"/>
    <m/>
    <x v="1"/>
    <m/>
    <n v="389282"/>
    <x v="16"/>
    <s v="Thomas"/>
    <s v="Rowe"/>
    <x v="194"/>
    <d v="2010-04-09T00:00:00"/>
    <n v="13.371663244353183"/>
    <n v="8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SLCD"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1"/>
    <n v="1"/>
    <n v="41202"/>
    <n v="41202"/>
    <n v="43012"/>
    <s v="No"/>
    <s v="Y"/>
    <m/>
    <x v="1"/>
    <s v="AD"/>
    <n v="389282"/>
    <x v="16"/>
    <s v="Thomas"/>
    <s v="Rowe"/>
    <x v="194"/>
    <d v="2010-04-09T00:00:00"/>
    <n v="13.371663244353183"/>
    <n v="8"/>
    <n v="872"/>
    <n v="872"/>
    <d v="2023-04-01T00:00:00"/>
    <n v="1"/>
    <d v="2023-04-01T00:00:00"/>
    <n v="0"/>
    <n v="0"/>
    <n v="1"/>
    <d v="2023-04-01T00:00:00"/>
    <n v="1380"/>
    <m/>
    <m/>
    <x v="0"/>
    <x v="1"/>
    <x v="1"/>
    <s v="NO"/>
    <s v="NO"/>
    <s v="NO"/>
    <s v="NO"/>
    <m/>
    <n v="1380"/>
    <s v="SLCD"/>
    <n v="1"/>
    <n v="1"/>
    <n v="1380"/>
    <n v="1380"/>
    <n v="1380"/>
    <n v="0"/>
    <n v="1380"/>
    <m/>
    <m/>
    <e v="#N/A"/>
    <e v="#N/A"/>
    <e v="#N/A"/>
    <m/>
    <m/>
    <n v="0"/>
    <n v="1380"/>
    <s v=""/>
    <m/>
    <m/>
    <m/>
    <m/>
    <m/>
    <m/>
    <m/>
    <m/>
    <m/>
    <m/>
    <m/>
    <n v="1380"/>
    <m/>
    <m/>
    <m/>
    <m/>
    <m/>
    <m/>
    <m/>
    <n v="1380"/>
    <m/>
    <n v="0"/>
    <n v="1380"/>
    <m/>
    <n v="1380"/>
    <n v="0"/>
    <m/>
  </r>
  <r>
    <x v="0"/>
    <n v="1"/>
    <n v="41202"/>
    <n v="41202"/>
    <n v="43012"/>
    <s v="No"/>
    <s v="Y"/>
    <m/>
    <x v="1"/>
    <m/>
    <n v="373467"/>
    <x v="16"/>
    <s v="Troy"/>
    <s v="Dolton"/>
    <x v="195"/>
    <d v="2007-10-22T00:00:00"/>
    <n v="15.835728952772074"/>
    <n v="10"/>
    <n v="872"/>
    <n v="872"/>
    <d v="2023-04-01T00:00:00"/>
    <n v="1"/>
    <d v="2024-03-31T00:00:00"/>
    <n v="192"/>
    <n v="192"/>
    <n v="1"/>
    <s v="open"/>
    <n v="28"/>
    <m/>
    <m/>
    <x v="0"/>
    <x v="0"/>
    <x v="0"/>
    <s v="NO"/>
    <s v="NO"/>
    <s v="NO"/>
    <s v="NO"/>
    <m/>
    <n v="7237.5599999999995"/>
    <s v="SEMH"/>
    <n v="1"/>
    <n v="1"/>
    <n v="7237.5599999999995"/>
    <n v="7237.5599999999995"/>
    <n v="7237.5599999999995"/>
    <n v="7237.5599999999995"/>
    <n v="7237.5599999999995"/>
    <m/>
    <m/>
    <e v="#N/A"/>
    <e v="#N/A"/>
    <e v="#N/A"/>
    <m/>
    <m/>
    <n v="0"/>
    <n v="7237.5599999999995"/>
    <s v=""/>
    <m/>
    <m/>
    <m/>
    <m/>
    <m/>
    <m/>
    <m/>
    <m/>
    <m/>
    <m/>
    <m/>
    <n v="7237.5599999999995"/>
    <m/>
    <m/>
    <m/>
    <m/>
    <m/>
    <m/>
    <m/>
    <n v="7237.5599999999995"/>
    <m/>
    <n v="0"/>
    <n v="0"/>
    <m/>
    <n v="7237.5599999999995"/>
    <n v="0"/>
    <m/>
  </r>
  <r>
    <x v="0"/>
    <n v="1"/>
    <n v="41202"/>
    <n v="41202"/>
    <n v="43012"/>
    <s v="No"/>
    <s v="Y"/>
    <m/>
    <x v="1"/>
    <m/>
    <n v="373511"/>
    <x v="16"/>
    <s v="Tyler"/>
    <s v="Lamb"/>
    <x v="196"/>
    <d v="2007-09-16T00:00:00"/>
    <n v="15.93429158110883"/>
    <n v="10"/>
    <n v="872"/>
    <n v="872"/>
    <d v="2023-04-17T00:00:00"/>
    <n v="1"/>
    <d v="2023-07-21T00:00:00"/>
    <n v="63"/>
    <n v="63"/>
    <n v="1"/>
    <d v="2023-07-21T00:00:00"/>
    <n v="2520"/>
    <m/>
    <m/>
    <x v="0"/>
    <x v="1"/>
    <x v="1"/>
    <s v="NO"/>
    <s v="NO"/>
    <s v="NO"/>
    <s v="NO"/>
    <m/>
    <n v="2520"/>
    <s v="ASD"/>
    <n v="1"/>
    <n v="1"/>
    <n v="2520"/>
    <n v="2520"/>
    <n v="2520"/>
    <n v="0"/>
    <n v="2520"/>
    <s v="not known"/>
    <m/>
    <e v="#N/A"/>
    <e v="#N/A"/>
    <e v="#N/A"/>
    <m/>
    <m/>
    <n v="0"/>
    <n v="2520"/>
    <s v=""/>
    <m/>
    <m/>
    <m/>
    <m/>
    <m/>
    <n v="2520"/>
    <n v="2520"/>
    <m/>
    <m/>
    <m/>
    <n v="1666.875"/>
    <n v="4186.875"/>
    <m/>
    <m/>
    <m/>
    <m/>
    <m/>
    <m/>
    <m/>
    <n v="4186.875"/>
    <m/>
    <n v="0"/>
    <n v="4186.875"/>
    <m/>
    <n v="4186.875"/>
    <n v="0"/>
    <m/>
  </r>
  <r>
    <x v="1"/>
    <n v="1"/>
    <n v="41202"/>
    <n v="41202"/>
    <n v="43012"/>
    <s v="No"/>
    <s v="Y"/>
    <m/>
    <x v="1"/>
    <s v="AD"/>
    <n v="373511"/>
    <x v="16"/>
    <s v="Tyler"/>
    <s v="Lamb"/>
    <x v="196"/>
    <d v="2007-09-16T00:00:00"/>
    <n v="15.93429158110883"/>
    <n v="10"/>
    <n v="872"/>
    <n v="872"/>
    <d v="2023-04-01T00:00:00"/>
    <n v="1"/>
    <d v="2023-05-31T00:00:00"/>
    <n v="28"/>
    <n v="28"/>
    <n v="1"/>
    <d v="2023-05-31T00:00:00"/>
    <n v="2520"/>
    <m/>
    <m/>
    <x v="0"/>
    <x v="1"/>
    <x v="1"/>
    <s v="NO"/>
    <s v="NO"/>
    <s v="NO"/>
    <s v="NO"/>
    <m/>
    <n v="2520"/>
    <s v="ASD"/>
    <n v="1"/>
    <n v="1"/>
    <n v="2520"/>
    <n v="2520"/>
    <n v="2520"/>
    <n v="0"/>
    <n v="2520"/>
    <m/>
    <m/>
    <e v="#N/A"/>
    <e v="#N/A"/>
    <e v="#N/A"/>
    <m/>
    <m/>
    <n v="0"/>
    <n v="2520"/>
    <s v=""/>
    <m/>
    <m/>
    <m/>
    <m/>
    <m/>
    <m/>
    <m/>
    <m/>
    <m/>
    <m/>
    <m/>
    <n v="2520"/>
    <m/>
    <m/>
    <m/>
    <m/>
    <m/>
    <m/>
    <m/>
    <n v="2520"/>
    <m/>
    <n v="0"/>
    <n v="2520"/>
    <m/>
    <n v="2520"/>
    <n v="0"/>
    <m/>
  </r>
  <r>
    <x v="0"/>
    <n v="1"/>
    <n v="2002"/>
    <n v="2002"/>
    <n v="43012"/>
    <s v="No"/>
    <s v="Y"/>
    <m/>
    <x v="0"/>
    <m/>
    <n v="422048"/>
    <x v="17"/>
    <s v="Benjamin"/>
    <s v="Sturdy"/>
    <x v="197"/>
    <d v="2015-06-27T00:00:00"/>
    <n v="8.1560574948665305"/>
    <n v="3"/>
    <n v="872"/>
    <n v="872"/>
    <d v="2023-04-01T00:00:00"/>
    <n v="1"/>
    <d v="2024-03-31T00:00:00"/>
    <n v="192"/>
    <n v="192"/>
    <n v="1"/>
    <s v="open"/>
    <n v="7606.58"/>
    <m/>
    <m/>
    <x v="0"/>
    <x v="1"/>
    <x v="1"/>
    <s v="NO"/>
    <s v="NO"/>
    <s v="NO"/>
    <s v="NO"/>
    <m/>
    <n v="7606.58"/>
    <s v="SLCD"/>
    <n v="1"/>
    <n v="1"/>
    <n v="7606.58"/>
    <n v="7606.58"/>
    <n v="7606.58"/>
    <n v="0"/>
    <n v="7606.58"/>
    <m/>
    <m/>
    <e v="#N/A"/>
    <e v="#N/A"/>
    <e v="#N/A"/>
    <m/>
    <m/>
    <n v="0"/>
    <n v="7606.58"/>
    <s v=""/>
    <m/>
    <m/>
    <m/>
    <m/>
    <m/>
    <m/>
    <m/>
    <m/>
    <m/>
    <m/>
    <m/>
    <n v="7606.58"/>
    <m/>
    <m/>
    <m/>
    <m/>
    <m/>
    <m/>
    <m/>
    <n v="7606.58"/>
    <m/>
    <n v="0"/>
    <n v="7606.58"/>
    <m/>
    <n v="7606.58"/>
    <n v="0"/>
    <m/>
  </r>
  <r>
    <x v="0"/>
    <n v="1"/>
    <n v="2002"/>
    <n v="2002"/>
    <n v="43012"/>
    <s v="No"/>
    <s v="Y"/>
    <m/>
    <x v="0"/>
    <m/>
    <n v="422423"/>
    <x v="17"/>
    <s v="Chinnapat"/>
    <s v="Ruengathitskun"/>
    <x v="198"/>
    <d v="2014-11-04T00:00:00"/>
    <n v="8.7994524298425727"/>
    <n v="3"/>
    <n v="872"/>
    <n v="872"/>
    <d v="2023-04-01T00:00:00"/>
    <n v="1"/>
    <d v="2024-03-31T00:00:00"/>
    <n v="192"/>
    <n v="192"/>
    <n v="1"/>
    <s v="open"/>
    <n v="27.5"/>
    <m/>
    <m/>
    <x v="0"/>
    <x v="0"/>
    <x v="0"/>
    <s v="NO"/>
    <s v="NO"/>
    <s v="NO"/>
    <s v="NO"/>
    <m/>
    <n v="7001.1749999999993"/>
    <s v="VI"/>
    <n v="1"/>
    <n v="1"/>
    <n v="7001.1749999999993"/>
    <n v="7001.1749999999993"/>
    <n v="7001.1749999999993"/>
    <n v="7001.1749999999993"/>
    <n v="7001.1749999999993"/>
    <m/>
    <m/>
    <e v="#N/A"/>
    <e v="#N/A"/>
    <e v="#N/A"/>
    <m/>
    <m/>
    <n v="0"/>
    <n v="7001.1749999999993"/>
    <s v=""/>
    <m/>
    <m/>
    <m/>
    <m/>
    <m/>
    <m/>
    <m/>
    <m/>
    <m/>
    <m/>
    <m/>
    <n v="7001.1749999999993"/>
    <m/>
    <m/>
    <m/>
    <m/>
    <m/>
    <m/>
    <m/>
    <n v="7001.1749999999993"/>
    <m/>
    <n v="0"/>
    <n v="0"/>
    <m/>
    <n v="7001.1749999999993"/>
    <n v="0"/>
    <m/>
  </r>
  <r>
    <x v="0"/>
    <n v="1"/>
    <n v="2002"/>
    <n v="2002"/>
    <n v="43012"/>
    <s v="No"/>
    <s v="Y"/>
    <m/>
    <x v="0"/>
    <m/>
    <n v="440650"/>
    <x v="17"/>
    <s v="Dylan"/>
    <s v="Yemm"/>
    <x v="199"/>
    <d v="2015-04-18T00:00:00"/>
    <n v="8.3477070499657771"/>
    <n v="2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PD"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1"/>
    <n v="1"/>
    <n v="2002"/>
    <n v="2002"/>
    <n v="43012"/>
    <s v="No"/>
    <s v="Y"/>
    <m/>
    <x v="0"/>
    <s v="AD"/>
    <n v="440650"/>
    <x v="17"/>
    <s v="Dylan"/>
    <s v="Yemm"/>
    <x v="199"/>
    <d v="2015-04-18T00:00:00"/>
    <n v="8.3477070499657771"/>
    <n v="2"/>
    <n v="872"/>
    <n v="872"/>
    <d v="2023-04-01T00:00:00"/>
    <n v="1"/>
    <d v="2024-03-31T00:00:00"/>
    <n v="192"/>
    <n v="192"/>
    <n v="1"/>
    <s v="open"/>
    <n v="2962.52"/>
    <m/>
    <m/>
    <x v="0"/>
    <x v="1"/>
    <x v="1"/>
    <s v="NO"/>
    <s v="NO"/>
    <s v="NO"/>
    <s v="NO"/>
    <m/>
    <n v="2962.52"/>
    <s v="PD"/>
    <n v="1"/>
    <n v="1"/>
    <n v="2962.52"/>
    <n v="2962.52"/>
    <n v="2962.52"/>
    <n v="2962.52"/>
    <n v="2962.52"/>
    <m/>
    <m/>
    <e v="#N/A"/>
    <e v="#N/A"/>
    <e v="#N/A"/>
    <m/>
    <m/>
    <n v="0"/>
    <n v="2962.52"/>
    <s v=""/>
    <m/>
    <m/>
    <m/>
    <m/>
    <m/>
    <m/>
    <m/>
    <m/>
    <m/>
    <m/>
    <m/>
    <n v="2962.52"/>
    <m/>
    <m/>
    <m/>
    <m/>
    <m/>
    <m/>
    <m/>
    <n v="2962.52"/>
    <m/>
    <n v="0"/>
    <n v="0"/>
    <m/>
    <n v="2962.52"/>
    <n v="0"/>
    <m/>
  </r>
  <r>
    <x v="0"/>
    <n v="1"/>
    <n v="2002"/>
    <n v="2002"/>
    <n v="43012"/>
    <s v="No"/>
    <s v="Y"/>
    <m/>
    <x v="0"/>
    <m/>
    <n v="424759"/>
    <x v="17"/>
    <s v="Edee"/>
    <s v="Barlow-White"/>
    <x v="200"/>
    <d v="2016-06-28T00:00:00"/>
    <n v="7.1512662559890483"/>
    <n v="1"/>
    <n v="872"/>
    <n v="872"/>
    <d v="2023-04-01T00:00:00"/>
    <n v="1"/>
    <d v="2024-03-31T00:00:00"/>
    <n v="192"/>
    <n v="192"/>
    <n v="1"/>
    <s v="open"/>
    <n v="32"/>
    <m/>
    <m/>
    <x v="0"/>
    <x v="1"/>
    <x v="1"/>
    <s v="NO"/>
    <s v="NO"/>
    <s v="NO"/>
    <s v="NO"/>
    <m/>
    <n v="9128.64"/>
    <s v="ASD"/>
    <n v="1"/>
    <n v="1"/>
    <n v="9128.64"/>
    <n v="9128.64"/>
    <n v="9128.64"/>
    <n v="9128.64"/>
    <n v="9128.64"/>
    <m/>
    <m/>
    <e v="#N/A"/>
    <e v="#N/A"/>
    <e v="#N/A"/>
    <m/>
    <m/>
    <n v="0"/>
    <n v="9128.64"/>
    <s v=""/>
    <m/>
    <m/>
    <m/>
    <m/>
    <m/>
    <m/>
    <m/>
    <m/>
    <m/>
    <m/>
    <m/>
    <n v="9128.64"/>
    <m/>
    <m/>
    <m/>
    <m/>
    <m/>
    <m/>
    <m/>
    <n v="9128.64"/>
    <m/>
    <n v="0"/>
    <n v="0"/>
    <m/>
    <n v="9128.64"/>
    <n v="0"/>
    <m/>
  </r>
  <r>
    <x v="1"/>
    <n v="1"/>
    <n v="2002"/>
    <n v="2002"/>
    <n v="43012"/>
    <s v="No"/>
    <s v="Y"/>
    <m/>
    <x v="0"/>
    <s v="AD"/>
    <n v="424759"/>
    <x v="17"/>
    <s v="Edee"/>
    <s v="Barlow-White"/>
    <x v="200"/>
    <d v="2016-06-28T00:00:00"/>
    <n v="7.1512662559890483"/>
    <n v="1"/>
    <n v="872"/>
    <n v="872"/>
    <d v="2023-04-01T00:00:00"/>
    <n v="1"/>
    <d v="2023-07-21T00:00:00"/>
    <n v="63"/>
    <n v="63"/>
    <n v="0.328125"/>
    <d v="2023-07-21T00:00:00"/>
    <n v="22643"/>
    <m/>
    <m/>
    <x v="0"/>
    <x v="1"/>
    <x v="1"/>
    <s v="NO"/>
    <s v="NO"/>
    <s v="NO"/>
    <s v="NO"/>
    <m/>
    <n v="22643"/>
    <s v="ASD"/>
    <n v="1"/>
    <n v="0.328125"/>
    <n v="7429.734375"/>
    <n v="12540.738461538465"/>
    <n v="7429.734375"/>
    <n v="7429.734375"/>
    <n v="7429.734375"/>
    <m/>
    <m/>
    <e v="#N/A"/>
    <e v="#N/A"/>
    <e v="#N/A"/>
    <m/>
    <m/>
    <n v="0"/>
    <n v="7429.734375"/>
    <s v=""/>
    <m/>
    <m/>
    <m/>
    <m/>
    <m/>
    <n v="22643"/>
    <n v="22643"/>
    <m/>
    <m/>
    <m/>
    <n v="14977.401041666668"/>
    <n v="22407.135416666668"/>
    <m/>
    <m/>
    <m/>
    <m/>
    <m/>
    <m/>
    <m/>
    <n v="27518.139503205133"/>
    <m/>
    <n v="5111.0040865384653"/>
    <n v="20088.405128205133"/>
    <m/>
    <n v="27518.139503205133"/>
    <n v="0"/>
    <m/>
  </r>
  <r>
    <x v="0"/>
    <n v="1"/>
    <n v="2002"/>
    <n v="2002"/>
    <n v="43012"/>
    <s v="No"/>
    <s v="Y"/>
    <m/>
    <x v="0"/>
    <m/>
    <n v="415627"/>
    <x v="17"/>
    <s v="Emma "/>
    <s v="Granovsky"/>
    <x v="201"/>
    <d v="2013-06-25T00:00:00"/>
    <n v="10.160164271047227"/>
    <n v="5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m/>
    <n v="1"/>
    <n v="1"/>
    <n v="8183.0999999999985"/>
    <n v="8183.0999999999985"/>
    <n v="8183.0999999999985"/>
    <n v="0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8183.0999999999985"/>
    <m/>
    <n v="8183.0999999999985"/>
    <n v="0"/>
    <m/>
  </r>
  <r>
    <x v="0"/>
    <n v="1"/>
    <n v="2002"/>
    <n v="2002"/>
    <n v="43012"/>
    <s v="No"/>
    <s v="Y"/>
    <m/>
    <x v="0"/>
    <m/>
    <n v="437343"/>
    <x v="17"/>
    <s v="Emmeline"/>
    <s v="Kell"/>
    <x v="202"/>
    <d v="2018-07-11T00:00:00"/>
    <n v="5.117043121149897"/>
    <n v="0"/>
    <n v="872"/>
    <n v="872"/>
    <d v="2023-04-01T00:00:00"/>
    <n v="1"/>
    <d v="2024-03-31T00:00:00"/>
    <n v="192"/>
    <n v="192"/>
    <n v="1"/>
    <s v="open"/>
    <n v="37"/>
    <m/>
    <m/>
    <x v="0"/>
    <x v="1"/>
    <x v="1"/>
    <s v="NO"/>
    <s v="NO"/>
    <s v="NO"/>
    <s v="NO"/>
    <m/>
    <n v="11492.489999999998"/>
    <s v="SLD"/>
    <n v="1"/>
    <n v="1"/>
    <n v="11492.489999999998"/>
    <n v="11492.489999999998"/>
    <n v="11492.489999999998"/>
    <n v="11492.489999999998"/>
    <n v="11492.489999999998"/>
    <m/>
    <m/>
    <e v="#N/A"/>
    <e v="#N/A"/>
    <e v="#N/A"/>
    <m/>
    <m/>
    <n v="0"/>
    <n v="11492.489999999998"/>
    <s v=""/>
    <m/>
    <m/>
    <m/>
    <m/>
    <m/>
    <m/>
    <m/>
    <m/>
    <m/>
    <m/>
    <m/>
    <n v="11492.489999999998"/>
    <m/>
    <m/>
    <m/>
    <m/>
    <m/>
    <m/>
    <m/>
    <n v="11492.489999999998"/>
    <m/>
    <n v="0"/>
    <n v="0"/>
    <m/>
    <n v="11492.489999999998"/>
    <n v="0"/>
    <m/>
  </r>
  <r>
    <x v="0"/>
    <n v="1"/>
    <n v="2002"/>
    <n v="2002"/>
    <n v="43012"/>
    <s v="No"/>
    <s v="Y"/>
    <m/>
    <x v="0"/>
    <m/>
    <n v="401992"/>
    <x v="17"/>
    <s v="Ethan"/>
    <s v="Belas"/>
    <x v="203"/>
    <d v="2013-01-29T00:00:00"/>
    <n v="10.562628336755647"/>
    <n v="5"/>
    <n v="872"/>
    <n v="872"/>
    <d v="2023-04-01T00:00:00"/>
    <n v="1"/>
    <d v="2024-03-31T00:00:00"/>
    <n v="192"/>
    <n v="192"/>
    <n v="1"/>
    <s v="open"/>
    <n v="28"/>
    <m/>
    <m/>
    <x v="0"/>
    <x v="0"/>
    <x v="0"/>
    <s v="NO"/>
    <s v="NO"/>
    <s v="NO"/>
    <s v="NO"/>
    <m/>
    <n v="7237.5599999999995"/>
    <s v="SEMH"/>
    <n v="1"/>
    <n v="1"/>
    <n v="7237.5599999999995"/>
    <n v="7237.5599999999995"/>
    <n v="7237.5599999999995"/>
    <n v="7237.5599999999995"/>
    <n v="7237.5599999999995"/>
    <m/>
    <m/>
    <e v="#N/A"/>
    <e v="#N/A"/>
    <e v="#N/A"/>
    <m/>
    <m/>
    <n v="0"/>
    <n v="7237.5599999999995"/>
    <s v=""/>
    <m/>
    <m/>
    <m/>
    <m/>
    <m/>
    <m/>
    <m/>
    <m/>
    <m/>
    <m/>
    <m/>
    <n v="7237.5599999999995"/>
    <m/>
    <m/>
    <m/>
    <m/>
    <m/>
    <m/>
    <m/>
    <n v="7237.5599999999995"/>
    <m/>
    <n v="0"/>
    <n v="0"/>
    <m/>
    <n v="7237.5599999999995"/>
    <n v="0"/>
    <m/>
  </r>
  <r>
    <x v="0"/>
    <n v="1"/>
    <n v="2002"/>
    <n v="2002"/>
    <n v="43012"/>
    <s v="No"/>
    <s v="Y"/>
    <m/>
    <x v="0"/>
    <m/>
    <n v="407845"/>
    <x v="17"/>
    <s v="Ethan"/>
    <s v="Waite"/>
    <x v="204"/>
    <d v="2013-12-09T00:00:00"/>
    <n v="9.7029431895961675"/>
    <n v="4"/>
    <n v="872"/>
    <n v="872"/>
    <d v="2023-04-01T00:00:00"/>
    <n v="1"/>
    <d v="2024-03-31T00:00:00"/>
    <n v="192"/>
    <n v="192"/>
    <n v="1"/>
    <s v="open"/>
    <n v="9389.25"/>
    <m/>
    <m/>
    <x v="0"/>
    <x v="1"/>
    <x v="1"/>
    <s v="NO"/>
    <s v="NO"/>
    <s v="NO"/>
    <s v="NO"/>
    <m/>
    <n v="9389.25"/>
    <s v="SLCD"/>
    <n v="1"/>
    <n v="1"/>
    <n v="9389.25"/>
    <n v="9389.25"/>
    <n v="9389.25"/>
    <n v="9389.25"/>
    <n v="9389.25"/>
    <m/>
    <m/>
    <e v="#N/A"/>
    <e v="#N/A"/>
    <e v="#N/A"/>
    <m/>
    <m/>
    <n v="0"/>
    <n v="9389.25"/>
    <s v=""/>
    <m/>
    <m/>
    <m/>
    <m/>
    <m/>
    <m/>
    <m/>
    <m/>
    <m/>
    <m/>
    <m/>
    <n v="9389.25"/>
    <m/>
    <m/>
    <m/>
    <m/>
    <m/>
    <m/>
    <m/>
    <n v="9389.25"/>
    <m/>
    <n v="0"/>
    <n v="0"/>
    <m/>
    <n v="9389.25"/>
    <n v="0"/>
    <m/>
  </r>
  <r>
    <x v="0"/>
    <n v="1"/>
    <n v="2002"/>
    <n v="2002"/>
    <n v="43012"/>
    <s v="No"/>
    <s v="Y"/>
    <m/>
    <x v="0"/>
    <m/>
    <n v="416343"/>
    <x v="17"/>
    <s v="Harry"/>
    <s v="Gallina"/>
    <x v="205"/>
    <d v="2014-07-17T00:00:00"/>
    <n v="9.1006160164271055"/>
    <n v="4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SEN support"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0"/>
    <n v="1"/>
    <n v="2002"/>
    <n v="2002"/>
    <n v="43012"/>
    <s v="No"/>
    <s v="Y"/>
    <m/>
    <x v="0"/>
    <m/>
    <n v="418445"/>
    <x v="17"/>
    <s v="Isla"/>
    <s v="Dornan"/>
    <x v="206"/>
    <d v="2014-11-11T00:00:00"/>
    <n v="8.7802874743326491"/>
    <n v="3"/>
    <n v="872"/>
    <n v="872"/>
    <d v="2023-04-01T00:00:00"/>
    <n v="1"/>
    <d v="2024-03-31T00:00:00"/>
    <n v="192"/>
    <n v="192"/>
    <n v="1"/>
    <s v="open"/>
    <n v="8696.8799999999992"/>
    <m/>
    <m/>
    <x v="0"/>
    <x v="1"/>
    <x v="1"/>
    <s v="NO"/>
    <s v="NO"/>
    <s v="NO"/>
    <s v="NO"/>
    <m/>
    <n v="8696.8799999999992"/>
    <s v="ASD"/>
    <n v="1"/>
    <n v="1"/>
    <n v="8696.8799999999992"/>
    <n v="8696.8799999999992"/>
    <n v="8696.8799999999992"/>
    <n v="0"/>
    <n v="8696.8799999999992"/>
    <m/>
    <m/>
    <e v="#N/A"/>
    <e v="#N/A"/>
    <e v="#N/A"/>
    <m/>
    <m/>
    <n v="0"/>
    <n v="8696.8799999999992"/>
    <s v=""/>
    <m/>
    <m/>
    <m/>
    <m/>
    <m/>
    <m/>
    <m/>
    <m/>
    <m/>
    <m/>
    <m/>
    <n v="8696.8799999999992"/>
    <m/>
    <m/>
    <m/>
    <m/>
    <m/>
    <m/>
    <m/>
    <n v="8696.8799999999992"/>
    <m/>
    <n v="0"/>
    <n v="8696.8799999999992"/>
    <m/>
    <n v="8696.8799999999992"/>
    <n v="0"/>
    <m/>
  </r>
  <r>
    <x v="0"/>
    <n v="1"/>
    <n v="2002"/>
    <n v="2002"/>
    <n v="43012"/>
    <s v="No"/>
    <s v="Y"/>
    <m/>
    <x v="0"/>
    <m/>
    <n v="409995"/>
    <x v="17"/>
    <s v="Jack"/>
    <s v="Armitage"/>
    <x v="207"/>
    <d v="2013-07-15T00:00:00"/>
    <n v="10.105407255304586"/>
    <n v="5"/>
    <n v="872"/>
    <n v="872"/>
    <d v="2023-04-01T00:00:00"/>
    <n v="1"/>
    <d v="2024-03-31T00:00:00"/>
    <n v="192"/>
    <n v="192"/>
    <n v="1"/>
    <s v="open"/>
    <n v="31.5"/>
    <m/>
    <m/>
    <x v="0"/>
    <x v="1"/>
    <x v="1"/>
    <s v="NO"/>
    <s v="NO"/>
    <s v="NO"/>
    <s v="NO"/>
    <m/>
    <n v="8892.2549999999992"/>
    <s v="ASD"/>
    <n v="1"/>
    <n v="1"/>
    <n v="8892.2549999999992"/>
    <n v="8892.2549999999992"/>
    <n v="8892.2549999999992"/>
    <n v="8892.2549999999992"/>
    <n v="8892.2549999999992"/>
    <m/>
    <m/>
    <e v="#N/A"/>
    <e v="#N/A"/>
    <e v="#N/A"/>
    <m/>
    <m/>
    <n v="0"/>
    <n v="8892.2549999999992"/>
    <s v=""/>
    <m/>
    <m/>
    <m/>
    <m/>
    <m/>
    <m/>
    <m/>
    <m/>
    <m/>
    <m/>
    <m/>
    <n v="8892.2549999999992"/>
    <m/>
    <m/>
    <m/>
    <m/>
    <m/>
    <m/>
    <m/>
    <n v="8892.2549999999992"/>
    <m/>
    <n v="0"/>
    <n v="0"/>
    <m/>
    <n v="8892.2549999999992"/>
    <n v="0"/>
    <m/>
  </r>
  <r>
    <x v="0"/>
    <n v="1"/>
    <n v="2002"/>
    <n v="2002"/>
    <n v="43012"/>
    <s v="No"/>
    <s v="Y"/>
    <m/>
    <x v="0"/>
    <m/>
    <n v="411810"/>
    <x v="17"/>
    <s v="Jack"/>
    <s v="Newton"/>
    <x v="208"/>
    <d v="2011-11-03T00:00:00"/>
    <n v="11.802874743326489"/>
    <n v="6"/>
    <n v="872"/>
    <n v="872"/>
    <d v="2023-04-01T00:00:00"/>
    <n v="1"/>
    <d v="2023-07-21T00:00:00"/>
    <n v="63"/>
    <n v="63"/>
    <n v="0.328125"/>
    <s v="Yr 6"/>
    <n v="25"/>
    <m/>
    <m/>
    <x v="1"/>
    <x v="1"/>
    <x v="0"/>
    <s v="NO"/>
    <s v="NO"/>
    <s v="NO"/>
    <s v="NO"/>
    <m/>
    <n v="5819.25"/>
    <s v="SEN"/>
    <n v="1"/>
    <n v="0.328125"/>
    <n v="1909.44140625"/>
    <n v="1909.44140625"/>
    <n v="1909.44140625"/>
    <n v="1909.44140625"/>
    <n v="1909.44140625"/>
    <m/>
    <m/>
    <e v="#N/A"/>
    <s v="Beech Lodge"/>
    <e v="#N/A"/>
    <s v="Y"/>
    <n v="3879.5"/>
    <n v="0"/>
    <n v="1909.44140625"/>
    <s v="Beech Lodge"/>
    <s v="INMSS"/>
    <m/>
    <m/>
    <s v="Beech Lodge"/>
    <m/>
    <n v="25"/>
    <n v="5819.25"/>
    <m/>
    <s v="Y"/>
    <m/>
    <n v="3849.19140625"/>
    <n v="5758.6328125"/>
    <n v="3849.19140625"/>
    <s v="remove"/>
    <m/>
    <m/>
    <m/>
    <m/>
    <m/>
    <n v="5758.6328125"/>
    <m/>
    <n v="0"/>
    <n v="3849.19140625"/>
    <m/>
    <n v="5758.6328125"/>
    <n v="0"/>
    <m/>
  </r>
  <r>
    <x v="0"/>
    <n v="1"/>
    <n v="2002"/>
    <n v="2002"/>
    <n v="43012"/>
    <s v="No"/>
    <s v="Y"/>
    <m/>
    <x v="0"/>
    <m/>
    <n v="437297"/>
    <x v="17"/>
    <s v="Jamie"/>
    <s v="Page"/>
    <x v="209"/>
    <d v="2017-12-22T00:00:00"/>
    <n v="5.6673511293634498"/>
    <n v="1"/>
    <n v="872"/>
    <n v="872"/>
    <d v="2023-04-01T00:00:00"/>
    <n v="1"/>
    <d v="2024-03-31T00:00:00"/>
    <n v="192"/>
    <n v="192"/>
    <n v="1"/>
    <s v="open"/>
    <n v="15136.2"/>
    <m/>
    <m/>
    <x v="0"/>
    <x v="1"/>
    <x v="1"/>
    <s v="NO"/>
    <s v="NO"/>
    <s v="NO"/>
    <s v="NO"/>
    <m/>
    <n v="15136.2"/>
    <m/>
    <n v="1"/>
    <n v="1"/>
    <n v="15136.2"/>
    <n v="15136.2"/>
    <n v="15136.2"/>
    <n v="15136.2"/>
    <n v="15136.2"/>
    <m/>
    <m/>
    <e v="#N/A"/>
    <e v="#N/A"/>
    <e v="#N/A"/>
    <m/>
    <m/>
    <n v="0"/>
    <n v="15136.2"/>
    <s v=""/>
    <m/>
    <m/>
    <m/>
    <m/>
    <m/>
    <m/>
    <m/>
    <m/>
    <m/>
    <m/>
    <m/>
    <n v="15136.2"/>
    <m/>
    <m/>
    <m/>
    <m/>
    <m/>
    <m/>
    <m/>
    <n v="15136.2"/>
    <m/>
    <n v="0"/>
    <n v="0"/>
    <m/>
    <n v="15136.2"/>
    <n v="0"/>
    <m/>
  </r>
  <r>
    <x v="0"/>
    <n v="1"/>
    <n v="2002"/>
    <n v="2002"/>
    <n v="43012"/>
    <s v="No"/>
    <s v="Y"/>
    <m/>
    <x v="0"/>
    <m/>
    <n v="409688"/>
    <x v="17"/>
    <s v="Jacob"/>
    <s v="Dougall"/>
    <x v="210"/>
    <d v="2014-05-28T00:00:00"/>
    <n v="9.2375085557837107"/>
    <n v="4"/>
    <n v="872"/>
    <n v="872"/>
    <d v="2023-04-01T00:00:00"/>
    <n v="1"/>
    <d v="2024-03-31T00:00:00"/>
    <n v="192"/>
    <n v="192"/>
    <n v="1"/>
    <s v="open"/>
    <n v="22"/>
    <m/>
    <m/>
    <x v="1"/>
    <x v="1"/>
    <x v="0"/>
    <s v="NO"/>
    <s v="NO"/>
    <s v="NO"/>
    <s v="NO"/>
    <m/>
    <n v="4400.9399999999987"/>
    <s v="SEMH"/>
    <n v="1"/>
    <n v="1"/>
    <n v="4400.9399999999987"/>
    <n v="4400.9399999999987"/>
    <n v="4400.9399999999987"/>
    <n v="4400.9399999999987"/>
    <n v="4400.9399999999987"/>
    <m/>
    <m/>
    <e v="#N/A"/>
    <e v="#N/A"/>
    <e v="#N/A"/>
    <m/>
    <m/>
    <n v="0"/>
    <n v="4400.9399999999987"/>
    <s v=""/>
    <m/>
    <m/>
    <m/>
    <m/>
    <m/>
    <m/>
    <m/>
    <m/>
    <m/>
    <m/>
    <m/>
    <n v="4400.9399999999987"/>
    <m/>
    <m/>
    <m/>
    <m/>
    <m/>
    <m/>
    <m/>
    <n v="4400.9399999999987"/>
    <m/>
    <n v="0"/>
    <n v="0"/>
    <m/>
    <n v="4400.9399999999987"/>
    <n v="0"/>
    <m/>
  </r>
  <r>
    <x v="0"/>
    <n v="1"/>
    <n v="2002"/>
    <n v="2002"/>
    <n v="43012"/>
    <s v="No"/>
    <s v="Y"/>
    <m/>
    <x v="0"/>
    <m/>
    <n v="406258"/>
    <x v="17"/>
    <s v="Jasmine"/>
    <s v="Turner"/>
    <x v="211"/>
    <d v="2012-11-15T00:00:00"/>
    <n v="10.767967145790555"/>
    <n v="6"/>
    <n v="872"/>
    <n v="872"/>
    <d v="2023-04-01T00:00:00"/>
    <n v="1"/>
    <d v="2023-07-31T00:00:00"/>
    <n v="63"/>
    <n v="63"/>
    <n v="0.328125"/>
    <d v="2023-07-31T00:00:00"/>
    <n v="27"/>
    <m/>
    <m/>
    <x v="0"/>
    <x v="0"/>
    <x v="0"/>
    <s v="NO"/>
    <s v="NO"/>
    <s v="NO"/>
    <s v="NO"/>
    <m/>
    <n v="6764.7899999999991"/>
    <s v="SEN support"/>
    <n v="1"/>
    <n v="0.328125"/>
    <n v="2219.6967187499995"/>
    <n v="2219.6967187499995"/>
    <n v="2219.6967187499995"/>
    <n v="2219.6967187499995"/>
    <n v="2219.6967187499995"/>
    <m/>
    <m/>
    <e v="#N/A"/>
    <e v="#N/A"/>
    <e v="#N/A"/>
    <m/>
    <m/>
    <n v="0"/>
    <n v="2219.6967187499995"/>
    <s v="???"/>
    <m/>
    <m/>
    <m/>
    <m/>
    <m/>
    <n v="27"/>
    <n v="6764.7899999999991"/>
    <m/>
    <m/>
    <m/>
    <n v="4474.6267187499998"/>
    <n v="6694.3234374999993"/>
    <m/>
    <m/>
    <s v="?"/>
    <s v="?"/>
    <m/>
    <m/>
    <m/>
    <n v="6694.3234374999993"/>
    <m/>
    <n v="0"/>
    <n v="4474.6267187499998"/>
    <m/>
    <n v="6694.3234374999993"/>
    <n v="0"/>
    <m/>
  </r>
  <r>
    <x v="0"/>
    <n v="1"/>
    <n v="2002"/>
    <n v="2002"/>
    <n v="43012"/>
    <s v="No"/>
    <s v="Y"/>
    <m/>
    <x v="0"/>
    <m/>
    <n v="426835"/>
    <x v="17"/>
    <s v="Joshua"/>
    <s v="Rogers"/>
    <x v="212"/>
    <d v="2016-01-07T00:00:00"/>
    <n v="7.6249144421629023"/>
    <n v="2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SLCD"/>
    <n v="1"/>
    <n v="1"/>
    <n v="8183.0999999999985"/>
    <n v="8183.0999999999985"/>
    <n v="8183.0999999999985"/>
    <n v="0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8183.0999999999985"/>
    <m/>
    <n v="8183.0999999999985"/>
    <n v="0"/>
    <m/>
  </r>
  <r>
    <x v="0"/>
    <n v="1"/>
    <n v="2002"/>
    <n v="2002"/>
    <n v="43012"/>
    <s v="No"/>
    <s v="Y"/>
    <m/>
    <x v="0"/>
    <m/>
    <n v="409993"/>
    <x v="17"/>
    <s v="Louis"/>
    <s v="Burke"/>
    <x v="213"/>
    <d v="2014-07-10T00:00:00"/>
    <n v="9.1197809719370291"/>
    <n v="4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ASD"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0"/>
    <n v="1"/>
    <n v="2002"/>
    <n v="2002"/>
    <n v="43012"/>
    <s v="No"/>
    <s v="Y"/>
    <m/>
    <x v="0"/>
    <m/>
    <n v="418234"/>
    <x v="17"/>
    <s v="Lyall"/>
    <s v="Haywood"/>
    <x v="214"/>
    <d v="2014-09-08T00:00:00"/>
    <n v="8.9555099247091032"/>
    <n v="4"/>
    <n v="872"/>
    <n v="872"/>
    <d v="2023-07-11T00:00:00"/>
    <n v="55"/>
    <d v="2024-03-31T00:00:00"/>
    <n v="192"/>
    <n v="138"/>
    <n v="0.71875"/>
    <s v="open"/>
    <n v="25"/>
    <m/>
    <m/>
    <x v="1"/>
    <x v="1"/>
    <x v="0"/>
    <s v="NO"/>
    <s v="NO"/>
    <s v="NO"/>
    <s v="NO"/>
    <m/>
    <n v="5819.25"/>
    <s v="ASD"/>
    <n v="1"/>
    <n v="0.71875"/>
    <n v="4182.5859375"/>
    <n v="4182.5859375"/>
    <n v="0"/>
    <n v="0"/>
    <n v="0"/>
    <m/>
    <m/>
    <e v="#N/A"/>
    <e v="#N/A"/>
    <e v="#N/A"/>
    <m/>
    <m/>
    <n v="0"/>
    <n v="0"/>
    <m/>
    <m/>
    <m/>
    <m/>
    <m/>
    <m/>
    <m/>
    <m/>
    <m/>
    <m/>
    <m/>
    <n v="0"/>
    <n v="0"/>
    <m/>
    <m/>
    <m/>
    <m/>
    <m/>
    <m/>
    <m/>
    <n v="4182.5859375"/>
    <m/>
    <n v="4182.5859375"/>
    <n v="4182.5859375"/>
    <m/>
    <n v="4182.5859375"/>
    <n v="0"/>
    <m/>
  </r>
  <r>
    <x v="0"/>
    <n v="1"/>
    <n v="2002"/>
    <n v="2002"/>
    <n v="43012"/>
    <s v="No"/>
    <s v="Y"/>
    <m/>
    <x v="0"/>
    <m/>
    <n v="402670"/>
    <x v="17"/>
    <s v="Samuel"/>
    <s v="Myatt"/>
    <x v="215"/>
    <d v="2012-05-29T00:00:00"/>
    <n v="11.233401779603012"/>
    <n v="6"/>
    <n v="872"/>
    <n v="872"/>
    <d v="2023-04-01T00:00:00"/>
    <n v="1"/>
    <d v="2023-07-21T00:00:00"/>
    <n v="63"/>
    <n v="63"/>
    <n v="0.328125"/>
    <s v="Yr 6"/>
    <n v="24"/>
    <m/>
    <m/>
    <x v="1"/>
    <x v="1"/>
    <x v="0"/>
    <s v="NO"/>
    <s v="NO"/>
    <s v="NO"/>
    <s v="NO"/>
    <m/>
    <n v="5346.48"/>
    <s v="MLD"/>
    <n v="1"/>
    <n v="0.328125"/>
    <n v="1754.3137499999998"/>
    <n v="1754.3137499999998"/>
    <n v="1754.3137499999998"/>
    <n v="1754.3137499999998"/>
    <n v="1754.3137499999998"/>
    <m/>
    <m/>
    <e v="#N/A"/>
    <s v="ME MAT"/>
    <e v="#N/A"/>
    <m/>
    <m/>
    <n v="0"/>
    <n v="1754.3137499999998"/>
    <s v="Maiden Erlegh"/>
    <s v="WBC Academy"/>
    <n v="43012"/>
    <m/>
    <s v="Maiden Erlegh"/>
    <m/>
    <n v="24"/>
    <n v="5346.48"/>
    <m/>
    <s v="Y"/>
    <m/>
    <n v="3536.4737499999997"/>
    <n v="5290.7874999999995"/>
    <m/>
    <m/>
    <m/>
    <m/>
    <m/>
    <m/>
    <m/>
    <n v="5290.7874999999995"/>
    <m/>
    <n v="0"/>
    <n v="3536.4737499999997"/>
    <m/>
    <n v="5290.7874999999995"/>
    <n v="0"/>
    <m/>
  </r>
  <r>
    <x v="0"/>
    <n v="1"/>
    <n v="2002"/>
    <n v="2002"/>
    <n v="43012"/>
    <s v="No"/>
    <s v="Y"/>
    <m/>
    <x v="0"/>
    <m/>
    <n v="410417"/>
    <x v="17"/>
    <s v="Sebastian"/>
    <s v="Haycock"/>
    <x v="216"/>
    <d v="2013-05-18T00:00:00"/>
    <n v="10.264202600958248"/>
    <n v="5"/>
    <n v="872"/>
    <n v="872"/>
    <d v="2023-04-01T00:00:00"/>
    <n v="1"/>
    <d v="2024-03-31T00:00:00"/>
    <n v="192"/>
    <n v="192"/>
    <n v="1"/>
    <s v="open"/>
    <n v="22"/>
    <m/>
    <m/>
    <x v="1"/>
    <x v="1"/>
    <x v="0"/>
    <s v="NO"/>
    <s v="NO"/>
    <s v="NO"/>
    <s v="NO"/>
    <m/>
    <n v="4400.9399999999987"/>
    <s v="ASD"/>
    <n v="1"/>
    <n v="1"/>
    <n v="4400.9399999999987"/>
    <n v="4400.9399999999987"/>
    <n v="4400.9399999999987"/>
    <n v="4400.9399999999987"/>
    <n v="4400.9399999999987"/>
    <m/>
    <m/>
    <e v="#N/A"/>
    <e v="#N/A"/>
    <e v="#N/A"/>
    <m/>
    <m/>
    <n v="0"/>
    <n v="4400.9399999999987"/>
    <s v=""/>
    <m/>
    <m/>
    <m/>
    <m/>
    <m/>
    <m/>
    <m/>
    <m/>
    <m/>
    <m/>
    <m/>
    <n v="4400.9399999999987"/>
    <m/>
    <m/>
    <m/>
    <m/>
    <m/>
    <m/>
    <m/>
    <n v="4400.9399999999987"/>
    <m/>
    <n v="0"/>
    <n v="0"/>
    <m/>
    <n v="4400.9399999999987"/>
    <n v="0"/>
    <m/>
  </r>
  <r>
    <x v="0"/>
    <n v="1"/>
    <n v="2002"/>
    <n v="2002"/>
    <n v="43012"/>
    <s v="No"/>
    <s v="Y"/>
    <m/>
    <x v="0"/>
    <m/>
    <n v="436869"/>
    <x v="17"/>
    <s v="Vincent"/>
    <s v="Severo de Almeida"/>
    <x v="217"/>
    <d v="2017-05-20T00:00:00"/>
    <n v="6.2587268993839835"/>
    <n v="1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SLCD"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0"/>
    <n v="1"/>
    <n v="2002"/>
    <n v="2002"/>
    <n v="43012"/>
    <s v="No"/>
    <s v="Y"/>
    <m/>
    <x v="0"/>
    <m/>
    <n v="399468"/>
    <x v="17"/>
    <s v="William"/>
    <s v="Cummings"/>
    <x v="218"/>
    <d v="2011-10-29T00:00:00"/>
    <n v="11.816563997262149"/>
    <n v="6"/>
    <n v="872"/>
    <n v="872"/>
    <d v="2023-04-01T00:00:00"/>
    <n v="1"/>
    <d v="2023-07-21T00:00:00"/>
    <n v="63"/>
    <n v="63"/>
    <n v="0.328125"/>
    <s v="Yr 6"/>
    <n v="24"/>
    <m/>
    <m/>
    <x v="1"/>
    <x v="1"/>
    <x v="0"/>
    <s v="NO"/>
    <s v="NO"/>
    <s v="NO"/>
    <s v="NO"/>
    <m/>
    <n v="5346.48"/>
    <m/>
    <n v="1"/>
    <n v="0.328125"/>
    <n v="1754.3137499999998"/>
    <n v="1754.3137499999998"/>
    <n v="1754.3137499999998"/>
    <n v="1754.3137499999998"/>
    <n v="1754.3137499999998"/>
    <m/>
    <m/>
    <e v="#N/A"/>
    <s v="ME MAT"/>
    <e v="#N/A"/>
    <m/>
    <m/>
    <n v="0"/>
    <n v="1754.3137499999998"/>
    <s v="Maiden Erlegh"/>
    <s v="WBC Academy"/>
    <n v="43012"/>
    <m/>
    <s v="Maiden Erlegh"/>
    <m/>
    <n v="24"/>
    <n v="5346.48"/>
    <m/>
    <s v="Y"/>
    <m/>
    <n v="3536.4737499999997"/>
    <n v="5290.7874999999995"/>
    <m/>
    <m/>
    <m/>
    <m/>
    <m/>
    <m/>
    <m/>
    <n v="5290.7874999999995"/>
    <m/>
    <n v="0"/>
    <n v="3536.4737499999997"/>
    <m/>
    <n v="5290.7874999999995"/>
    <n v="0"/>
    <m/>
  </r>
  <r>
    <x v="0"/>
    <n v="1"/>
    <n v="41111"/>
    <n v="41111"/>
    <n v="43011"/>
    <s v="No"/>
    <m/>
    <m/>
    <x v="0"/>
    <m/>
    <n v="429908"/>
    <x v="18"/>
    <s v="Callum"/>
    <s v="Hutchings"/>
    <x v="219"/>
    <d v="2016-08-11T00:00:00"/>
    <n v="7.0308008213552364"/>
    <n v="1"/>
    <n v="872"/>
    <n v="872"/>
    <d v="2023-04-01T00:00:00"/>
    <n v="1"/>
    <d v="2024-03-31T00:00:00"/>
    <n v="192"/>
    <n v="192"/>
    <n v="1"/>
    <s v="open"/>
    <n v="33"/>
    <m/>
    <m/>
    <x v="0"/>
    <x v="1"/>
    <x v="1"/>
    <s v="NO"/>
    <s v="NO"/>
    <s v="NO"/>
    <s v="NO"/>
    <m/>
    <n v="9601.41"/>
    <s v="ASD"/>
    <n v="1"/>
    <n v="1"/>
    <n v="9601.41"/>
    <n v="9601.41"/>
    <n v="9601.41"/>
    <n v="9601.41"/>
    <n v="9601.41"/>
    <m/>
    <m/>
    <e v="#N/A"/>
    <e v="#N/A"/>
    <e v="#N/A"/>
    <m/>
    <m/>
    <n v="0"/>
    <n v="9601.41"/>
    <s v=""/>
    <m/>
    <m/>
    <m/>
    <m/>
    <m/>
    <m/>
    <m/>
    <m/>
    <m/>
    <m/>
    <m/>
    <n v="9601.41"/>
    <m/>
    <m/>
    <m/>
    <m/>
    <m/>
    <m/>
    <m/>
    <n v="9601.41"/>
    <m/>
    <n v="0"/>
    <n v="0"/>
    <m/>
    <n v="9601.41"/>
    <n v="0"/>
    <m/>
  </r>
  <r>
    <x v="0"/>
    <n v="1"/>
    <n v="41111"/>
    <n v="41111"/>
    <n v="43011"/>
    <s v="No"/>
    <m/>
    <m/>
    <x v="0"/>
    <m/>
    <n v="426767"/>
    <x v="18"/>
    <s v="Casian"/>
    <s v="Vieru"/>
    <x v="220"/>
    <d v="2016-02-29T00:00:00"/>
    <n v="7.4798083504449009"/>
    <n v="2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SLCD"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0"/>
    <n v="1"/>
    <n v="41111"/>
    <n v="41111"/>
    <n v="43011"/>
    <s v="No"/>
    <m/>
    <m/>
    <x v="0"/>
    <m/>
    <n v="439494"/>
    <x v="18"/>
    <s v="Jack"/>
    <s v="Butler"/>
    <x v="221"/>
    <d v="2018-02-15T00:00:00"/>
    <n v="5.5167693360711842"/>
    <n v="0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m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1"/>
    <n v="1"/>
    <n v="41111"/>
    <n v="41111"/>
    <n v="43011"/>
    <s v="No"/>
    <m/>
    <m/>
    <x v="0"/>
    <m/>
    <n v="397422"/>
    <x v="18"/>
    <s v="Joseph"/>
    <s v="Manning"/>
    <x v="222"/>
    <d v="2012-07-19T00:00:00"/>
    <n v="11.093771389459274"/>
    <n v="6"/>
    <n v="872"/>
    <n v="872"/>
    <d v="2023-04-01T00:00:00"/>
    <n v="1"/>
    <d v="2023-04-01T00:00:00"/>
    <n v="0"/>
    <n v="0"/>
    <n v="0"/>
    <s v="Yr 6"/>
    <n v="30"/>
    <m/>
    <m/>
    <x v="0"/>
    <x v="0"/>
    <x v="0"/>
    <s v="NO"/>
    <s v="NO"/>
    <s v="NO"/>
    <s v="NO"/>
    <m/>
    <n v="8183.0999999999985"/>
    <s v="ASD"/>
    <n v="1"/>
    <n v="0"/>
    <n v="0"/>
    <n v="0"/>
    <n v="0"/>
    <n v="2685.0796874999996"/>
    <n v="0"/>
    <s v="AP_TMS- not attenindg"/>
    <m/>
    <e v="#N/A"/>
    <s v="TVS"/>
    <e v="#N/A"/>
    <m/>
    <m/>
    <n v="-2685"/>
    <n v="-2685"/>
    <s v="Thames Valley"/>
    <s v="OOBS Spec"/>
    <n v="43009"/>
    <m/>
    <s v="Thames Valley"/>
    <m/>
    <m/>
    <m/>
    <m/>
    <m/>
    <m/>
    <m/>
    <n v="-2685"/>
    <m/>
    <m/>
    <s v="not in school history, provision not on Capita"/>
    <m/>
    <m/>
    <m/>
    <m/>
    <n v="0"/>
    <m/>
    <n v="2685"/>
    <n v="-2685.0796874999996"/>
    <m/>
    <n v="0"/>
    <n v="0"/>
    <m/>
  </r>
  <r>
    <x v="0"/>
    <n v="1"/>
    <n v="41111"/>
    <n v="41111"/>
    <n v="43011"/>
    <s v="No"/>
    <m/>
    <m/>
    <x v="0"/>
    <m/>
    <n v="449508"/>
    <x v="18"/>
    <s v="Oskaras"/>
    <s v="Mazeika"/>
    <x v="223"/>
    <d v="2018-12-29T00:00:00"/>
    <n v="4.6488706365503081"/>
    <n v="0"/>
    <n v="872"/>
    <n v="872"/>
    <d v="2023-06-09T00:00:00"/>
    <n v="34"/>
    <d v="2024-03-31T00:00:00"/>
    <n v="192"/>
    <n v="159"/>
    <n v="0.828125"/>
    <s v="open"/>
    <n v="30"/>
    <m/>
    <m/>
    <x v="0"/>
    <x v="0"/>
    <x v="0"/>
    <s v="NO"/>
    <s v="NO"/>
    <s v="NO"/>
    <s v="NO"/>
    <m/>
    <n v="8183.0999999999985"/>
    <s v="ASD"/>
    <n v="1"/>
    <n v="0.828125"/>
    <n v="6776.6296874999989"/>
    <n v="6776.6296874999989"/>
    <n v="6776.6296874999989"/>
    <n v="0"/>
    <m/>
    <m/>
    <m/>
    <m/>
    <m/>
    <m/>
    <m/>
    <m/>
    <n v="6776.6296874999989"/>
    <n v="6776.6296874999989"/>
    <s v=""/>
    <m/>
    <m/>
    <m/>
    <m/>
    <m/>
    <m/>
    <m/>
    <m/>
    <m/>
    <m/>
    <m/>
    <n v="6776.6296874999989"/>
    <m/>
    <m/>
    <m/>
    <m/>
    <m/>
    <m/>
    <m/>
    <n v="6776.6296874999989"/>
    <m/>
    <n v="0"/>
    <n v="6776.6296874999989"/>
    <m/>
    <n v="6776.6296874999989"/>
    <n v="0"/>
    <m/>
  </r>
  <r>
    <x v="0"/>
    <n v="1"/>
    <n v="41111"/>
    <n v="41111"/>
    <n v="43011"/>
    <s v="No"/>
    <m/>
    <m/>
    <x v="0"/>
    <m/>
    <n v="422097"/>
    <x v="18"/>
    <s v="Wraith"/>
    <s v="Thomas"/>
    <x v="120"/>
    <d v="2015-08-29T00:00:00"/>
    <n v="7.9835728952772076"/>
    <n v="3"/>
    <n v="872"/>
    <n v="872"/>
    <d v="2023-04-24T00:00:00"/>
    <n v="6"/>
    <d v="2024-03-31T00:00:00"/>
    <n v="192"/>
    <n v="187"/>
    <n v="0.97395833333333337"/>
    <s v="open"/>
    <n v="35"/>
    <m/>
    <m/>
    <x v="0"/>
    <x v="1"/>
    <x v="1"/>
    <s v="NO"/>
    <s v="NO"/>
    <s v="NO"/>
    <s v="NO"/>
    <m/>
    <n v="10546.95"/>
    <s v="MLD"/>
    <n v="1"/>
    <n v="0.97395833333333337"/>
    <n v="10272.289843750001"/>
    <n v="10272.289843750001"/>
    <n v="0"/>
    <n v="0"/>
    <m/>
    <m/>
    <m/>
    <e v="#N/A"/>
    <s v="Bohunt"/>
    <e v="#N/A"/>
    <m/>
    <m/>
    <m/>
    <n v="0"/>
    <m/>
    <m/>
    <m/>
    <m/>
    <m/>
    <m/>
    <m/>
    <m/>
    <m/>
    <m/>
    <m/>
    <m/>
    <n v="0"/>
    <m/>
    <m/>
    <m/>
    <m/>
    <m/>
    <m/>
    <m/>
    <n v="10272.289843750001"/>
    <s v="new provsion"/>
    <n v="10272.289843750001"/>
    <n v="10272.289843750001"/>
    <m/>
    <n v="10272.289843750001"/>
    <n v="0"/>
    <m/>
  </r>
  <r>
    <x v="0"/>
    <n v="1"/>
    <n v="41112"/>
    <n v="41112"/>
    <n v="43011"/>
    <s v="No"/>
    <m/>
    <m/>
    <x v="0"/>
    <m/>
    <n v="402002"/>
    <x v="19"/>
    <s v="Christopher"/>
    <s v="Rivers"/>
    <x v="49"/>
    <d v="2012-02-16T00:00:00"/>
    <n v="11.515400410677618"/>
    <n v="6"/>
    <n v="872"/>
    <n v="872"/>
    <d v="2023-04-01T00:00:00"/>
    <n v="1"/>
    <d v="2023-07-21T00:00:00"/>
    <n v="63"/>
    <n v="63"/>
    <n v="0.328125"/>
    <s v="Yr 6"/>
    <n v="4361"/>
    <m/>
    <m/>
    <x v="0"/>
    <x v="1"/>
    <x v="1"/>
    <s v="NO"/>
    <s v="NO"/>
    <s v="NO"/>
    <s v="NO"/>
    <m/>
    <n v="4361"/>
    <s v="OD"/>
    <n v="1"/>
    <n v="0.328125"/>
    <n v="1430.953125"/>
    <n v="1430.953125"/>
    <n v="1430.953125"/>
    <n v="0"/>
    <n v="1430.953125"/>
    <m/>
    <m/>
    <e v="#N/A"/>
    <s v="Bohunt"/>
    <e v="#N/A"/>
    <m/>
    <m/>
    <n v="0"/>
    <n v="1430.953125"/>
    <s v="Name Bohunt- Funding approved"/>
    <s v="WBC Academy"/>
    <n v="43012"/>
    <m/>
    <s v="Name Bohunt- Funding approved"/>
    <m/>
    <n v="4361"/>
    <n v="4361"/>
    <m/>
    <s v="Y"/>
    <m/>
    <n v="2884.619791666667"/>
    <n v="4315.572916666667"/>
    <m/>
    <m/>
    <m/>
    <m/>
    <m/>
    <m/>
    <m/>
    <n v="4315.572916666667"/>
    <m/>
    <n v="0"/>
    <n v="4315.572916666667"/>
    <m/>
    <n v="4315.572916666667"/>
    <n v="0"/>
    <m/>
  </r>
  <r>
    <x v="0"/>
    <n v="1"/>
    <n v="2003"/>
    <n v="2003"/>
    <n v="43012"/>
    <s v="No"/>
    <s v="Y"/>
    <m/>
    <x v="0"/>
    <m/>
    <n v="428492"/>
    <x v="20"/>
    <s v="Abhay"/>
    <s v="Gulati"/>
    <x v="224"/>
    <d v="2015-09-26T00:00:00"/>
    <n v="7.9069130732375088"/>
    <n v="2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ASD"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1"/>
    <n v="1"/>
    <n v="2003"/>
    <n v="2003"/>
    <n v="43012"/>
    <s v="No"/>
    <s v="Y"/>
    <m/>
    <x v="0"/>
    <s v="AD"/>
    <n v="428492"/>
    <x v="20"/>
    <s v="Abhay"/>
    <s v="Gulati"/>
    <x v="224"/>
    <d v="2015-09-26T00:00:00"/>
    <n v="7.9069130732375088"/>
    <n v="2"/>
    <n v="872"/>
    <n v="872"/>
    <d v="2023-04-01T00:00:00"/>
    <n v="1"/>
    <d v="2024-03-31T00:00:00"/>
    <n v="192"/>
    <n v="192"/>
    <n v="1"/>
    <s v="open"/>
    <n v="14336.46"/>
    <m/>
    <m/>
    <x v="0"/>
    <x v="1"/>
    <x v="1"/>
    <s v="NO"/>
    <s v="NO"/>
    <s v="NO"/>
    <s v="NO"/>
    <m/>
    <n v="14336.46"/>
    <s v="ASD"/>
    <n v="1"/>
    <n v="1"/>
    <n v="14336.46"/>
    <n v="14336.46"/>
    <n v="14336.46"/>
    <n v="14336.46"/>
    <n v="14336.46"/>
    <m/>
    <m/>
    <e v="#N/A"/>
    <e v="#N/A"/>
    <e v="#N/A"/>
    <m/>
    <m/>
    <n v="0"/>
    <n v="14336.46"/>
    <s v=""/>
    <m/>
    <m/>
    <m/>
    <m/>
    <m/>
    <m/>
    <m/>
    <m/>
    <m/>
    <m/>
    <m/>
    <n v="14336.46"/>
    <m/>
    <m/>
    <m/>
    <m/>
    <m/>
    <m/>
    <m/>
    <n v="14336.46"/>
    <m/>
    <n v="0"/>
    <n v="0"/>
    <m/>
    <n v="14336.46"/>
    <n v="0"/>
    <m/>
  </r>
  <r>
    <x v="0"/>
    <n v="1"/>
    <n v="2003"/>
    <n v="2003"/>
    <n v="43012"/>
    <s v="No"/>
    <s v="Y"/>
    <m/>
    <x v="0"/>
    <m/>
    <n v="401647"/>
    <x v="20"/>
    <s v="Courtney"/>
    <s v="Robinson"/>
    <x v="225"/>
    <d v="2012-06-01T00:00:00"/>
    <n v="11.225188227241615"/>
    <n v="6"/>
    <n v="872"/>
    <n v="872"/>
    <d v="2023-04-01T00:00:00"/>
    <n v="1"/>
    <d v="2023-07-21T00:00:00"/>
    <n v="63"/>
    <n v="63"/>
    <n v="0.328125"/>
    <s v="Yr 6"/>
    <n v="26"/>
    <m/>
    <m/>
    <x v="0"/>
    <x v="0"/>
    <x v="0"/>
    <s v="NO"/>
    <s v="NO"/>
    <s v="NO"/>
    <s v="NO"/>
    <m/>
    <n v="6292.02"/>
    <s v="ASD"/>
    <n v="1"/>
    <n v="0.328125"/>
    <n v="2064.5690625000002"/>
    <n v="2064.5690625000002"/>
    <n v="2064.5690625000002"/>
    <n v="0"/>
    <n v="2064.5690625000002"/>
    <m/>
    <m/>
    <e v="#N/A"/>
    <e v="#N/A"/>
    <e v="#N/A"/>
    <m/>
    <m/>
    <n v="0"/>
    <n v="2064.5690625000002"/>
    <s v="???"/>
    <m/>
    <m/>
    <m/>
    <m/>
    <m/>
    <n v="26"/>
    <n v="6292.02"/>
    <m/>
    <m/>
    <m/>
    <n v="4161.9090624999999"/>
    <n v="6226.4781249999996"/>
    <m/>
    <m/>
    <s v="?"/>
    <s v="?"/>
    <m/>
    <m/>
    <m/>
    <n v="6226.4781249999996"/>
    <m/>
    <n v="0"/>
    <n v="6226.4781249999996"/>
    <m/>
    <n v="6226.4781249999996"/>
    <n v="0"/>
    <s v="st Crispins from 4/9/23"/>
  </r>
  <r>
    <x v="0"/>
    <n v="1"/>
    <n v="2003"/>
    <n v="2003"/>
    <n v="43012"/>
    <s v="No"/>
    <s v="Y"/>
    <m/>
    <x v="0"/>
    <m/>
    <n v="409957"/>
    <x v="20"/>
    <s v="Dylan"/>
    <s v="Colman"/>
    <x v="226"/>
    <d v="2013-04-04T00:00:00"/>
    <n v="10.38466803559206"/>
    <n v="5"/>
    <n v="872"/>
    <n v="872"/>
    <d v="2023-04-01T00:00:00"/>
    <n v="1"/>
    <d v="2024-03-31T00:00:00"/>
    <n v="192"/>
    <n v="192"/>
    <n v="1"/>
    <s v="open"/>
    <n v="31"/>
    <m/>
    <m/>
    <x v="0"/>
    <x v="1"/>
    <x v="1"/>
    <s v="NO"/>
    <s v="NO"/>
    <s v="NO"/>
    <s v="NO"/>
    <m/>
    <n v="8655.869999999999"/>
    <s v="PD"/>
    <n v="1"/>
    <n v="1"/>
    <n v="8655.869999999999"/>
    <n v="8655.869999999999"/>
    <n v="8655.869999999999"/>
    <n v="8183.0999999999985"/>
    <n v="8655.869999999999"/>
    <m/>
    <m/>
    <e v="#N/A"/>
    <e v="#N/A"/>
    <e v="#N/A"/>
    <m/>
    <m/>
    <n v="0"/>
    <n v="8655.869999999999"/>
    <s v=""/>
    <m/>
    <m/>
    <m/>
    <m/>
    <m/>
    <m/>
    <m/>
    <m/>
    <m/>
    <m/>
    <m/>
    <n v="8655.869999999999"/>
    <m/>
    <m/>
    <m/>
    <m/>
    <m/>
    <m/>
    <m/>
    <n v="8655.869999999999"/>
    <m/>
    <n v="0"/>
    <n v="472.77000000000044"/>
    <m/>
    <n v="8655.869999999999"/>
    <n v="0"/>
    <m/>
  </r>
  <r>
    <x v="0"/>
    <n v="1"/>
    <n v="2003"/>
    <n v="2003"/>
    <n v="43012"/>
    <s v="No"/>
    <s v="Y"/>
    <m/>
    <x v="0"/>
    <m/>
    <n v="405892"/>
    <x v="20"/>
    <s v="Elliott"/>
    <s v="Allen"/>
    <x v="227"/>
    <d v="2012-09-03T00:00:00"/>
    <n v="10.967830253251197"/>
    <n v="5"/>
    <n v="872"/>
    <n v="872"/>
    <d v="2023-04-21T00:00:00"/>
    <n v="6"/>
    <d v="2024-03-31T00:00:00"/>
    <n v="192"/>
    <n v="187"/>
    <n v="0.97395833333333337"/>
    <s v="open"/>
    <n v="25"/>
    <m/>
    <m/>
    <x v="1"/>
    <x v="1"/>
    <x v="0"/>
    <s v="NO"/>
    <s v="NO"/>
    <s v="NO"/>
    <s v="NO"/>
    <m/>
    <n v="5819.25"/>
    <s v="SLD"/>
    <n v="1"/>
    <n v="0.97395833333333337"/>
    <n v="5667.70703125"/>
    <n v="5667.70703125"/>
    <n v="5667.70703125"/>
    <n v="0"/>
    <n v="5667.70703125"/>
    <m/>
    <m/>
    <e v="#N/A"/>
    <e v="#N/A"/>
    <e v="#N/A"/>
    <m/>
    <m/>
    <n v="0"/>
    <n v="5667.70703125"/>
    <s v=""/>
    <m/>
    <m/>
    <m/>
    <m/>
    <m/>
    <m/>
    <m/>
    <m/>
    <m/>
    <m/>
    <m/>
    <n v="5667.70703125"/>
    <m/>
    <m/>
    <m/>
    <m/>
    <m/>
    <m/>
    <m/>
    <n v="5667.70703125"/>
    <m/>
    <n v="0"/>
    <n v="5667.70703125"/>
    <m/>
    <n v="5667.70703125"/>
    <n v="0"/>
    <m/>
  </r>
  <r>
    <x v="0"/>
    <n v="1"/>
    <n v="2003"/>
    <n v="2003"/>
    <n v="43012"/>
    <s v="No"/>
    <s v="Y"/>
    <m/>
    <x v="0"/>
    <m/>
    <n v="437267"/>
    <x v="20"/>
    <s v="Hunter"/>
    <s v="Booth"/>
    <x v="228"/>
    <d v="2017-03-16T00:00:00"/>
    <n v="6.4366872005475706"/>
    <n v="1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SEMH"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0"/>
    <n v="1"/>
    <n v="2003"/>
    <n v="2003"/>
    <n v="43012"/>
    <s v="No"/>
    <s v="Y"/>
    <m/>
    <x v="0"/>
    <m/>
    <n v="409818"/>
    <x v="20"/>
    <s v="Jacob"/>
    <s v="Tyrrell"/>
    <x v="229"/>
    <d v="2014-02-25T00:00:00"/>
    <n v="9.4893908281998627"/>
    <n v="4"/>
    <n v="872"/>
    <n v="872"/>
    <d v="2023-05-05T00:00:00"/>
    <n v="14"/>
    <d v="2024-03-31T00:00:00"/>
    <n v="192"/>
    <n v="179"/>
    <n v="0.93229166666666663"/>
    <s v="open"/>
    <n v="27"/>
    <m/>
    <m/>
    <x v="0"/>
    <x v="0"/>
    <x v="0"/>
    <s v="NO"/>
    <s v="NO"/>
    <s v="NO"/>
    <s v="NO"/>
    <m/>
    <n v="6764.7899999999991"/>
    <s v="SLCD"/>
    <n v="1"/>
    <n v="0.93229166666666663"/>
    <n v="6306.7573437499987"/>
    <n v="6306.7573437499987"/>
    <n v="6306.7573437499987"/>
    <n v="0"/>
    <n v="6306.7573437499987"/>
    <m/>
    <m/>
    <e v="#N/A"/>
    <e v="#N/A"/>
    <e v="#N/A"/>
    <m/>
    <m/>
    <n v="0"/>
    <n v="6306.7573437499987"/>
    <s v=""/>
    <m/>
    <m/>
    <m/>
    <m/>
    <m/>
    <m/>
    <m/>
    <m/>
    <m/>
    <m/>
    <m/>
    <n v="6306.7573437499987"/>
    <m/>
    <m/>
    <m/>
    <m/>
    <m/>
    <m/>
    <m/>
    <n v="6306.7573437499987"/>
    <m/>
    <n v="0"/>
    <n v="6306.7573437499987"/>
    <m/>
    <n v="6306.7573437499987"/>
    <n v="0"/>
    <m/>
  </r>
  <r>
    <x v="0"/>
    <n v="1"/>
    <n v="2003"/>
    <n v="2003"/>
    <n v="43012"/>
    <s v="No"/>
    <s v="Y"/>
    <m/>
    <x v="0"/>
    <m/>
    <n v="431851"/>
    <x v="20"/>
    <s v="Kailen"/>
    <s v="Hayne"/>
    <x v="230"/>
    <d v="2017-08-10T00:00:00"/>
    <n v="6.0342231348391513"/>
    <n v="1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ASD"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0"/>
    <n v="1"/>
    <n v="2003"/>
    <n v="2003"/>
    <n v="43012"/>
    <s v="No"/>
    <s v="Y"/>
    <m/>
    <x v="0"/>
    <m/>
    <n v="407314"/>
    <x v="20"/>
    <s v="Lincoln"/>
    <s v="McCammick"/>
    <x v="231"/>
    <d v="2013-06-06T00:00:00"/>
    <n v="10.212183436002737"/>
    <n v="5"/>
    <n v="872"/>
    <n v="872"/>
    <d v="2023-04-01T00:00:00"/>
    <n v="1"/>
    <d v="2024-03-31T00:00:00"/>
    <n v="192"/>
    <n v="192"/>
    <n v="1"/>
    <s v="open"/>
    <n v="8990.2999999999993"/>
    <m/>
    <m/>
    <x v="0"/>
    <x v="1"/>
    <x v="1"/>
    <s v="NO"/>
    <s v="NO"/>
    <s v="NO"/>
    <s v="NO"/>
    <m/>
    <n v="8990.2999999999993"/>
    <s v="ASD"/>
    <n v="1"/>
    <n v="1"/>
    <n v="8990.2999999999993"/>
    <n v="8990.2999999999993"/>
    <n v="8990.2999999999993"/>
    <n v="0"/>
    <n v="8990.2999999999993"/>
    <m/>
    <m/>
    <e v="#N/A"/>
    <e v="#N/A"/>
    <e v="#N/A"/>
    <m/>
    <m/>
    <n v="0"/>
    <n v="8990.2999999999993"/>
    <s v=""/>
    <m/>
    <m/>
    <m/>
    <m/>
    <m/>
    <m/>
    <m/>
    <m/>
    <m/>
    <m/>
    <m/>
    <n v="8990.2999999999993"/>
    <m/>
    <m/>
    <m/>
    <m/>
    <m/>
    <m/>
    <m/>
    <n v="8990.2999999999993"/>
    <m/>
    <n v="0"/>
    <n v="8990.2999999999993"/>
    <m/>
    <n v="8990.2999999999993"/>
    <n v="0"/>
    <m/>
  </r>
  <r>
    <x v="1"/>
    <n v="1"/>
    <n v="2003"/>
    <n v="2003"/>
    <n v="43012"/>
    <s v="No"/>
    <s v="Y"/>
    <m/>
    <x v="0"/>
    <s v="AD"/>
    <n v="407314"/>
    <x v="20"/>
    <s v="Lincoln"/>
    <s v="McCammick"/>
    <x v="231"/>
    <d v="2013-06-06T00:00:00"/>
    <n v="10.212183436002737"/>
    <n v="5"/>
    <n v="872"/>
    <n v="872"/>
    <d v="2023-04-01T00:00:00"/>
    <n v="1"/>
    <d v="2023-04-01T00:00:00"/>
    <n v="0"/>
    <n v="0"/>
    <n v="1"/>
    <s v="open"/>
    <n v="750"/>
    <m/>
    <m/>
    <x v="0"/>
    <x v="1"/>
    <x v="1"/>
    <s v="NO"/>
    <s v="NO"/>
    <s v="NO"/>
    <s v="NO"/>
    <m/>
    <n v="750"/>
    <s v="ASD"/>
    <n v="1"/>
    <n v="1"/>
    <n v="750"/>
    <n v="750"/>
    <n v="750"/>
    <n v="0"/>
    <n v="750"/>
    <m/>
    <m/>
    <e v="#N/A"/>
    <e v="#N/A"/>
    <e v="#N/A"/>
    <m/>
    <m/>
    <n v="0"/>
    <n v="750"/>
    <s v=""/>
    <m/>
    <m/>
    <m/>
    <m/>
    <m/>
    <m/>
    <m/>
    <m/>
    <m/>
    <m/>
    <m/>
    <n v="750"/>
    <m/>
    <m/>
    <m/>
    <m/>
    <m/>
    <m/>
    <m/>
    <n v="750"/>
    <m/>
    <n v="0"/>
    <n v="750"/>
    <m/>
    <n v="750"/>
    <n v="0"/>
    <m/>
  </r>
  <r>
    <x v="0"/>
    <n v="1"/>
    <n v="2003"/>
    <n v="2003"/>
    <n v="43012"/>
    <s v="No"/>
    <s v="Y"/>
    <m/>
    <x v="0"/>
    <m/>
    <n v="421353"/>
    <x v="20"/>
    <s v="Logan"/>
    <s v="Waters"/>
    <x v="232"/>
    <d v="2015-07-20T00:00:00"/>
    <n v="8.0930869267624921"/>
    <n v="2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ASD"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0"/>
    <n v="1"/>
    <n v="2003"/>
    <n v="2003"/>
    <n v="43012"/>
    <s v="No"/>
    <s v="Y"/>
    <m/>
    <x v="0"/>
    <m/>
    <n v="436127"/>
    <x v="20"/>
    <s v="Mohammad"/>
    <s v="Zain"/>
    <x v="233"/>
    <d v="2018-06-13T00:00:00"/>
    <n v="5.1937029431895958"/>
    <n v="0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m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0"/>
    <n v="1"/>
    <n v="2003"/>
    <n v="2003"/>
    <n v="43012"/>
    <s v="No"/>
    <s v="Y"/>
    <m/>
    <x v="0"/>
    <m/>
    <n v="424545"/>
    <x v="20"/>
    <s v="Piper"/>
    <s v="Mallett"/>
    <x v="234"/>
    <d v="2015-09-24T00:00:00"/>
    <n v="7.9123887748117729"/>
    <n v="2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ASD"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0"/>
    <n v="1"/>
    <n v="2003"/>
    <n v="2003"/>
    <n v="43012"/>
    <s v="No"/>
    <s v="Y"/>
    <m/>
    <x v="0"/>
    <m/>
    <n v="433618"/>
    <x v="20"/>
    <s v="Reece"/>
    <s v="Weaver- Lovell"/>
    <x v="235"/>
    <d v="2015-02-26T00:00:00"/>
    <n v="8.4873374401095134"/>
    <n v="3"/>
    <n v="872"/>
    <n v="872"/>
    <d v="2023-04-01T00:00:00"/>
    <n v="1"/>
    <d v="2024-03-31T00:00:00"/>
    <n v="192"/>
    <n v="192"/>
    <n v="1"/>
    <s v="open"/>
    <n v="32"/>
    <m/>
    <m/>
    <x v="0"/>
    <x v="1"/>
    <x v="1"/>
    <s v="NO"/>
    <s v="NO"/>
    <s v="NO"/>
    <s v="NO"/>
    <m/>
    <n v="9128.64"/>
    <s v="SEMH"/>
    <n v="1"/>
    <n v="1"/>
    <n v="9128.64"/>
    <n v="9128.64"/>
    <n v="9128.64"/>
    <n v="9128.64"/>
    <n v="9128.64"/>
    <m/>
    <m/>
    <e v="#N/A"/>
    <e v="#N/A"/>
    <e v="#N/A"/>
    <m/>
    <m/>
    <n v="0"/>
    <n v="9128.64"/>
    <s v=""/>
    <m/>
    <m/>
    <m/>
    <m/>
    <m/>
    <m/>
    <m/>
    <m/>
    <m/>
    <m/>
    <m/>
    <n v="9128.64"/>
    <m/>
    <m/>
    <m/>
    <m/>
    <m/>
    <m/>
    <m/>
    <n v="9128.64"/>
    <m/>
    <n v="0"/>
    <n v="0"/>
    <m/>
    <n v="9128.64"/>
    <n v="0"/>
    <m/>
  </r>
  <r>
    <x v="0"/>
    <n v="1"/>
    <n v="2003"/>
    <n v="2003"/>
    <n v="43012"/>
    <s v="No"/>
    <s v="Y"/>
    <m/>
    <x v="0"/>
    <m/>
    <n v="426522"/>
    <x v="20"/>
    <s v="Tyler"/>
    <s v="Muchoki"/>
    <x v="236"/>
    <d v="2016-01-25T00:00:00"/>
    <n v="7.5756331279945242"/>
    <n v="2"/>
    <n v="872"/>
    <n v="872"/>
    <d v="2023-04-01T00:00:00"/>
    <n v="1"/>
    <d v="2024-03-31T00:00:00"/>
    <n v="192"/>
    <n v="192"/>
    <n v="1"/>
    <s v="open"/>
    <n v="10493.11"/>
    <m/>
    <m/>
    <x v="0"/>
    <x v="1"/>
    <x v="1"/>
    <s v="NO"/>
    <s v="NO"/>
    <s v="NO"/>
    <s v="NO"/>
    <m/>
    <n v="10493.11"/>
    <s v="ASD"/>
    <n v="1"/>
    <n v="1"/>
    <n v="10493.11"/>
    <n v="10493.11"/>
    <n v="10493.11"/>
    <n v="10493.11"/>
    <n v="10493.11"/>
    <m/>
    <m/>
    <e v="#N/A"/>
    <e v="#N/A"/>
    <e v="#N/A"/>
    <m/>
    <m/>
    <n v="0"/>
    <n v="10493.11"/>
    <s v=""/>
    <m/>
    <m/>
    <m/>
    <m/>
    <m/>
    <m/>
    <m/>
    <m/>
    <m/>
    <m/>
    <m/>
    <n v="10493.11"/>
    <m/>
    <m/>
    <m/>
    <m/>
    <m/>
    <m/>
    <m/>
    <n v="10493.11"/>
    <m/>
    <n v="0"/>
    <n v="0"/>
    <m/>
    <n v="10493.11"/>
    <n v="0"/>
    <m/>
  </r>
  <r>
    <x v="1"/>
    <n v="1"/>
    <n v="2003"/>
    <n v="2003"/>
    <n v="43012"/>
    <s v="No"/>
    <s v="Y"/>
    <m/>
    <x v="0"/>
    <m/>
    <n v="444584"/>
    <x v="20"/>
    <s v="Toran"/>
    <s v="Farnan"/>
    <x v="237"/>
    <d v="2018-10-27T00:00:00"/>
    <n v="4.8213552361396301"/>
    <n v="0"/>
    <n v="872"/>
    <n v="872"/>
    <d v="2023-09-04T00:00:00"/>
    <n v="66"/>
    <d v="2024-03-31T00:00:00"/>
    <n v="192"/>
    <n v="127"/>
    <n v="0.66145833333333337"/>
    <s v="open"/>
    <n v="30"/>
    <m/>
    <m/>
    <x v="0"/>
    <x v="0"/>
    <x v="0"/>
    <s v="NO"/>
    <s v="NO"/>
    <s v="NO"/>
    <s v="NO"/>
    <m/>
    <n v="8183.0999999999985"/>
    <s v="ASD"/>
    <n v="1"/>
    <n v="0.66145833333333337"/>
    <n v="5412.7796874999995"/>
    <n v="5412.7796874999995"/>
    <n v="5412.7796874999995"/>
    <n v="0"/>
    <n v="0"/>
    <m/>
    <m/>
    <e v="#N/A"/>
    <e v="#N/A"/>
    <e v="#N/A"/>
    <m/>
    <m/>
    <n v="5412.7796874999995"/>
    <n v="5412.7796874999995"/>
    <s v="from Ashridge Nursery….."/>
    <m/>
    <m/>
    <m/>
    <m/>
    <m/>
    <m/>
    <m/>
    <m/>
    <m/>
    <m/>
    <m/>
    <n v="5412.7796874999995"/>
    <m/>
    <m/>
    <m/>
    <m/>
    <m/>
    <m/>
    <m/>
    <n v="5412.7796874999995"/>
    <m/>
    <n v="0"/>
    <n v="5412.7796874999995"/>
    <m/>
    <n v="5412.7796874999995"/>
    <n v="0"/>
    <m/>
  </r>
  <r>
    <x v="0"/>
    <n v="1"/>
    <n v="41203"/>
    <n v="41203"/>
    <n v="43012"/>
    <s v="No"/>
    <s v="Y"/>
    <m/>
    <x v="1"/>
    <m/>
    <n v="386989"/>
    <x v="21"/>
    <s v="Ahmid"/>
    <s v="Bash-Taqi"/>
    <x v="238"/>
    <d v="2008-02-20T00:00:00"/>
    <n v="15.504449007529089"/>
    <n v="10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ASD"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1"/>
    <n v="1"/>
    <n v="41203"/>
    <n v="41203"/>
    <n v="43012"/>
    <s v="No"/>
    <s v="Y"/>
    <m/>
    <x v="1"/>
    <s v="AD"/>
    <n v="386989"/>
    <x v="21"/>
    <s v="Ahmid"/>
    <s v="Bash-Taqi"/>
    <x v="238"/>
    <d v="2008-02-20T00:00:00"/>
    <n v="15.504449007529089"/>
    <n v="10"/>
    <n v="872"/>
    <n v="872"/>
    <d v="2023-04-01T00:00:00"/>
    <n v="1"/>
    <d v="2024-03-31T00:00:00"/>
    <n v="192"/>
    <n v="192"/>
    <n v="1"/>
    <d v="2024-07-31T00:00:00"/>
    <n v="2995"/>
    <m/>
    <m/>
    <x v="0"/>
    <x v="1"/>
    <x v="1"/>
    <s v="NO"/>
    <s v="NO"/>
    <s v="NO"/>
    <s v="NO"/>
    <m/>
    <n v="2995"/>
    <s v="ASD"/>
    <n v="1"/>
    <n v="1"/>
    <n v="2995"/>
    <n v="2995"/>
    <n v="2995"/>
    <n v="0"/>
    <n v="2995"/>
    <m/>
    <m/>
    <e v="#N/A"/>
    <e v="#N/A"/>
    <e v="#N/A"/>
    <m/>
    <m/>
    <n v="0"/>
    <n v="2995"/>
    <s v=""/>
    <m/>
    <m/>
    <m/>
    <m/>
    <m/>
    <m/>
    <m/>
    <m/>
    <m/>
    <m/>
    <m/>
    <n v="2995"/>
    <m/>
    <m/>
    <m/>
    <m/>
    <m/>
    <m/>
    <m/>
    <n v="2995"/>
    <m/>
    <n v="0"/>
    <n v="2995"/>
    <m/>
    <n v="2995"/>
    <n v="0"/>
    <m/>
  </r>
  <r>
    <x v="0"/>
    <n v="1"/>
    <n v="41203"/>
    <n v="41203"/>
    <n v="43012"/>
    <s v="No"/>
    <s v="Y"/>
    <m/>
    <x v="2"/>
    <m/>
    <n v="357786"/>
    <x v="21"/>
    <s v="Alex"/>
    <s v="Green"/>
    <x v="239"/>
    <d v="2005-02-06T00:00:00"/>
    <n v="18.540725530458591"/>
    <n v="13"/>
    <n v="872"/>
    <n v="872"/>
    <d v="2023-04-01T00:00:00"/>
    <n v="1"/>
    <d v="2023-07-21T00:00:00"/>
    <n v="63"/>
    <n v="63"/>
    <n v="0.328125"/>
    <s v="16+"/>
    <n v="4981.88"/>
    <m/>
    <m/>
    <x v="0"/>
    <x v="1"/>
    <x v="1"/>
    <s v="NO"/>
    <s v="NO"/>
    <s v="NO"/>
    <s v="NO"/>
    <m/>
    <n v="4981.88"/>
    <s v="ASD"/>
    <n v="1"/>
    <n v="0.328125"/>
    <n v="1634.6793749999999"/>
    <n v="1634.6793749999999"/>
    <n v="1634.6793749999999"/>
    <n v="1634.6793749999999"/>
    <n v="1634.6793749999999"/>
    <m/>
    <m/>
    <e v="#N/A"/>
    <e v="#N/A"/>
    <e v="#N/A"/>
    <m/>
    <m/>
    <n v="0"/>
    <n v="1634.6793749999999"/>
    <s v="???"/>
    <m/>
    <m/>
    <m/>
    <m/>
    <m/>
    <n v="4981.88"/>
    <n v="4981.88"/>
    <m/>
    <m/>
    <m/>
    <n v="3295.3060416666667"/>
    <n v="4929.9854166666664"/>
    <m/>
    <m/>
    <m/>
    <m/>
    <m/>
    <m/>
    <m/>
    <n v="4929.9854166666664"/>
    <m/>
    <n v="0"/>
    <n v="3295.3060416666667"/>
    <m/>
    <n v="4929.9854166666664"/>
    <n v="0"/>
    <m/>
  </r>
  <r>
    <x v="0"/>
    <n v="1"/>
    <n v="41203"/>
    <n v="41203"/>
    <n v="43012"/>
    <s v="No"/>
    <s v="Y"/>
    <m/>
    <x v="1"/>
    <m/>
    <n v="394954"/>
    <x v="21"/>
    <s v="Freddie"/>
    <s v="Smallman"/>
    <x v="240"/>
    <d v="2011-01-09T00:00:00"/>
    <n v="12.618754277891854"/>
    <n v="7"/>
    <n v="872"/>
    <n v="872"/>
    <d v="2023-04-01T00:00:00"/>
    <n v="1"/>
    <d v="2024-03-31T00:00:00"/>
    <n v="192"/>
    <n v="192"/>
    <n v="1"/>
    <s v="open"/>
    <n v="13021.54"/>
    <m/>
    <m/>
    <x v="0"/>
    <x v="1"/>
    <x v="1"/>
    <s v="NO"/>
    <s v="NO"/>
    <s v="NO"/>
    <s v="NO"/>
    <m/>
    <n v="13021.54"/>
    <s v="ASD"/>
    <n v="1"/>
    <n v="1"/>
    <n v="13021.54"/>
    <n v="13021.54"/>
    <n v="13021.54"/>
    <n v="13021.54"/>
    <n v="13021.54"/>
    <m/>
    <m/>
    <e v="#N/A"/>
    <e v="#N/A"/>
    <e v="#N/A"/>
    <m/>
    <m/>
    <n v="0"/>
    <n v="13021.54"/>
    <s v=""/>
    <m/>
    <m/>
    <m/>
    <m/>
    <m/>
    <m/>
    <m/>
    <m/>
    <m/>
    <m/>
    <m/>
    <n v="13021.54"/>
    <m/>
    <m/>
    <m/>
    <m/>
    <m/>
    <m/>
    <m/>
    <n v="13021.54"/>
    <m/>
    <n v="0"/>
    <n v="0"/>
    <m/>
    <n v="13021.54"/>
    <n v="0"/>
    <m/>
  </r>
  <r>
    <x v="0"/>
    <n v="1"/>
    <n v="41203"/>
    <n v="41203"/>
    <n v="43012"/>
    <s v="No"/>
    <s v="Y"/>
    <m/>
    <x v="1"/>
    <m/>
    <n v="382740"/>
    <x v="21"/>
    <s v="George"/>
    <s v="Forster"/>
    <x v="241"/>
    <d v="2009-08-15T00:00:00"/>
    <n v="14.020533880903491"/>
    <n v="9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ASD"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1"/>
    <n v="1"/>
    <n v="41203"/>
    <n v="41203"/>
    <n v="43012"/>
    <s v="No"/>
    <s v="Y"/>
    <m/>
    <x v="1"/>
    <s v="AD"/>
    <n v="382740"/>
    <x v="21"/>
    <s v="George"/>
    <s v="Forster"/>
    <x v="241"/>
    <d v="2009-08-15T00:00:00"/>
    <n v="14.020533880903491"/>
    <n v="9"/>
    <n v="872"/>
    <n v="872"/>
    <d v="2023-04-01T00:00:00"/>
    <n v="1"/>
    <d v="2023-07-31T00:00:00"/>
    <n v="63"/>
    <n v="63"/>
    <n v="0.328125"/>
    <d v="2023-07-31T00:00:00"/>
    <n v="18826.02"/>
    <m/>
    <m/>
    <x v="0"/>
    <x v="1"/>
    <x v="1"/>
    <s v="NO"/>
    <s v="NO"/>
    <s v="NO"/>
    <s v="NO"/>
    <m/>
    <n v="18826.02"/>
    <s v="ASD"/>
    <n v="1"/>
    <n v="0.328125"/>
    <n v="6177.2878124999997"/>
    <n v="6177.2878124999997"/>
    <n v="6177.2878124999997"/>
    <n v="18826.02"/>
    <n v="18826.02"/>
    <m/>
    <m/>
    <e v="#N/A"/>
    <e v="#N/A"/>
    <e v="#N/A"/>
    <m/>
    <m/>
    <n v="-12648.732187500002"/>
    <n v="6177.2878124999997"/>
    <s v=""/>
    <m/>
    <m/>
    <m/>
    <m/>
    <m/>
    <n v="18826.02"/>
    <n v="18826.02"/>
    <m/>
    <m/>
    <m/>
    <n v="12452.627812500001"/>
    <n v="18629.915625000001"/>
    <m/>
    <m/>
    <m/>
    <m/>
    <m/>
    <m/>
    <m/>
    <n v="18629.915625000001"/>
    <m/>
    <n v="0"/>
    <n v="-196.10437499999898"/>
    <m/>
    <n v="18629.915625000001"/>
    <n v="0"/>
    <m/>
  </r>
  <r>
    <x v="0"/>
    <n v="1"/>
    <n v="41203"/>
    <n v="41203"/>
    <n v="43012"/>
    <s v="No"/>
    <s v="Y"/>
    <m/>
    <x v="1"/>
    <m/>
    <n v="371855"/>
    <x v="21"/>
    <s v="Jagveer"/>
    <s v="Takhar"/>
    <x v="242"/>
    <d v="2007-05-31T00:00:00"/>
    <n v="16.229979466119097"/>
    <n v="11"/>
    <n v="872"/>
    <n v="872"/>
    <d v="2023-04-01T00:00:00"/>
    <n v="1"/>
    <d v="2023-07-21T00:00:00"/>
    <n v="63"/>
    <n v="63"/>
    <n v="0.328125"/>
    <s v="Yr 11"/>
    <n v="27"/>
    <m/>
    <m/>
    <x v="0"/>
    <x v="0"/>
    <x v="0"/>
    <s v="NO"/>
    <s v="NO"/>
    <s v="NO"/>
    <s v="NO"/>
    <m/>
    <n v="6764.7899999999991"/>
    <s v="SPLD"/>
    <n v="1"/>
    <n v="0.328125"/>
    <n v="2219.6967187499995"/>
    <n v="2219.6967187499995"/>
    <n v="2219.6967187499995"/>
    <n v="2219.6967187499995"/>
    <n v="2219.6967187499995"/>
    <m/>
    <m/>
    <e v="#N/A"/>
    <e v="#N/A"/>
    <s v="BNLL&amp;Wok"/>
    <s v="Y"/>
    <n v="4509.8599999999997"/>
    <n v="0"/>
    <n v="2219.6967187499995"/>
    <s v="Bracknell and Wokingham (PP)"/>
    <s v="COLL"/>
    <m/>
    <m/>
    <m/>
    <s v="Bracknell and Wokingham (PP)"/>
    <m/>
    <m/>
    <m/>
    <m/>
    <s v="Y"/>
    <m/>
    <n v="2219.6967187499995"/>
    <s v="COLL"/>
    <m/>
    <m/>
    <m/>
    <m/>
    <m/>
    <m/>
    <n v="2219.6967187499995"/>
    <m/>
    <n v="0"/>
    <n v="0"/>
    <m/>
    <n v="2219.6967187499995"/>
    <n v="0"/>
    <m/>
  </r>
  <r>
    <x v="0"/>
    <n v="1"/>
    <n v="41203"/>
    <n v="41203"/>
    <n v="43012"/>
    <s v="No"/>
    <s v="Y"/>
    <m/>
    <x v="1"/>
    <m/>
    <n v="390391"/>
    <x v="21"/>
    <s v="James"/>
    <s v="Barker"/>
    <x v="243"/>
    <d v="2010-05-03T00:00:00"/>
    <n v="13.305954825462011"/>
    <n v="8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MLD"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0"/>
    <n v="1"/>
    <n v="41203"/>
    <n v="41203"/>
    <n v="43012"/>
    <s v="No"/>
    <s v="Y"/>
    <m/>
    <x v="1"/>
    <m/>
    <n v="426286"/>
    <x v="21"/>
    <s v="Kian"/>
    <s v="Coleman"/>
    <x v="244"/>
    <d v="2007-06-25T00:00:00"/>
    <n v="16.161533196440793"/>
    <n v="11"/>
    <n v="872"/>
    <n v="872"/>
    <d v="2023-04-01T00:00:00"/>
    <n v="1"/>
    <d v="2023-07-21T00:00:00"/>
    <n v="63"/>
    <n v="63"/>
    <n v="0.328125"/>
    <s v="Yr 11"/>
    <n v="26"/>
    <m/>
    <m/>
    <x v="0"/>
    <x v="0"/>
    <x v="0"/>
    <s v="NO"/>
    <s v="NO"/>
    <s v="NO"/>
    <s v="NO"/>
    <m/>
    <n v="6292.02"/>
    <s v="MLD"/>
    <n v="1"/>
    <n v="0.328125"/>
    <n v="2064.5690625000002"/>
    <n v="2064.5690625000002"/>
    <n v="2064.5690625000002"/>
    <n v="2064.5690625000002"/>
    <n v="2064.5690625000002"/>
    <m/>
    <m/>
    <e v="#N/A"/>
    <e v="#N/A"/>
    <s v="Reading coll"/>
    <s v="Y"/>
    <n v="4194.68"/>
    <n v="0"/>
    <n v="2064.5690625000002"/>
    <s v="Reading College"/>
    <s v="COLL"/>
    <m/>
    <m/>
    <m/>
    <s v="Reading College"/>
    <m/>
    <m/>
    <m/>
    <m/>
    <s v="Y"/>
    <m/>
    <n v="2064.5690625000002"/>
    <s v="COLL"/>
    <m/>
    <m/>
    <m/>
    <m/>
    <m/>
    <m/>
    <n v="2064.5690625000002"/>
    <m/>
    <n v="0"/>
    <n v="0"/>
    <m/>
    <n v="2064.5690625000002"/>
    <n v="0"/>
    <m/>
  </r>
  <r>
    <x v="0"/>
    <n v="1"/>
    <n v="41203"/>
    <n v="41203"/>
    <n v="43012"/>
    <s v="No"/>
    <s v="Y"/>
    <m/>
    <x v="1"/>
    <m/>
    <n v="397338"/>
    <x v="21"/>
    <s v="Montgomery"/>
    <s v="Kenrick"/>
    <x v="245"/>
    <d v="2011-05-28T00:00:00"/>
    <n v="12.238193018480493"/>
    <n v="7"/>
    <n v="872"/>
    <n v="872"/>
    <d v="2023-04-01T00:00:00"/>
    <n v="1"/>
    <d v="2024-03-31T00:00:00"/>
    <n v="192"/>
    <n v="192"/>
    <n v="1"/>
    <s v="open"/>
    <n v="31"/>
    <m/>
    <m/>
    <x v="0"/>
    <x v="1"/>
    <x v="1"/>
    <s v="NO"/>
    <s v="NO"/>
    <s v="NO"/>
    <s v="NO"/>
    <m/>
    <n v="8655.869999999999"/>
    <s v="SLD"/>
    <n v="1"/>
    <n v="1"/>
    <n v="8655.869999999999"/>
    <n v="8655.869999999999"/>
    <n v="8655.869999999999"/>
    <n v="0"/>
    <n v="8655.869999999999"/>
    <m/>
    <m/>
    <e v="#N/A"/>
    <e v="#N/A"/>
    <e v="#N/A"/>
    <m/>
    <m/>
    <n v="0"/>
    <n v="8655.869999999999"/>
    <s v=""/>
    <m/>
    <m/>
    <m/>
    <m/>
    <m/>
    <m/>
    <m/>
    <m/>
    <m/>
    <m/>
    <m/>
    <n v="8655.869999999999"/>
    <m/>
    <m/>
    <m/>
    <m/>
    <m/>
    <m/>
    <m/>
    <n v="8655.869999999999"/>
    <m/>
    <n v="0"/>
    <n v="8655.869999999999"/>
    <m/>
    <n v="8655.869999999999"/>
    <n v="0"/>
    <m/>
  </r>
  <r>
    <x v="1"/>
    <n v="1"/>
    <n v="41203"/>
    <n v="41203"/>
    <n v="43012"/>
    <s v="No"/>
    <s v="Y"/>
    <m/>
    <x v="1"/>
    <s v="AD"/>
    <n v="397338"/>
    <x v="21"/>
    <s v="Montgomery"/>
    <s v="Kenrick"/>
    <x v="245"/>
    <d v="2011-05-28T00:00:00"/>
    <n v="12.238193018480493"/>
    <n v="7"/>
    <n v="872"/>
    <n v="872"/>
    <d v="2023-04-01T00:00:00"/>
    <n v="1"/>
    <d v="2024-03-31T00:00:00"/>
    <n v="192"/>
    <n v="192"/>
    <n v="1"/>
    <s v="open"/>
    <n v="12386.21"/>
    <m/>
    <m/>
    <x v="0"/>
    <x v="1"/>
    <x v="1"/>
    <s v="NO"/>
    <s v="NO"/>
    <s v="NO"/>
    <s v="NO"/>
    <m/>
    <n v="12386.21"/>
    <s v="SLD"/>
    <n v="1"/>
    <n v="1"/>
    <n v="12386.21"/>
    <n v="12386.21"/>
    <n v="12386.21"/>
    <n v="0"/>
    <n v="12386.21"/>
    <m/>
    <m/>
    <e v="#N/A"/>
    <e v="#N/A"/>
    <e v="#N/A"/>
    <m/>
    <m/>
    <n v="0"/>
    <n v="12386.21"/>
    <s v=""/>
    <m/>
    <m/>
    <m/>
    <m/>
    <m/>
    <m/>
    <m/>
    <m/>
    <m/>
    <m/>
    <m/>
    <n v="12386.21"/>
    <m/>
    <m/>
    <m/>
    <m/>
    <m/>
    <m/>
    <m/>
    <n v="12386.21"/>
    <m/>
    <n v="0"/>
    <n v="12386.21"/>
    <m/>
    <n v="12386.21"/>
    <n v="0"/>
    <m/>
  </r>
  <r>
    <x v="0"/>
    <n v="1"/>
    <n v="41203"/>
    <n v="41203"/>
    <n v="43012"/>
    <s v="No"/>
    <s v="Y"/>
    <m/>
    <x v="1"/>
    <m/>
    <n v="389532"/>
    <x v="21"/>
    <s v="Thomas"/>
    <s v="Attwood"/>
    <x v="246"/>
    <d v="2010-09-25T00:00:00"/>
    <n v="12.908966461327857"/>
    <n v="7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SEMH"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0"/>
    <n v="1"/>
    <n v="41203"/>
    <n v="41203"/>
    <n v="43012"/>
    <s v="No"/>
    <s v="Y"/>
    <m/>
    <x v="1"/>
    <m/>
    <n v="448646"/>
    <x v="21"/>
    <s v="Thomas"/>
    <s v="Bolton"/>
    <x v="247"/>
    <d v="2008-03-10T00:00:00"/>
    <n v="15.452429842573579"/>
    <n v="10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ASD"/>
    <n v="1"/>
    <n v="1"/>
    <n v="8183.0999999999985"/>
    <n v="8183.0999999999985"/>
    <n v="8183.0999999999985"/>
    <n v="0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8183.0999999999985"/>
    <m/>
    <n v="8183.0999999999985"/>
    <n v="0"/>
    <m/>
  </r>
  <r>
    <x v="0"/>
    <n v="1"/>
    <n v="41113"/>
    <n v="41113"/>
    <n v="43011"/>
    <s v="Yes"/>
    <m/>
    <m/>
    <x v="0"/>
    <m/>
    <n v="429926"/>
    <x v="22"/>
    <s v="Alie"/>
    <s v="Sama"/>
    <x v="248"/>
    <d v="2016-04-07T00:00:00"/>
    <n v="7.3757700205338805"/>
    <n v="2"/>
    <n v="872"/>
    <n v="872"/>
    <d v="2023-04-01T00:00:00"/>
    <n v="1"/>
    <d v="2023-07-21T00:00:00"/>
    <n v="63"/>
    <n v="63"/>
    <n v="0.328125"/>
    <s v="Yr 2 Infant"/>
    <n v="23"/>
    <m/>
    <m/>
    <x v="1"/>
    <x v="1"/>
    <x v="0"/>
    <s v="NO"/>
    <s v="NO"/>
    <s v="NO"/>
    <s v="NO"/>
    <m/>
    <n v="4873.7099999999991"/>
    <s v="OD"/>
    <n v="1"/>
    <n v="0.328125"/>
    <n v="1599.1860937499996"/>
    <n v="1599.1860937499996"/>
    <n v="1599.1860937499996"/>
    <n v="1599.1860937499996"/>
    <n v="1599.1860937499996"/>
    <m/>
    <m/>
    <e v="#N/A"/>
    <e v="#N/A"/>
    <e v="#N/A"/>
    <m/>
    <m/>
    <n v="0"/>
    <n v="1599.1860937499996"/>
    <s v="???"/>
    <m/>
    <m/>
    <m/>
    <m/>
    <m/>
    <n v="23"/>
    <n v="4873.7099999999991"/>
    <m/>
    <m/>
    <m/>
    <n v="3223.7560937499993"/>
    <n v="4822.9421874999989"/>
    <m/>
    <m/>
    <s v="?"/>
    <s v="?"/>
    <m/>
    <m/>
    <m/>
    <n v="4822.9421874999989"/>
    <m/>
    <n v="0"/>
    <n v="3223.7560937499993"/>
    <m/>
    <n v="4822.9421874999989"/>
    <n v="0"/>
    <m/>
  </r>
  <r>
    <x v="0"/>
    <n v="1"/>
    <n v="41113"/>
    <n v="41113"/>
    <n v="43011"/>
    <s v="Yes"/>
    <m/>
    <m/>
    <x v="0"/>
    <m/>
    <n v="429199"/>
    <x v="22"/>
    <s v="Katy"/>
    <s v="Wood"/>
    <x v="249"/>
    <d v="2016-02-22T00:00:00"/>
    <n v="7.4989733059548254"/>
    <n v="2"/>
    <n v="872"/>
    <n v="872"/>
    <d v="2023-04-01T00:00:00"/>
    <n v="1"/>
    <d v="2023-07-21T00:00:00"/>
    <n v="63"/>
    <n v="63"/>
    <n v="0.328125"/>
    <s v="Yr 2 Infant"/>
    <n v="26"/>
    <m/>
    <m/>
    <x v="0"/>
    <x v="0"/>
    <x v="0"/>
    <s v="NO"/>
    <s v="NO"/>
    <s v="NO"/>
    <s v="NO"/>
    <m/>
    <n v="6292.02"/>
    <s v="SLCD"/>
    <n v="1"/>
    <n v="0.328125"/>
    <n v="2064.5690625000002"/>
    <n v="2064.5690625000002"/>
    <n v="2064.5690625000002"/>
    <n v="2064.5690625000002"/>
    <n v="2064.5690625000002"/>
    <m/>
    <m/>
    <s v="Gorse Ride Jun"/>
    <e v="#N/A"/>
    <e v="#N/A"/>
    <m/>
    <m/>
    <n v="0"/>
    <n v="2064.5690625000002"/>
    <s v="Gorse Ride Junior School"/>
    <s v="WBC Mnstr"/>
    <m/>
    <s v="Gorse Ride Junior School"/>
    <m/>
    <m/>
    <n v="26"/>
    <n v="6292.02"/>
    <s v="Y"/>
    <m/>
    <m/>
    <n v="4161.9090624999999"/>
    <n v="6226.4781249999996"/>
    <m/>
    <m/>
    <m/>
    <m/>
    <m/>
    <m/>
    <m/>
    <n v="6226.4781249999996"/>
    <m/>
    <n v="0"/>
    <n v="4161.909062499999"/>
    <m/>
    <n v="6226.4781249999996"/>
    <n v="0"/>
    <m/>
  </r>
  <r>
    <x v="0"/>
    <n v="1"/>
    <n v="41113"/>
    <n v="41113"/>
    <n v="43011"/>
    <s v="Yes"/>
    <m/>
    <m/>
    <x v="0"/>
    <m/>
    <n v="429991"/>
    <x v="22"/>
    <s v="Lukas"/>
    <s v="Bardell"/>
    <x v="250"/>
    <d v="2015-09-11T00:00:00"/>
    <n v="7.9479808350444898"/>
    <n v="2"/>
    <n v="872"/>
    <n v="872"/>
    <d v="2023-04-01T00:00:00"/>
    <n v="1"/>
    <d v="2023-07-21T00:00:00"/>
    <n v="63"/>
    <n v="63"/>
    <n v="0.328125"/>
    <s v="Yr 2 Infant"/>
    <n v="30"/>
    <m/>
    <m/>
    <x v="0"/>
    <x v="0"/>
    <x v="0"/>
    <s v="NO"/>
    <s v="NO"/>
    <s v="NO"/>
    <s v="NO"/>
    <m/>
    <n v="8183.0999999999985"/>
    <s v="SLCD"/>
    <n v="1"/>
    <n v="0.328125"/>
    <n v="2685.0796874999996"/>
    <n v="2685.0796874999996"/>
    <n v="2685.0796874999996"/>
    <n v="2685.0796874999996"/>
    <n v="2685.0796874999996"/>
    <m/>
    <m/>
    <s v="The Pines/OOBs Mnstr"/>
    <e v="#N/A"/>
    <e v="#N/A"/>
    <m/>
    <m/>
    <n v="0"/>
    <n v="2685.0796874999996"/>
    <s v="The Pines"/>
    <s v="OOBS-RU"/>
    <n v="43016"/>
    <s v="The Pines"/>
    <m/>
    <m/>
    <n v="30"/>
    <n v="8183.0999999999985"/>
    <s v="Y"/>
    <m/>
    <m/>
    <n v="5412.7796874999985"/>
    <n v="8097.8593749999982"/>
    <m/>
    <m/>
    <m/>
    <m/>
    <m/>
    <m/>
    <m/>
    <n v="8097.8593749999982"/>
    <m/>
    <n v="0"/>
    <n v="5412.7796874999985"/>
    <m/>
    <n v="8097.8593749999982"/>
    <n v="0"/>
    <m/>
  </r>
  <r>
    <x v="0"/>
    <n v="1"/>
    <n v="41113"/>
    <n v="41113"/>
    <n v="43011"/>
    <s v="Yes"/>
    <m/>
    <m/>
    <x v="0"/>
    <m/>
    <n v="428353"/>
    <x v="22"/>
    <s v="Nathan"/>
    <s v="Barber"/>
    <x v="251"/>
    <d v="2015-12-23T00:00:00"/>
    <n v="7.6659822039698833"/>
    <n v="2"/>
    <n v="872"/>
    <n v="872"/>
    <d v="2023-04-01T00:00:00"/>
    <n v="1"/>
    <d v="2023-07-21T00:00:00"/>
    <n v="63"/>
    <n v="63"/>
    <n v="0.328125"/>
    <s v="Yr 2 Infant"/>
    <n v="30"/>
    <m/>
    <m/>
    <x v="0"/>
    <x v="0"/>
    <x v="0"/>
    <s v="NO"/>
    <s v="NO"/>
    <s v="NO"/>
    <s v="NO"/>
    <m/>
    <n v="8183.0999999999985"/>
    <s v="SLCD"/>
    <n v="1"/>
    <n v="0.328125"/>
    <n v="2685.0796874999996"/>
    <n v="2685.0796874999996"/>
    <n v="2685.0796874999996"/>
    <n v="2685.0796874999996"/>
    <n v="2685.0796874999996"/>
    <m/>
    <m/>
    <s v="Arbor Vale/OOBS"/>
    <e v="#N/A"/>
    <e v="#N/A"/>
    <m/>
    <m/>
    <n v="0"/>
    <n v="2685.0796874999996"/>
    <s v="Abour Vale"/>
    <s v="OOBS Spec"/>
    <n v="43009"/>
    <s v="Abour Vale"/>
    <m/>
    <m/>
    <n v="30"/>
    <n v="8183.0999999999985"/>
    <s v="Y"/>
    <m/>
    <m/>
    <n v="5412.7796874999985"/>
    <n v="8097.8593749999982"/>
    <m/>
    <m/>
    <m/>
    <m/>
    <m/>
    <m/>
    <m/>
    <n v="8097.8593749999982"/>
    <m/>
    <n v="0"/>
    <n v="5412.7796874999985"/>
    <m/>
    <n v="8097.8593749999982"/>
    <n v="0"/>
    <m/>
  </r>
  <r>
    <x v="1"/>
    <n v="1"/>
    <n v="41113"/>
    <n v="41113"/>
    <n v="43011"/>
    <s v="Yes"/>
    <m/>
    <m/>
    <x v="0"/>
    <s v="AP"/>
    <n v="428353"/>
    <x v="22"/>
    <s v="Nathan"/>
    <s v="Barber"/>
    <x v="251"/>
    <d v="2015-12-23T00:00:00"/>
    <n v="7.6659822039698833"/>
    <n v="2"/>
    <n v="872"/>
    <n v="872"/>
    <d v="2023-04-17T00:00:00"/>
    <n v="2"/>
    <d v="2023-07-21T00:00:00"/>
    <n v="63"/>
    <n v="62"/>
    <n v="1"/>
    <s v="Yr 2 Infant"/>
    <n v="13772.48"/>
    <m/>
    <m/>
    <x v="0"/>
    <x v="1"/>
    <x v="1"/>
    <s v="NO"/>
    <s v="NO"/>
    <s v="NO"/>
    <s v="NO"/>
    <m/>
    <n v="13772.48"/>
    <s v="SLCD"/>
    <n v="1"/>
    <n v="1"/>
    <n v="13772.48"/>
    <n v="13772.48"/>
    <n v="13772.48"/>
    <n v="5901.2493749999994"/>
    <n v="13772.48"/>
    <m/>
    <m/>
    <e v="#N/A"/>
    <e v="#N/A"/>
    <e v="#N/A"/>
    <m/>
    <m/>
    <n v="0"/>
    <n v="13772.48"/>
    <s v="Abour Vale"/>
    <s v="OOBS Spec"/>
    <n v="43009"/>
    <s v="Abour Vale"/>
    <m/>
    <m/>
    <n v="13772.48"/>
    <n v="13772.48"/>
    <s v="Y"/>
    <m/>
    <m/>
    <n v="9109.9216666666671"/>
    <n v="22882.401666666665"/>
    <m/>
    <m/>
    <m/>
    <m/>
    <m/>
    <m/>
    <m/>
    <n v="22882.401666666665"/>
    <m/>
    <n v="0"/>
    <n v="16981.152291666665"/>
    <m/>
    <n v="22882.401666666665"/>
    <n v="0"/>
    <m/>
  </r>
  <r>
    <x v="0"/>
    <n v="1"/>
    <n v="41114"/>
    <n v="41114"/>
    <n v="43011"/>
    <s v="No"/>
    <m/>
    <m/>
    <x v="0"/>
    <m/>
    <n v="415421"/>
    <x v="23"/>
    <s v="Isabelle"/>
    <s v="Znowski"/>
    <x v="252"/>
    <d v="2014-09-05T00:00:00"/>
    <n v="8.9637234770705003"/>
    <n v="3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HI"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0"/>
    <n v="1"/>
    <n v="41114"/>
    <n v="41114"/>
    <n v="43011"/>
    <s v="No"/>
    <m/>
    <m/>
    <x v="0"/>
    <m/>
    <n v="410111"/>
    <x v="23"/>
    <s v="Jaidan"/>
    <s v="Young"/>
    <x v="253"/>
    <d v="2014-05-16T00:00:00"/>
    <n v="9.2703627652292955"/>
    <n v="4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SLCD"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0"/>
    <n v="1"/>
    <n v="41114"/>
    <n v="41114"/>
    <n v="43011"/>
    <s v="No"/>
    <m/>
    <m/>
    <x v="0"/>
    <m/>
    <n v="402927"/>
    <x v="23"/>
    <s v="Kyle"/>
    <s v="Brown"/>
    <x v="254"/>
    <d v="2012-01-09T00:00:00"/>
    <n v="11.619438740588638"/>
    <n v="6"/>
    <n v="872"/>
    <n v="872"/>
    <d v="2023-04-01T00:00:00"/>
    <n v="1"/>
    <d v="2023-07-21T00:00:00"/>
    <n v="63"/>
    <n v="63"/>
    <n v="0.328125"/>
    <s v="Yr 6"/>
    <n v="29"/>
    <m/>
    <m/>
    <x v="0"/>
    <x v="0"/>
    <x v="0"/>
    <s v="NO"/>
    <s v="NO"/>
    <s v="NO"/>
    <s v="NO"/>
    <m/>
    <n v="7710.33"/>
    <s v="SEMH"/>
    <n v="1"/>
    <n v="0.328125"/>
    <n v="2529.9520312499999"/>
    <n v="2529.9520312499999"/>
    <n v="2529.9520312499999"/>
    <n v="2529.9520312499999"/>
    <n v="2529.9520312499999"/>
    <m/>
    <m/>
    <e v="#N/A"/>
    <s v="Oak Tree"/>
    <e v="#N/A"/>
    <s v="Y"/>
    <n v="5140.22"/>
    <n v="0"/>
    <n v="2529.9520312499999"/>
    <s v="Name Oak Tree "/>
    <s v="WBC Spec"/>
    <m/>
    <m/>
    <s v="Name Oak Tree "/>
    <m/>
    <n v="29"/>
    <n v="7710.33"/>
    <m/>
    <s v="Y"/>
    <m/>
    <n v="5100.0620312500005"/>
    <n v="7630.0140625000004"/>
    <n v="5100.0620312500005"/>
    <s v="remove"/>
    <m/>
    <m/>
    <m/>
    <m/>
    <m/>
    <n v="7630.0140625000004"/>
    <m/>
    <n v="0"/>
    <n v="5100.0620312500005"/>
    <m/>
    <n v="7630.0140625000004"/>
    <n v="0"/>
    <m/>
  </r>
  <r>
    <x v="0"/>
    <n v="1"/>
    <n v="41114"/>
    <n v="41114"/>
    <n v="43011"/>
    <s v="No"/>
    <m/>
    <m/>
    <x v="0"/>
    <m/>
    <n v="407255"/>
    <x v="23"/>
    <s v="Kyle"/>
    <s v="Craker"/>
    <x v="255"/>
    <d v="2013-04-18T00:00:00"/>
    <n v="10.346338124572211"/>
    <n v="5"/>
    <n v="872"/>
    <n v="872"/>
    <d v="2023-04-01T00:00:00"/>
    <n v="1"/>
    <d v="2024-03-31T00:00:00"/>
    <n v="192"/>
    <n v="192"/>
    <n v="1"/>
    <s v="open"/>
    <n v="27"/>
    <m/>
    <m/>
    <x v="0"/>
    <x v="0"/>
    <x v="0"/>
    <s v="NO"/>
    <s v="NO"/>
    <s v="NO"/>
    <s v="NO"/>
    <m/>
    <n v="6764.7899999999991"/>
    <s v="SLCD"/>
    <n v="1"/>
    <n v="1"/>
    <n v="6764.7899999999991"/>
    <n v="6764.7899999999991"/>
    <n v="6764.7899999999991"/>
    <n v="6764.7899999999991"/>
    <n v="6764.7899999999991"/>
    <m/>
    <m/>
    <e v="#N/A"/>
    <e v="#N/A"/>
    <e v="#N/A"/>
    <m/>
    <m/>
    <n v="0"/>
    <n v="6764.7899999999991"/>
    <s v=""/>
    <m/>
    <m/>
    <m/>
    <m/>
    <m/>
    <m/>
    <m/>
    <m/>
    <m/>
    <m/>
    <m/>
    <n v="6764.7899999999991"/>
    <m/>
    <m/>
    <m/>
    <m/>
    <m/>
    <m/>
    <m/>
    <n v="6764.7899999999991"/>
    <m/>
    <n v="0"/>
    <n v="0"/>
    <m/>
    <n v="6764.7899999999991"/>
    <n v="0"/>
    <m/>
  </r>
  <r>
    <x v="1"/>
    <n v="1"/>
    <n v="41114"/>
    <n v="41114"/>
    <n v="43011"/>
    <s v="No"/>
    <m/>
    <m/>
    <x v="0"/>
    <s v="AP"/>
    <n v="427162"/>
    <x v="23"/>
    <s v="Matthew"/>
    <s v="Wood"/>
    <x v="256"/>
    <d v="2012-01-25T00:00:00"/>
    <n v="11.575633127994525"/>
    <n v="6"/>
    <n v="872"/>
    <n v="872"/>
    <d v="2023-04-01T00:00:00"/>
    <n v="1"/>
    <d v="2023-07-21T00:00:00"/>
    <n v="63"/>
    <n v="63"/>
    <n v="1"/>
    <s v="Yr 6"/>
    <n v="15980"/>
    <m/>
    <m/>
    <x v="0"/>
    <x v="1"/>
    <x v="1"/>
    <s v="NO"/>
    <s v="NO"/>
    <s v="NO"/>
    <s v="NO"/>
    <m/>
    <n v="15980"/>
    <s v="SLD"/>
    <n v="1"/>
    <n v="1"/>
    <n v="15980"/>
    <n v="15980"/>
    <n v="15980"/>
    <n v="0"/>
    <n v="15980"/>
    <m/>
    <m/>
    <e v="#N/A"/>
    <e v="#N/A"/>
    <e v="#N/A"/>
    <m/>
    <m/>
    <n v="0"/>
    <n v="15980"/>
    <s v="Hamilton_MAT"/>
    <n v="43009"/>
    <m/>
    <m/>
    <m/>
    <m/>
    <n v="15980"/>
    <n v="15980"/>
    <m/>
    <m/>
    <m/>
    <n v="10570.104166666668"/>
    <n v="26550.104166666668"/>
    <m/>
    <m/>
    <n v="43009"/>
    <s v="Hamilton_MAT"/>
    <m/>
    <s v="17K pa"/>
    <m/>
    <n v="26550.104166666668"/>
    <m/>
    <n v="0"/>
    <n v="26550.104166666668"/>
    <m/>
    <n v="26550.104166666668"/>
    <n v="0"/>
    <m/>
  </r>
  <r>
    <x v="1"/>
    <n v="1"/>
    <n v="41114"/>
    <n v="41114"/>
    <n v="43011"/>
    <s v="No"/>
    <m/>
    <m/>
    <x v="0"/>
    <s v="AP"/>
    <n v="427162"/>
    <x v="23"/>
    <s v="Matthew"/>
    <s v="Wood"/>
    <x v="256"/>
    <d v="2012-01-25T00:00:00"/>
    <n v="11.575633127994525"/>
    <n v="6"/>
    <n v="872"/>
    <n v="872"/>
    <d v="2023-04-01T00:00:00"/>
    <n v="1"/>
    <d v="2023-07-21T00:00:00"/>
    <n v="63"/>
    <n v="63"/>
    <n v="2"/>
    <s v="Yr 6"/>
    <n v="240"/>
    <m/>
    <m/>
    <x v="2"/>
    <x v="1"/>
    <x v="2"/>
    <s v="NO"/>
    <s v="NO"/>
    <s v="NO"/>
    <s v="NO"/>
    <m/>
    <n v="240"/>
    <s v="SLD"/>
    <n v="1"/>
    <n v="1"/>
    <n v="240"/>
    <n v="240"/>
    <n v="0"/>
    <n v="0"/>
    <n v="0"/>
    <m/>
    <m/>
    <e v="#N/A"/>
    <e v="#N/A"/>
    <e v="#N/A"/>
    <m/>
    <m/>
    <m/>
    <n v="0"/>
    <m/>
    <m/>
    <m/>
    <m/>
    <m/>
    <m/>
    <m/>
    <m/>
    <m/>
    <m/>
    <m/>
    <m/>
    <n v="0"/>
    <m/>
    <m/>
    <m/>
    <m/>
    <m/>
    <m/>
    <m/>
    <n v="240"/>
    <s v="new additional provision"/>
    <n v="240"/>
    <n v="240"/>
    <m/>
    <n v="240"/>
    <n v="0"/>
    <m/>
  </r>
  <r>
    <x v="0"/>
    <n v="1"/>
    <n v="41114"/>
    <n v="41114"/>
    <n v="43011"/>
    <s v="No"/>
    <m/>
    <m/>
    <x v="0"/>
    <m/>
    <n v="427162"/>
    <x v="23"/>
    <s v="Matthew"/>
    <s v="Wood"/>
    <x v="256"/>
    <d v="2012-01-25T00:00:00"/>
    <n v="11.575633127994525"/>
    <n v="6"/>
    <n v="872"/>
    <n v="872"/>
    <d v="2023-04-18T00:00:00"/>
    <n v="2"/>
    <d v="2023-07-21T00:00:00"/>
    <n v="63"/>
    <n v="62"/>
    <n v="1"/>
    <s v="Yr 6"/>
    <n v="3345.75"/>
    <m/>
    <m/>
    <x v="0"/>
    <x v="1"/>
    <x v="1"/>
    <s v="NO"/>
    <s v="NO"/>
    <s v="NO"/>
    <s v="NO"/>
    <m/>
    <n v="3345.75"/>
    <s v="SLD"/>
    <n v="1"/>
    <n v="1"/>
    <n v="3345.75"/>
    <n v="3345.75"/>
    <n v="3345.75"/>
    <n v="0"/>
    <n v="3345.75"/>
    <s v="MNSTR SS?"/>
    <n v="7546.5"/>
    <e v="#N/A"/>
    <e v="#N/A"/>
    <e v="#N/A"/>
    <m/>
    <m/>
    <n v="0"/>
    <n v="3345.75"/>
    <s v="Hamilton_MAT"/>
    <n v="43009"/>
    <m/>
    <m/>
    <m/>
    <m/>
    <n v="3345.75"/>
    <n v="3345.75"/>
    <m/>
    <s v="Y"/>
    <m/>
    <n v="2213.07421875"/>
    <n v="5558.82421875"/>
    <m/>
    <m/>
    <n v="43009"/>
    <s v="Hamilton_MAT"/>
    <m/>
    <m/>
    <m/>
    <n v="5558.82421875"/>
    <m/>
    <n v="0"/>
    <n v="5558.82421875"/>
    <m/>
    <n v="5558.82421875"/>
    <n v="0"/>
    <m/>
  </r>
  <r>
    <x v="0"/>
    <n v="1"/>
    <n v="41114"/>
    <n v="41114"/>
    <n v="43011"/>
    <s v="No"/>
    <m/>
    <m/>
    <x v="0"/>
    <m/>
    <n v="401593"/>
    <x v="23"/>
    <s v="Polly"/>
    <s v="Young"/>
    <x v="257"/>
    <d v="2012-02-06T00:00:00"/>
    <n v="11.542778918548938"/>
    <n v="6"/>
    <n v="872"/>
    <n v="872"/>
    <d v="2023-04-01T00:00:00"/>
    <n v="1"/>
    <d v="2023-07-21T00:00:00"/>
    <n v="63"/>
    <n v="63"/>
    <n v="0.328125"/>
    <s v="Yr 6"/>
    <n v="22"/>
    <m/>
    <m/>
    <x v="1"/>
    <x v="1"/>
    <x v="0"/>
    <s v="NO"/>
    <s v="NO"/>
    <s v="NO"/>
    <s v="NO"/>
    <m/>
    <n v="4400.9399999999987"/>
    <s v="OD"/>
    <n v="1"/>
    <n v="0.328125"/>
    <n v="1444.0584374999996"/>
    <n v="1444.0584374999996"/>
    <n v="1444.0584374999996"/>
    <n v="1444.0584374999996"/>
    <n v="1444.0584374999996"/>
    <m/>
    <m/>
    <e v="#N/A"/>
    <s v="ME MAT"/>
    <e v="#N/A"/>
    <m/>
    <m/>
    <n v="0"/>
    <n v="1444.0584374999996"/>
    <s v="Maiden Erlegh -Funding Approved"/>
    <s v="WBC Academy"/>
    <n v="43012"/>
    <m/>
    <s v="Maiden Erlegh -Funding Approved"/>
    <m/>
    <n v="22"/>
    <n v="4400.9399999999987"/>
    <m/>
    <s v="Y"/>
    <m/>
    <n v="2911.038437499999"/>
    <n v="4355.0968749999984"/>
    <m/>
    <m/>
    <m/>
    <m/>
    <m/>
    <m/>
    <m/>
    <n v="4355.0968749999984"/>
    <m/>
    <n v="0"/>
    <n v="2911.0384374999985"/>
    <m/>
    <n v="4355.0968749999984"/>
    <n v="0"/>
    <m/>
  </r>
  <r>
    <x v="0"/>
    <n v="1"/>
    <n v="41114"/>
    <n v="41114"/>
    <n v="43011"/>
    <s v="No"/>
    <m/>
    <m/>
    <x v="0"/>
    <m/>
    <n v="416742"/>
    <x v="23"/>
    <s v="Rose"/>
    <s v="Lansley"/>
    <x v="258"/>
    <d v="2012-06-30T00:00:00"/>
    <n v="11.145790554414784"/>
    <n v="6"/>
    <n v="872"/>
    <n v="872"/>
    <d v="2023-04-01T00:00:00"/>
    <n v="1"/>
    <d v="2023-07-21T00:00:00"/>
    <n v="63"/>
    <n v="63"/>
    <n v="0.328125"/>
    <s v="Yr 6"/>
    <n v="30"/>
    <m/>
    <m/>
    <x v="0"/>
    <x v="0"/>
    <x v="0"/>
    <s v="NO"/>
    <s v="NO"/>
    <s v="NO"/>
    <s v="NO"/>
    <m/>
    <n v="8183.0999999999985"/>
    <s v="ASD"/>
    <n v="1"/>
    <n v="0.328125"/>
    <n v="2685.0796874999996"/>
    <n v="2685.0796874999996"/>
    <n v="2685.0796874999996"/>
    <n v="2685.0796874999996"/>
    <n v="2685.0796874999996"/>
    <m/>
    <m/>
    <e v="#N/A"/>
    <s v="CWA"/>
    <e v="#N/A"/>
    <m/>
    <m/>
    <n v="0"/>
    <n v="2685.0796874999996"/>
    <s v="Name CWA -Continue search with PP "/>
    <s v="special"/>
    <m/>
    <m/>
    <s v="Name CWA -Continue search with PP "/>
    <m/>
    <n v="30"/>
    <n v="8183.0999999999985"/>
    <m/>
    <s v="Y"/>
    <m/>
    <n v="5412.7796874999985"/>
    <n v="8097.8593749999982"/>
    <n v="5412.7796874999985"/>
    <s v="remove"/>
    <m/>
    <m/>
    <m/>
    <m/>
    <m/>
    <n v="8097.8593749999982"/>
    <m/>
    <n v="0"/>
    <n v="5412.7796874999985"/>
    <m/>
    <n v="8097.8593749999982"/>
    <n v="0"/>
    <m/>
  </r>
  <r>
    <x v="0"/>
    <n v="1"/>
    <n v="41115"/>
    <n v="41115"/>
    <n v="43011"/>
    <s v="No"/>
    <m/>
    <m/>
    <x v="0"/>
    <m/>
    <n v="430000"/>
    <x v="24"/>
    <s v="Anish"/>
    <s v="Kashyap"/>
    <x v="259"/>
    <d v="2016-04-11T00:00:00"/>
    <n v="7.3648186173853523"/>
    <n v="2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SLCD"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0"/>
    <n v="1"/>
    <n v="41115"/>
    <n v="41115"/>
    <n v="43011"/>
    <s v="No"/>
    <m/>
    <m/>
    <x v="0"/>
    <m/>
    <n v="407686"/>
    <x v="24"/>
    <s v="Charlie"/>
    <s v="Hares"/>
    <x v="260"/>
    <d v="2013-01-22T00:00:00"/>
    <n v="10.581793292265571"/>
    <n v="5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SEMH"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0"/>
    <n v="1"/>
    <n v="41115"/>
    <n v="41115"/>
    <n v="43011"/>
    <s v="No"/>
    <m/>
    <m/>
    <x v="0"/>
    <m/>
    <n v="431187"/>
    <x v="24"/>
    <s v="John"/>
    <s v="Ibrahim"/>
    <x v="261"/>
    <d v="2016-02-11T00:00:00"/>
    <n v="7.529089664613279"/>
    <n v="2"/>
    <n v="872"/>
    <n v="872"/>
    <d v="2023-04-01T00:00:00"/>
    <n v="1"/>
    <d v="2024-03-31T00:00:00"/>
    <n v="192"/>
    <n v="192"/>
    <n v="1"/>
    <s v="open"/>
    <n v="28"/>
    <m/>
    <m/>
    <x v="0"/>
    <x v="0"/>
    <x v="0"/>
    <s v="NO"/>
    <s v="NO"/>
    <s v="NO"/>
    <s v="NO"/>
    <m/>
    <n v="7237.5599999999995"/>
    <s v="ASD"/>
    <n v="1"/>
    <n v="1"/>
    <n v="7237.5599999999995"/>
    <n v="7237.5599999999995"/>
    <n v="7237.5599999999995"/>
    <n v="7237.5599999999995"/>
    <n v="7237.5599999999995"/>
    <m/>
    <m/>
    <e v="#N/A"/>
    <e v="#N/A"/>
    <e v="#N/A"/>
    <m/>
    <m/>
    <n v="0"/>
    <n v="7237.5599999999995"/>
    <s v=""/>
    <m/>
    <m/>
    <m/>
    <m/>
    <m/>
    <m/>
    <m/>
    <m/>
    <m/>
    <m/>
    <m/>
    <n v="7237.5599999999995"/>
    <m/>
    <m/>
    <m/>
    <m/>
    <m/>
    <m/>
    <m/>
    <n v="7237.5599999999995"/>
    <m/>
    <n v="0"/>
    <n v="0"/>
    <m/>
    <n v="7237.5599999999995"/>
    <n v="0"/>
    <m/>
  </r>
  <r>
    <x v="0"/>
    <n v="1"/>
    <n v="41115"/>
    <n v="41115"/>
    <n v="43011"/>
    <s v="No"/>
    <m/>
    <m/>
    <x v="0"/>
    <m/>
    <n v="428996"/>
    <x v="24"/>
    <s v="Lilly"/>
    <s v="Forte"/>
    <x v="262"/>
    <d v="2016-05-06T00:00:00"/>
    <n v="7.2963723477070497"/>
    <n v="2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SLCD"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1"/>
    <n v="1"/>
    <n v="41115"/>
    <n v="41115"/>
    <n v="43011"/>
    <s v="No"/>
    <m/>
    <m/>
    <x v="0"/>
    <s v="AD"/>
    <n v="428996"/>
    <x v="24"/>
    <s v="Lilly"/>
    <s v="Forte"/>
    <x v="262"/>
    <d v="2016-05-06T00:00:00"/>
    <n v="7.2963723477070497"/>
    <n v="2"/>
    <n v="872"/>
    <n v="872"/>
    <d v="2023-04-01T00:00:00"/>
    <n v="1"/>
    <d v="2023-07-21T00:00:00"/>
    <n v="63"/>
    <n v="63"/>
    <n v="1"/>
    <d v="2023-07-21T00:00:00"/>
    <n v="2080"/>
    <m/>
    <m/>
    <x v="0"/>
    <x v="1"/>
    <x v="1"/>
    <s v="NO"/>
    <s v="NO"/>
    <s v="NO"/>
    <s v="NO"/>
    <m/>
    <n v="2080"/>
    <s v="SLCD"/>
    <n v="1"/>
    <n v="1"/>
    <n v="2080"/>
    <n v="2080"/>
    <n v="2080"/>
    <n v="0"/>
    <n v="2080"/>
    <m/>
    <m/>
    <e v="#N/A"/>
    <e v="#N/A"/>
    <e v="#N/A"/>
    <m/>
    <m/>
    <n v="0"/>
    <n v="2080"/>
    <s v=""/>
    <m/>
    <m/>
    <m/>
    <m/>
    <m/>
    <n v="2080"/>
    <n v="2080"/>
    <m/>
    <m/>
    <m/>
    <n v="1375.8333333333335"/>
    <n v="3455.8333333333335"/>
    <m/>
    <m/>
    <m/>
    <m/>
    <m/>
    <m/>
    <m/>
    <n v="3455.8333333333335"/>
    <m/>
    <n v="0"/>
    <n v="3455.8333333333335"/>
    <m/>
    <n v="3455.8333333333335"/>
    <n v="0"/>
    <m/>
  </r>
  <r>
    <x v="0"/>
    <n v="1"/>
    <n v="41116"/>
    <n v="41116"/>
    <n v="43012"/>
    <s v="No"/>
    <s v="Y"/>
    <m/>
    <x v="0"/>
    <m/>
    <n v="418259"/>
    <x v="25"/>
    <s v="Amelia"/>
    <s v="Satchell-Shaw"/>
    <x v="263"/>
    <d v="2014-09-12T00:00:00"/>
    <n v="8.944558521560575"/>
    <n v="3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OD"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0"/>
    <n v="1"/>
    <n v="41116"/>
    <n v="41116"/>
    <n v="43012"/>
    <s v="No"/>
    <s v="Y"/>
    <m/>
    <x v="0"/>
    <m/>
    <n v="430956"/>
    <x v="25"/>
    <s v="Daniel"/>
    <s v="Munday"/>
    <x v="264"/>
    <d v="2016-06-15T00:00:00"/>
    <n v="7.1868583162217661"/>
    <n v="2"/>
    <n v="872"/>
    <n v="872"/>
    <d v="2023-04-01T00:00:00"/>
    <n v="1"/>
    <d v="2024-03-31T00:00:00"/>
    <n v="192"/>
    <n v="192"/>
    <n v="1"/>
    <s v="open"/>
    <n v="26"/>
    <m/>
    <m/>
    <x v="0"/>
    <x v="0"/>
    <x v="0"/>
    <s v="NO"/>
    <s v="NO"/>
    <s v="NO"/>
    <s v="NO"/>
    <m/>
    <n v="6292.02"/>
    <s v="SLCD"/>
    <n v="1"/>
    <n v="1"/>
    <n v="6292.02"/>
    <n v="6292.02"/>
    <n v="6292.02"/>
    <n v="6292.02"/>
    <n v="6292.02"/>
    <m/>
    <m/>
    <e v="#N/A"/>
    <e v="#N/A"/>
    <e v="#N/A"/>
    <m/>
    <m/>
    <n v="0"/>
    <n v="6292.02"/>
    <s v=""/>
    <m/>
    <m/>
    <m/>
    <m/>
    <m/>
    <m/>
    <m/>
    <m/>
    <m/>
    <m/>
    <m/>
    <n v="6292.02"/>
    <m/>
    <m/>
    <m/>
    <m/>
    <m/>
    <m/>
    <m/>
    <n v="6292.02"/>
    <m/>
    <n v="0"/>
    <n v="0"/>
    <m/>
    <n v="6292.02"/>
    <n v="0"/>
    <m/>
  </r>
  <r>
    <x v="0"/>
    <n v="1"/>
    <n v="41116"/>
    <n v="41116"/>
    <n v="43012"/>
    <s v="No"/>
    <s v="Y"/>
    <m/>
    <x v="0"/>
    <m/>
    <n v="400441"/>
    <x v="25"/>
    <s v="Florence"/>
    <s v="Newman-Shepherd"/>
    <x v="265"/>
    <d v="2011-10-28T00:00:00"/>
    <n v="11.819301848049282"/>
    <n v="6"/>
    <n v="872"/>
    <n v="872"/>
    <d v="2023-04-01T00:00:00"/>
    <n v="1"/>
    <d v="2023-07-21T00:00:00"/>
    <n v="63"/>
    <n v="63"/>
    <n v="0.328125"/>
    <s v="Yr 6"/>
    <n v="30"/>
    <m/>
    <m/>
    <x v="0"/>
    <x v="0"/>
    <x v="0"/>
    <s v="NO"/>
    <s v="NO"/>
    <s v="NO"/>
    <s v="NO"/>
    <m/>
    <n v="8183.0999999999985"/>
    <s v="MDI"/>
    <n v="1"/>
    <n v="0.328125"/>
    <n v="2685.0796874999996"/>
    <n v="2685.0796874999996"/>
    <n v="2685.0796874999996"/>
    <n v="2685.0796874999996"/>
    <n v="2685.0796874999996"/>
    <m/>
    <m/>
    <e v="#N/A"/>
    <s v="Edgebarrow"/>
    <e v="#N/A"/>
    <m/>
    <m/>
    <n v="0"/>
    <n v="2685.0796874999996"/>
    <s v="Edgabrrow School "/>
    <s v="OOBsMnstr"/>
    <n v="43013"/>
    <m/>
    <s v="Edgabrrow School "/>
    <m/>
    <n v="30"/>
    <n v="8183.0999999999985"/>
    <m/>
    <s v="Y"/>
    <m/>
    <n v="5412.7796874999985"/>
    <n v="8097.8593749999982"/>
    <m/>
    <m/>
    <m/>
    <m/>
    <m/>
    <m/>
    <m/>
    <n v="8097.8593749999982"/>
    <m/>
    <n v="0"/>
    <n v="5412.7796874999985"/>
    <m/>
    <n v="8097.8593749999982"/>
    <n v="0"/>
    <m/>
  </r>
  <r>
    <x v="0"/>
    <n v="1"/>
    <n v="41116"/>
    <n v="41116"/>
    <n v="43012"/>
    <s v="No"/>
    <s v="Y"/>
    <m/>
    <x v="0"/>
    <m/>
    <n v="397165"/>
    <x v="25"/>
    <s v="Imogen"/>
    <s v="Evered"/>
    <x v="266"/>
    <d v="2012-02-20T00:00:00"/>
    <n v="11.504449007529089"/>
    <n v="6"/>
    <n v="872"/>
    <n v="872"/>
    <d v="2023-04-01T00:00:00"/>
    <n v="1"/>
    <d v="2023-07-21T00:00:00"/>
    <n v="63"/>
    <n v="63"/>
    <n v="0.328125"/>
    <s v="Yr 6"/>
    <n v="28"/>
    <m/>
    <m/>
    <x v="0"/>
    <x v="0"/>
    <x v="0"/>
    <s v="NO"/>
    <s v="NO"/>
    <s v="NO"/>
    <s v="NO"/>
    <m/>
    <n v="7237.5599999999995"/>
    <s v="HI"/>
    <n v="1"/>
    <n v="0.328125"/>
    <n v="2374.8243749999997"/>
    <n v="2374.8243749999997"/>
    <n v="2374.8243749999997"/>
    <n v="2374.8243749999997"/>
    <n v="2374.8243749999997"/>
    <m/>
    <m/>
    <e v="#N/A"/>
    <s v="Edgebarrow"/>
    <e v="#N/A"/>
    <m/>
    <m/>
    <n v="0"/>
    <n v="2374.8243749999997"/>
    <s v="Edgbarrow School"/>
    <s v="OOBsMnstr"/>
    <n v="43013"/>
    <m/>
    <s v="Edgbarrow School"/>
    <m/>
    <n v="28"/>
    <n v="7237.5599999999995"/>
    <m/>
    <s v="Y"/>
    <m/>
    <n v="4787.3443749999997"/>
    <n v="7162.1687499999989"/>
    <m/>
    <m/>
    <m/>
    <m/>
    <m/>
    <m/>
    <m/>
    <n v="7162.1687499999989"/>
    <m/>
    <n v="0"/>
    <n v="4787.3443749999988"/>
    <m/>
    <n v="7162.1687499999989"/>
    <n v="0"/>
    <s v="OOB Edgebarrow from 9/23"/>
  </r>
  <r>
    <x v="0"/>
    <n v="1"/>
    <n v="41116"/>
    <n v="41116"/>
    <n v="43012"/>
    <s v="No"/>
    <s v="Y"/>
    <m/>
    <x v="0"/>
    <m/>
    <n v="444878"/>
    <x v="25"/>
    <s v="Jack"/>
    <s v="Adlam"/>
    <x v="267"/>
    <d v="2018-10-27T00:00:00"/>
    <n v="4.8213552361396301"/>
    <n v="-1"/>
    <n v="872"/>
    <n v="872"/>
    <d v="2023-09-04T00:00:00"/>
    <n v="1"/>
    <d v="2024-03-31T00:00:00"/>
    <n v="63"/>
    <n v="63"/>
    <n v="0.328125"/>
    <s v="open"/>
    <n v="30"/>
    <m/>
    <m/>
    <x v="0"/>
    <x v="0"/>
    <x v="0"/>
    <s v="NO"/>
    <s v="NO"/>
    <s v="NO"/>
    <s v="NO"/>
    <m/>
    <n v="8183.0999999999985"/>
    <m/>
    <n v="1"/>
    <n v="0.328125"/>
    <n v="2685.0796874999996"/>
    <n v="2685.0796874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85.0796874999996"/>
    <n v="2685.0796874999996"/>
    <s v="new provision"/>
  </r>
  <r>
    <x v="0"/>
    <n v="1"/>
    <n v="41117"/>
    <n v="41117"/>
    <n v="43011"/>
    <s v="No"/>
    <m/>
    <m/>
    <x v="0"/>
    <m/>
    <n v="400500"/>
    <x v="26"/>
    <s v="Abbie"/>
    <s v="Shakespeare"/>
    <x v="268"/>
    <d v="2012-04-01T00:00:00"/>
    <n v="11.392197125256674"/>
    <n v="6"/>
    <n v="872"/>
    <n v="872"/>
    <d v="2023-04-01T00:00:00"/>
    <n v="1"/>
    <d v="2023-07-21T00:00:00"/>
    <n v="63"/>
    <n v="63"/>
    <n v="0.328125"/>
    <s v="Yr 6"/>
    <n v="22"/>
    <m/>
    <m/>
    <x v="1"/>
    <x v="1"/>
    <x v="0"/>
    <s v="NO"/>
    <s v="NO"/>
    <s v="NO"/>
    <s v="NO"/>
    <m/>
    <n v="4400.9399999999987"/>
    <s v="ASD"/>
    <n v="1"/>
    <n v="0.328125"/>
    <n v="1444.0584374999996"/>
    <n v="1444.0584374999996"/>
    <n v="1444.0584374999996"/>
    <n v="1444.0584374999996"/>
    <n v="1444.0584374999996"/>
    <m/>
    <m/>
    <e v="#N/A"/>
    <s v="The Bulmersh"/>
    <e v="#N/A"/>
    <m/>
    <m/>
    <n v="0"/>
    <n v="1444.0584374999996"/>
    <s v="The Bulmershe"/>
    <s v="WBC Academy"/>
    <n v="43012"/>
    <m/>
    <s v="The Bulmershe"/>
    <m/>
    <n v="22"/>
    <n v="4400.9399999999987"/>
    <m/>
    <s v="Y"/>
    <m/>
    <n v="2911.038437499999"/>
    <n v="4355.0968749999984"/>
    <m/>
    <m/>
    <m/>
    <m/>
    <m/>
    <m/>
    <m/>
    <n v="4355.0968749999984"/>
    <m/>
    <n v="0"/>
    <n v="2911.0384374999985"/>
    <m/>
    <n v="4355.0968749999984"/>
    <n v="0"/>
    <m/>
  </r>
  <r>
    <x v="1"/>
    <n v="1"/>
    <n v="41117"/>
    <n v="41117"/>
    <n v="43011"/>
    <s v="No"/>
    <m/>
    <m/>
    <x v="0"/>
    <m/>
    <n v="400500"/>
    <x v="26"/>
    <s v="Ali"/>
    <s v="Hamidi"/>
    <x v="269"/>
    <d v="2019-08-31T00:00:00"/>
    <n v="3.978097193702943"/>
    <n v="0"/>
    <n v="872"/>
    <n v="872"/>
    <d v="2023-09-04T00:00:00"/>
    <n v="66"/>
    <d v="2024-03-31T00:00:00"/>
    <n v="192"/>
    <n v="127"/>
    <n v="0.66145833333333337"/>
    <m/>
    <n v="25"/>
    <m/>
    <m/>
    <x v="1"/>
    <x v="1"/>
    <x v="0"/>
    <s v="NO"/>
    <s v="NO"/>
    <s v="NO"/>
    <s v="NO"/>
    <m/>
    <n v="5819.25"/>
    <m/>
    <n v="1"/>
    <n v="0.66145833333333337"/>
    <n v="3849.19140625"/>
    <n v="3849.19140625"/>
    <n v="3849.19140625"/>
    <n v="0"/>
    <n v="0"/>
    <m/>
    <m/>
    <m/>
    <m/>
    <m/>
    <m/>
    <m/>
    <n v="3849.19140625"/>
    <n v="3849.19140625"/>
    <m/>
    <m/>
    <m/>
    <m/>
    <s v="The Bulmershe"/>
    <m/>
    <n v="25"/>
    <n v="5819.25"/>
    <m/>
    <s v="Y"/>
    <m/>
    <m/>
    <n v="3849.19140625"/>
    <m/>
    <m/>
    <m/>
    <m/>
    <m/>
    <m/>
    <m/>
    <n v="3849.19140625"/>
    <m/>
    <n v="0"/>
    <n v="3849.19140625"/>
    <m/>
    <n v="3849.19140625"/>
    <n v="0"/>
    <m/>
  </r>
  <r>
    <x v="0"/>
    <n v="1"/>
    <n v="41117"/>
    <n v="41117"/>
    <n v="43011"/>
    <s v="No"/>
    <m/>
    <m/>
    <x v="0"/>
    <m/>
    <n v="409798"/>
    <x v="26"/>
    <s v="Anika"/>
    <s v="Ramprasad"/>
    <x v="270"/>
    <d v="2013-08-09T00:00:00"/>
    <n v="10.036960985626283"/>
    <n v="5"/>
    <n v="872"/>
    <n v="872"/>
    <d v="2023-04-01T00:00:00"/>
    <n v="1"/>
    <d v="2024-03-31T00:00:00"/>
    <n v="192"/>
    <n v="192"/>
    <n v="1"/>
    <s v="open"/>
    <n v="23"/>
    <m/>
    <m/>
    <x v="1"/>
    <x v="1"/>
    <x v="0"/>
    <s v="NO"/>
    <s v="NO"/>
    <s v="NO"/>
    <s v="NO"/>
    <m/>
    <n v="4873.7099999999991"/>
    <m/>
    <n v="1"/>
    <n v="1"/>
    <n v="4873.7099999999991"/>
    <n v="4873.7099999999991"/>
    <n v="4873.7099999999991"/>
    <n v="4873.7099999999991"/>
    <n v="4873.7099999999991"/>
    <m/>
    <m/>
    <e v="#N/A"/>
    <e v="#N/A"/>
    <e v="#N/A"/>
    <m/>
    <m/>
    <n v="0"/>
    <n v="4873.7099999999991"/>
    <s v=""/>
    <m/>
    <m/>
    <m/>
    <m/>
    <m/>
    <m/>
    <m/>
    <m/>
    <m/>
    <m/>
    <m/>
    <n v="4873.7099999999991"/>
    <m/>
    <m/>
    <m/>
    <m/>
    <m/>
    <m/>
    <m/>
    <n v="4873.7099999999991"/>
    <m/>
    <n v="0"/>
    <n v="0"/>
    <m/>
    <n v="4873.7099999999991"/>
    <n v="0"/>
    <m/>
  </r>
  <r>
    <x v="0"/>
    <n v="1"/>
    <n v="41117"/>
    <n v="41117"/>
    <n v="43011"/>
    <s v="No"/>
    <m/>
    <m/>
    <x v="0"/>
    <m/>
    <n v="415684"/>
    <x v="26"/>
    <s v="Charlotte"/>
    <s v="Inwards"/>
    <x v="271"/>
    <d v="2014-04-07T00:00:00"/>
    <n v="9.377138945927447"/>
    <n v="4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MLD"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0"/>
    <n v="1"/>
    <n v="41117"/>
    <n v="41117"/>
    <n v="43011"/>
    <s v="No"/>
    <m/>
    <m/>
    <x v="0"/>
    <m/>
    <n v="396011"/>
    <x v="26"/>
    <s v="Harry"/>
    <s v="Turner"/>
    <x v="272"/>
    <d v="2011-08-14T00:00:00"/>
    <n v="12.024640657084189"/>
    <n v="6"/>
    <n v="872"/>
    <n v="872"/>
    <d v="2023-04-01T00:00:00"/>
    <n v="1"/>
    <d v="2023-07-21T00:00:00"/>
    <n v="63"/>
    <n v="63"/>
    <n v="0.328125"/>
    <s v="Yr 6"/>
    <n v="30"/>
    <m/>
    <m/>
    <x v="0"/>
    <x v="0"/>
    <x v="0"/>
    <s v="NO"/>
    <s v="NO"/>
    <s v="NO"/>
    <s v="NO"/>
    <m/>
    <n v="8183.0999999999985"/>
    <s v="ASD"/>
    <n v="1"/>
    <n v="0.328125"/>
    <n v="2685.0796874999996"/>
    <n v="2685.0796874999996"/>
    <n v="2685.0796874999996"/>
    <n v="2685.0796874999996"/>
    <n v="2685.0796874999996"/>
    <m/>
    <m/>
    <e v="#N/A"/>
    <s v="ME MAT"/>
    <e v="#N/A"/>
    <m/>
    <m/>
    <n v="0"/>
    <n v="2685.0796874999996"/>
    <s v="Maiden Erlegh"/>
    <s v="WBC Academy"/>
    <n v="43012"/>
    <m/>
    <s v="Maiden Erlegh"/>
    <m/>
    <n v="30"/>
    <n v="8183.0999999999985"/>
    <m/>
    <s v="Y"/>
    <m/>
    <n v="5412.7796874999985"/>
    <n v="8097.8593749999982"/>
    <m/>
    <m/>
    <m/>
    <m/>
    <m/>
    <m/>
    <m/>
    <n v="8097.8593749999982"/>
    <m/>
    <n v="0"/>
    <n v="5412.7796874999985"/>
    <m/>
    <n v="8183.1"/>
    <n v="85.240625000002183"/>
    <s v="moving to Maiden Erlegh"/>
  </r>
  <r>
    <x v="0"/>
    <n v="1"/>
    <n v="41117"/>
    <n v="41117"/>
    <n v="43011"/>
    <s v="No"/>
    <m/>
    <m/>
    <x v="0"/>
    <m/>
    <n v="445918"/>
    <x v="26"/>
    <s v="Inaaya"/>
    <s v="Faraz"/>
    <x v="273"/>
    <d v="2014-07-24T00:00:00"/>
    <n v="9.0814510609171801"/>
    <n v="4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SEMH"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-5413.4353846153845"/>
    <n v="-13596.535384615383"/>
    <s v="provision end 2/7/23 moving to Addington"/>
  </r>
  <r>
    <x v="1"/>
    <n v="1"/>
    <n v="41117"/>
    <n v="41117"/>
    <n v="43011"/>
    <s v="No"/>
    <m/>
    <m/>
    <x v="0"/>
    <s v="AP"/>
    <n v="445918"/>
    <x v="26"/>
    <s v="Inaaya"/>
    <s v="Faraz"/>
    <x v="273"/>
    <d v="2014-07-24T00:00:00"/>
    <n v="9.0814510609171801"/>
    <n v="4"/>
    <n v="872"/>
    <n v="872"/>
    <d v="2023-04-01T00:00:00"/>
    <n v="1"/>
    <d v="2023-07-21T00:00:00"/>
    <n v="63"/>
    <n v="63"/>
    <n v="1"/>
    <d v="2023-07-21T00:00:00"/>
    <n v="30041.67"/>
    <m/>
    <m/>
    <x v="0"/>
    <x v="1"/>
    <x v="1"/>
    <s v="NO"/>
    <s v="NO"/>
    <s v="NO"/>
    <s v="NO"/>
    <m/>
    <n v="30041.67"/>
    <s v="SEMH"/>
    <n v="1"/>
    <n v="1"/>
    <n v="30041.67"/>
    <n v="30041.67"/>
    <n v="30041.67"/>
    <n v="10983.984375"/>
    <n v="30041.67"/>
    <m/>
    <m/>
    <e v="#N/A"/>
    <e v="#N/A"/>
    <e v="#N/A"/>
    <m/>
    <m/>
    <n v="0"/>
    <n v="30041.67"/>
    <s v=""/>
    <m/>
    <m/>
    <m/>
    <m/>
    <m/>
    <n v="30041.67"/>
    <n v="30041.67"/>
    <m/>
    <m/>
    <m/>
    <n v="19871.31296875"/>
    <n v="49912.982968750002"/>
    <m/>
    <m/>
    <m/>
    <m/>
    <m/>
    <m/>
    <m/>
    <n v="49912.982968750002"/>
    <m/>
    <n v="0"/>
    <n v="38928.998593750002"/>
    <m/>
    <n v="49912.982968750002"/>
    <n v="0"/>
    <m/>
  </r>
  <r>
    <x v="0"/>
    <n v="1"/>
    <n v="41117"/>
    <n v="41117"/>
    <n v="43011"/>
    <s v="No"/>
    <m/>
    <m/>
    <x v="0"/>
    <m/>
    <n v="436136"/>
    <x v="26"/>
    <s v="Ishan"/>
    <s v="Tudi"/>
    <x v="274"/>
    <d v="2017-10-22T00:00:00"/>
    <n v="5.8343600273785077"/>
    <n v="0"/>
    <n v="872"/>
    <n v="872"/>
    <d v="2023-04-24T00:00:00"/>
    <n v="7"/>
    <d v="2024-03-31T00:00:00"/>
    <n v="192"/>
    <n v="186"/>
    <n v="0.96875"/>
    <s v="open"/>
    <n v="30"/>
    <m/>
    <m/>
    <x v="0"/>
    <x v="0"/>
    <x v="0"/>
    <s v="NO"/>
    <s v="NO"/>
    <s v="NO"/>
    <s v="NO"/>
    <m/>
    <n v="8183.0999999999985"/>
    <s v="SEMH"/>
    <n v="1"/>
    <n v="0.96875"/>
    <n v="7927.3781249999984"/>
    <n v="7927.3781249999984"/>
    <n v="7927.3781249999984"/>
    <n v="0"/>
    <n v="7927.3781249999984"/>
    <m/>
    <m/>
    <e v="#N/A"/>
    <e v="#N/A"/>
    <e v="#N/A"/>
    <m/>
    <m/>
    <n v="0"/>
    <n v="7927.3781249999984"/>
    <s v=""/>
    <m/>
    <m/>
    <m/>
    <m/>
    <m/>
    <m/>
    <m/>
    <m/>
    <m/>
    <m/>
    <m/>
    <n v="7927.3781249999984"/>
    <m/>
    <m/>
    <m/>
    <m/>
    <m/>
    <m/>
    <m/>
    <n v="7927.3781249999984"/>
    <m/>
    <n v="0"/>
    <n v="7927.3781249999984"/>
    <m/>
    <n v="7927.3781249999984"/>
    <n v="0"/>
    <m/>
  </r>
  <r>
    <x v="0"/>
    <n v="1"/>
    <n v="41117"/>
    <n v="41117"/>
    <n v="43011"/>
    <s v="No"/>
    <m/>
    <m/>
    <x v="0"/>
    <m/>
    <n v="438131"/>
    <x v="26"/>
    <s v="Jason"/>
    <s v="Toci"/>
    <x v="275"/>
    <d v="2016-03-29T00:00:00"/>
    <n v="7.40041067761807"/>
    <n v="2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SEMH"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0"/>
    <n v="1"/>
    <n v="41117"/>
    <n v="41117"/>
    <n v="43011"/>
    <s v="No"/>
    <m/>
    <m/>
    <x v="0"/>
    <m/>
    <n v="413508"/>
    <x v="26"/>
    <s v="Jessica"/>
    <s v="Eitokpah"/>
    <x v="276"/>
    <d v="2014-07-23T00:00:00"/>
    <n v="9.0841889117043113"/>
    <n v="4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SLCD"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0"/>
    <n v="1"/>
    <n v="41117"/>
    <n v="41117"/>
    <n v="43011"/>
    <s v="No"/>
    <m/>
    <m/>
    <x v="0"/>
    <m/>
    <n v="409797"/>
    <x v="26"/>
    <s v="Madison"/>
    <s v="Pring"/>
    <x v="277"/>
    <d v="2013-06-14T00:00:00"/>
    <n v="10.190280629705681"/>
    <n v="5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MLD"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0"/>
    <n v="1"/>
    <n v="41117"/>
    <n v="41117"/>
    <n v="43011"/>
    <s v="No"/>
    <m/>
    <m/>
    <x v="0"/>
    <m/>
    <n v="422051"/>
    <x v="26"/>
    <s v="Max"/>
    <s v="Tracy"/>
    <x v="278"/>
    <d v="2015-08-09T00:00:00"/>
    <n v="8.038329911019849"/>
    <n v="3"/>
    <n v="872"/>
    <n v="872"/>
    <d v="2023-04-01T00:00:00"/>
    <n v="1"/>
    <d v="2024-03-31T00:00:00"/>
    <n v="192"/>
    <n v="192"/>
    <n v="1"/>
    <s v="open"/>
    <n v="22"/>
    <m/>
    <m/>
    <x v="1"/>
    <x v="1"/>
    <x v="0"/>
    <s v="NO"/>
    <s v="NO"/>
    <s v="NO"/>
    <s v="NO"/>
    <m/>
    <n v="4400.9399999999987"/>
    <s v="SLCD"/>
    <n v="1"/>
    <n v="1"/>
    <n v="4400.9399999999987"/>
    <n v="4400.9399999999987"/>
    <n v="4400.9399999999987"/>
    <n v="4400.9399999999987"/>
    <n v="4400.9399999999987"/>
    <m/>
    <m/>
    <e v="#N/A"/>
    <e v="#N/A"/>
    <e v="#N/A"/>
    <m/>
    <m/>
    <n v="0"/>
    <n v="4400.9399999999987"/>
    <s v=""/>
    <m/>
    <m/>
    <m/>
    <m/>
    <m/>
    <m/>
    <m/>
    <m/>
    <m/>
    <m/>
    <m/>
    <n v="4400.9399999999987"/>
    <m/>
    <m/>
    <m/>
    <m/>
    <m/>
    <m/>
    <m/>
    <n v="4400.9399999999987"/>
    <m/>
    <n v="0"/>
    <n v="0"/>
    <m/>
    <n v="4400.9399999999987"/>
    <n v="0"/>
    <m/>
  </r>
  <r>
    <x v="0"/>
    <n v="1"/>
    <n v="41117"/>
    <n v="41117"/>
    <n v="43011"/>
    <s v="No"/>
    <m/>
    <m/>
    <x v="0"/>
    <m/>
    <n v="402013"/>
    <x v="26"/>
    <s v="Megan"/>
    <s v="Wells"/>
    <x v="279"/>
    <d v="2012-02-15T00:00:00"/>
    <n v="11.518138261464751"/>
    <n v="6"/>
    <n v="872"/>
    <n v="872"/>
    <d v="2023-04-01T00:00:00"/>
    <n v="1"/>
    <d v="2023-07-21T00:00:00"/>
    <n v="63"/>
    <n v="63"/>
    <n v="0.328125"/>
    <s v="Yr 6"/>
    <n v="28"/>
    <m/>
    <m/>
    <x v="0"/>
    <x v="0"/>
    <x v="0"/>
    <s v="NO"/>
    <s v="NO"/>
    <s v="NO"/>
    <s v="NO"/>
    <m/>
    <n v="7237.5599999999995"/>
    <s v="ASD"/>
    <n v="1"/>
    <n v="0.328125"/>
    <n v="2374.8243749999997"/>
    <n v="2374.8243749999997"/>
    <n v="2374.8243749999997"/>
    <n v="2374.8243749999997"/>
    <n v="2374.8243749999997"/>
    <m/>
    <m/>
    <e v="#N/A"/>
    <s v="Oak Tree"/>
    <e v="#N/A"/>
    <s v="Y"/>
    <n v="4825.04"/>
    <n v="0"/>
    <n v="2374.8243749999997"/>
    <s v="Oak Tree "/>
    <s v="WBC Spec"/>
    <n v="43012"/>
    <m/>
    <s v="Oak Tree "/>
    <m/>
    <n v="28"/>
    <n v="7237.5599999999995"/>
    <m/>
    <s v="Y"/>
    <m/>
    <n v="4787.3443749999997"/>
    <n v="7162.1687499999989"/>
    <n v="4787.3443749999997"/>
    <s v="remove"/>
    <m/>
    <m/>
    <m/>
    <m/>
    <m/>
    <n v="7162.1687499999989"/>
    <m/>
    <n v="0"/>
    <n v="4787.3443749999988"/>
    <m/>
    <n v="7162.1687499999989"/>
    <n v="0"/>
    <m/>
  </r>
  <r>
    <x v="0"/>
    <n v="1"/>
    <n v="41117"/>
    <n v="41117"/>
    <n v="43011"/>
    <s v="No"/>
    <m/>
    <m/>
    <x v="0"/>
    <m/>
    <n v="413837"/>
    <x v="26"/>
    <s v="Nathan"/>
    <s v="Bull"/>
    <x v="280"/>
    <d v="2014-02-11T00:00:00"/>
    <n v="9.5277207392197134"/>
    <n v="4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SEMH"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0"/>
    <n v="1"/>
    <n v="41117"/>
    <n v="41117"/>
    <n v="43011"/>
    <s v="No"/>
    <m/>
    <m/>
    <x v="0"/>
    <m/>
    <n v="426912"/>
    <x v="26"/>
    <s v="Ryan"/>
    <s v="Neethling"/>
    <x v="281"/>
    <d v="2013-10-17T00:00:00"/>
    <n v="9.848049281314168"/>
    <n v="4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SEMH"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0"/>
    <n v="1"/>
    <n v="41117"/>
    <n v="41117"/>
    <n v="43011"/>
    <s v="No"/>
    <m/>
    <m/>
    <x v="0"/>
    <m/>
    <n v="451432"/>
    <x v="26"/>
    <s v="Sofia Lauren"/>
    <s v="Scurtu"/>
    <x v="282"/>
    <d v="2018-06-17T00:00:00"/>
    <n v="5.1827515400410675"/>
    <n v="0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m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0"/>
    <n v="1"/>
    <n v="41118"/>
    <n v="41118"/>
    <n v="43011"/>
    <s v="No"/>
    <s v="C"/>
    <m/>
    <x v="0"/>
    <m/>
    <n v="447468"/>
    <x v="27"/>
    <s v="Anay"/>
    <s v="Singh"/>
    <x v="283"/>
    <d v="2014-01-13T00:00:00"/>
    <n v="9.6071184120465443"/>
    <n v="4"/>
    <n v="872"/>
    <n v="872"/>
    <d v="2023-06-23T00:00:00"/>
    <n v="43"/>
    <d v="2024-03-31T00:00:00"/>
    <n v="192"/>
    <n v="150"/>
    <n v="0.78125"/>
    <s v="open"/>
    <n v="30"/>
    <m/>
    <m/>
    <x v="0"/>
    <x v="0"/>
    <x v="0"/>
    <s v="NO"/>
    <s v="NO"/>
    <s v="NO"/>
    <s v="NO"/>
    <m/>
    <n v="8183.0999999999985"/>
    <s v="ASD"/>
    <n v="1"/>
    <n v="0.78125"/>
    <n v="6393.0468749999991"/>
    <n v="6393.0468749999991"/>
    <n v="0"/>
    <n v="0"/>
    <n v="0"/>
    <m/>
    <m/>
    <e v="#N/A"/>
    <e v="#N/A"/>
    <e v="#N/A"/>
    <m/>
    <m/>
    <m/>
    <n v="0"/>
    <m/>
    <m/>
    <m/>
    <m/>
    <m/>
    <m/>
    <m/>
    <m/>
    <m/>
    <m/>
    <m/>
    <m/>
    <n v="0"/>
    <m/>
    <m/>
    <m/>
    <m/>
    <m/>
    <m/>
    <m/>
    <n v="6393.0468749999991"/>
    <s v="new provision"/>
    <n v="6393.0468749999991"/>
    <n v="6393.0468749999991"/>
    <m/>
    <n v="6393.0468749999991"/>
    <n v="0"/>
    <m/>
  </r>
  <r>
    <x v="0"/>
    <n v="1"/>
    <n v="41118"/>
    <n v="41118"/>
    <n v="43011"/>
    <s v="No"/>
    <s v="C"/>
    <m/>
    <x v="0"/>
    <m/>
    <n v="402164"/>
    <x v="27"/>
    <s v="Bethany"/>
    <s v="White"/>
    <x v="284"/>
    <d v="2012-10-20T00:00:00"/>
    <n v="10.839151266255989"/>
    <n v="5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ASD"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0"/>
    <n v="1"/>
    <n v="41118"/>
    <n v="41118"/>
    <n v="43011"/>
    <s v="No"/>
    <s v="C"/>
    <m/>
    <x v="0"/>
    <m/>
    <n v="411420"/>
    <x v="27"/>
    <s v="Florence"/>
    <s v="Mills"/>
    <x v="285"/>
    <d v="2013-11-13T00:00:00"/>
    <n v="9.7741273100616013"/>
    <n v="4"/>
    <n v="872"/>
    <n v="872"/>
    <d v="2023-04-01T00:00:00"/>
    <n v="1"/>
    <d v="2024-03-31T00:00:00"/>
    <n v="192"/>
    <n v="192"/>
    <n v="1"/>
    <s v="open"/>
    <n v="24"/>
    <m/>
    <m/>
    <x v="1"/>
    <x v="1"/>
    <x v="0"/>
    <s v="NO"/>
    <s v="NO"/>
    <s v="NO"/>
    <s v="NO"/>
    <m/>
    <n v="5346.48"/>
    <s v="ASD"/>
    <n v="1"/>
    <n v="1"/>
    <n v="5346.48"/>
    <n v="5346.48"/>
    <n v="5346.48"/>
    <n v="5346.48"/>
    <n v="5346.48"/>
    <m/>
    <m/>
    <e v="#N/A"/>
    <e v="#N/A"/>
    <e v="#N/A"/>
    <m/>
    <m/>
    <n v="0"/>
    <n v="5346.48"/>
    <s v=""/>
    <m/>
    <m/>
    <m/>
    <m/>
    <m/>
    <m/>
    <m/>
    <m/>
    <m/>
    <m/>
    <m/>
    <n v="5346.48"/>
    <m/>
    <m/>
    <m/>
    <m/>
    <m/>
    <m/>
    <m/>
    <n v="5346.48"/>
    <m/>
    <n v="0"/>
    <n v="0"/>
    <m/>
    <n v="5346.48"/>
    <n v="0"/>
    <m/>
  </r>
  <r>
    <x v="0"/>
    <n v="1"/>
    <n v="41118"/>
    <n v="41118"/>
    <n v="43011"/>
    <s v="No"/>
    <s v="C"/>
    <m/>
    <x v="0"/>
    <m/>
    <n v="439135"/>
    <x v="27"/>
    <s v="Frederick"/>
    <s v="Musto"/>
    <x v="286"/>
    <d v="2018-02-03T00:00:00"/>
    <n v="5.5496235455167691"/>
    <n v="0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m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0"/>
    <n v="1"/>
    <n v="41118"/>
    <n v="41118"/>
    <n v="43011"/>
    <s v="No"/>
    <s v="C"/>
    <m/>
    <x v="0"/>
    <m/>
    <n v="426418"/>
    <x v="27"/>
    <s v="Joseph"/>
    <s v="Dewis"/>
    <x v="287"/>
    <d v="2016-02-19T00:00:00"/>
    <n v="7.5071868583162216"/>
    <n v="2"/>
    <n v="872"/>
    <n v="872"/>
    <d v="2023-04-01T00:00:00"/>
    <n v="1"/>
    <d v="2024-03-31T00:00:00"/>
    <n v="192"/>
    <n v="192"/>
    <n v="1"/>
    <s v="open"/>
    <n v="23"/>
    <m/>
    <m/>
    <x v="1"/>
    <x v="1"/>
    <x v="0"/>
    <s v="NO"/>
    <s v="NO"/>
    <s v="NO"/>
    <s v="NO"/>
    <m/>
    <n v="4873.7099999999991"/>
    <s v="SEN supp no specialist assess"/>
    <n v="1"/>
    <n v="1"/>
    <n v="4873.7099999999991"/>
    <n v="4873.7099999999991"/>
    <n v="4873.7099999999991"/>
    <n v="4873.7099999999991"/>
    <n v="4873.7099999999991"/>
    <m/>
    <m/>
    <e v="#N/A"/>
    <e v="#N/A"/>
    <e v="#N/A"/>
    <m/>
    <m/>
    <n v="0"/>
    <n v="4873.7099999999991"/>
    <s v=""/>
    <m/>
    <m/>
    <m/>
    <m/>
    <m/>
    <m/>
    <m/>
    <m/>
    <m/>
    <m/>
    <m/>
    <n v="4873.7099999999991"/>
    <m/>
    <m/>
    <m/>
    <m/>
    <m/>
    <m/>
    <m/>
    <n v="4873.7099999999991"/>
    <m/>
    <n v="0"/>
    <n v="0"/>
    <m/>
    <n v="4873.7099999999991"/>
    <n v="0"/>
    <m/>
  </r>
  <r>
    <x v="0"/>
    <n v="1"/>
    <n v="41118"/>
    <n v="41118"/>
    <n v="43011"/>
    <s v="No"/>
    <s v="C"/>
    <m/>
    <x v="0"/>
    <m/>
    <n v="415763"/>
    <x v="27"/>
    <s v="Keiron"/>
    <s v="Shand-White"/>
    <x v="288"/>
    <d v="2014-11-04T00:00:00"/>
    <n v="8.7994524298425727"/>
    <n v="3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SEMH"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1"/>
    <n v="1"/>
    <n v="41118"/>
    <n v="41118"/>
    <n v="43011"/>
    <s v="No"/>
    <s v="C"/>
    <m/>
    <x v="0"/>
    <s v="AP"/>
    <n v="415763"/>
    <x v="27"/>
    <s v="Keiron"/>
    <s v="Shand-White"/>
    <x v="288"/>
    <d v="2014-11-04T00:00:00"/>
    <n v="8.7994524298425727"/>
    <n v="3"/>
    <n v="872"/>
    <n v="872"/>
    <d v="2023-04-01T00:00:00"/>
    <n v="1"/>
    <d v="2023-05-17T00:00:00"/>
    <n v="21"/>
    <n v="21"/>
    <n v="1"/>
    <d v="2023-05-17T00:00:00"/>
    <n v="5093"/>
    <m/>
    <m/>
    <x v="0"/>
    <x v="1"/>
    <x v="1"/>
    <s v="NO"/>
    <s v="NO"/>
    <s v="NO"/>
    <s v="NO"/>
    <m/>
    <n v="5093"/>
    <s v="SEMH"/>
    <n v="1"/>
    <n v="1"/>
    <n v="5093"/>
    <n v="5093"/>
    <n v="5093"/>
    <n v="0"/>
    <n v="5093"/>
    <m/>
    <m/>
    <e v="#N/A"/>
    <e v="#N/A"/>
    <e v="#N/A"/>
    <m/>
    <m/>
    <n v="0"/>
    <n v="5093"/>
    <s v=""/>
    <m/>
    <m/>
    <m/>
    <m/>
    <m/>
    <m/>
    <m/>
    <m/>
    <m/>
    <m/>
    <m/>
    <n v="5093"/>
    <m/>
    <m/>
    <m/>
    <m/>
    <m/>
    <m/>
    <m/>
    <n v="5093"/>
    <m/>
    <n v="0"/>
    <n v="5093"/>
    <m/>
    <n v="5093"/>
    <n v="0"/>
    <m/>
  </r>
  <r>
    <x v="0"/>
    <n v="1"/>
    <n v="41118"/>
    <n v="41118"/>
    <n v="43011"/>
    <s v="No"/>
    <s v="C"/>
    <m/>
    <x v="0"/>
    <m/>
    <n v="428838"/>
    <x v="27"/>
    <s v="Leo"/>
    <s v="Sindhu"/>
    <x v="289"/>
    <d v="2016-04-01T00:00:00"/>
    <n v="7.3921971252566738"/>
    <n v="2"/>
    <n v="872"/>
    <n v="872"/>
    <d v="2023-04-01T00:00:00"/>
    <n v="1"/>
    <d v="2024-03-31T00:00:00"/>
    <n v="192"/>
    <n v="192"/>
    <n v="1"/>
    <s v="open"/>
    <n v="21"/>
    <m/>
    <m/>
    <x v="1"/>
    <x v="1"/>
    <x v="0"/>
    <s v="NO"/>
    <s v="NO"/>
    <s v="NO"/>
    <s v="NO"/>
    <m/>
    <n v="3928.17"/>
    <s v="ASD"/>
    <n v="1"/>
    <n v="1"/>
    <n v="3928.17"/>
    <n v="3928.17"/>
    <n v="3928.17"/>
    <n v="3928.17"/>
    <n v="3928.17"/>
    <m/>
    <m/>
    <e v="#N/A"/>
    <e v="#N/A"/>
    <e v="#N/A"/>
    <m/>
    <m/>
    <n v="0"/>
    <n v="3928.17"/>
    <s v=""/>
    <m/>
    <m/>
    <m/>
    <m/>
    <m/>
    <m/>
    <m/>
    <m/>
    <m/>
    <m/>
    <m/>
    <n v="3928.17"/>
    <m/>
    <m/>
    <m/>
    <m/>
    <m/>
    <m/>
    <m/>
    <n v="3928.17"/>
    <m/>
    <n v="0"/>
    <n v="0"/>
    <m/>
    <n v="3928.17"/>
    <n v="0"/>
    <m/>
  </r>
  <r>
    <x v="0"/>
    <n v="1"/>
    <n v="41118"/>
    <n v="41118"/>
    <n v="43011"/>
    <s v="No"/>
    <s v="C"/>
    <m/>
    <x v="0"/>
    <m/>
    <n v="416602"/>
    <x v="27"/>
    <s v="Maya"/>
    <s v="John"/>
    <x v="290"/>
    <d v="2014-01-16T00:00:00"/>
    <n v="9.5989048596851472"/>
    <n v="4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ASD"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0"/>
    <n v="1"/>
    <n v="41118"/>
    <n v="41118"/>
    <n v="43011"/>
    <s v="No"/>
    <s v="C"/>
    <m/>
    <x v="0"/>
    <m/>
    <n v="418580"/>
    <x v="27"/>
    <s v="Owen"/>
    <s v="Dare"/>
    <x v="291"/>
    <d v="2014-11-07T00:00:00"/>
    <n v="8.7912388774811774"/>
    <n v="3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ASD"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0"/>
    <n v="1"/>
    <n v="41118"/>
    <n v="41118"/>
    <n v="43011"/>
    <s v="No"/>
    <s v="C"/>
    <m/>
    <x v="0"/>
    <m/>
    <n v="414009"/>
    <x v="27"/>
    <s v="Russell-James"/>
    <s v="Pike"/>
    <x v="292"/>
    <d v="2014-03-25T00:00:00"/>
    <n v="9.4127310061601648"/>
    <n v="4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ASD"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0"/>
    <n v="1"/>
    <n v="41118"/>
    <n v="41118"/>
    <n v="43011"/>
    <s v="No"/>
    <s v="C"/>
    <m/>
    <x v="0"/>
    <m/>
    <n v="401630"/>
    <x v="27"/>
    <s v="Theo"/>
    <s v="Wilkins"/>
    <x v="293"/>
    <d v="2012-10-26T00:00:00"/>
    <n v="10.822724161533197"/>
    <n v="5"/>
    <n v="872"/>
    <n v="872"/>
    <d v="2023-04-01T00:00:00"/>
    <n v="1"/>
    <d v="2024-03-31T00:00:00"/>
    <n v="192"/>
    <n v="192"/>
    <n v="1"/>
    <s v="open"/>
    <n v="26"/>
    <m/>
    <m/>
    <x v="0"/>
    <x v="0"/>
    <x v="0"/>
    <s v="NO"/>
    <s v="NO"/>
    <s v="NO"/>
    <s v="NO"/>
    <m/>
    <n v="6292.02"/>
    <s v="ASD"/>
    <n v="1"/>
    <n v="1"/>
    <n v="6292.02"/>
    <n v="6292.02"/>
    <n v="6292.02"/>
    <n v="6292.02"/>
    <n v="6292.02"/>
    <m/>
    <m/>
    <e v="#N/A"/>
    <e v="#N/A"/>
    <e v="#N/A"/>
    <m/>
    <m/>
    <n v="0"/>
    <n v="6292.02"/>
    <s v=""/>
    <m/>
    <m/>
    <m/>
    <m/>
    <m/>
    <m/>
    <m/>
    <m/>
    <m/>
    <m/>
    <m/>
    <n v="6292.02"/>
    <m/>
    <m/>
    <m/>
    <m/>
    <m/>
    <m/>
    <m/>
    <n v="6292.02"/>
    <m/>
    <n v="0"/>
    <n v="0"/>
    <m/>
    <n v="6292.02"/>
    <n v="0"/>
    <m/>
  </r>
  <r>
    <x v="0"/>
    <n v="1"/>
    <n v="41119"/>
    <n v="41119"/>
    <n v="43014"/>
    <s v="No"/>
    <m/>
    <s v="Y"/>
    <x v="0"/>
    <m/>
    <n v="419719"/>
    <x v="28"/>
    <s v="Benjamin"/>
    <s v="Norcutt"/>
    <x v="294"/>
    <d v="2015-01-14T00:00:00"/>
    <n v="8.605065023956195"/>
    <n v="3"/>
    <n v="872"/>
    <n v="872"/>
    <d v="2023-04-01T00:00:00"/>
    <n v="1"/>
    <d v="2024-03-31T00:00:00"/>
    <n v="192"/>
    <n v="192"/>
    <n v="1"/>
    <s v="open"/>
    <s v="HIGR_BAND4"/>
    <s v="HIGR_BAND4"/>
    <s v="BAND4"/>
    <x v="0"/>
    <x v="1"/>
    <x v="1"/>
    <s v="NO"/>
    <s v="YES"/>
    <s v="NO"/>
    <s v="NO"/>
    <n v="10152"/>
    <n v="10152"/>
    <s v="SLCD"/>
    <n v="1"/>
    <n v="1"/>
    <n v="10152"/>
    <n v="10152"/>
    <n v="10152"/>
    <n v="10152"/>
    <n v="10152"/>
    <m/>
    <m/>
    <e v="#N/A"/>
    <e v="#N/A"/>
    <e v="#N/A"/>
    <m/>
    <m/>
    <n v="0"/>
    <n v="10152"/>
    <s v=""/>
    <m/>
    <m/>
    <m/>
    <m/>
    <m/>
    <m/>
    <m/>
    <m/>
    <m/>
    <m/>
    <m/>
    <n v="10152"/>
    <m/>
    <m/>
    <m/>
    <m/>
    <m/>
    <m/>
    <m/>
    <n v="10152"/>
    <m/>
    <n v="0"/>
    <n v="0"/>
    <m/>
    <n v="10152"/>
    <n v="0"/>
    <m/>
  </r>
  <r>
    <x v="0"/>
    <n v="1"/>
    <n v="41119"/>
    <n v="41119"/>
    <n v="43014"/>
    <s v="No"/>
    <m/>
    <s v="Y"/>
    <x v="0"/>
    <m/>
    <n v="419753"/>
    <x v="28"/>
    <s v="Bethany"/>
    <s v="Turton"/>
    <x v="295"/>
    <d v="2015-12-24T00:00:00"/>
    <n v="7.6632443531827512"/>
    <n v="2"/>
    <n v="872"/>
    <n v="872"/>
    <d v="2023-04-01T00:00:00"/>
    <n v="1"/>
    <d v="2024-03-31T00:00:00"/>
    <n v="192"/>
    <n v="192"/>
    <n v="1"/>
    <s v="open"/>
    <s v="HIGR_BAND4"/>
    <s v="HIGR_BAND4"/>
    <s v="BAND4"/>
    <x v="0"/>
    <x v="1"/>
    <x v="1"/>
    <s v="NO"/>
    <s v="YES"/>
    <s v="NO"/>
    <s v="NO"/>
    <n v="10152"/>
    <n v="10152"/>
    <s v="SLCD"/>
    <n v="1"/>
    <n v="1"/>
    <n v="10152"/>
    <n v="10152"/>
    <n v="10152"/>
    <n v="10152"/>
    <n v="10152"/>
    <m/>
    <m/>
    <e v="#N/A"/>
    <e v="#N/A"/>
    <e v="#N/A"/>
    <m/>
    <m/>
    <n v="0"/>
    <n v="10152"/>
    <s v=""/>
    <m/>
    <m/>
    <m/>
    <m/>
    <m/>
    <m/>
    <m/>
    <m/>
    <m/>
    <m/>
    <m/>
    <n v="10152"/>
    <m/>
    <m/>
    <m/>
    <m/>
    <m/>
    <m/>
    <m/>
    <n v="10152"/>
    <m/>
    <n v="0"/>
    <n v="0"/>
    <m/>
    <n v="10152"/>
    <n v="0"/>
    <m/>
  </r>
  <r>
    <x v="0"/>
    <n v="1"/>
    <n v="41119"/>
    <n v="41119"/>
    <n v="43014"/>
    <s v="No"/>
    <m/>
    <s v="Y"/>
    <x v="0"/>
    <m/>
    <n v="443161"/>
    <x v="28"/>
    <s v="Edward"/>
    <s v="Aston"/>
    <x v="296"/>
    <d v="2018-02-25T00:00:00"/>
    <n v="5.4893908281998627"/>
    <n v="0"/>
    <n v="872"/>
    <n v="872"/>
    <d v="2023-04-01T00:00:00"/>
    <n v="1"/>
    <d v="2024-03-31T00:00:00"/>
    <n v="192"/>
    <n v="192"/>
    <n v="1"/>
    <s v="open"/>
    <s v="HIGR_BAND4"/>
    <s v="HIGR_BAND4"/>
    <s v="BAND4"/>
    <x v="0"/>
    <x v="1"/>
    <x v="1"/>
    <s v="NO"/>
    <s v="YES"/>
    <s v="NO"/>
    <s v="NO"/>
    <n v="10152"/>
    <n v="10152"/>
    <s v="SLCD"/>
    <n v="1"/>
    <n v="1"/>
    <n v="10152"/>
    <n v="10152"/>
    <n v="10152"/>
    <n v="10152"/>
    <n v="10152"/>
    <m/>
    <m/>
    <e v="#N/A"/>
    <e v="#N/A"/>
    <e v="#N/A"/>
    <m/>
    <m/>
    <n v="0"/>
    <n v="10152"/>
    <s v=""/>
    <m/>
    <m/>
    <m/>
    <m/>
    <m/>
    <m/>
    <m/>
    <m/>
    <m/>
    <m/>
    <m/>
    <n v="10152"/>
    <m/>
    <m/>
    <m/>
    <m/>
    <m/>
    <m/>
    <m/>
    <n v="10152"/>
    <m/>
    <n v="0"/>
    <n v="0"/>
    <m/>
    <n v="10152"/>
    <n v="0"/>
    <m/>
  </r>
  <r>
    <x v="0"/>
    <n v="1"/>
    <n v="41119"/>
    <n v="41119"/>
    <n v="43014"/>
    <s v="No"/>
    <m/>
    <s v="Y"/>
    <x v="0"/>
    <m/>
    <n v="424099"/>
    <x v="28"/>
    <s v="Ella"/>
    <s v="Blowey"/>
    <x v="297"/>
    <d v="2015-05-15T00:00:00"/>
    <n v="8.2737850787132103"/>
    <n v="3"/>
    <n v="872"/>
    <n v="872"/>
    <d v="2023-04-01T00:00:00"/>
    <n v="1"/>
    <d v="2024-03-31T00:00:00"/>
    <n v="192"/>
    <n v="192"/>
    <n v="1"/>
    <s v="open"/>
    <s v="HIGR_BAND4"/>
    <s v="HIGR_BAND4"/>
    <s v="BAND4"/>
    <x v="0"/>
    <x v="1"/>
    <x v="1"/>
    <s v="NO"/>
    <s v="YES"/>
    <s v="NO"/>
    <s v="NO"/>
    <n v="10152"/>
    <n v="10152"/>
    <s v="SLCD"/>
    <n v="1"/>
    <n v="1"/>
    <n v="10152"/>
    <n v="10152"/>
    <n v="10152"/>
    <n v="10152"/>
    <n v="10152"/>
    <m/>
    <m/>
    <e v="#N/A"/>
    <e v="#N/A"/>
    <e v="#N/A"/>
    <m/>
    <m/>
    <n v="0"/>
    <n v="10152"/>
    <s v=""/>
    <m/>
    <m/>
    <m/>
    <m/>
    <m/>
    <m/>
    <m/>
    <m/>
    <m/>
    <m/>
    <m/>
    <n v="10152"/>
    <m/>
    <m/>
    <m/>
    <m/>
    <m/>
    <m/>
    <m/>
    <n v="10152"/>
    <m/>
    <n v="0"/>
    <n v="0"/>
    <m/>
    <n v="10152"/>
    <n v="0"/>
    <m/>
  </r>
  <r>
    <x v="1"/>
    <n v="1"/>
    <n v="41119"/>
    <n v="41119"/>
    <n v="43014"/>
    <s v="No"/>
    <m/>
    <s v="Y"/>
    <x v="0"/>
    <s v="AD"/>
    <n v="424099"/>
    <x v="28"/>
    <s v="Ella"/>
    <s v="Blowey"/>
    <x v="297"/>
    <d v="2015-05-15T00:00:00"/>
    <n v="8.2737850787132103"/>
    <n v="3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SLCD"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0"/>
    <n v="1"/>
    <n v="41119"/>
    <n v="41119"/>
    <n v="43014"/>
    <s v="No"/>
    <m/>
    <s v="Y"/>
    <x v="0"/>
    <m/>
    <n v="433325"/>
    <x v="28"/>
    <s v="Jefferson"/>
    <s v="Ortiz Barba"/>
    <x v="298"/>
    <d v="2012-06-19T00:00:00"/>
    <n v="11.175906913073238"/>
    <n v="6"/>
    <n v="872"/>
    <n v="872"/>
    <d v="2023-04-01T00:00:00"/>
    <n v="1"/>
    <d v="2023-07-21T00:00:00"/>
    <n v="63"/>
    <n v="63"/>
    <n v="0.328125"/>
    <s v="Yr 6"/>
    <s v="HIGR_BAND4"/>
    <s v="HIGR_BAND4"/>
    <s v="BAND4"/>
    <x v="0"/>
    <x v="1"/>
    <x v="1"/>
    <s v="NO"/>
    <s v="YES"/>
    <s v="NO"/>
    <s v="NO"/>
    <n v="10152"/>
    <n v="10152"/>
    <s v="SLCD"/>
    <n v="1"/>
    <n v="0.328125"/>
    <n v="3331.125"/>
    <n v="3331.125"/>
    <n v="3331.125"/>
    <n v="3331.125"/>
    <n v="3331.125"/>
    <m/>
    <m/>
    <e v="#N/A"/>
    <s v="The Bulmershe"/>
    <e v="#N/A"/>
    <m/>
    <m/>
    <n v="0"/>
    <n v="3331.125"/>
    <s v="The Bulmershe"/>
    <s v="WBC Academy"/>
    <n v="43012"/>
    <m/>
    <s v="The Bulmershe"/>
    <m/>
    <s v="HIGR_BAND4"/>
    <n v="10152"/>
    <m/>
    <s v="Y"/>
    <m/>
    <n v="6715.125"/>
    <n v="10046.25"/>
    <m/>
    <m/>
    <m/>
    <m/>
    <m/>
    <m/>
    <m/>
    <n v="10046.25"/>
    <m/>
    <n v="0"/>
    <n v="6715.125"/>
    <m/>
    <n v="10046.25"/>
    <n v="0"/>
    <m/>
  </r>
  <r>
    <x v="0"/>
    <n v="1"/>
    <n v="41119"/>
    <n v="41119"/>
    <n v="43014"/>
    <s v="No"/>
    <m/>
    <s v="Y"/>
    <x v="0"/>
    <m/>
    <n v="412277"/>
    <x v="28"/>
    <s v="Joseph"/>
    <s v="Cheshire"/>
    <x v="299"/>
    <d v="2013-09-04T00:00:00"/>
    <n v="9.9657768651608496"/>
    <n v="4"/>
    <n v="872"/>
    <n v="872"/>
    <d v="2023-04-01T00:00:00"/>
    <n v="1"/>
    <d v="2024-03-31T00:00:00"/>
    <n v="192"/>
    <n v="192"/>
    <n v="1"/>
    <s v="open"/>
    <s v="HIGR_BAND4"/>
    <s v="HIGR_BAND4"/>
    <s v="BAND4"/>
    <x v="0"/>
    <x v="1"/>
    <x v="1"/>
    <s v="NO"/>
    <s v="YES"/>
    <s v="NO"/>
    <s v="NO"/>
    <n v="10152"/>
    <n v="10152"/>
    <s v="SLCD"/>
    <n v="1"/>
    <n v="1"/>
    <n v="10152"/>
    <n v="10152"/>
    <n v="10152"/>
    <n v="10152"/>
    <n v="10152"/>
    <m/>
    <m/>
    <e v="#N/A"/>
    <e v="#N/A"/>
    <e v="#N/A"/>
    <m/>
    <m/>
    <n v="0"/>
    <n v="10152"/>
    <s v=""/>
    <m/>
    <m/>
    <m/>
    <m/>
    <m/>
    <m/>
    <m/>
    <m/>
    <m/>
    <m/>
    <m/>
    <n v="10152"/>
    <m/>
    <m/>
    <m/>
    <m/>
    <m/>
    <m/>
    <m/>
    <n v="10152"/>
    <m/>
    <n v="0"/>
    <n v="0"/>
    <m/>
    <n v="10152"/>
    <n v="0"/>
    <m/>
  </r>
  <r>
    <x v="0"/>
    <n v="1"/>
    <n v="41119"/>
    <n v="41119"/>
    <n v="43014"/>
    <s v="No"/>
    <m/>
    <s v="Y"/>
    <x v="0"/>
    <m/>
    <n v="426790"/>
    <x v="28"/>
    <s v="Kai"/>
    <s v="McAllister"/>
    <x v="300"/>
    <d v="2016-01-25T00:00:00"/>
    <n v="7.5756331279945242"/>
    <n v="2"/>
    <n v="872"/>
    <n v="872"/>
    <d v="2023-04-01T00:00:00"/>
    <n v="1"/>
    <d v="2024-03-31T00:00:00"/>
    <n v="192"/>
    <n v="192"/>
    <n v="1"/>
    <s v="open"/>
    <s v="HIGR_BAND4"/>
    <s v="HIGR_BAND4"/>
    <s v="BAND4"/>
    <x v="0"/>
    <x v="1"/>
    <x v="1"/>
    <s v="NO"/>
    <s v="YES"/>
    <s v="NO"/>
    <s v="NO"/>
    <n v="10152"/>
    <n v="10152"/>
    <s v="SLCD"/>
    <n v="1"/>
    <n v="1"/>
    <n v="10152"/>
    <n v="10152"/>
    <n v="10152"/>
    <n v="10152"/>
    <n v="10152"/>
    <m/>
    <m/>
    <e v="#N/A"/>
    <e v="#N/A"/>
    <e v="#N/A"/>
    <m/>
    <m/>
    <n v="0"/>
    <n v="10152"/>
    <s v=""/>
    <m/>
    <m/>
    <m/>
    <m/>
    <m/>
    <m/>
    <m/>
    <m/>
    <m/>
    <m/>
    <m/>
    <n v="10152"/>
    <m/>
    <m/>
    <m/>
    <m/>
    <m/>
    <m/>
    <m/>
    <n v="10152"/>
    <m/>
    <n v="0"/>
    <n v="0"/>
    <m/>
    <n v="10152"/>
    <n v="0"/>
    <m/>
  </r>
  <r>
    <x v="0"/>
    <n v="1"/>
    <n v="41119"/>
    <n v="41119"/>
    <n v="43014"/>
    <s v="No"/>
    <m/>
    <s v="Y"/>
    <x v="0"/>
    <m/>
    <n v="431379"/>
    <x v="28"/>
    <s v="Selim"/>
    <s v="Topcu"/>
    <x v="301"/>
    <d v="2016-11-16T00:00:00"/>
    <n v="6.7652292950034223"/>
    <n v="1"/>
    <n v="872"/>
    <n v="872"/>
    <d v="2023-04-01T00:00:00"/>
    <n v="1"/>
    <d v="2024-03-31T00:00:00"/>
    <n v="192"/>
    <n v="192"/>
    <n v="1"/>
    <s v="open"/>
    <s v="HIGR_BAND4"/>
    <s v="HIGR_BAND4"/>
    <s v="BAND4"/>
    <x v="0"/>
    <x v="1"/>
    <x v="1"/>
    <s v="NO"/>
    <s v="YES"/>
    <s v="NO"/>
    <s v="NO"/>
    <n v="10152"/>
    <n v="10152"/>
    <s v="SLCD"/>
    <n v="1"/>
    <n v="1"/>
    <n v="10152"/>
    <n v="10152"/>
    <n v="10152"/>
    <n v="10152"/>
    <n v="10152"/>
    <m/>
    <m/>
    <e v="#N/A"/>
    <e v="#N/A"/>
    <e v="#N/A"/>
    <m/>
    <m/>
    <n v="0"/>
    <n v="10152"/>
    <s v=""/>
    <m/>
    <m/>
    <m/>
    <m/>
    <m/>
    <m/>
    <m/>
    <m/>
    <m/>
    <m/>
    <m/>
    <n v="10152"/>
    <m/>
    <m/>
    <m/>
    <m/>
    <m/>
    <m/>
    <m/>
    <n v="10152"/>
    <m/>
    <n v="0"/>
    <n v="0"/>
    <m/>
    <n v="10152"/>
    <n v="0"/>
    <m/>
  </r>
  <r>
    <x v="0"/>
    <n v="1"/>
    <n v="41119"/>
    <n v="41119"/>
    <n v="43014"/>
    <s v="No"/>
    <m/>
    <s v="Y"/>
    <x v="0"/>
    <m/>
    <n v="429449"/>
    <x v="28"/>
    <s v="Thomas"/>
    <s v="Yeomans"/>
    <x v="302"/>
    <d v="2016-05-18T00:00:00"/>
    <n v="7.2635181382614649"/>
    <n v="2"/>
    <n v="872"/>
    <n v="872"/>
    <d v="2023-04-01T00:00:00"/>
    <n v="1"/>
    <d v="2024-03-31T00:00:00"/>
    <n v="192"/>
    <n v="192"/>
    <n v="1"/>
    <s v="open"/>
    <s v="HIGR_BAND4"/>
    <s v="HIGR_BAND4"/>
    <s v="BAND4"/>
    <x v="0"/>
    <x v="1"/>
    <x v="1"/>
    <s v="NO"/>
    <s v="YES"/>
    <s v="NO"/>
    <s v="NO"/>
    <n v="10152"/>
    <n v="10152"/>
    <s v="SLCD"/>
    <n v="1"/>
    <n v="1"/>
    <n v="10152"/>
    <n v="10152"/>
    <n v="10152"/>
    <n v="10152"/>
    <n v="10152"/>
    <m/>
    <m/>
    <e v="#N/A"/>
    <e v="#N/A"/>
    <e v="#N/A"/>
    <m/>
    <m/>
    <n v="0"/>
    <n v="10152"/>
    <s v=""/>
    <m/>
    <m/>
    <m/>
    <m/>
    <m/>
    <m/>
    <m/>
    <m/>
    <m/>
    <m/>
    <m/>
    <n v="10152"/>
    <m/>
    <m/>
    <m/>
    <m/>
    <m/>
    <m/>
    <m/>
    <n v="10152"/>
    <m/>
    <n v="0"/>
    <n v="0"/>
    <m/>
    <n v="10152"/>
    <n v="0"/>
    <m/>
  </r>
  <r>
    <x v="0"/>
    <n v="1"/>
    <n v="41119"/>
    <n v="41119"/>
    <n v="43014"/>
    <s v="No"/>
    <m/>
    <s v="Y"/>
    <x v="0"/>
    <m/>
    <n v="412057"/>
    <x v="28"/>
    <s v="Tristan"/>
    <s v="Seymour"/>
    <x v="303"/>
    <d v="2013-12-30T00:00:00"/>
    <n v="9.6454483230663932"/>
    <n v="4"/>
    <n v="872"/>
    <n v="872"/>
    <d v="2023-04-01T00:00:00"/>
    <n v="1"/>
    <d v="2024-03-31T00:00:00"/>
    <n v="192"/>
    <n v="192"/>
    <n v="1"/>
    <s v="open"/>
    <s v="HIGR_BAND4"/>
    <s v="HIGR_BAND4"/>
    <s v="BAND4"/>
    <x v="0"/>
    <x v="1"/>
    <x v="1"/>
    <s v="NO"/>
    <s v="YES"/>
    <s v="NO"/>
    <s v="NO"/>
    <n v="10152"/>
    <n v="10152"/>
    <s v="SLCD"/>
    <n v="1"/>
    <n v="1"/>
    <n v="10152"/>
    <n v="10152"/>
    <n v="10152"/>
    <n v="10152"/>
    <n v="10152"/>
    <m/>
    <m/>
    <e v="#N/A"/>
    <e v="#N/A"/>
    <e v="#N/A"/>
    <m/>
    <m/>
    <n v="0"/>
    <n v="10152"/>
    <s v=""/>
    <m/>
    <m/>
    <m/>
    <m/>
    <m/>
    <m/>
    <m/>
    <m/>
    <m/>
    <m/>
    <m/>
    <n v="10152"/>
    <m/>
    <m/>
    <m/>
    <m/>
    <m/>
    <m/>
    <m/>
    <n v="10152"/>
    <m/>
    <n v="0"/>
    <n v="0"/>
    <m/>
    <n v="10152"/>
    <n v="0"/>
    <m/>
  </r>
  <r>
    <x v="1"/>
    <n v="1"/>
    <n v="41119"/>
    <n v="41119"/>
    <n v="43014"/>
    <s v="No"/>
    <m/>
    <s v="Y"/>
    <x v="0"/>
    <m/>
    <n v="419910"/>
    <x v="28"/>
    <s v="Zachary"/>
    <s v="Sparks"/>
    <x v="304"/>
    <d v="2015-07-16T00:00:00"/>
    <n v="8.1040383299110204"/>
    <n v="3"/>
    <n v="872"/>
    <n v="872"/>
    <d v="2023-04-01T00:00:00"/>
    <n v="1"/>
    <d v="2023-04-01T00:00:00"/>
    <n v="0"/>
    <n v="0"/>
    <n v="0"/>
    <s v="open"/>
    <s v="HIGR_BAND4"/>
    <s v="HIGR_BAND4"/>
    <s v="BAND4"/>
    <x v="0"/>
    <x v="1"/>
    <x v="1"/>
    <s v="NO"/>
    <s v="YES"/>
    <s v="NO"/>
    <s v="NO"/>
    <n v="10152"/>
    <n v="10152"/>
    <s v="SLCD"/>
    <n v="1"/>
    <n v="0"/>
    <n v="0"/>
    <n v="0"/>
    <n v="0"/>
    <n v="10152"/>
    <n v="0"/>
    <m/>
    <m/>
    <e v="#N/A"/>
    <e v="#N/A"/>
    <e v="#N/A"/>
    <m/>
    <m/>
    <n v="0"/>
    <n v="0"/>
    <s v=""/>
    <m/>
    <m/>
    <m/>
    <m/>
    <m/>
    <m/>
    <m/>
    <m/>
    <m/>
    <m/>
    <m/>
    <n v="0"/>
    <m/>
    <m/>
    <m/>
    <m/>
    <m/>
    <m/>
    <m/>
    <n v="0"/>
    <m/>
    <n v="0"/>
    <n v="-10152"/>
    <m/>
    <n v="0"/>
    <n v="0"/>
    <m/>
  </r>
  <r>
    <x v="0"/>
    <n v="1"/>
    <n v="41119"/>
    <n v="41119"/>
    <n v="43011"/>
    <s v="No"/>
    <m/>
    <m/>
    <x v="0"/>
    <m/>
    <n v="407177"/>
    <x v="28"/>
    <s v="Ahmad"/>
    <s v="Quraishi"/>
    <x v="305"/>
    <d v="2013-01-17T00:00:00"/>
    <n v="10.595482546201232"/>
    <n v="5"/>
    <n v="872"/>
    <n v="872"/>
    <d v="2023-04-01T00:00:00"/>
    <n v="1"/>
    <d v="2024-03-31T00:00:00"/>
    <n v="192"/>
    <n v="192"/>
    <n v="1"/>
    <s v="open"/>
    <n v="22"/>
    <m/>
    <m/>
    <x v="1"/>
    <x v="1"/>
    <x v="0"/>
    <s v="NO"/>
    <s v="NO"/>
    <s v="NO"/>
    <s v="NO"/>
    <m/>
    <n v="4400.9399999999987"/>
    <s v="ASD"/>
    <n v="1"/>
    <n v="1"/>
    <n v="4400.9399999999987"/>
    <n v="4400.9399999999987"/>
    <n v="4400.9399999999987"/>
    <n v="4400.9399999999987"/>
    <n v="4400.9399999999987"/>
    <m/>
    <m/>
    <e v="#N/A"/>
    <e v="#N/A"/>
    <e v="#N/A"/>
    <m/>
    <m/>
    <n v="0"/>
    <n v="4400.9399999999987"/>
    <s v=""/>
    <m/>
    <m/>
    <m/>
    <m/>
    <m/>
    <m/>
    <m/>
    <m/>
    <m/>
    <m/>
    <m/>
    <n v="4400.9399999999987"/>
    <m/>
    <m/>
    <m/>
    <m/>
    <m/>
    <m/>
    <m/>
    <n v="4400.9399999999987"/>
    <m/>
    <n v="0"/>
    <n v="0"/>
    <m/>
    <n v="4400.9399999999987"/>
    <n v="0"/>
    <m/>
  </r>
  <r>
    <x v="0"/>
    <n v="1"/>
    <n v="41119"/>
    <n v="41119"/>
    <n v="43011"/>
    <s v="No"/>
    <m/>
    <m/>
    <x v="0"/>
    <m/>
    <n v="435808"/>
    <x v="28"/>
    <s v="Alexander"/>
    <s v="Dalakov"/>
    <x v="306"/>
    <d v="2012-04-03T00:00:00"/>
    <n v="11.38672142368241"/>
    <n v="6"/>
    <n v="872"/>
    <n v="872"/>
    <d v="2023-04-01T00:00:00"/>
    <n v="1"/>
    <d v="2023-07-21T00:00:00"/>
    <n v="63"/>
    <n v="63"/>
    <n v="0.328125"/>
    <s v="Yr 6"/>
    <n v="25"/>
    <m/>
    <m/>
    <x v="1"/>
    <x v="1"/>
    <x v="0"/>
    <s v="NO"/>
    <s v="NO"/>
    <s v="NO"/>
    <s v="NO"/>
    <m/>
    <n v="5819.25"/>
    <s v="MLD"/>
    <n v="1"/>
    <n v="0.328125"/>
    <n v="1909.44140625"/>
    <n v="1909.44140625"/>
    <n v="1909.44140625"/>
    <n v="1909.44140625"/>
    <n v="1909.44140625"/>
    <m/>
    <m/>
    <e v="#N/A"/>
    <s v="Oak Tree"/>
    <e v="#N/A"/>
    <s v="Y"/>
    <n v="3879.5"/>
    <n v="0"/>
    <n v="1909.44140625"/>
    <s v="Name Oak Tree  on 14th Feb"/>
    <s v="WBC Spec"/>
    <m/>
    <m/>
    <s v="Name Oak Tree  on 14th Feb"/>
    <m/>
    <n v="25"/>
    <n v="5819.25"/>
    <m/>
    <s v="Y"/>
    <m/>
    <n v="3849.19140625"/>
    <n v="5758.6328125"/>
    <n v="3849.19140625"/>
    <s v="remove"/>
    <m/>
    <m/>
    <m/>
    <m/>
    <m/>
    <n v="5758.6328125"/>
    <m/>
    <n v="0"/>
    <n v="3849.19140625"/>
    <m/>
    <n v="5758.6328125"/>
    <n v="0"/>
    <m/>
  </r>
  <r>
    <x v="0"/>
    <n v="1"/>
    <n v="41119"/>
    <n v="41119"/>
    <n v="43011"/>
    <s v="No"/>
    <m/>
    <m/>
    <x v="0"/>
    <m/>
    <n v="421524"/>
    <x v="28"/>
    <s v="Ethihash"/>
    <s v="Thineshkumar"/>
    <x v="307"/>
    <d v="2015-05-20T00:00:00"/>
    <n v="8.2600958247775491"/>
    <n v="3"/>
    <n v="872"/>
    <n v="872"/>
    <d v="2023-04-01T00:00:00"/>
    <n v="1"/>
    <d v="2024-03-31T00:00:00"/>
    <n v="192"/>
    <n v="192"/>
    <n v="1"/>
    <s v="open"/>
    <n v="22008"/>
    <m/>
    <m/>
    <x v="0"/>
    <x v="1"/>
    <x v="1"/>
    <s v="NO"/>
    <s v="NO"/>
    <s v="NO"/>
    <s v="NO"/>
    <m/>
    <n v="22008"/>
    <s v="ASD"/>
    <n v="1"/>
    <n v="1"/>
    <n v="22008"/>
    <n v="22008"/>
    <n v="22008"/>
    <n v="0"/>
    <n v="22008"/>
    <m/>
    <m/>
    <e v="#N/A"/>
    <e v="#N/A"/>
    <e v="#N/A"/>
    <m/>
    <m/>
    <n v="0"/>
    <n v="22008"/>
    <s v=""/>
    <m/>
    <m/>
    <m/>
    <m/>
    <m/>
    <m/>
    <m/>
    <m/>
    <m/>
    <m/>
    <m/>
    <n v="22008"/>
    <m/>
    <m/>
    <m/>
    <m/>
    <m/>
    <m/>
    <m/>
    <n v="22008"/>
    <m/>
    <n v="0"/>
    <n v="22008"/>
    <m/>
    <n v="22008"/>
    <n v="0"/>
    <m/>
  </r>
  <r>
    <x v="0"/>
    <n v="1"/>
    <n v="41119"/>
    <n v="41119"/>
    <n v="43011"/>
    <s v="No"/>
    <m/>
    <m/>
    <x v="0"/>
    <m/>
    <n v="415924"/>
    <x v="28"/>
    <s v="Hamza"/>
    <s v="Khan"/>
    <x v="308"/>
    <d v="2014-02-06T00:00:00"/>
    <n v="9.5414099931553729"/>
    <n v="4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ASD"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0"/>
    <n v="1"/>
    <n v="41119"/>
    <n v="41119"/>
    <n v="43011"/>
    <s v="No"/>
    <m/>
    <m/>
    <x v="0"/>
    <m/>
    <n v="437274"/>
    <x v="28"/>
    <s v="Ishaq"/>
    <s v="Kendall-Coates"/>
    <x v="309"/>
    <d v="2018-04-14T00:00:00"/>
    <n v="5.3579739904175225"/>
    <n v="0"/>
    <n v="872"/>
    <n v="872"/>
    <d v="2023-04-01T00:00:00"/>
    <n v="1"/>
    <d v="2024-03-31T00:00:00"/>
    <n v="192"/>
    <n v="192"/>
    <n v="1"/>
    <s v="open"/>
    <n v="26"/>
    <m/>
    <m/>
    <x v="0"/>
    <x v="0"/>
    <x v="0"/>
    <s v="NO"/>
    <s v="NO"/>
    <s v="NO"/>
    <s v="NO"/>
    <m/>
    <n v="6292.02"/>
    <s v="SEMH"/>
    <n v="1"/>
    <n v="1"/>
    <n v="6292.02"/>
    <n v="6292.02"/>
    <n v="6292.02"/>
    <n v="6292.02"/>
    <n v="6292.02"/>
    <m/>
    <m/>
    <e v="#N/A"/>
    <e v="#N/A"/>
    <e v="#N/A"/>
    <m/>
    <m/>
    <n v="0"/>
    <n v="6292.02"/>
    <s v=""/>
    <m/>
    <m/>
    <m/>
    <m/>
    <m/>
    <m/>
    <m/>
    <m/>
    <m/>
    <m/>
    <m/>
    <n v="6292.02"/>
    <m/>
    <m/>
    <m/>
    <m/>
    <m/>
    <m/>
    <m/>
    <n v="6292.02"/>
    <m/>
    <n v="0"/>
    <n v="0"/>
    <m/>
    <n v="6292.02"/>
    <n v="0"/>
    <m/>
  </r>
  <r>
    <x v="0"/>
    <n v="1"/>
    <n v="41119"/>
    <n v="41119"/>
    <n v="43011"/>
    <s v="No"/>
    <m/>
    <m/>
    <x v="0"/>
    <m/>
    <n v="420020"/>
    <x v="28"/>
    <s v="Kaveer"/>
    <s v="Dave"/>
    <x v="310"/>
    <d v="2015-01-04T00:00:00"/>
    <n v="8.6324435318275157"/>
    <n v="3"/>
    <n v="872"/>
    <n v="872"/>
    <d v="2023-04-01T00:00:00"/>
    <n v="1"/>
    <d v="2023-07-21T00:00:00"/>
    <n v="63"/>
    <n v="63"/>
    <n v="0.328125"/>
    <d v="2023-07-21T00:00:00"/>
    <n v="42220.55"/>
    <m/>
    <m/>
    <x v="0"/>
    <x v="1"/>
    <x v="1"/>
    <s v="NO"/>
    <s v="NO"/>
    <s v="NO"/>
    <s v="NO"/>
    <m/>
    <n v="42220.55"/>
    <s v="ASD"/>
    <n v="1"/>
    <n v="0.328125"/>
    <n v="13853.617968750001"/>
    <n v="13853.617968750001"/>
    <n v="13853.617968750001"/>
    <n v="13853.617968750001"/>
    <n v="13853.617968750001"/>
    <m/>
    <m/>
    <e v="#N/A"/>
    <e v="#N/A"/>
    <e v="#N/A"/>
    <m/>
    <m/>
    <n v="0"/>
    <n v="13853.617968750001"/>
    <s v=""/>
    <m/>
    <m/>
    <m/>
    <m/>
    <m/>
    <n v="42220.55"/>
    <n v="42220.55"/>
    <m/>
    <m/>
    <m/>
    <n v="27927.134635416671"/>
    <n v="41780.752604166672"/>
    <m/>
    <m/>
    <m/>
    <m/>
    <m/>
    <m/>
    <m/>
    <n v="41780.752604166672"/>
    <m/>
    <n v="0"/>
    <n v="27927.134635416671"/>
    <m/>
    <n v="41780.752604166672"/>
    <n v="0"/>
    <m/>
  </r>
  <r>
    <x v="0"/>
    <n v="1"/>
    <n v="41119"/>
    <n v="41119"/>
    <n v="43011"/>
    <s v="No"/>
    <m/>
    <m/>
    <x v="0"/>
    <m/>
    <n v="424191"/>
    <x v="28"/>
    <s v="Parker"/>
    <s v="Reeves"/>
    <x v="311"/>
    <d v="2015-09-21T00:00:00"/>
    <n v="7.9206023271731691"/>
    <n v="2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ASD"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0"/>
    <n v="1"/>
    <n v="41119"/>
    <n v="41119"/>
    <n v="43011"/>
    <s v="No"/>
    <m/>
    <m/>
    <x v="0"/>
    <m/>
    <n v="412718"/>
    <x v="28"/>
    <s v="Kree"/>
    <s v="Clarke"/>
    <x v="312"/>
    <d v="2012-12-17T00:00:00"/>
    <n v="10.680355920602327"/>
    <n v="5"/>
    <n v="872"/>
    <n v="872"/>
    <d v="2023-06-05T00:00:00"/>
    <n v="30"/>
    <d v="2024-03-31T00:00:00"/>
    <n v="192"/>
    <n v="163"/>
    <n v="0.84895833333333337"/>
    <s v="open"/>
    <n v="26"/>
    <m/>
    <m/>
    <x v="0"/>
    <x v="0"/>
    <x v="0"/>
    <s v="NO"/>
    <s v="NO"/>
    <s v="NO"/>
    <s v="NO"/>
    <m/>
    <n v="6292.02"/>
    <m/>
    <n v="1"/>
    <n v="0.84895833333333337"/>
    <n v="5341.6628125000007"/>
    <n v="5341.6628125000007"/>
    <n v="5341.6628125000007"/>
    <n v="0"/>
    <m/>
    <m/>
    <m/>
    <m/>
    <m/>
    <m/>
    <m/>
    <m/>
    <n v="5341.6628125000007"/>
    <n v="5341.6628125000007"/>
    <s v="Thames PS"/>
    <s v="OOBS Mnstr"/>
    <n v="43009"/>
    <m/>
    <m/>
    <m/>
    <m/>
    <m/>
    <m/>
    <m/>
    <m/>
    <m/>
    <n v="5341.6628125000007"/>
    <m/>
    <m/>
    <m/>
    <m/>
    <m/>
    <m/>
    <m/>
    <n v="5341.6628125000007"/>
    <m/>
    <n v="0"/>
    <n v="5341.6628125000007"/>
    <m/>
    <n v="5341.6628125000007"/>
    <n v="0"/>
    <m/>
  </r>
  <r>
    <x v="0"/>
    <n v="1"/>
    <n v="41119"/>
    <n v="41119"/>
    <n v="43011"/>
    <s v="No"/>
    <m/>
    <m/>
    <x v="0"/>
    <m/>
    <n v="431902"/>
    <x v="28"/>
    <s v="Liam"/>
    <s v="Velo"/>
    <x v="313"/>
    <d v="2016-11-18T00:00:00"/>
    <n v="6.7597535934291582"/>
    <n v="1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ASD"/>
    <n v="1"/>
    <n v="1"/>
    <n v="8183.0999999999985"/>
    <n v="8183.0999999999985"/>
    <n v="8183.0999999999985"/>
    <n v="0"/>
    <m/>
    <m/>
    <m/>
    <m/>
    <m/>
    <m/>
    <m/>
    <m/>
    <n v="8183.0999999999985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8183.0999999999985"/>
    <m/>
    <n v="8183.0999999999985"/>
    <n v="0"/>
    <m/>
  </r>
  <r>
    <x v="0"/>
    <n v="1"/>
    <n v="41119"/>
    <n v="41119"/>
    <n v="43011"/>
    <s v="No"/>
    <m/>
    <m/>
    <x v="0"/>
    <m/>
    <n v="402929"/>
    <x v="28"/>
    <s v="Rosalie-Jayde"/>
    <s v="Arding-Thompson"/>
    <x v="314"/>
    <d v="2012-05-26T00:00:00"/>
    <n v="11.241615331964407"/>
    <n v="6"/>
    <n v="872"/>
    <n v="872"/>
    <d v="2023-04-01T00:00:00"/>
    <n v="1"/>
    <d v="2023-07-21T00:00:00"/>
    <n v="63"/>
    <n v="63"/>
    <n v="0.328125"/>
    <s v="Yr 6"/>
    <n v="21"/>
    <m/>
    <m/>
    <x v="1"/>
    <x v="1"/>
    <x v="0"/>
    <s v="NO"/>
    <s v="NO"/>
    <s v="NO"/>
    <s v="NO"/>
    <m/>
    <n v="3928.17"/>
    <s v="PD"/>
    <n v="1"/>
    <n v="0.328125"/>
    <n v="1288.9307812500001"/>
    <n v="1288.9307812500001"/>
    <n v="1288.9307812500001"/>
    <n v="1288.9307812500001"/>
    <n v="1288.9307812500001"/>
    <m/>
    <m/>
    <e v="#N/A"/>
    <s v="The Piggott"/>
    <e v="#N/A"/>
    <m/>
    <m/>
    <n v="0"/>
    <n v="1288.9307812500001"/>
    <s v="Name The Piggott- Funding approved"/>
    <s v="WBC Academy"/>
    <n v="43012"/>
    <m/>
    <s v="Name The Piggott- Funding approved"/>
    <m/>
    <n v="21"/>
    <n v="3928.17"/>
    <m/>
    <s v="Y"/>
    <m/>
    <n v="2598.32078125"/>
    <n v="3887.2515625000001"/>
    <m/>
    <m/>
    <m/>
    <m/>
    <m/>
    <m/>
    <m/>
    <n v="3887.2515625000001"/>
    <m/>
    <n v="0"/>
    <n v="2598.32078125"/>
    <m/>
    <n v="3887.2515625000001"/>
    <n v="0"/>
    <m/>
  </r>
  <r>
    <x v="0"/>
    <n v="1"/>
    <n v="41119"/>
    <n v="41119"/>
    <n v="43011"/>
    <s v="No"/>
    <m/>
    <m/>
    <x v="0"/>
    <m/>
    <n v="435033"/>
    <x v="28"/>
    <s v="Ryan"/>
    <s v="Sharma"/>
    <x v="315"/>
    <d v="2017-05-24T00:00:00"/>
    <n v="6.2477754962354553"/>
    <n v="1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SLCD"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1"/>
    <n v="1"/>
    <n v="41119"/>
    <n v="41119"/>
    <n v="43011"/>
    <s v="No"/>
    <m/>
    <m/>
    <x v="0"/>
    <m/>
    <n v="431663"/>
    <x v="28"/>
    <s v="Vitoria"/>
    <s v="Ghizi"/>
    <x v="316"/>
    <d v="2015-05-19T00:00:00"/>
    <n v="8.2628336755646821"/>
    <n v="3"/>
    <n v="872"/>
    <n v="872"/>
    <d v="2023-04-01T00:00:00"/>
    <n v="1"/>
    <d v="2023-04-01T00:00:00"/>
    <n v="0"/>
    <n v="0"/>
    <n v="0"/>
    <s v="open"/>
    <n v="30"/>
    <m/>
    <m/>
    <x v="0"/>
    <x v="0"/>
    <x v="0"/>
    <s v="NO"/>
    <s v="NO"/>
    <s v="NO"/>
    <s v="NO"/>
    <m/>
    <n v="8183.0999999999985"/>
    <s v="ASD"/>
    <n v="1"/>
    <n v="0"/>
    <n v="0"/>
    <n v="0"/>
    <n v="0"/>
    <n v="8183.0999999999985"/>
    <n v="0"/>
    <s v="No provision on Capita!/further info"/>
    <m/>
    <e v="#N/A"/>
    <e v="#N/A"/>
    <e v="#N/A"/>
    <m/>
    <m/>
    <n v="0"/>
    <n v="0"/>
    <s v=""/>
    <m/>
    <m/>
    <m/>
    <m/>
    <m/>
    <m/>
    <m/>
    <m/>
    <m/>
    <m/>
    <m/>
    <n v="0"/>
    <m/>
    <m/>
    <m/>
    <m/>
    <m/>
    <m/>
    <m/>
    <n v="0"/>
    <m/>
    <n v="0"/>
    <n v="-8183.0999999999985"/>
    <m/>
    <n v="0"/>
    <n v="0"/>
    <m/>
  </r>
  <r>
    <x v="1"/>
    <n v="0"/>
    <n v="41119"/>
    <n v="41119"/>
    <n v="43011"/>
    <s v="No"/>
    <m/>
    <m/>
    <x v="0"/>
    <m/>
    <n v="409398"/>
    <x v="28"/>
    <s v="Zarrar"/>
    <s v="Solat"/>
    <x v="317"/>
    <d v="2012-11-07T00:00:00"/>
    <n v="10.789869952087612"/>
    <n v="5"/>
    <n v="872"/>
    <n v="872"/>
    <d v="2023-04-01T00:00:00"/>
    <n v="1"/>
    <d v="2023-04-01T00:00:00"/>
    <n v="0"/>
    <n v="0"/>
    <n v="0"/>
    <s v="open"/>
    <n v="28"/>
    <m/>
    <m/>
    <x v="0"/>
    <x v="0"/>
    <x v="0"/>
    <s v="NO"/>
    <s v="NO"/>
    <s v="NO"/>
    <s v="NO"/>
    <m/>
    <n v="7237.5599999999995"/>
    <s v="ASD"/>
    <n v="1"/>
    <n v="0"/>
    <n v="0"/>
    <n v="0"/>
    <n v="7237.5599999999995"/>
    <n v="7237.5599999999995"/>
    <n v="7237.5599999999995"/>
    <m/>
    <m/>
    <e v="#N/A"/>
    <e v="#N/A"/>
    <e v="#N/A"/>
    <m/>
    <m/>
    <n v="0"/>
    <n v="7237.5599999999995"/>
    <s v=""/>
    <m/>
    <m/>
    <m/>
    <m/>
    <m/>
    <m/>
    <m/>
    <m/>
    <m/>
    <m/>
    <m/>
    <n v="7237.5599999999995"/>
    <m/>
    <m/>
    <m/>
    <m/>
    <m/>
    <m/>
    <m/>
    <n v="0"/>
    <s v="leaver early in year"/>
    <n v="-7237.5599999999995"/>
    <n v="-7237.5599999999995"/>
    <m/>
    <n v="0"/>
    <n v="0"/>
    <m/>
  </r>
  <r>
    <x v="1"/>
    <n v="0"/>
    <n v="41119"/>
    <n v="41119"/>
    <n v="43011"/>
    <s v="No"/>
    <m/>
    <m/>
    <x v="0"/>
    <s v="AD"/>
    <n v="409398"/>
    <x v="28"/>
    <s v="Zarrar"/>
    <s v="Solat"/>
    <x v="317"/>
    <d v="2012-11-07T00:00:00"/>
    <n v="10.789869952087612"/>
    <n v="5"/>
    <n v="872"/>
    <n v="872"/>
    <d v="2023-04-01T00:00:00"/>
    <n v="1"/>
    <d v="2023-04-01T00:00:00"/>
    <n v="0"/>
    <n v="0"/>
    <n v="0"/>
    <s v="open"/>
    <n v="14556.28"/>
    <m/>
    <m/>
    <x v="0"/>
    <x v="1"/>
    <x v="1"/>
    <s v="NO"/>
    <s v="NO"/>
    <s v="NO"/>
    <s v="NO"/>
    <m/>
    <n v="14556.28"/>
    <s v="ASD"/>
    <n v="1"/>
    <n v="0"/>
    <n v="0"/>
    <n v="0"/>
    <n v="14556.28"/>
    <n v="14556.28"/>
    <n v="14556.28"/>
    <m/>
    <m/>
    <e v="#N/A"/>
    <e v="#N/A"/>
    <e v="#N/A"/>
    <m/>
    <m/>
    <n v="0"/>
    <n v="14556.28"/>
    <s v=""/>
    <m/>
    <m/>
    <m/>
    <m/>
    <m/>
    <m/>
    <m/>
    <m/>
    <m/>
    <m/>
    <m/>
    <n v="14556.28"/>
    <m/>
    <m/>
    <m/>
    <m/>
    <m/>
    <m/>
    <m/>
    <n v="0"/>
    <s v="leaver early in year"/>
    <n v="-14556.28"/>
    <n v="-14556.28"/>
    <m/>
    <n v="0"/>
    <n v="0"/>
    <m/>
  </r>
  <r>
    <x v="0"/>
    <n v="1"/>
    <n v="41120"/>
    <n v="41120"/>
    <n v="43011"/>
    <s v="No"/>
    <m/>
    <m/>
    <x v="0"/>
    <m/>
    <n v="416135"/>
    <x v="29"/>
    <s v="Alfie"/>
    <s v="Trotman Freeman"/>
    <x v="318"/>
    <d v="2015-07-22T00:00:00"/>
    <n v="8.0876112251882279"/>
    <n v="3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SEMH"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0"/>
    <n v="1"/>
    <n v="41120"/>
    <n v="41120"/>
    <n v="43011"/>
    <s v="No"/>
    <m/>
    <m/>
    <x v="0"/>
    <m/>
    <n v="428106"/>
    <x v="29"/>
    <s v="Ewan"/>
    <s v="Jones-Smallbone"/>
    <x v="319"/>
    <d v="2016-04-14T00:00:00"/>
    <n v="7.3566050650239561"/>
    <n v="2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ASD"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0"/>
    <n v="1"/>
    <n v="41120"/>
    <n v="41120"/>
    <n v="43011"/>
    <s v="No"/>
    <m/>
    <m/>
    <x v="0"/>
    <m/>
    <n v="434422"/>
    <x v="29"/>
    <s v="Isabella"/>
    <s v="Sialwiindi"/>
    <x v="320"/>
    <d v="2017-05-10T00:00:00"/>
    <n v="6.2861054072553042"/>
    <n v="1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m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-5329.5061538461541"/>
    <n v="-13512.606153846153"/>
    <s v="moving to Addington 4/9"/>
  </r>
  <r>
    <x v="0"/>
    <n v="1"/>
    <n v="41120"/>
    <n v="41120"/>
    <n v="43011"/>
    <s v="No"/>
    <m/>
    <m/>
    <x v="0"/>
    <m/>
    <n v="416913"/>
    <x v="29"/>
    <s v="Jack"/>
    <s v="Ling"/>
    <x v="321"/>
    <d v="2014-08-14T00:00:00"/>
    <n v="9.0239561943874058"/>
    <n v="4"/>
    <n v="872"/>
    <n v="872"/>
    <d v="2023-04-01T00:00:00"/>
    <n v="1"/>
    <d v="2024-03-31T00:00:00"/>
    <n v="192"/>
    <n v="192"/>
    <n v="1"/>
    <s v="open"/>
    <n v="28"/>
    <m/>
    <m/>
    <x v="0"/>
    <x v="0"/>
    <x v="0"/>
    <s v="NO"/>
    <s v="NO"/>
    <s v="NO"/>
    <s v="NO"/>
    <m/>
    <n v="7237.5599999999995"/>
    <s v="SLCD"/>
    <n v="1"/>
    <n v="1"/>
    <n v="7237.5599999999995"/>
    <n v="7237.5599999999995"/>
    <n v="7237.5599999999995"/>
    <n v="7237.5599999999995"/>
    <n v="7237.5599999999995"/>
    <m/>
    <m/>
    <e v="#N/A"/>
    <e v="#N/A"/>
    <e v="#N/A"/>
    <m/>
    <m/>
    <n v="0"/>
    <n v="7237.5599999999995"/>
    <s v=""/>
    <m/>
    <m/>
    <m/>
    <m/>
    <m/>
    <m/>
    <m/>
    <m/>
    <m/>
    <m/>
    <m/>
    <n v="7237.5599999999995"/>
    <m/>
    <m/>
    <m/>
    <m/>
    <m/>
    <m/>
    <m/>
    <n v="7237.5599999999995"/>
    <m/>
    <n v="0"/>
    <n v="0"/>
    <m/>
    <n v="7237.5599999999995"/>
    <n v="0"/>
    <m/>
  </r>
  <r>
    <x v="0"/>
    <n v="1"/>
    <n v="41120"/>
    <n v="41120"/>
    <n v="43011"/>
    <s v="No"/>
    <m/>
    <m/>
    <x v="0"/>
    <m/>
    <n v="396882"/>
    <x v="29"/>
    <s v="Kristopher"/>
    <s v="Branford"/>
    <x v="322"/>
    <d v="2012-06-12T00:00:00"/>
    <n v="11.195071868583161"/>
    <n v="6"/>
    <n v="872"/>
    <n v="872"/>
    <d v="2023-04-01T00:00:00"/>
    <n v="1"/>
    <d v="2023-07-21T00:00:00"/>
    <n v="63"/>
    <n v="63"/>
    <n v="0.328125"/>
    <s v="Yr 6"/>
    <n v="30"/>
    <m/>
    <m/>
    <x v="0"/>
    <x v="0"/>
    <x v="0"/>
    <s v="NO"/>
    <s v="NO"/>
    <s v="NO"/>
    <s v="NO"/>
    <m/>
    <n v="8183.0999999999985"/>
    <s v="SEMH"/>
    <n v="1"/>
    <n v="0.328125"/>
    <n v="2685.0796874999996"/>
    <n v="2685.0796874999996"/>
    <n v="2685.0796874999996"/>
    <n v="2685.0796874999996"/>
    <n v="2685.0796874999996"/>
    <m/>
    <m/>
    <e v="#N/A"/>
    <s v="The Embrook"/>
    <e v="#N/A"/>
    <m/>
    <m/>
    <n v="0"/>
    <n v="2685.0796874999996"/>
    <s v="The Emmbrook School"/>
    <s v="WBC Academy"/>
    <n v="43012"/>
    <m/>
    <s v="The Emmbrook School"/>
    <m/>
    <n v="30"/>
    <n v="8183.0999999999985"/>
    <m/>
    <s v="Y"/>
    <m/>
    <n v="5412.7796874999985"/>
    <n v="8097.8593749999982"/>
    <m/>
    <m/>
    <m/>
    <m/>
    <m/>
    <m/>
    <m/>
    <n v="8097.8593749999982"/>
    <m/>
    <n v="0"/>
    <n v="5412.7796874999985"/>
    <m/>
    <n v="8097.8593749999982"/>
    <n v="0"/>
    <m/>
  </r>
  <r>
    <x v="0"/>
    <n v="1"/>
    <n v="41120"/>
    <n v="41120"/>
    <n v="43011"/>
    <s v="No"/>
    <m/>
    <m/>
    <x v="0"/>
    <m/>
    <n v="417829"/>
    <x v="29"/>
    <s v="Leyton-Bryce"/>
    <s v="Caston"/>
    <x v="323"/>
    <d v="2014-10-20T00:00:00"/>
    <n v="8.8405201916495546"/>
    <n v="3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ASD"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0"/>
    <n v="1"/>
    <n v="41120"/>
    <n v="41120"/>
    <n v="43011"/>
    <s v="No"/>
    <m/>
    <m/>
    <x v="0"/>
    <m/>
    <n v="396821"/>
    <x v="29"/>
    <s v="Marshall "/>
    <s v="Banister-Russell"/>
    <x v="324"/>
    <d v="2012-08-07T00:00:00"/>
    <n v="11.041752224503764"/>
    <n v="6"/>
    <n v="872"/>
    <n v="872"/>
    <d v="2023-04-01T00:00:00"/>
    <n v="1"/>
    <d v="2023-07-21T00:00:00"/>
    <n v="63"/>
    <n v="63"/>
    <n v="0.328125"/>
    <s v="Yr 6"/>
    <n v="30"/>
    <m/>
    <m/>
    <x v="0"/>
    <x v="0"/>
    <x v="0"/>
    <s v="NO"/>
    <s v="NO"/>
    <s v="NO"/>
    <s v="NO"/>
    <m/>
    <n v="8183.0999999999985"/>
    <s v="SEMH"/>
    <n v="1"/>
    <n v="0.328125"/>
    <n v="2685.0796874999996"/>
    <n v="2685.0796874999996"/>
    <n v="2685.0796874999996"/>
    <n v="2685.0796874999996"/>
    <n v="2685.0796874999996"/>
    <m/>
    <m/>
    <e v="#N/A"/>
    <s v="ME MAT"/>
    <e v="#N/A"/>
    <m/>
    <m/>
    <n v="0"/>
    <n v="2685.0796874999996"/>
    <s v="Maiden Erlegh"/>
    <s v="WBC Academy"/>
    <n v="43012"/>
    <m/>
    <s v="Maiden Erlegh"/>
    <m/>
    <n v="30"/>
    <n v="8183.0999999999985"/>
    <m/>
    <s v="Y"/>
    <m/>
    <n v="5412.7796874999985"/>
    <n v="8097.8593749999982"/>
    <m/>
    <m/>
    <m/>
    <m/>
    <m/>
    <m/>
    <m/>
    <n v="8097.8593749999982"/>
    <m/>
    <n v="0"/>
    <n v="5412.7796874999985"/>
    <m/>
    <n v="8097.8593749999982"/>
    <n v="0"/>
    <m/>
  </r>
  <r>
    <x v="0"/>
    <n v="1"/>
    <n v="41120"/>
    <n v="41120"/>
    <n v="43011"/>
    <s v="No"/>
    <m/>
    <m/>
    <x v="0"/>
    <m/>
    <n v="419637"/>
    <x v="29"/>
    <s v="Richie"/>
    <s v="Townsend-Borecki"/>
    <x v="325"/>
    <d v="2015-11-29T00:00:00"/>
    <n v="7.7316906228610538"/>
    <n v="2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SLCD"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s v="moving to Addington"/>
    <n v="-5329.5061538461541"/>
    <n v="-13512.606153846153"/>
    <s v="provision end 21/7/23"/>
  </r>
  <r>
    <x v="1"/>
    <n v="1"/>
    <n v="41120"/>
    <n v="41120"/>
    <n v="43011"/>
    <s v="No"/>
    <m/>
    <m/>
    <x v="0"/>
    <s v="AP"/>
    <n v="419637"/>
    <x v="29"/>
    <s v="Richie"/>
    <s v="Townsend-Borecki"/>
    <x v="325"/>
    <d v="2015-11-29T00:00:00"/>
    <n v="7.7316906228610538"/>
    <n v="2"/>
    <n v="872"/>
    <n v="872"/>
    <d v="2023-04-17T00:00:00"/>
    <n v="2"/>
    <d v="2023-07-21T00:00:00"/>
    <n v="63"/>
    <n v="62"/>
    <n v="1"/>
    <d v="2023-07-21T00:00:00"/>
    <n v="24960"/>
    <m/>
    <m/>
    <x v="0"/>
    <x v="1"/>
    <x v="1"/>
    <s v="NO"/>
    <s v="NO"/>
    <s v="NO"/>
    <s v="NO"/>
    <m/>
    <n v="24960"/>
    <s v="SLCD"/>
    <n v="1"/>
    <n v="1"/>
    <n v="24960"/>
    <n v="24960"/>
    <n v="24960"/>
    <n v="0"/>
    <n v="24960"/>
    <m/>
    <m/>
    <e v="#N/A"/>
    <e v="#N/A"/>
    <e v="#N/A"/>
    <m/>
    <m/>
    <n v="0"/>
    <n v="24960"/>
    <s v=""/>
    <m/>
    <m/>
    <m/>
    <m/>
    <m/>
    <n v="24960"/>
    <n v="24960"/>
    <m/>
    <m/>
    <m/>
    <n v="16510"/>
    <n v="41470"/>
    <m/>
    <m/>
    <m/>
    <m/>
    <m/>
    <m/>
    <m/>
    <n v="41470"/>
    <m/>
    <n v="0"/>
    <n v="41470"/>
    <m/>
    <n v="41470"/>
    <n v="0"/>
    <m/>
  </r>
  <r>
    <x v="0"/>
    <n v="1"/>
    <n v="41120"/>
    <n v="41120"/>
    <n v="43011"/>
    <s v="No"/>
    <m/>
    <m/>
    <x v="0"/>
    <m/>
    <n v="407893"/>
    <x v="29"/>
    <s v="Seren"/>
    <s v="Bowman"/>
    <x v="326"/>
    <d v="2013-02-05T00:00:00"/>
    <n v="10.543463381245722"/>
    <n v="5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ASD"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0"/>
    <n v="1"/>
    <n v="41120"/>
    <n v="41120"/>
    <n v="43011"/>
    <s v="No"/>
    <m/>
    <m/>
    <x v="0"/>
    <m/>
    <n v="402953"/>
    <x v="29"/>
    <s v="Sophia"/>
    <s v="Morgan Dunne"/>
    <x v="327"/>
    <d v="2012-07-25T00:00:00"/>
    <n v="11.077344284736482"/>
    <n v="6"/>
    <n v="872"/>
    <n v="872"/>
    <d v="2023-04-01T00:00:00"/>
    <n v="1"/>
    <d v="2023-07-21T00:00:00"/>
    <n v="63"/>
    <n v="63"/>
    <n v="0.328125"/>
    <s v="Yr 6"/>
    <n v="28"/>
    <m/>
    <m/>
    <x v="0"/>
    <x v="0"/>
    <x v="0"/>
    <s v="NO"/>
    <s v="NO"/>
    <s v="NO"/>
    <s v="NO"/>
    <m/>
    <n v="7237.5599999999995"/>
    <s v="SEMH"/>
    <n v="1"/>
    <n v="0.328125"/>
    <n v="2374.8243749999997"/>
    <n v="2374.8243749999997"/>
    <n v="2374.8243749999997"/>
    <n v="2374.8243749999997"/>
    <n v="2374.8243749999997"/>
    <m/>
    <m/>
    <e v="#N/A"/>
    <s v="ME MAT"/>
    <e v="#N/A"/>
    <m/>
    <m/>
    <n v="0"/>
    <n v="2374.8243749999997"/>
    <s v="Maiden Erlegh"/>
    <s v="WBC Academy"/>
    <n v="43012"/>
    <m/>
    <s v="Maiden Erlegh"/>
    <m/>
    <n v="28"/>
    <n v="7237.5599999999995"/>
    <m/>
    <s v="Y"/>
    <m/>
    <n v="4787.3443749999997"/>
    <n v="7162.1687499999989"/>
    <m/>
    <m/>
    <m/>
    <m/>
    <m/>
    <m/>
    <m/>
    <n v="7162.1687499999989"/>
    <m/>
    <n v="0"/>
    <n v="4787.3443749999988"/>
    <m/>
    <n v="7162.1687499999989"/>
    <n v="0"/>
    <m/>
  </r>
  <r>
    <x v="0"/>
    <n v="1"/>
    <n v="41120"/>
    <n v="41120"/>
    <n v="43011"/>
    <s v="No"/>
    <m/>
    <m/>
    <x v="0"/>
    <m/>
    <n v="434060"/>
    <x v="29"/>
    <s v="Sukhvir"/>
    <s v="Bhamra"/>
    <x v="328"/>
    <d v="2016-11-30T00:00:00"/>
    <n v="6.7268993839835725"/>
    <n v="1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MLD"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0"/>
    <n v="1"/>
    <n v="41204"/>
    <n v="41204"/>
    <n v="43012"/>
    <s v="No"/>
    <s v="Y"/>
    <m/>
    <x v="1"/>
    <m/>
    <n v="384525"/>
    <x v="30"/>
    <s v="Anoushka"/>
    <s v="Bruce"/>
    <x v="329"/>
    <d v="2009-02-06T00:00:00"/>
    <n v="14.540725530458589"/>
    <n v="9"/>
    <n v="872"/>
    <n v="872"/>
    <d v="2023-04-21T00:00:00"/>
    <n v="6"/>
    <d v="2024-03-31T00:00:00"/>
    <n v="192"/>
    <n v="187"/>
    <n v="0.97395833333333337"/>
    <s v="open"/>
    <n v="24"/>
    <m/>
    <m/>
    <x v="1"/>
    <x v="1"/>
    <x v="0"/>
    <s v="NO"/>
    <s v="NO"/>
    <s v="NO"/>
    <s v="NO"/>
    <m/>
    <n v="5346.48"/>
    <s v="PD"/>
    <n v="1"/>
    <n v="0.97395833333333337"/>
    <n v="5207.2487499999997"/>
    <n v="5207.2487499999997"/>
    <n v="5207.2487499999997"/>
    <n v="0"/>
    <n v="5207.2487499999997"/>
    <m/>
    <m/>
    <e v="#N/A"/>
    <e v="#N/A"/>
    <e v="#N/A"/>
    <m/>
    <m/>
    <n v="0"/>
    <n v="5207.2487499999997"/>
    <s v=""/>
    <m/>
    <m/>
    <m/>
    <m/>
    <m/>
    <m/>
    <m/>
    <m/>
    <m/>
    <m/>
    <m/>
    <n v="5207.2487499999997"/>
    <m/>
    <m/>
    <m/>
    <m/>
    <m/>
    <m/>
    <m/>
    <n v="5207.2487499999997"/>
    <m/>
    <n v="0"/>
    <n v="5207.2487499999997"/>
    <m/>
    <n v="5207.2487499999997"/>
    <n v="0"/>
    <m/>
  </r>
  <r>
    <x v="0"/>
    <n v="1"/>
    <n v="41204"/>
    <n v="41204"/>
    <n v="43012"/>
    <s v="No"/>
    <s v="Y"/>
    <m/>
    <x v="1"/>
    <m/>
    <n v="377192"/>
    <x v="30"/>
    <s v="Elowen"/>
    <s v="McMaster"/>
    <x v="330"/>
    <d v="2008-06-06T00:00:00"/>
    <n v="15.211498973305956"/>
    <n v="10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SEMH"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0"/>
    <n v="1"/>
    <n v="41204"/>
    <n v="41204"/>
    <n v="43012"/>
    <s v="No"/>
    <s v="Y"/>
    <m/>
    <x v="1"/>
    <m/>
    <n v="366989"/>
    <x v="30"/>
    <s v="Florence"/>
    <s v="Sancto"/>
    <x v="331"/>
    <d v="2007-02-03T00:00:00"/>
    <n v="16.550308008213552"/>
    <n v="11"/>
    <n v="872"/>
    <n v="872"/>
    <d v="2023-04-01T00:00:00"/>
    <n v="1"/>
    <d v="2023-07-21T00:00:00"/>
    <n v="63"/>
    <n v="63"/>
    <n v="0.328125"/>
    <s v="Yr 11"/>
    <n v="25"/>
    <m/>
    <m/>
    <x v="1"/>
    <x v="1"/>
    <x v="0"/>
    <s v="NO"/>
    <s v="NO"/>
    <s v="NO"/>
    <s v="NO"/>
    <m/>
    <n v="5819.25"/>
    <s v="ASD"/>
    <n v="1"/>
    <n v="0.328125"/>
    <n v="1909.44140625"/>
    <n v="1909.44140625"/>
    <n v="1909.44140625"/>
    <n v="1909.44140625"/>
    <n v="1909.44140625"/>
    <m/>
    <m/>
    <e v="#N/A"/>
    <e v="#N/A"/>
    <s v="BCA"/>
    <s v="Y"/>
    <n v="3879.5"/>
    <n v="0"/>
    <n v="1909.44140625"/>
    <s v="BCA"/>
    <s v="COLL"/>
    <m/>
    <m/>
    <m/>
    <s v="BCA"/>
    <m/>
    <m/>
    <m/>
    <m/>
    <s v="Y"/>
    <m/>
    <n v="1909.44140625"/>
    <s v="COLL"/>
    <m/>
    <m/>
    <m/>
    <m/>
    <m/>
    <m/>
    <n v="1909.44140625"/>
    <m/>
    <n v="0"/>
    <n v="0"/>
    <m/>
    <n v="1909.44140625"/>
    <n v="0"/>
    <m/>
  </r>
  <r>
    <x v="0"/>
    <n v="1"/>
    <n v="41204"/>
    <n v="41204"/>
    <n v="43012"/>
    <s v="No"/>
    <s v="Y"/>
    <m/>
    <x v="1"/>
    <m/>
    <n v="383918"/>
    <x v="30"/>
    <s v="Jessica"/>
    <s v="Brady"/>
    <x v="332"/>
    <d v="2009-02-26T00:00:00"/>
    <n v="14.485968514715948"/>
    <n v="9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MLD"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0"/>
    <n v="1"/>
    <n v="41204"/>
    <n v="41204"/>
    <n v="43012"/>
    <s v="No"/>
    <s v="Y"/>
    <m/>
    <x v="1"/>
    <m/>
    <n v="396741"/>
    <x v="30"/>
    <s v="Lily"/>
    <s v="Page"/>
    <x v="333"/>
    <d v="2011-07-08T00:00:00"/>
    <n v="12.125941136208077"/>
    <n v="7"/>
    <n v="872"/>
    <n v="872"/>
    <d v="2023-04-01T00:00:00"/>
    <n v="1"/>
    <d v="2024-03-31T00:00:00"/>
    <n v="192"/>
    <n v="192"/>
    <n v="1"/>
    <s v="open"/>
    <n v="23"/>
    <m/>
    <m/>
    <x v="1"/>
    <x v="1"/>
    <x v="0"/>
    <s v="NO"/>
    <s v="NO"/>
    <s v="NO"/>
    <s v="NO"/>
    <m/>
    <n v="4873.7099999999991"/>
    <s v="SEMH"/>
    <n v="1"/>
    <n v="1"/>
    <n v="4873.7099999999991"/>
    <n v="4873.7099999999991"/>
    <n v="4873.7099999999991"/>
    <n v="4873.7099999999991"/>
    <n v="4873.7099999999991"/>
    <m/>
    <m/>
    <e v="#N/A"/>
    <e v="#N/A"/>
    <e v="#N/A"/>
    <m/>
    <m/>
    <n v="0"/>
    <n v="4873.7099999999991"/>
    <s v=""/>
    <m/>
    <m/>
    <m/>
    <m/>
    <m/>
    <m/>
    <m/>
    <m/>
    <m/>
    <m/>
    <m/>
    <n v="4873.7099999999991"/>
    <m/>
    <m/>
    <m/>
    <m/>
    <m/>
    <m/>
    <m/>
    <n v="4873.7099999999991"/>
    <m/>
    <n v="0"/>
    <n v="0"/>
    <m/>
    <n v="4873.7099999999991"/>
    <n v="0"/>
    <m/>
  </r>
  <r>
    <x v="0"/>
    <n v="1"/>
    <n v="41204"/>
    <n v="41204"/>
    <n v="43012"/>
    <s v="No"/>
    <s v="Y"/>
    <m/>
    <x v="1"/>
    <m/>
    <n v="384047"/>
    <x v="30"/>
    <s v="Michelle"/>
    <s v="Egwuagu"/>
    <x v="334"/>
    <d v="2008-12-17T00:00:00"/>
    <n v="14.680355920602327"/>
    <n v="9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SEMH"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0"/>
    <n v="1"/>
    <n v="41204"/>
    <n v="41204"/>
    <n v="43012"/>
    <s v="No"/>
    <s v="Y"/>
    <m/>
    <x v="1"/>
    <m/>
    <n v="387783"/>
    <x v="30"/>
    <s v="Rose"/>
    <s v="Connors"/>
    <x v="335"/>
    <d v="2010-03-04T00:00:00"/>
    <n v="13.470225872689939"/>
    <n v="8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SEMH"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0"/>
    <n v="1"/>
    <n v="41204"/>
    <n v="41204"/>
    <n v="43012"/>
    <s v="No"/>
    <s v="Y"/>
    <m/>
    <x v="1"/>
    <m/>
    <n v="390505"/>
    <x v="30"/>
    <s v="Zoe"/>
    <s v="Makuyana"/>
    <x v="336"/>
    <d v="2011-04-12T00:00:00"/>
    <n v="12.364134154688569"/>
    <n v="7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SLCD"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0"/>
    <n v="1"/>
    <n v="41121"/>
    <n v="41121"/>
    <n v="43012"/>
    <s v="No"/>
    <s v="Y"/>
    <m/>
    <x v="0"/>
    <m/>
    <n v="434809"/>
    <x v="31"/>
    <s v="Anthony"/>
    <s v="Dzwonkowski"/>
    <x v="337"/>
    <d v="2017-05-15T00:00:00"/>
    <n v="6.2724161533196439"/>
    <n v="1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SLCD"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1"/>
    <n v="1"/>
    <n v="41121"/>
    <n v="41121"/>
    <n v="43012"/>
    <s v="No"/>
    <s v="Y"/>
    <m/>
    <x v="0"/>
    <m/>
    <n v="413943"/>
    <x v="31"/>
    <s v="Aston"/>
    <s v="Holmes"/>
    <x v="338"/>
    <d v="2015-02-05T00:00:00"/>
    <n v="8.5448323066392877"/>
    <n v="3"/>
    <n v="872"/>
    <n v="872"/>
    <d v="2023-04-01T00:00:00"/>
    <n v="1"/>
    <d v="2023-04-21T00:00:00"/>
    <n v="5"/>
    <n v="5"/>
    <n v="2.6041666666666668E-2"/>
    <d v="2023-04-21T00:00:00"/>
    <n v="30"/>
    <m/>
    <m/>
    <x v="0"/>
    <x v="0"/>
    <x v="0"/>
    <s v="NO"/>
    <s v="NO"/>
    <s v="NO"/>
    <s v="NO"/>
    <m/>
    <n v="8183.0999999999985"/>
    <s v="SEMH"/>
    <n v="1"/>
    <n v="2.6041666666666668E-2"/>
    <n v="213.10156249999997"/>
    <n v="213.10156249999997"/>
    <n v="213.10156249999997"/>
    <n v="8183.0999999999985"/>
    <n v="213.1015625"/>
    <m/>
    <m/>
    <e v="#N/A"/>
    <e v="#N/A"/>
    <e v="#N/A"/>
    <m/>
    <m/>
    <n v="0"/>
    <n v="213.10156249999997"/>
    <s v=""/>
    <m/>
    <m/>
    <m/>
    <m/>
    <m/>
    <m/>
    <m/>
    <m/>
    <m/>
    <m/>
    <m/>
    <n v="213.10156249999997"/>
    <m/>
    <m/>
    <m/>
    <m/>
    <m/>
    <m/>
    <m/>
    <n v="213.10156249999997"/>
    <m/>
    <n v="0"/>
    <n v="-7969.9984374999985"/>
    <m/>
    <n v="213.10156249999997"/>
    <n v="0"/>
    <m/>
  </r>
  <r>
    <x v="0"/>
    <n v="1"/>
    <n v="41121"/>
    <n v="41121"/>
    <n v="43012"/>
    <s v="No"/>
    <s v="Y"/>
    <m/>
    <x v="0"/>
    <m/>
    <n v="431647"/>
    <x v="31"/>
    <s v="Ayaan"/>
    <s v="Iqbal"/>
    <x v="339"/>
    <d v="2016-12-25T00:00:00"/>
    <n v="6.6584531143052708"/>
    <n v="1"/>
    <n v="872"/>
    <n v="872"/>
    <d v="2023-04-01T00:00:00"/>
    <n v="1"/>
    <d v="2024-03-31T00:00:00"/>
    <n v="192"/>
    <n v="192"/>
    <n v="1"/>
    <s v="open"/>
    <n v="32"/>
    <m/>
    <m/>
    <x v="0"/>
    <x v="1"/>
    <x v="1"/>
    <s v="NO"/>
    <s v="NO"/>
    <s v="NO"/>
    <s v="NO"/>
    <m/>
    <n v="9128.64"/>
    <s v="SLCD"/>
    <n v="1"/>
    <n v="1"/>
    <n v="9128.64"/>
    <n v="9128.64"/>
    <n v="9128.64"/>
    <n v="9128.64"/>
    <n v="9128.64"/>
    <m/>
    <m/>
    <e v="#N/A"/>
    <e v="#N/A"/>
    <e v="#N/A"/>
    <m/>
    <m/>
    <n v="0"/>
    <n v="9128.64"/>
    <s v=""/>
    <m/>
    <m/>
    <m/>
    <m/>
    <m/>
    <m/>
    <m/>
    <m/>
    <m/>
    <m/>
    <m/>
    <n v="9128.64"/>
    <m/>
    <m/>
    <m/>
    <m/>
    <m/>
    <m/>
    <m/>
    <n v="9128.64"/>
    <m/>
    <n v="0"/>
    <n v="0"/>
    <m/>
    <n v="9128.64"/>
    <n v="0"/>
    <m/>
  </r>
  <r>
    <x v="0"/>
    <n v="1"/>
    <n v="41121"/>
    <n v="41121"/>
    <n v="43012"/>
    <s v="No"/>
    <s v="Y"/>
    <m/>
    <x v="0"/>
    <m/>
    <n v="427538"/>
    <x v="31"/>
    <s v="Bailey"/>
    <s v="Jeune"/>
    <x v="340"/>
    <d v="2015-01-21T00:00:00"/>
    <n v="8.5859000684462696"/>
    <n v="3"/>
    <n v="872"/>
    <n v="872"/>
    <d v="2023-04-04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SLD"/>
    <n v="1"/>
    <n v="1"/>
    <n v="5819.25"/>
    <n v="5819.25"/>
    <n v="5819.25"/>
    <n v="0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5819.25"/>
    <m/>
    <n v="5819.25"/>
    <n v="0"/>
    <m/>
  </r>
  <r>
    <x v="0"/>
    <n v="1"/>
    <n v="41121"/>
    <n v="41121"/>
    <n v="43012"/>
    <s v="No"/>
    <s v="Y"/>
    <m/>
    <x v="0"/>
    <m/>
    <n v="399449"/>
    <x v="31"/>
    <s v="Cayden"/>
    <s v="Seymour"/>
    <x v="341"/>
    <d v="2011-09-22T00:00:00"/>
    <n v="11.917864476386036"/>
    <n v="6"/>
    <n v="872"/>
    <n v="872"/>
    <d v="2023-04-01T00:00:00"/>
    <n v="1"/>
    <d v="2023-07-21T00:00:00"/>
    <n v="63"/>
    <n v="63"/>
    <n v="0.328125"/>
    <s v="Yr 6"/>
    <n v="30"/>
    <m/>
    <m/>
    <x v="0"/>
    <x v="0"/>
    <x v="0"/>
    <s v="NO"/>
    <s v="NO"/>
    <s v="NO"/>
    <s v="NO"/>
    <m/>
    <n v="8183.0999999999985"/>
    <s v="SEMH"/>
    <n v="1"/>
    <n v="0.328125"/>
    <n v="2685.0796874999996"/>
    <n v="2685.0796874999996"/>
    <n v="2685.0796874999996"/>
    <n v="2685.0796874999996"/>
    <n v="2685.0796874999996"/>
    <m/>
    <m/>
    <e v="#N/A"/>
    <s v="special"/>
    <e v="#N/A"/>
    <s v="Y"/>
    <n v="5455.3999999999987"/>
    <n v="0"/>
    <n v="2685.0796874999996"/>
    <s v="Name on Type "/>
    <s v="special"/>
    <n v="43012"/>
    <m/>
    <s v="Name on Type "/>
    <m/>
    <n v="30"/>
    <n v="8183.0999999999985"/>
    <m/>
    <s v="Y"/>
    <m/>
    <n v="5412.7796874999985"/>
    <n v="8097.8593749999982"/>
    <n v="5412.7796874999985"/>
    <s v="remove"/>
    <m/>
    <m/>
    <m/>
    <m/>
    <m/>
    <n v="8097.8593749999982"/>
    <m/>
    <n v="0"/>
    <n v="5412.7796874999985"/>
    <m/>
    <n v="5498.0203124999989"/>
    <n v="-2599.8390624999993"/>
    <m/>
  </r>
  <r>
    <x v="0"/>
    <n v="1"/>
    <n v="41121"/>
    <n v="41121"/>
    <n v="43012"/>
    <s v="No"/>
    <s v="Y"/>
    <m/>
    <x v="0"/>
    <m/>
    <n v="407761"/>
    <x v="31"/>
    <s v="Evie"/>
    <s v="Brookes"/>
    <x v="342"/>
    <d v="2013-03-29T00:00:00"/>
    <n v="10.401095140314853"/>
    <n v="5"/>
    <n v="872"/>
    <n v="872"/>
    <d v="2023-04-01T00:00:00"/>
    <n v="1"/>
    <d v="2024-03-31T00:00:00"/>
    <n v="192"/>
    <n v="192"/>
    <n v="1"/>
    <s v="open"/>
    <n v="28"/>
    <m/>
    <m/>
    <x v="0"/>
    <x v="0"/>
    <x v="0"/>
    <s v="NO"/>
    <s v="NO"/>
    <s v="NO"/>
    <s v="NO"/>
    <m/>
    <n v="7237.5599999999995"/>
    <s v="SPLD"/>
    <n v="1"/>
    <n v="1"/>
    <n v="7237.5599999999995"/>
    <n v="7237.5599999999995"/>
    <n v="7237.5599999999995"/>
    <n v="7237.5599999999995"/>
    <n v="7237.5599999999995"/>
    <m/>
    <m/>
    <e v="#N/A"/>
    <e v="#N/A"/>
    <e v="#N/A"/>
    <m/>
    <m/>
    <n v="0"/>
    <n v="7237.5599999999995"/>
    <s v=""/>
    <m/>
    <m/>
    <m/>
    <m/>
    <m/>
    <m/>
    <m/>
    <m/>
    <m/>
    <m/>
    <m/>
    <n v="7237.5599999999995"/>
    <m/>
    <m/>
    <m/>
    <m/>
    <m/>
    <m/>
    <m/>
    <n v="7237.5599999999995"/>
    <m/>
    <n v="0"/>
    <n v="0"/>
    <m/>
    <n v="7237.5599999999995"/>
    <n v="0"/>
    <m/>
  </r>
  <r>
    <x v="1"/>
    <n v="1"/>
    <n v="41121"/>
    <n v="41121"/>
    <n v="43012"/>
    <s v="No"/>
    <s v="Y"/>
    <m/>
    <x v="0"/>
    <s v="AD"/>
    <n v="407761"/>
    <x v="31"/>
    <s v="Evie"/>
    <s v="Brookes"/>
    <x v="342"/>
    <d v="2013-03-29T00:00:00"/>
    <n v="10.401095140314853"/>
    <n v="5"/>
    <n v="872"/>
    <n v="872"/>
    <d v="2023-04-01T00:00:00"/>
    <n v="1"/>
    <d v="2023-07-31T00:00:00"/>
    <n v="63"/>
    <n v="63"/>
    <n v="1"/>
    <d v="2023-07-31T00:00:00"/>
    <n v="1432.08"/>
    <m/>
    <m/>
    <x v="0"/>
    <x v="1"/>
    <x v="1"/>
    <s v="NO"/>
    <s v="NO"/>
    <s v="NO"/>
    <s v="NO"/>
    <m/>
    <n v="1432.08"/>
    <s v="SPLD"/>
    <n v="1"/>
    <n v="1"/>
    <n v="1432.08"/>
    <n v="1432.08"/>
    <n v="1432.08"/>
    <n v="0"/>
    <n v="1432.08"/>
    <m/>
    <m/>
    <e v="#N/A"/>
    <e v="#N/A"/>
    <e v="#N/A"/>
    <m/>
    <m/>
    <n v="0"/>
    <n v="1432.08"/>
    <s v=""/>
    <m/>
    <m/>
    <m/>
    <m/>
    <m/>
    <n v="1432.08"/>
    <n v="1432.08"/>
    <m/>
    <m/>
    <m/>
    <n v="947.2612499999999"/>
    <n v="2379.3412499999999"/>
    <m/>
    <m/>
    <m/>
    <m/>
    <m/>
    <m/>
    <m/>
    <n v="2379.3412499999999"/>
    <m/>
    <n v="0"/>
    <n v="2379.3412499999999"/>
    <m/>
    <n v="2379.3412499999999"/>
    <n v="0"/>
    <m/>
  </r>
  <r>
    <x v="0"/>
    <n v="1"/>
    <n v="41121"/>
    <n v="41121"/>
    <n v="43012"/>
    <s v="No"/>
    <s v="Y"/>
    <m/>
    <x v="0"/>
    <m/>
    <n v="439319"/>
    <x v="31"/>
    <s v="Jacob"/>
    <s v="Tate"/>
    <x v="343"/>
    <d v="2018-05-17T00:00:00"/>
    <n v="5.2676249144421625"/>
    <n v="0"/>
    <n v="872"/>
    <n v="872"/>
    <d v="2023-04-01T00:00:00"/>
    <n v="1"/>
    <d v="2024-03-31T00:00:00"/>
    <n v="192"/>
    <n v="192"/>
    <n v="1"/>
    <s v="open"/>
    <n v="31"/>
    <m/>
    <m/>
    <x v="0"/>
    <x v="1"/>
    <x v="1"/>
    <s v="NO"/>
    <s v="NO"/>
    <s v="NO"/>
    <s v="NO"/>
    <m/>
    <n v="8655.869999999999"/>
    <s v="SEMH"/>
    <n v="1"/>
    <n v="1"/>
    <n v="8655.869999999999"/>
    <n v="8655.869999999999"/>
    <n v="8655.869999999999"/>
    <n v="0"/>
    <n v="8655.869999999999"/>
    <m/>
    <m/>
    <e v="#N/A"/>
    <e v="#N/A"/>
    <e v="#N/A"/>
    <m/>
    <m/>
    <n v="0"/>
    <n v="8655.869999999999"/>
    <s v=""/>
    <m/>
    <m/>
    <m/>
    <m/>
    <m/>
    <m/>
    <m/>
    <m/>
    <m/>
    <m/>
    <m/>
    <n v="8655.869999999999"/>
    <m/>
    <m/>
    <m/>
    <m/>
    <m/>
    <m/>
    <m/>
    <n v="8655.869999999999"/>
    <m/>
    <n v="0"/>
    <n v="8655.869999999999"/>
    <m/>
    <n v="8655.869999999999"/>
    <n v="0"/>
    <m/>
  </r>
  <r>
    <x v="0"/>
    <n v="1"/>
    <n v="41121"/>
    <n v="41121"/>
    <n v="43012"/>
    <s v="No"/>
    <s v="Y"/>
    <m/>
    <x v="0"/>
    <m/>
    <n v="401857"/>
    <x v="31"/>
    <s v="Jasmine"/>
    <s v="Farr"/>
    <x v="344"/>
    <d v="2013-02-09T00:00:00"/>
    <n v="10.532511978097194"/>
    <n v="5"/>
    <n v="872"/>
    <n v="872"/>
    <d v="2023-04-01T00:00:00"/>
    <n v="1"/>
    <d v="2024-03-31T00:00:00"/>
    <n v="192"/>
    <n v="192"/>
    <n v="1"/>
    <s v="open"/>
    <n v="27"/>
    <m/>
    <m/>
    <x v="0"/>
    <x v="0"/>
    <x v="0"/>
    <s v="NO"/>
    <s v="NO"/>
    <s v="NO"/>
    <s v="NO"/>
    <m/>
    <n v="6764.7899999999991"/>
    <s v="Severe LD"/>
    <n v="1"/>
    <n v="1"/>
    <n v="6764.7899999999991"/>
    <n v="6764.7899999999991"/>
    <n v="6764.7899999999991"/>
    <n v="6764.7899999999991"/>
    <n v="6764.7899999999991"/>
    <m/>
    <m/>
    <e v="#N/A"/>
    <e v="#N/A"/>
    <e v="#N/A"/>
    <m/>
    <m/>
    <n v="0"/>
    <n v="6764.7899999999991"/>
    <s v=""/>
    <m/>
    <m/>
    <m/>
    <m/>
    <m/>
    <m/>
    <m/>
    <m/>
    <m/>
    <m/>
    <m/>
    <n v="6764.7899999999991"/>
    <m/>
    <m/>
    <m/>
    <m/>
    <m/>
    <m/>
    <m/>
    <n v="6764.7899999999991"/>
    <m/>
    <n v="0"/>
    <n v="0"/>
    <m/>
    <n v="6764.7899999999991"/>
    <n v="0"/>
    <m/>
  </r>
  <r>
    <x v="0"/>
    <n v="1"/>
    <n v="41121"/>
    <n v="41121"/>
    <n v="43012"/>
    <s v="No"/>
    <s v="Y"/>
    <m/>
    <x v="0"/>
    <m/>
    <n v="405773"/>
    <x v="31"/>
    <s v="Jayden"/>
    <s v="Savory"/>
    <x v="345"/>
    <d v="2012-09-14T00:00:00"/>
    <n v="10.937713894592745"/>
    <n v="5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ASD"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1"/>
    <n v="1"/>
    <n v="41121"/>
    <n v="41121"/>
    <n v="43012"/>
    <s v="No"/>
    <s v="Y"/>
    <m/>
    <x v="0"/>
    <s v="AP"/>
    <n v="405773"/>
    <x v="31"/>
    <s v="Jayden"/>
    <s v="Savory"/>
    <x v="345"/>
    <d v="2012-09-14T00:00:00"/>
    <n v="10.937713894592745"/>
    <n v="5"/>
    <n v="872"/>
    <n v="872"/>
    <d v="2023-04-01T00:00:00"/>
    <n v="1"/>
    <d v="2023-07-21T00:00:00"/>
    <n v="63"/>
    <n v="63"/>
    <n v="0.328125"/>
    <d v="2023-07-21T00:00:00"/>
    <n v="14960"/>
    <m/>
    <m/>
    <x v="0"/>
    <x v="1"/>
    <x v="1"/>
    <s v="NO"/>
    <s v="NO"/>
    <s v="NO"/>
    <s v="NO"/>
    <m/>
    <n v="14960"/>
    <s v="ASD"/>
    <n v="1"/>
    <n v="0.328125"/>
    <n v="4908.75"/>
    <n v="4908.75"/>
    <n v="4908.75"/>
    <n v="4908.75"/>
    <n v="4908.75"/>
    <m/>
    <m/>
    <e v="#N/A"/>
    <e v="#N/A"/>
    <e v="#N/A"/>
    <m/>
    <m/>
    <n v="0"/>
    <n v="4908.75"/>
    <s v=""/>
    <m/>
    <m/>
    <m/>
    <m/>
    <m/>
    <n v="14960"/>
    <n v="14960"/>
    <m/>
    <m/>
    <m/>
    <n v="9895.4166666666679"/>
    <n v="14804.166666666668"/>
    <m/>
    <m/>
    <m/>
    <m/>
    <m/>
    <m/>
    <m/>
    <n v="14804.166666666668"/>
    <m/>
    <n v="0"/>
    <n v="9895.4166666666679"/>
    <m/>
    <n v="14804.166666666668"/>
    <n v="0"/>
    <m/>
  </r>
  <r>
    <x v="0"/>
    <n v="1"/>
    <n v="41121"/>
    <n v="41121"/>
    <n v="43012"/>
    <s v="No"/>
    <s v="Y"/>
    <m/>
    <x v="0"/>
    <m/>
    <n v="445598"/>
    <x v="31"/>
    <s v="Jayson"/>
    <s v="Joubran"/>
    <x v="346"/>
    <d v="2018-03-23T00:00:00"/>
    <n v="5.4182067077344289"/>
    <n v="0"/>
    <n v="872"/>
    <n v="872"/>
    <d v="2023-04-01T00:00:00"/>
    <n v="1"/>
    <d v="2024-03-31T00:00:00"/>
    <n v="192"/>
    <n v="192"/>
    <n v="1"/>
    <s v="open"/>
    <n v="28"/>
    <m/>
    <m/>
    <x v="0"/>
    <x v="0"/>
    <x v="0"/>
    <s v="NO"/>
    <s v="NO"/>
    <s v="NO"/>
    <s v="NO"/>
    <m/>
    <n v="7237.5599999999995"/>
    <s v="ASD"/>
    <n v="1"/>
    <n v="1"/>
    <n v="7237.5599999999995"/>
    <n v="7237.5599999999995"/>
    <n v="7237.5599999999995"/>
    <n v="7237.5599999999995"/>
    <n v="7237.5599999999995"/>
    <m/>
    <m/>
    <e v="#N/A"/>
    <e v="#N/A"/>
    <e v="#N/A"/>
    <m/>
    <m/>
    <n v="0"/>
    <n v="7237.5599999999995"/>
    <s v=""/>
    <m/>
    <m/>
    <m/>
    <m/>
    <m/>
    <m/>
    <m/>
    <m/>
    <m/>
    <m/>
    <m/>
    <n v="7237.5599999999995"/>
    <m/>
    <m/>
    <m/>
    <m/>
    <m/>
    <m/>
    <m/>
    <n v="7237.5599999999995"/>
    <m/>
    <n v="0"/>
    <n v="0"/>
    <m/>
    <n v="7237.5599999999995"/>
    <n v="0"/>
    <m/>
  </r>
  <r>
    <x v="0"/>
    <n v="1"/>
    <n v="41121"/>
    <n v="41121"/>
    <n v="43012"/>
    <s v="No"/>
    <s v="Y"/>
    <m/>
    <x v="0"/>
    <m/>
    <n v="409676"/>
    <x v="31"/>
    <s v="Kaydie"/>
    <s v="O'Neill"/>
    <x v="347"/>
    <d v="2013-09-10T00:00:00"/>
    <n v="9.9493497604380554"/>
    <n v="4"/>
    <n v="872"/>
    <n v="872"/>
    <d v="2023-04-01T00:00:00"/>
    <n v="1"/>
    <d v="2024-03-31T00:00:00"/>
    <n v="192"/>
    <n v="192"/>
    <n v="1"/>
    <s v="open"/>
    <n v="27"/>
    <m/>
    <m/>
    <x v="0"/>
    <x v="0"/>
    <x v="0"/>
    <s v="NO"/>
    <s v="NO"/>
    <s v="NO"/>
    <s v="NO"/>
    <m/>
    <n v="6764.7899999999991"/>
    <s v="ASD"/>
    <n v="1"/>
    <n v="1"/>
    <n v="6764.7899999999991"/>
    <n v="6764.7899999999991"/>
    <n v="6764.7899999999991"/>
    <n v="6764.7899999999991"/>
    <n v="6764.7899999999991"/>
    <m/>
    <m/>
    <e v="#N/A"/>
    <e v="#N/A"/>
    <e v="#N/A"/>
    <m/>
    <m/>
    <n v="0"/>
    <n v="6764.7899999999991"/>
    <s v=""/>
    <m/>
    <m/>
    <m/>
    <m/>
    <m/>
    <m/>
    <m/>
    <m/>
    <m/>
    <m/>
    <m/>
    <n v="6764.7899999999991"/>
    <m/>
    <m/>
    <m/>
    <m/>
    <m/>
    <m/>
    <m/>
    <n v="6764.7899999999991"/>
    <m/>
    <n v="0"/>
    <n v="0"/>
    <m/>
    <n v="6764.7899999999991"/>
    <n v="0"/>
    <m/>
  </r>
  <r>
    <x v="0"/>
    <n v="1"/>
    <n v="41121"/>
    <n v="41121"/>
    <n v="43012"/>
    <s v="No"/>
    <s v="Y"/>
    <m/>
    <x v="0"/>
    <m/>
    <n v="410177"/>
    <x v="31"/>
    <s v="Lacie-Anne"/>
    <s v="Brabon"/>
    <x v="348"/>
    <d v="2014-05-06T00:00:00"/>
    <n v="9.2977412731006162"/>
    <n v="4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MLD"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0"/>
    <n v="1"/>
    <n v="41121"/>
    <n v="41121"/>
    <n v="43012"/>
    <s v="No"/>
    <s v="Y"/>
    <m/>
    <x v="0"/>
    <m/>
    <n v="429278"/>
    <x v="31"/>
    <s v="Liam"/>
    <s v="Waistell"/>
    <x v="349"/>
    <d v="2016-04-24T00:00:00"/>
    <n v="7.3292265571526354"/>
    <n v="2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m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0"/>
    <n v="1"/>
    <n v="41121"/>
    <n v="41121"/>
    <n v="43012"/>
    <s v="No"/>
    <s v="Y"/>
    <m/>
    <x v="0"/>
    <m/>
    <n v="405366"/>
    <x v="31"/>
    <s v="Luke"/>
    <s v="Gould Seymour"/>
    <x v="350"/>
    <d v="2012-06-04T00:00:00"/>
    <n v="11.21697467488022"/>
    <n v="6"/>
    <s v="872"/>
    <s v="872"/>
    <d v="2023-04-01T00:00:00"/>
    <n v="1"/>
    <d v="2023-07-21T00:00:00"/>
    <n v="63"/>
    <n v="63"/>
    <n v="0.328125"/>
    <s v="Yr 6"/>
    <n v="25"/>
    <m/>
    <m/>
    <x v="1"/>
    <x v="1"/>
    <x v="0"/>
    <s v="NO"/>
    <s v="NO"/>
    <s v="NO"/>
    <s v="NO"/>
    <m/>
    <n v="5819.25"/>
    <s v="MLD"/>
    <n v="1"/>
    <n v="0.328125"/>
    <n v="1909.44140625"/>
    <n v="1909.44140625"/>
    <n v="1909.44140625"/>
    <n v="1909.44140625"/>
    <n v="1909.44140625"/>
    <m/>
    <m/>
    <e v="#N/A"/>
    <s v="ME MAT"/>
    <e v="#N/A"/>
    <m/>
    <m/>
    <n v="0"/>
    <n v="1909.44140625"/>
    <s v="Maiden Erlegh"/>
    <s v="WBC Academy"/>
    <n v="43012"/>
    <m/>
    <s v="Maiden Erlegh"/>
    <m/>
    <n v="25"/>
    <n v="5819.25"/>
    <m/>
    <s v="Y"/>
    <m/>
    <n v="3849.19140625"/>
    <n v="5758.6328125"/>
    <m/>
    <m/>
    <m/>
    <m/>
    <m/>
    <m/>
    <m/>
    <n v="5758.6328125"/>
    <m/>
    <n v="0"/>
    <n v="3849.19140625"/>
    <m/>
    <n v="5758.6328125"/>
    <n v="0"/>
    <m/>
  </r>
  <r>
    <x v="0"/>
    <n v="1"/>
    <n v="41121"/>
    <n v="41121"/>
    <n v="43012"/>
    <s v="No"/>
    <s v="Y"/>
    <m/>
    <x v="0"/>
    <m/>
    <n v="403357"/>
    <x v="31"/>
    <s v="Orson"/>
    <s v="Lewis"/>
    <x v="351"/>
    <d v="2012-06-06T00:00:00"/>
    <n v="11.211498973305956"/>
    <n v="6"/>
    <s v="872"/>
    <s v="872"/>
    <d v="2023-04-01T00:00:00"/>
    <n v="1"/>
    <d v="2023-07-21T00:00:00"/>
    <n v="63"/>
    <n v="63"/>
    <n v="0.328125"/>
    <s v="Yr 6"/>
    <n v="25"/>
    <m/>
    <m/>
    <x v="1"/>
    <x v="1"/>
    <x v="0"/>
    <s v="NO"/>
    <s v="NO"/>
    <s v="NO"/>
    <s v="NO"/>
    <m/>
    <n v="5819.25"/>
    <s v="ASD"/>
    <n v="1"/>
    <n v="0.328125"/>
    <n v="1909.44140625"/>
    <n v="1909.44140625"/>
    <n v="1909.44140625"/>
    <n v="1909.44140625"/>
    <n v="1909.44140625"/>
    <m/>
    <m/>
    <e v="#N/A"/>
    <s v="ME MAT_Indigo"/>
    <e v="#N/A"/>
    <m/>
    <m/>
    <n v="0"/>
    <n v="1909.44140625"/>
    <s v="Maiden Erlegh Resource - funding approved"/>
    <s v="WBC Academy"/>
    <n v="43012"/>
    <m/>
    <s v="Maiden Erlegh Resource - funding approved"/>
    <m/>
    <n v="25"/>
    <n v="5819.25"/>
    <m/>
    <s v="Y"/>
    <m/>
    <n v="3849.19140625"/>
    <n v="5758.6328125"/>
    <m/>
    <m/>
    <m/>
    <m/>
    <m/>
    <m/>
    <m/>
    <n v="5758.6328125"/>
    <m/>
    <n v="0"/>
    <n v="3849.19140625"/>
    <m/>
    <n v="17593.6328125"/>
    <n v="11835"/>
    <s v="new TOP provision £11,853"/>
  </r>
  <r>
    <x v="0"/>
    <n v="1"/>
    <n v="41121"/>
    <n v="41121"/>
    <n v="43012"/>
    <s v="No"/>
    <s v="Y"/>
    <m/>
    <x v="0"/>
    <m/>
    <n v="409694"/>
    <x v="31"/>
    <s v="Samuel"/>
    <s v="Connell"/>
    <x v="352"/>
    <d v="2013-08-01T00:00:00"/>
    <n v="10.05886379192334"/>
    <n v="5"/>
    <s v="872"/>
    <s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SEMH"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1"/>
    <n v="1"/>
    <n v="41121"/>
    <n v="41121"/>
    <n v="43012"/>
    <s v="No"/>
    <s v="Y"/>
    <m/>
    <x v="0"/>
    <s v="AD"/>
    <n v="409694"/>
    <x v="31"/>
    <s v="Samuel"/>
    <s v="Connell"/>
    <x v="352"/>
    <d v="2013-08-01T00:00:00"/>
    <n v="10.05886379192334"/>
    <n v="5"/>
    <s v="872"/>
    <s v="872"/>
    <d v="2023-04-01T00:00:00"/>
    <n v="1"/>
    <d v="2023-07-21T00:00:00"/>
    <n v="63"/>
    <n v="63"/>
    <n v="0.328125"/>
    <d v="2023-07-21T00:00:00"/>
    <n v="14006.6"/>
    <m/>
    <m/>
    <x v="0"/>
    <x v="1"/>
    <x v="1"/>
    <s v="NO"/>
    <s v="NO"/>
    <s v="NO"/>
    <s v="NO"/>
    <m/>
    <n v="9768.7099999999991"/>
    <s v="SEMH"/>
    <n v="1"/>
    <n v="1"/>
    <n v="9768.7099999999991"/>
    <n v="9768.7099999999991"/>
    <n v="9768.7099999999991"/>
    <n v="4595.9156250000005"/>
    <n v="4595.9156250000005"/>
    <m/>
    <m/>
    <e v="#N/A"/>
    <e v="#N/A"/>
    <e v="#N/A"/>
    <m/>
    <m/>
    <n v="5172.7943749999986"/>
    <n v="9768.7099999999991"/>
    <s v=""/>
    <m/>
    <m/>
    <m/>
    <m/>
    <m/>
    <n v="14006.6"/>
    <n v="9768.7099999999991"/>
    <m/>
    <m/>
    <m/>
    <n v="6461.5946354166654"/>
    <n v="16230.304635416665"/>
    <m/>
    <m/>
    <m/>
    <m/>
    <m/>
    <m/>
    <m/>
    <n v="16230.304635416665"/>
    <m/>
    <n v="0"/>
    <n v="11634.389010416664"/>
    <m/>
    <n v="16230.304635416665"/>
    <n v="0"/>
    <m/>
  </r>
  <r>
    <x v="0"/>
    <n v="1"/>
    <n v="41121"/>
    <n v="41121"/>
    <n v="43012"/>
    <s v="No"/>
    <s v="Y"/>
    <m/>
    <x v="0"/>
    <s v="AP"/>
    <n v="439929"/>
    <x v="31"/>
    <s v="Yu Tin Nathanie"/>
    <s v="Shiu"/>
    <x v="353"/>
    <d v="2012-09-10T00:00:00"/>
    <n v="10.948665297741274"/>
    <n v="5"/>
    <s v="872"/>
    <s v="872"/>
    <d v="2023-06-12T00:00:00"/>
    <n v="35"/>
    <d v="2023-07-21T00:00:00"/>
    <n v="63"/>
    <n v="29"/>
    <n v="0.15104166666666666"/>
    <d v="2023-10-20T00:00:00"/>
    <n v="6300"/>
    <m/>
    <m/>
    <x v="0"/>
    <x v="1"/>
    <x v="1"/>
    <s v="NO"/>
    <s v="NO"/>
    <s v="NO"/>
    <s v="NO"/>
    <m/>
    <n v="6300"/>
    <s v="SEMH"/>
    <n v="1"/>
    <n v="1"/>
    <n v="6300"/>
    <n v="6300"/>
    <n v="6300"/>
    <n v="0"/>
    <n v="0"/>
    <m/>
    <m/>
    <m/>
    <m/>
    <m/>
    <m/>
    <m/>
    <n v="6300"/>
    <n v="6300"/>
    <s v=""/>
    <m/>
    <m/>
    <m/>
    <m/>
    <m/>
    <n v="6300"/>
    <n v="6300"/>
    <m/>
    <m/>
    <m/>
    <n v="4167.1875"/>
    <n v="10467.1875"/>
    <m/>
    <m/>
    <m/>
    <m/>
    <m/>
    <m/>
    <m/>
    <n v="10467.1875"/>
    <m/>
    <n v="0"/>
    <n v="10467.1875"/>
    <m/>
    <n v="10467.1875"/>
    <n v="0"/>
    <m/>
  </r>
  <r>
    <x v="0"/>
    <n v="1"/>
    <n v="41122"/>
    <n v="41122"/>
    <n v="43014"/>
    <s v="No"/>
    <m/>
    <s v="Y"/>
    <x v="0"/>
    <m/>
    <n v="436168"/>
    <x v="32"/>
    <s v="Beatrice"/>
    <s v="Goddard"/>
    <x v="354"/>
    <d v="2016-10-26T00:00:00"/>
    <n v="6.8227241615331966"/>
    <n v="1"/>
    <n v="872"/>
    <n v="872"/>
    <d v="2023-04-01T00:00:00"/>
    <n v="1"/>
    <d v="2024-03-31T00:00:00"/>
    <n v="192"/>
    <n v="192"/>
    <n v="1"/>
    <s v="open"/>
    <s v="LAL_PD3_Element 3"/>
    <s v="LAL_PD3_Element 3"/>
    <s v="BAND4"/>
    <x v="0"/>
    <x v="1"/>
    <x v="1"/>
    <s v="NO"/>
    <s v="YES"/>
    <s v="NO"/>
    <s v="NO"/>
    <n v="7223"/>
    <n v="7223"/>
    <s v="SLCD"/>
    <n v="1"/>
    <n v="1"/>
    <n v="7223"/>
    <n v="7223"/>
    <n v="7223"/>
    <n v="7223"/>
    <n v="7223"/>
    <m/>
    <m/>
    <e v="#N/A"/>
    <e v="#N/A"/>
    <e v="#N/A"/>
    <m/>
    <m/>
    <n v="0"/>
    <n v="7223"/>
    <s v=""/>
    <m/>
    <m/>
    <m/>
    <m/>
    <m/>
    <m/>
    <m/>
    <m/>
    <m/>
    <m/>
    <m/>
    <n v="7223"/>
    <m/>
    <m/>
    <m/>
    <m/>
    <m/>
    <m/>
    <m/>
    <n v="7223"/>
    <m/>
    <n v="0"/>
    <n v="0"/>
    <m/>
    <n v="7223"/>
    <n v="0"/>
    <m/>
  </r>
  <r>
    <x v="1"/>
    <n v="1"/>
    <n v="41122"/>
    <n v="41122"/>
    <n v="43014"/>
    <s v="No"/>
    <m/>
    <s v="Y"/>
    <x v="0"/>
    <s v="AD"/>
    <n v="436168"/>
    <x v="32"/>
    <s v="Beatrice"/>
    <s v="Goddard"/>
    <x v="354"/>
    <d v="2016-10-26T00:00:00"/>
    <n v="6.8227241615331966"/>
    <n v="1"/>
    <n v="872"/>
    <n v="872"/>
    <d v="2023-04-01T00:00:00"/>
    <n v="1"/>
    <d v="2024-03-31T00:00:00"/>
    <n v="192"/>
    <n v="192"/>
    <n v="1"/>
    <s v="open"/>
    <s v="LAL_PD3_Element 3"/>
    <s v="LAL_PD3_Element 3"/>
    <m/>
    <x v="0"/>
    <x v="1"/>
    <x v="1"/>
    <s v="NO"/>
    <s v="NO"/>
    <s v="NO"/>
    <s v="NO"/>
    <n v="15550"/>
    <n v="15550"/>
    <s v="SLCD"/>
    <n v="1"/>
    <n v="1"/>
    <n v="15550"/>
    <n v="15550"/>
    <n v="15550"/>
    <n v="15550"/>
    <n v="15550"/>
    <m/>
    <m/>
    <e v="#N/A"/>
    <e v="#N/A"/>
    <e v="#N/A"/>
    <m/>
    <m/>
    <n v="0"/>
    <n v="15550"/>
    <s v=""/>
    <m/>
    <m/>
    <m/>
    <m/>
    <m/>
    <m/>
    <m/>
    <m/>
    <m/>
    <m/>
    <m/>
    <n v="15550"/>
    <m/>
    <m/>
    <m/>
    <m/>
    <m/>
    <m/>
    <m/>
    <n v="15550"/>
    <m/>
    <n v="0"/>
    <n v="0"/>
    <m/>
    <n v="15550"/>
    <n v="0"/>
    <m/>
  </r>
  <r>
    <x v="0"/>
    <n v="1"/>
    <n v="41122"/>
    <n v="41122"/>
    <n v="43014"/>
    <s v="No"/>
    <m/>
    <s v="Y"/>
    <x v="0"/>
    <m/>
    <n v="421517"/>
    <x v="32"/>
    <s v="Daisy"/>
    <s v="Gale"/>
    <x v="355"/>
    <d v="2015-06-17T00:00:00"/>
    <n v="8.1834360027378512"/>
    <n v="3"/>
    <n v="872"/>
    <n v="872"/>
    <d v="2023-04-01T00:00:00"/>
    <n v="1"/>
    <d v="2024-03-31T00:00:00"/>
    <n v="192"/>
    <n v="192"/>
    <n v="1"/>
    <s v="open"/>
    <s v="LAL_PD3_BAND4"/>
    <s v="LAL_PD3_BAND4"/>
    <s v="BAND4"/>
    <x v="0"/>
    <x v="1"/>
    <x v="1"/>
    <s v="NO"/>
    <s v="YES"/>
    <s v="NO"/>
    <s v="NO"/>
    <n v="10152"/>
    <n v="10152"/>
    <s v="PD"/>
    <n v="1"/>
    <n v="1"/>
    <n v="10152"/>
    <n v="10152"/>
    <n v="10152"/>
    <n v="10152"/>
    <n v="10152"/>
    <m/>
    <m/>
    <e v="#N/A"/>
    <e v="#N/A"/>
    <e v="#N/A"/>
    <m/>
    <m/>
    <n v="0"/>
    <n v="10152"/>
    <s v=""/>
    <m/>
    <m/>
    <m/>
    <m/>
    <m/>
    <m/>
    <m/>
    <m/>
    <m/>
    <m/>
    <m/>
    <n v="10152"/>
    <m/>
    <m/>
    <m/>
    <m/>
    <m/>
    <m/>
    <m/>
    <n v="10152"/>
    <m/>
    <n v="0"/>
    <n v="0"/>
    <m/>
    <n v="10152"/>
    <n v="0"/>
    <m/>
  </r>
  <r>
    <x v="0"/>
    <n v="1"/>
    <n v="41122"/>
    <n v="41122"/>
    <n v="43014"/>
    <s v="No"/>
    <m/>
    <s v="Y"/>
    <x v="0"/>
    <m/>
    <n v="441653"/>
    <x v="32"/>
    <s v="Dawson"/>
    <s v="Gosling"/>
    <x v="356"/>
    <d v="2018-08-28T00:00:00"/>
    <n v="4.9856262833675569"/>
    <n v="0"/>
    <n v="872"/>
    <n v="872"/>
    <d v="2023-04-01T00:00:00"/>
    <n v="1"/>
    <d v="2024-03-31T00:00:00"/>
    <n v="192"/>
    <n v="192"/>
    <n v="1"/>
    <s v="open"/>
    <s v="LAL_PD3_BAND4"/>
    <s v="LAL_PD3_BAND4"/>
    <s v="BAND4"/>
    <x v="0"/>
    <x v="1"/>
    <x v="1"/>
    <s v="NO"/>
    <s v="YES"/>
    <s v="NO"/>
    <s v="NO"/>
    <n v="10152"/>
    <n v="10152"/>
    <m/>
    <n v="1"/>
    <n v="1"/>
    <n v="10152"/>
    <n v="10152"/>
    <n v="10152"/>
    <n v="10152"/>
    <n v="10152"/>
    <m/>
    <m/>
    <e v="#N/A"/>
    <e v="#N/A"/>
    <e v="#N/A"/>
    <m/>
    <m/>
    <n v="0"/>
    <n v="10152"/>
    <s v=""/>
    <m/>
    <m/>
    <m/>
    <m/>
    <m/>
    <m/>
    <m/>
    <m/>
    <m/>
    <m/>
    <m/>
    <n v="10152"/>
    <m/>
    <m/>
    <m/>
    <m/>
    <m/>
    <m/>
    <m/>
    <n v="10152"/>
    <m/>
    <n v="0"/>
    <n v="0"/>
    <m/>
    <n v="10152"/>
    <n v="0"/>
    <m/>
  </r>
  <r>
    <x v="0"/>
    <n v="1"/>
    <n v="41122"/>
    <n v="41122"/>
    <n v="43011"/>
    <s v="No"/>
    <m/>
    <m/>
    <x v="0"/>
    <m/>
    <n v="437314"/>
    <x v="32"/>
    <s v="Alfred"/>
    <s v="Eaton"/>
    <x v="357"/>
    <d v="2017-10-02T00:00:00"/>
    <n v="5.8891170431211499"/>
    <n v="0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m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0"/>
    <n v="1"/>
    <n v="41122"/>
    <n v="41122"/>
    <n v="43011"/>
    <s v="No"/>
    <m/>
    <m/>
    <x v="0"/>
    <m/>
    <n v="435619"/>
    <x v="32"/>
    <s v="Alyaan"/>
    <s v="Siddiqui"/>
    <x v="358"/>
    <d v="2017-05-23T00:00:00"/>
    <n v="6.2505133470225873"/>
    <n v="1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SLCD"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0"/>
    <n v="1"/>
    <n v="41122"/>
    <n v="41122"/>
    <n v="43011"/>
    <s v="No"/>
    <m/>
    <m/>
    <x v="0"/>
    <m/>
    <n v="397326"/>
    <x v="32"/>
    <s v="Charlie"/>
    <s v="Jones"/>
    <x v="359"/>
    <d v="2016-09-13T00:00:00"/>
    <n v="6.9404517453798764"/>
    <n v="6"/>
    <n v="872"/>
    <n v="872"/>
    <d v="2023-04-01T00:00:00"/>
    <n v="1"/>
    <d v="2023-07-21T00:00:00"/>
    <n v="63"/>
    <n v="63"/>
    <n v="0.328125"/>
    <s v="Yr 6"/>
    <n v="28"/>
    <m/>
    <m/>
    <x v="0"/>
    <x v="0"/>
    <x v="0"/>
    <s v="NO"/>
    <s v="NO"/>
    <s v="NO"/>
    <s v="NO"/>
    <m/>
    <n v="7237.5599999999995"/>
    <s v="ASD"/>
    <n v="1"/>
    <n v="0.328125"/>
    <n v="2374.8243749999997"/>
    <n v="2374.8243749999997"/>
    <n v="2374.8243749999997"/>
    <n v="2374.8243749999997"/>
    <n v="2374.8243749999997"/>
    <m/>
    <m/>
    <e v="#N/A"/>
    <s v="Oak Tree"/>
    <e v="#N/A"/>
    <s v="Y"/>
    <n v="4825.04"/>
    <n v="0"/>
    <n v="2374.8243749999997"/>
    <s v="Oak Tree"/>
    <s v="WBC Spec"/>
    <m/>
    <m/>
    <s v="Oak Tree"/>
    <m/>
    <n v="28"/>
    <n v="7237.5599999999995"/>
    <m/>
    <s v="Y"/>
    <m/>
    <n v="4787.3443749999997"/>
    <n v="7162.1687499999989"/>
    <n v="4787.3443749999997"/>
    <s v="remove"/>
    <m/>
    <m/>
    <m/>
    <m/>
    <m/>
    <n v="7162.1687499999989"/>
    <m/>
    <n v="0"/>
    <n v="4787.3443749999988"/>
    <m/>
    <n v="7162.1687499999989"/>
    <n v="0"/>
    <m/>
  </r>
  <r>
    <x v="0"/>
    <n v="1"/>
    <n v="41122"/>
    <n v="41122"/>
    <n v="43011"/>
    <s v="No"/>
    <m/>
    <m/>
    <x v="0"/>
    <m/>
    <n v="414007"/>
    <x v="32"/>
    <s v="Francis"/>
    <s v="Keirle"/>
    <x v="360"/>
    <d v="2015-01-10T00:00:00"/>
    <n v="8.6160164271047233"/>
    <n v="3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ASD"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0"/>
    <n v="1"/>
    <n v="41122"/>
    <n v="41122"/>
    <n v="43011"/>
    <s v="No"/>
    <m/>
    <m/>
    <x v="0"/>
    <m/>
    <n v="412300"/>
    <x v="32"/>
    <s v="Henry"/>
    <s v="Keirle"/>
    <x v="361"/>
    <d v="2014-03-02T00:00:00"/>
    <n v="9.4757015742642032"/>
    <n v="4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ASD"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0"/>
    <n v="1"/>
    <n v="41122"/>
    <n v="41122"/>
    <n v="43011"/>
    <s v="No"/>
    <m/>
    <m/>
    <x v="0"/>
    <m/>
    <n v="410673"/>
    <x v="32"/>
    <s v="Jacob"/>
    <s v="Nicol"/>
    <x v="362"/>
    <d v="2012-11-19T00:00:00"/>
    <n v="10.757015742642025"/>
    <n v="5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MLD"/>
    <n v="1"/>
    <n v="1"/>
    <n v="5819.25"/>
    <n v="5819.25"/>
    <n v="5819.25"/>
    <n v="0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5819.25"/>
    <m/>
    <n v="5819.25"/>
    <n v="0"/>
    <m/>
  </r>
  <r>
    <x v="0"/>
    <n v="1"/>
    <n v="41122"/>
    <n v="41122"/>
    <n v="43011"/>
    <s v="No"/>
    <m/>
    <m/>
    <x v="0"/>
    <m/>
    <n v="421620"/>
    <x v="32"/>
    <s v="Jamie"/>
    <s v="Cook"/>
    <x v="363"/>
    <d v="2015-06-28T00:00:00"/>
    <n v="8.1533196440793976"/>
    <n v="3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SLCD"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0"/>
    <n v="1"/>
    <n v="41122"/>
    <n v="41122"/>
    <n v="43011"/>
    <s v="No"/>
    <m/>
    <m/>
    <x v="0"/>
    <m/>
    <n v="415330"/>
    <x v="32"/>
    <s v="Logan"/>
    <s v="Behr"/>
    <x v="364"/>
    <d v="2014-08-14T00:00:00"/>
    <n v="9.0239561943874058"/>
    <n v="4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ASD"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0"/>
    <n v="1"/>
    <n v="41122"/>
    <n v="41122"/>
    <n v="43011"/>
    <s v="No"/>
    <m/>
    <m/>
    <x v="0"/>
    <m/>
    <n v="399848"/>
    <x v="32"/>
    <s v="Saffron"/>
    <s v="Smith"/>
    <x v="365"/>
    <d v="2011-12-28T00:00:00"/>
    <n v="11.652292950034223"/>
    <n v="6"/>
    <n v="872"/>
    <n v="872"/>
    <d v="2023-04-01T00:00:00"/>
    <n v="1"/>
    <d v="2023-07-21T00:00:00"/>
    <n v="63"/>
    <n v="63"/>
    <n v="0.328125"/>
    <s v="Yr 6"/>
    <n v="25"/>
    <m/>
    <m/>
    <x v="1"/>
    <x v="1"/>
    <x v="0"/>
    <s v="NO"/>
    <s v="NO"/>
    <s v="NO"/>
    <s v="NO"/>
    <m/>
    <n v="5819.25"/>
    <s v="ASD"/>
    <n v="1"/>
    <n v="0.328125"/>
    <n v="1909.44140625"/>
    <n v="1909.44140625"/>
    <n v="1909.44140625"/>
    <n v="1909.44140625"/>
    <n v="1909.44140625"/>
    <m/>
    <m/>
    <e v="#N/A"/>
    <s v="Oak Tree"/>
    <e v="#N/A"/>
    <s v="Y"/>
    <n v="3879.5"/>
    <n v="0"/>
    <n v="1909.44140625"/>
    <s v="Name Oaktree "/>
    <s v="WBC Spec"/>
    <m/>
    <m/>
    <s v="Name Oaktree "/>
    <m/>
    <n v="25"/>
    <n v="5819.25"/>
    <m/>
    <s v="Y"/>
    <m/>
    <n v="3849.19140625"/>
    <n v="5758.6328125"/>
    <n v="3849.19140625"/>
    <s v="remove"/>
    <m/>
    <m/>
    <m/>
    <m/>
    <m/>
    <n v="5758.6328125"/>
    <m/>
    <n v="0"/>
    <n v="3849.19140625"/>
    <m/>
    <n v="5758.6328125"/>
    <n v="0"/>
    <m/>
  </r>
  <r>
    <x v="1"/>
    <n v="1"/>
    <n v="41153"/>
    <n v="41153"/>
    <n v="43011"/>
    <s v="No"/>
    <m/>
    <m/>
    <x v="0"/>
    <m/>
    <n v="438647"/>
    <x v="33"/>
    <s v="Habib"/>
    <s v="Ghafoor"/>
    <x v="366"/>
    <d v="2016-10-10T00:00:00"/>
    <n v="6.8665297741273097"/>
    <n v="1"/>
    <n v="872"/>
    <n v="872"/>
    <d v="2023-04-01T00:00:00"/>
    <n v="1"/>
    <d v="2023-04-01T00:00:00"/>
    <n v="0"/>
    <n v="0"/>
    <n v="0"/>
    <d v="2023-04-01T00:00:00"/>
    <n v="30"/>
    <m/>
    <m/>
    <x v="0"/>
    <x v="0"/>
    <x v="0"/>
    <s v="NO"/>
    <s v="NO"/>
    <s v="NO"/>
    <s v="NO"/>
    <m/>
    <n v="8183.0999999999985"/>
    <s v="SLCD"/>
    <n v="1"/>
    <n v="0"/>
    <n v="0"/>
    <n v="0"/>
    <n v="0"/>
    <n v="8183.0999999999985"/>
    <n v="0"/>
    <m/>
    <m/>
    <e v="#N/A"/>
    <e v="#N/A"/>
    <e v="#N/A"/>
    <m/>
    <m/>
    <n v="0"/>
    <n v="0"/>
    <s v=""/>
    <m/>
    <m/>
    <m/>
    <m/>
    <m/>
    <m/>
    <m/>
    <m/>
    <m/>
    <m/>
    <m/>
    <n v="0"/>
    <m/>
    <m/>
    <m/>
    <m/>
    <m/>
    <m/>
    <m/>
    <n v="0"/>
    <m/>
    <n v="0"/>
    <n v="-8183.0999999999985"/>
    <m/>
    <n v="0"/>
    <n v="0"/>
    <m/>
  </r>
  <r>
    <x v="0"/>
    <n v="1"/>
    <n v="41153"/>
    <n v="41153"/>
    <n v="43011"/>
    <s v="No"/>
    <m/>
    <m/>
    <x v="0"/>
    <m/>
    <n v="448924"/>
    <x v="33"/>
    <s v="Haroon"/>
    <s v="Ahmad"/>
    <x v="367"/>
    <d v="2019-06-01T00:00:00"/>
    <n v="4.2272416153319643"/>
    <n v="-1"/>
    <n v="872"/>
    <n v="872"/>
    <d v="2023-04-01T00:00:00"/>
    <n v="1"/>
    <d v="2023-04-01T00:00:00"/>
    <n v="0"/>
    <n v="0"/>
    <n v="0"/>
    <s v="open"/>
    <n v="30"/>
    <m/>
    <m/>
    <x v="0"/>
    <x v="0"/>
    <x v="0"/>
    <s v="NO"/>
    <s v="NO"/>
    <s v="NO"/>
    <s v="NO"/>
    <m/>
    <n v="8183.0999999999985"/>
    <s v="SLCD"/>
    <n v="0.5"/>
    <n v="0"/>
    <n v="0"/>
    <n v="0"/>
    <n v="4091.5499999999993"/>
    <n v="0"/>
    <n v="4091.5499999999993"/>
    <m/>
    <m/>
    <e v="#N/A"/>
    <e v="#N/A"/>
    <e v="#N/A"/>
    <m/>
    <m/>
    <n v="4091.5499999999993"/>
    <n v="4091.5499999999993"/>
    <s v="in nursery, transsitoning in Summer4, added to EY"/>
    <m/>
    <m/>
    <m/>
    <m/>
    <m/>
    <m/>
    <m/>
    <m/>
    <m/>
    <m/>
    <m/>
    <n v="4091.5499999999993"/>
    <m/>
    <m/>
    <s v="in nursery, transitioning in Summer24, added to EY"/>
    <m/>
    <m/>
    <m/>
    <m/>
    <n v="0"/>
    <m/>
    <n v="-4091.5499999999993"/>
    <n v="0"/>
    <m/>
    <n v="0"/>
    <n v="0"/>
    <m/>
  </r>
  <r>
    <x v="0"/>
    <n v="1"/>
    <n v="41153"/>
    <n v="41153"/>
    <n v="43011"/>
    <s v="No"/>
    <m/>
    <m/>
    <x v="0"/>
    <m/>
    <n v="419575"/>
    <x v="33"/>
    <s v="Jacob"/>
    <s v="Brown"/>
    <x v="368"/>
    <d v="2015-02-02T00:00:00"/>
    <n v="8.5530458590006848"/>
    <n v="3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SEMH"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0"/>
    <n v="1"/>
    <n v="41153"/>
    <n v="41153"/>
    <n v="43011"/>
    <s v="No"/>
    <m/>
    <m/>
    <x v="0"/>
    <m/>
    <n v="433163"/>
    <x v="33"/>
    <s v="Jacob"/>
    <s v="Taylor-Glover"/>
    <x v="369"/>
    <d v="2018-01-23T00:00:00"/>
    <n v="5.5797399041752227"/>
    <n v="0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m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0"/>
    <n v="1"/>
    <n v="41153"/>
    <n v="41153"/>
    <n v="43011"/>
    <s v="No"/>
    <m/>
    <m/>
    <x v="0"/>
    <m/>
    <n v="407658"/>
    <x v="33"/>
    <s v="James"/>
    <s v="Milway"/>
    <x v="370"/>
    <d v="2013-01-26T00:00:00"/>
    <n v="10.570841889117043"/>
    <n v="5"/>
    <n v="872"/>
    <n v="872"/>
    <d v="2023-04-01T00:00:00"/>
    <n v="1"/>
    <d v="2024-03-31T00:00:00"/>
    <n v="192"/>
    <n v="192"/>
    <n v="1"/>
    <s v="open"/>
    <n v="23"/>
    <m/>
    <m/>
    <x v="1"/>
    <x v="1"/>
    <x v="0"/>
    <s v="NO"/>
    <s v="NO"/>
    <s v="NO"/>
    <s v="NO"/>
    <m/>
    <n v="4873.7099999999991"/>
    <s v="ASD"/>
    <n v="1"/>
    <n v="1"/>
    <n v="4873.7099999999991"/>
    <n v="4873.7099999999991"/>
    <n v="4873.7099999999991"/>
    <n v="4873.7099999999991"/>
    <n v="4873.7099999999991"/>
    <m/>
    <m/>
    <e v="#N/A"/>
    <e v="#N/A"/>
    <e v="#N/A"/>
    <m/>
    <m/>
    <n v="0"/>
    <n v="4873.7099999999991"/>
    <s v=""/>
    <m/>
    <m/>
    <m/>
    <m/>
    <m/>
    <m/>
    <m/>
    <m/>
    <m/>
    <m/>
    <m/>
    <n v="4873.7099999999991"/>
    <m/>
    <m/>
    <m/>
    <m/>
    <m/>
    <m/>
    <m/>
    <n v="4873.7099999999991"/>
    <m/>
    <n v="0"/>
    <n v="0"/>
    <m/>
    <n v="4873.7099999999991"/>
    <n v="0"/>
    <m/>
  </r>
  <r>
    <x v="0"/>
    <n v="1"/>
    <n v="41153"/>
    <n v="41153"/>
    <n v="43011"/>
    <s v="No"/>
    <m/>
    <m/>
    <x v="0"/>
    <m/>
    <n v="436857"/>
    <x v="33"/>
    <s v="Joshua"/>
    <s v="Knipe"/>
    <x v="371"/>
    <d v="2014-05-25T00:00:00"/>
    <n v="9.245722108145106"/>
    <n v="4"/>
    <n v="872"/>
    <n v="872"/>
    <d v="2023-04-01T00:00:00"/>
    <n v="1"/>
    <d v="2024-03-31T00:00:00"/>
    <n v="192"/>
    <n v="192"/>
    <n v="1"/>
    <s v="open"/>
    <n v="28"/>
    <m/>
    <m/>
    <x v="0"/>
    <x v="0"/>
    <x v="0"/>
    <s v="NO"/>
    <s v="NO"/>
    <s v="NO"/>
    <s v="NO"/>
    <m/>
    <n v="7237.5599999999995"/>
    <s v="SEMH"/>
    <n v="1"/>
    <n v="1"/>
    <n v="7237.5599999999995"/>
    <n v="7237.5599999999995"/>
    <n v="7237.5599999999995"/>
    <n v="7237.5599999999995"/>
    <n v="7237.5599999999995"/>
    <m/>
    <m/>
    <e v="#N/A"/>
    <e v="#N/A"/>
    <e v="#N/A"/>
    <m/>
    <m/>
    <n v="0"/>
    <n v="7237.5599999999995"/>
    <s v=""/>
    <m/>
    <m/>
    <m/>
    <m/>
    <m/>
    <m/>
    <m/>
    <m/>
    <m/>
    <m/>
    <m/>
    <n v="7237.5599999999995"/>
    <m/>
    <m/>
    <m/>
    <m/>
    <m/>
    <m/>
    <m/>
    <n v="7237.5599999999995"/>
    <m/>
    <n v="0"/>
    <n v="0"/>
    <m/>
    <n v="7237.5599999999995"/>
    <n v="0"/>
    <m/>
  </r>
  <r>
    <x v="1"/>
    <n v="1"/>
    <n v="41153"/>
    <n v="41153"/>
    <n v="43011"/>
    <s v="No"/>
    <m/>
    <m/>
    <x v="0"/>
    <s v="AP"/>
    <n v="436857"/>
    <x v="33"/>
    <s v="Joshua"/>
    <s v="Knipe"/>
    <x v="371"/>
    <d v="2014-05-25T00:00:00"/>
    <n v="9.245722108145106"/>
    <n v="4"/>
    <n v="872"/>
    <n v="872"/>
    <d v="2023-04-01T00:00:00"/>
    <n v="1"/>
    <d v="2023-07-21T00:00:00"/>
    <n v="63"/>
    <n v="63"/>
    <n v="0.328125"/>
    <d v="2023-07-21T00:00:00"/>
    <n v="6000.8"/>
    <m/>
    <m/>
    <x v="0"/>
    <x v="1"/>
    <x v="1"/>
    <s v="NO"/>
    <s v="NO"/>
    <s v="NO"/>
    <s v="NO"/>
    <n v="6000.8"/>
    <n v="6000.8"/>
    <s v="SEMH"/>
    <n v="1"/>
    <n v="0.328125"/>
    <n v="1969.0125"/>
    <n v="1969.0125"/>
    <n v="1969.0125"/>
    <n v="1969.0125"/>
    <n v="1969.0125"/>
    <m/>
    <m/>
    <e v="#N/A"/>
    <e v="#N/A"/>
    <e v="#N/A"/>
    <m/>
    <m/>
    <n v="0"/>
    <n v="1969.0125"/>
    <s v=""/>
    <m/>
    <m/>
    <m/>
    <m/>
    <m/>
    <n v="6000.8"/>
    <n v="6000.8"/>
    <m/>
    <m/>
    <m/>
    <n v="3969.2791666666667"/>
    <n v="5938.291666666667"/>
    <m/>
    <m/>
    <m/>
    <m/>
    <m/>
    <m/>
    <m/>
    <n v="5938.291666666667"/>
    <m/>
    <n v="0"/>
    <n v="3969.2791666666672"/>
    <m/>
    <n v="5938.291666666667"/>
    <n v="0"/>
    <m/>
  </r>
  <r>
    <x v="0"/>
    <n v="1"/>
    <n v="41153"/>
    <n v="41153"/>
    <n v="43011"/>
    <s v="No"/>
    <m/>
    <m/>
    <x v="0"/>
    <m/>
    <n v="436107"/>
    <x v="33"/>
    <s v="Lucy"/>
    <s v="Dyer"/>
    <x v="372"/>
    <d v="2018-02-21T00:00:00"/>
    <n v="5.5003422313483918"/>
    <n v="0"/>
    <n v="872"/>
    <n v="872"/>
    <d v="2023-04-01T00:00:00"/>
    <n v="1"/>
    <d v="2024-03-31T00:00:00"/>
    <n v="192"/>
    <n v="192"/>
    <n v="1"/>
    <s v="open"/>
    <n v="27"/>
    <m/>
    <m/>
    <x v="0"/>
    <x v="0"/>
    <x v="0"/>
    <s v="NO"/>
    <s v="NO"/>
    <s v="NO"/>
    <s v="NO"/>
    <m/>
    <n v="6764.7899999999991"/>
    <s v="SLCD"/>
    <n v="1"/>
    <n v="1"/>
    <n v="6764.7899999999991"/>
    <n v="6764.7899999999991"/>
    <n v="6764.7899999999991"/>
    <n v="0"/>
    <n v="0"/>
    <m/>
    <m/>
    <m/>
    <m/>
    <m/>
    <m/>
    <m/>
    <n v="6764.7899999999991"/>
    <n v="6764.7899999999991"/>
    <s v=""/>
    <m/>
    <m/>
    <m/>
    <m/>
    <m/>
    <m/>
    <m/>
    <m/>
    <m/>
    <m/>
    <m/>
    <n v="6764.7899999999991"/>
    <m/>
    <m/>
    <m/>
    <m/>
    <m/>
    <m/>
    <m/>
    <n v="6764.7899999999991"/>
    <m/>
    <n v="0"/>
    <n v="6764.7899999999991"/>
    <m/>
    <n v="6764.7899999999991"/>
    <n v="0"/>
    <m/>
  </r>
  <r>
    <x v="0"/>
    <n v="1"/>
    <n v="41153"/>
    <n v="41153"/>
    <n v="43011"/>
    <s v="No"/>
    <m/>
    <m/>
    <x v="0"/>
    <m/>
    <n v="405463"/>
    <x v="33"/>
    <s v="Zain"/>
    <s v="Jafri"/>
    <x v="373"/>
    <d v="2012-10-29T00:00:00"/>
    <n v="10.8145106091718"/>
    <n v="5"/>
    <n v="872"/>
    <n v="872"/>
    <d v="2023-04-01T00:00:00"/>
    <n v="1"/>
    <d v="2024-03-31T00:00:00"/>
    <n v="192"/>
    <n v="192"/>
    <n v="1"/>
    <s v="open"/>
    <n v="37"/>
    <m/>
    <m/>
    <x v="0"/>
    <x v="1"/>
    <x v="1"/>
    <s v="NO"/>
    <s v="NO"/>
    <s v="NO"/>
    <s v="NO"/>
    <m/>
    <n v="11492.489999999998"/>
    <s v="ASD"/>
    <n v="1"/>
    <n v="1"/>
    <n v="11492.489999999998"/>
    <n v="11492.489999999998"/>
    <n v="11492.489999999998"/>
    <n v="11492.489999999998"/>
    <n v="11492.489999999998"/>
    <m/>
    <m/>
    <e v="#N/A"/>
    <e v="#N/A"/>
    <e v="#N/A"/>
    <m/>
    <m/>
    <n v="0"/>
    <n v="11492.489999999998"/>
    <s v=""/>
    <m/>
    <m/>
    <m/>
    <m/>
    <m/>
    <m/>
    <m/>
    <m/>
    <m/>
    <m/>
    <m/>
    <n v="11492.489999999998"/>
    <m/>
    <m/>
    <m/>
    <m/>
    <m/>
    <m/>
    <m/>
    <n v="11492.489999999998"/>
    <m/>
    <n v="0"/>
    <n v="0"/>
    <m/>
    <n v="11492.489999999998"/>
    <n v="0"/>
    <m/>
  </r>
  <r>
    <x v="0"/>
    <n v="1"/>
    <n v="41205"/>
    <n v="41205"/>
    <n v="43015"/>
    <s v="No"/>
    <s v="Y"/>
    <s v="Y"/>
    <x v="1"/>
    <m/>
    <n v="387983"/>
    <x v="34"/>
    <s v="Amber"/>
    <s v="Stockle"/>
    <x v="374"/>
    <d v="2010-02-26T00:00:00"/>
    <n v="13.486652977412732"/>
    <n v="8"/>
    <n v="872"/>
    <n v="872"/>
    <d v="2023-04-01T00:00:00"/>
    <n v="1"/>
    <d v="2024-03-31T00:00:00"/>
    <n v="192"/>
    <n v="192"/>
    <n v="0"/>
    <s v="cover in Indigo"/>
    <s v="Indigo"/>
    <s v="Indigo"/>
    <m/>
    <x v="0"/>
    <x v="1"/>
    <x v="1"/>
    <s v="NO"/>
    <s v="NO"/>
    <s v="NO"/>
    <s v="NO"/>
    <n v="20645"/>
    <n v="20645"/>
    <s v="ASD"/>
    <n v="1"/>
    <n v="0"/>
    <n v="0"/>
    <n v="0"/>
    <n v="0"/>
    <n v="0"/>
    <n v="0"/>
    <m/>
    <m/>
    <e v="#N/A"/>
    <e v="#N/A"/>
    <e v="#N/A"/>
    <m/>
    <m/>
    <n v="0"/>
    <n v="0"/>
    <s v=""/>
    <m/>
    <m/>
    <m/>
    <m/>
    <m/>
    <m/>
    <m/>
    <m/>
    <m/>
    <m/>
    <m/>
    <n v="0"/>
    <m/>
    <m/>
    <m/>
    <m/>
    <m/>
    <m/>
    <m/>
    <n v="0"/>
    <m/>
    <n v="0"/>
    <n v="0"/>
    <m/>
    <n v="0"/>
    <n v="0"/>
    <m/>
  </r>
  <r>
    <x v="0"/>
    <n v="1"/>
    <n v="41205"/>
    <n v="41205"/>
    <n v="43015"/>
    <s v="No"/>
    <s v="Y"/>
    <s v="Y"/>
    <x v="1"/>
    <m/>
    <n v="397352"/>
    <x v="34"/>
    <s v="Anthony"/>
    <s v="Knights"/>
    <x v="375"/>
    <d v="2011-07-11T00:00:00"/>
    <n v="12.11772758384668"/>
    <n v="7"/>
    <n v="872"/>
    <n v="872"/>
    <d v="2023-04-01T00:00:00"/>
    <n v="1"/>
    <d v="2024-03-31T00:00:00"/>
    <n v="192"/>
    <n v="192"/>
    <n v="0"/>
    <s v="cover in Indigo"/>
    <s v="Indigo"/>
    <s v="Indigo"/>
    <m/>
    <x v="0"/>
    <x v="1"/>
    <x v="1"/>
    <s v="NO"/>
    <s v="NO"/>
    <s v="NO"/>
    <s v="NO"/>
    <n v="20645"/>
    <n v="20645"/>
    <s v="SLCD"/>
    <n v="1"/>
    <n v="0"/>
    <n v="0"/>
    <n v="0"/>
    <n v="0"/>
    <n v="0"/>
    <n v="0"/>
    <m/>
    <m/>
    <e v="#N/A"/>
    <e v="#N/A"/>
    <e v="#N/A"/>
    <m/>
    <m/>
    <n v="0"/>
    <n v="0"/>
    <s v=""/>
    <m/>
    <m/>
    <m/>
    <m/>
    <m/>
    <m/>
    <m/>
    <m/>
    <m/>
    <m/>
    <m/>
    <n v="0"/>
    <m/>
    <m/>
    <m/>
    <m/>
    <m/>
    <m/>
    <m/>
    <n v="0"/>
    <m/>
    <n v="0"/>
    <n v="0"/>
    <m/>
    <n v="0"/>
    <n v="0"/>
    <m/>
  </r>
  <r>
    <x v="0"/>
    <n v="1"/>
    <n v="41205"/>
    <n v="41205"/>
    <n v="43015"/>
    <s v="No"/>
    <s v="Y"/>
    <s v="Y"/>
    <x v="1"/>
    <m/>
    <n v="397519"/>
    <x v="34"/>
    <s v="Lily"/>
    <s v="Eckert"/>
    <x v="376"/>
    <d v="2011-03-09T00:00:00"/>
    <n v="12.457221081451062"/>
    <n v="7"/>
    <n v="872"/>
    <n v="872"/>
    <d v="2023-04-01T00:00:00"/>
    <n v="1"/>
    <d v="2024-03-31T00:00:00"/>
    <n v="192"/>
    <n v="192"/>
    <n v="0"/>
    <s v="cover in Indigo"/>
    <s v="Indigo"/>
    <s v="Indigo"/>
    <m/>
    <x v="0"/>
    <x v="1"/>
    <x v="1"/>
    <s v="NO"/>
    <s v="NO"/>
    <s v="NO"/>
    <s v="NO"/>
    <n v="20645"/>
    <n v="20645"/>
    <s v="ASD"/>
    <n v="1"/>
    <n v="0"/>
    <n v="0"/>
    <n v="0"/>
    <n v="0"/>
    <n v="0"/>
    <n v="0"/>
    <m/>
    <m/>
    <e v="#N/A"/>
    <e v="#N/A"/>
    <e v="#N/A"/>
    <m/>
    <m/>
    <n v="0"/>
    <n v="0"/>
    <s v=""/>
    <m/>
    <m/>
    <m/>
    <m/>
    <m/>
    <m/>
    <m/>
    <m/>
    <m/>
    <m/>
    <m/>
    <n v="0"/>
    <m/>
    <m/>
    <m/>
    <m/>
    <m/>
    <m/>
    <m/>
    <n v="0"/>
    <m/>
    <n v="0"/>
    <n v="0"/>
    <m/>
    <n v="0"/>
    <n v="0"/>
    <m/>
  </r>
  <r>
    <x v="0"/>
    <n v="1"/>
    <n v="41205"/>
    <n v="41205"/>
    <n v="43015"/>
    <s v="No"/>
    <s v="Y"/>
    <s v="Y"/>
    <x v="1"/>
    <m/>
    <n v="438323"/>
    <x v="34"/>
    <s v="Matthew"/>
    <s v="Best"/>
    <x v="377"/>
    <d v="2010-08-05T00:00:00"/>
    <n v="13.048596851471595"/>
    <n v="8"/>
    <n v="872"/>
    <n v="872"/>
    <d v="2023-04-01T00:00:00"/>
    <n v="1"/>
    <d v="2024-03-31T00:00:00"/>
    <n v="192"/>
    <n v="192"/>
    <n v="0"/>
    <s v="cover in Indigo"/>
    <s v="Indigo"/>
    <s v="Indigo"/>
    <m/>
    <x v="0"/>
    <x v="1"/>
    <x v="1"/>
    <s v="NO"/>
    <s v="NO"/>
    <s v="NO"/>
    <s v="NO"/>
    <n v="20645"/>
    <n v="20645"/>
    <s v="ASD"/>
    <n v="1"/>
    <n v="0"/>
    <n v="0"/>
    <n v="0"/>
    <n v="0"/>
    <n v="0"/>
    <n v="0"/>
    <m/>
    <m/>
    <e v="#N/A"/>
    <e v="#N/A"/>
    <e v="#N/A"/>
    <m/>
    <m/>
    <n v="0"/>
    <n v="0"/>
    <s v=""/>
    <m/>
    <m/>
    <m/>
    <m/>
    <m/>
    <m/>
    <m/>
    <m/>
    <m/>
    <m/>
    <m/>
    <n v="0"/>
    <m/>
    <m/>
    <m/>
    <m/>
    <m/>
    <m/>
    <m/>
    <n v="0"/>
    <m/>
    <n v="0"/>
    <n v="0"/>
    <m/>
    <n v="0"/>
    <n v="0"/>
    <m/>
  </r>
  <r>
    <x v="0"/>
    <n v="1"/>
    <n v="41205"/>
    <n v="41205"/>
    <n v="43015"/>
    <s v="No"/>
    <s v="Y"/>
    <s v="Y"/>
    <x v="1"/>
    <m/>
    <n v="385788"/>
    <x v="34"/>
    <s v="Oluwatomisin"/>
    <s v="Adekola"/>
    <x v="378"/>
    <d v="2009-12-13T00:00:00"/>
    <n v="13.691991786447639"/>
    <n v="8"/>
    <n v="872"/>
    <n v="872"/>
    <d v="2023-04-01T00:00:00"/>
    <n v="1"/>
    <d v="2024-03-31T00:00:00"/>
    <n v="192"/>
    <n v="192"/>
    <n v="0"/>
    <s v="cover in Indigo"/>
    <s v="Indigo"/>
    <s v="Indigo"/>
    <m/>
    <x v="0"/>
    <x v="1"/>
    <x v="1"/>
    <s v="NO"/>
    <s v="NO"/>
    <s v="NO"/>
    <s v="NO"/>
    <n v="20645"/>
    <n v="20645"/>
    <s v="ASD"/>
    <n v="1"/>
    <n v="0"/>
    <n v="0"/>
    <n v="0"/>
    <n v="0"/>
    <n v="0"/>
    <n v="0"/>
    <m/>
    <m/>
    <e v="#N/A"/>
    <e v="#N/A"/>
    <e v="#N/A"/>
    <m/>
    <m/>
    <n v="0"/>
    <n v="0"/>
    <s v=""/>
    <m/>
    <m/>
    <m/>
    <m/>
    <m/>
    <m/>
    <m/>
    <m/>
    <m/>
    <m/>
    <m/>
    <n v="0"/>
    <m/>
    <m/>
    <m/>
    <m/>
    <m/>
    <m/>
    <m/>
    <n v="0"/>
    <m/>
    <n v="0"/>
    <n v="0"/>
    <m/>
    <n v="0"/>
    <n v="0"/>
    <m/>
  </r>
  <r>
    <x v="0"/>
    <n v="1"/>
    <n v="41205"/>
    <n v="41205"/>
    <n v="43015"/>
    <s v="No"/>
    <s v="Y"/>
    <s v="Y"/>
    <x v="1"/>
    <m/>
    <n v="389506"/>
    <x v="34"/>
    <s v="Robert"/>
    <s v="Portwine"/>
    <x v="379"/>
    <d v="2010-04-09T00:00:00"/>
    <n v="13.371663244353183"/>
    <n v="8"/>
    <n v="872"/>
    <n v="872"/>
    <d v="2023-04-01T00:00:00"/>
    <n v="1"/>
    <d v="2024-03-31T00:00:00"/>
    <n v="192"/>
    <n v="192"/>
    <n v="0"/>
    <s v="cover in Indigo"/>
    <s v="Indigo"/>
    <s v="Indigo"/>
    <m/>
    <x v="0"/>
    <x v="1"/>
    <x v="1"/>
    <s v="NO"/>
    <s v="NO"/>
    <s v="NO"/>
    <s v="NO"/>
    <n v="20645"/>
    <n v="20645"/>
    <s v="ASD"/>
    <n v="1"/>
    <n v="0"/>
    <n v="0"/>
    <n v="0"/>
    <n v="0"/>
    <n v="0"/>
    <n v="0"/>
    <m/>
    <m/>
    <e v="#N/A"/>
    <e v="#N/A"/>
    <e v="#N/A"/>
    <m/>
    <m/>
    <n v="0"/>
    <n v="0"/>
    <s v=""/>
    <m/>
    <m/>
    <m/>
    <m/>
    <m/>
    <m/>
    <m/>
    <m/>
    <m/>
    <m/>
    <m/>
    <n v="0"/>
    <m/>
    <m/>
    <m/>
    <m/>
    <m/>
    <m/>
    <m/>
    <n v="0"/>
    <m/>
    <n v="0"/>
    <n v="0"/>
    <m/>
    <n v="0"/>
    <n v="0"/>
    <s v="moving to Chiltern Way"/>
  </r>
  <r>
    <x v="1"/>
    <n v="1"/>
    <n v="41205"/>
    <n v="41205"/>
    <n v="43012"/>
    <s v="No"/>
    <s v="Y"/>
    <m/>
    <x v="1"/>
    <m/>
    <n v="422690"/>
    <x v="34"/>
    <s v="Rhea"/>
    <s v="Saini"/>
    <x v="380"/>
    <d v="2010-11-25T00:00:00"/>
    <n v="12.7419575633128"/>
    <n v="7"/>
    <n v="872"/>
    <n v="872"/>
    <d v="2023-04-01T00:00:00"/>
    <n v="1"/>
    <d v="2023-04-01T00:00:00"/>
    <n v="0"/>
    <n v="0"/>
    <n v="0"/>
    <d v="2023-04-01T00:00:00"/>
    <s v="Indigo"/>
    <s v="Indigo"/>
    <m/>
    <x v="0"/>
    <x v="1"/>
    <x v="1"/>
    <s v="NO"/>
    <s v="NO"/>
    <s v="NO"/>
    <s v="NO"/>
    <n v="20645"/>
    <n v="20645"/>
    <s v="ASD"/>
    <n v="1"/>
    <n v="0"/>
    <n v="0"/>
    <n v="0"/>
    <n v="0"/>
    <n v="0"/>
    <n v="0"/>
    <s v="Mill House Thereutic House_left already"/>
    <m/>
    <e v="#N/A"/>
    <e v="#N/A"/>
    <e v="#N/A"/>
    <m/>
    <m/>
    <n v="0"/>
    <n v="0"/>
    <s v=""/>
    <m/>
    <m/>
    <m/>
    <m/>
    <m/>
    <m/>
    <m/>
    <m/>
    <m/>
    <m/>
    <m/>
    <n v="0"/>
    <m/>
    <m/>
    <m/>
    <m/>
    <m/>
    <m/>
    <m/>
    <n v="0"/>
    <m/>
    <n v="0"/>
    <n v="0"/>
    <m/>
    <n v="0"/>
    <n v="0"/>
    <m/>
  </r>
  <r>
    <x v="2"/>
    <n v="1"/>
    <n v="41205"/>
    <n v="41205"/>
    <n v="43012"/>
    <s v="No"/>
    <s v="Y"/>
    <m/>
    <x v="1"/>
    <m/>
    <m/>
    <x v="34"/>
    <m/>
    <m/>
    <x v="381"/>
    <m/>
    <m/>
    <n v="7"/>
    <n v="872"/>
    <n v="872"/>
    <d v="2023-04-01T00:00:00"/>
    <n v="1"/>
    <d v="2024-03-31T00:00:00"/>
    <n v="192"/>
    <n v="192"/>
    <n v="1"/>
    <s v="Indigo Budget"/>
    <s v="Indigo Budget Adj"/>
    <m/>
    <m/>
    <x v="0"/>
    <x v="1"/>
    <x v="1"/>
    <s v="NO"/>
    <s v="NO"/>
    <s v="NO"/>
    <s v="NO"/>
    <n v="369164.58"/>
    <n v="369164.58"/>
    <m/>
    <n v="1"/>
    <n v="1"/>
    <n v="369164.58"/>
    <n v="369164.58"/>
    <n v="369164.58"/>
    <n v="0"/>
    <n v="369164.58"/>
    <m/>
    <m/>
    <e v="#N/A"/>
    <e v="#N/A"/>
    <e v="#N/A"/>
    <m/>
    <m/>
    <n v="0"/>
    <n v="369164.58"/>
    <s v=""/>
    <m/>
    <m/>
    <m/>
    <m/>
    <m/>
    <m/>
    <m/>
    <m/>
    <m/>
    <m/>
    <m/>
    <n v="369164.58"/>
    <m/>
    <m/>
    <m/>
    <m/>
    <m/>
    <m/>
    <m/>
    <n v="369164.58"/>
    <m/>
    <n v="0"/>
    <n v="369164.58"/>
    <m/>
    <n v="369164.58"/>
    <n v="0"/>
    <m/>
  </r>
  <r>
    <x v="0"/>
    <n v="1"/>
    <n v="41205"/>
    <n v="41205"/>
    <n v="43012"/>
    <s v="No"/>
    <s v="Y"/>
    <m/>
    <x v="1"/>
    <m/>
    <n v="442966"/>
    <x v="34"/>
    <s v="Aaliyah"/>
    <s v="Burton"/>
    <x v="382"/>
    <d v="2011-05-18T00:00:00"/>
    <n v="12.265571526351813"/>
    <n v="7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SEMH"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0"/>
    <n v="1"/>
    <n v="41205"/>
    <n v="41205"/>
    <n v="43012"/>
    <s v="No"/>
    <s v="Y"/>
    <m/>
    <x v="1"/>
    <m/>
    <n v="429536"/>
    <x v="34"/>
    <s v="Aarav"/>
    <s v="Basetti"/>
    <x v="383"/>
    <d v="2011-05-22T00:00:00"/>
    <n v="12.254620123203285"/>
    <n v="7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ASD"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0"/>
    <n v="1"/>
    <n v="41205"/>
    <n v="41205"/>
    <n v="43012"/>
    <s v="No"/>
    <s v="Y"/>
    <m/>
    <x v="1"/>
    <m/>
    <n v="433760"/>
    <x v="34"/>
    <s v="Adam"/>
    <s v="Mohamed"/>
    <x v="384"/>
    <d v="2011-02-23T00:00:00"/>
    <n v="12.495550992470911"/>
    <n v="7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SLCD"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1"/>
    <n v="1"/>
    <n v="41205"/>
    <n v="41205"/>
    <n v="43012"/>
    <s v="No"/>
    <s v="Y"/>
    <m/>
    <x v="1"/>
    <s v="AD"/>
    <n v="433760"/>
    <x v="34"/>
    <s v="Adam"/>
    <s v="Mohamed"/>
    <x v="384"/>
    <d v="2011-02-23T00:00:00"/>
    <n v="12.495550992470911"/>
    <n v="7"/>
    <n v="872"/>
    <n v="872"/>
    <d v="2023-04-01T00:00:00"/>
    <n v="1"/>
    <d v="2023-07-21T00:00:00"/>
    <n v="63"/>
    <n v="63"/>
    <n v="1"/>
    <d v="2023-07-21T00:00:00"/>
    <n v="600"/>
    <m/>
    <m/>
    <x v="0"/>
    <x v="1"/>
    <x v="1"/>
    <s v="NO"/>
    <s v="NO"/>
    <s v="NO"/>
    <s v="NO"/>
    <m/>
    <n v="600"/>
    <s v="SLCD"/>
    <n v="1"/>
    <n v="1"/>
    <n v="600"/>
    <n v="600"/>
    <n v="600"/>
    <n v="0"/>
    <n v="600"/>
    <m/>
    <m/>
    <e v="#N/A"/>
    <e v="#N/A"/>
    <e v="#N/A"/>
    <m/>
    <m/>
    <n v="0"/>
    <n v="600"/>
    <s v=""/>
    <m/>
    <m/>
    <m/>
    <m/>
    <m/>
    <n v="600"/>
    <n v="600"/>
    <m/>
    <m/>
    <m/>
    <n v="396.875"/>
    <n v="996.875"/>
    <m/>
    <m/>
    <m/>
    <m/>
    <m/>
    <m/>
    <m/>
    <n v="996.875"/>
    <m/>
    <n v="0"/>
    <n v="996.875"/>
    <m/>
    <n v="996.875"/>
    <n v="0"/>
    <m/>
  </r>
  <r>
    <x v="0"/>
    <n v="1"/>
    <n v="41205"/>
    <n v="41205"/>
    <n v="43012"/>
    <s v="No"/>
    <s v="Y"/>
    <m/>
    <x v="1"/>
    <m/>
    <n v="396745"/>
    <x v="34"/>
    <s v="Adem"/>
    <s v="White"/>
    <x v="385"/>
    <d v="2009-03-06T00:00:00"/>
    <n v="14.464065708418891"/>
    <n v="9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ASD"/>
    <n v="1"/>
    <n v="1"/>
    <n v="8183.0999999999985"/>
    <n v="8183.0999999999985"/>
    <n v="8183.0999999999985"/>
    <n v="0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8183.0999999999985"/>
    <m/>
    <n v="8183.0999999999985"/>
    <n v="0"/>
    <m/>
  </r>
  <r>
    <x v="0"/>
    <n v="1"/>
    <n v="41205"/>
    <n v="41205"/>
    <n v="43012"/>
    <s v="No"/>
    <s v="Y"/>
    <m/>
    <x v="1"/>
    <m/>
    <n v="397685"/>
    <x v="34"/>
    <s v="Aiden"/>
    <s v="Smith"/>
    <x v="386"/>
    <d v="2011-07-18T00:00:00"/>
    <n v="12.098562628336756"/>
    <n v="7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SEMH"/>
    <n v="1"/>
    <n v="1"/>
    <n v="5819.25"/>
    <n v="5819.25"/>
    <n v="5819.25"/>
    <n v="8183.099999999998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-2363.8499999999985"/>
    <m/>
    <n v="-3789.9730769230769"/>
    <n v="-9609.2230769230773"/>
    <s v="moving to Mainstream resource Indigo"/>
  </r>
  <r>
    <x v="0"/>
    <n v="1"/>
    <n v="41205"/>
    <n v="41205"/>
    <n v="43012"/>
    <s v="No"/>
    <s v="Y"/>
    <m/>
    <x v="1"/>
    <m/>
    <n v="362195"/>
    <x v="34"/>
    <s v="Aisha"/>
    <s v="Oppong"/>
    <x v="387"/>
    <d v="2006-12-10T00:00:00"/>
    <n v="16.700889801505816"/>
    <n v="11"/>
    <n v="872"/>
    <n v="872"/>
    <d v="2023-04-01T00:00:00"/>
    <n v="1"/>
    <d v="2023-07-21T00:00:00"/>
    <n v="63"/>
    <n v="63"/>
    <n v="0.328125"/>
    <s v="Yr 11"/>
    <n v="25"/>
    <m/>
    <m/>
    <x v="1"/>
    <x v="1"/>
    <x v="0"/>
    <s v="NO"/>
    <s v="NO"/>
    <s v="NO"/>
    <s v="NO"/>
    <m/>
    <n v="5819.25"/>
    <s v="ASD"/>
    <n v="1"/>
    <n v="0.328125"/>
    <n v="1909.44140625"/>
    <n v="1909.44140625"/>
    <n v="1909.44140625"/>
    <n v="1909.44140625"/>
    <n v="1909.44140625"/>
    <m/>
    <m/>
    <e v="#N/A"/>
    <e v="#N/A"/>
    <s v="Henley Coll"/>
    <s v="Y"/>
    <n v="3879.5"/>
    <n v="0"/>
    <n v="1909.44140625"/>
    <s v="Henley college"/>
    <s v="COLL"/>
    <m/>
    <m/>
    <m/>
    <s v="Henley college"/>
    <m/>
    <m/>
    <m/>
    <m/>
    <s v="Y"/>
    <m/>
    <n v="1909.44140625"/>
    <s v="COLL"/>
    <m/>
    <m/>
    <m/>
    <m/>
    <m/>
    <m/>
    <n v="1909.44140625"/>
    <m/>
    <n v="0"/>
    <n v="0"/>
    <m/>
    <n v="1909.44140625"/>
    <n v="0"/>
    <m/>
  </r>
  <r>
    <x v="0"/>
    <n v="1"/>
    <n v="41205"/>
    <n v="41205"/>
    <n v="43012"/>
    <s v="No"/>
    <s v="Y"/>
    <m/>
    <x v="1"/>
    <m/>
    <n v="390558"/>
    <x v="34"/>
    <s v="Alexia"/>
    <s v="Bennett-Goodchild"/>
    <x v="388"/>
    <d v="2011-06-06T00:00:00"/>
    <n v="12.213552361396303"/>
    <n v="7"/>
    <n v="872"/>
    <n v="872"/>
    <d v="2023-04-01T00:00:00"/>
    <n v="1"/>
    <d v="2024-03-31T00:00:00"/>
    <n v="192"/>
    <n v="192"/>
    <n v="1"/>
    <s v="open"/>
    <n v="28"/>
    <m/>
    <m/>
    <x v="0"/>
    <x v="0"/>
    <x v="0"/>
    <s v="NO"/>
    <s v="NO"/>
    <s v="NO"/>
    <s v="NO"/>
    <m/>
    <n v="7237.5599999999995"/>
    <s v="SEMH"/>
    <n v="1"/>
    <n v="1"/>
    <n v="7237.5599999999995"/>
    <n v="7237.5599999999995"/>
    <n v="7237.5599999999995"/>
    <n v="8183.0999999999985"/>
    <n v="7237.5599999999995"/>
    <m/>
    <m/>
    <e v="#N/A"/>
    <e v="#N/A"/>
    <e v="#N/A"/>
    <m/>
    <m/>
    <n v="0"/>
    <n v="7237.5599999999995"/>
    <s v=""/>
    <m/>
    <m/>
    <m/>
    <m/>
    <m/>
    <m/>
    <m/>
    <m/>
    <m/>
    <m/>
    <m/>
    <n v="7237.5599999999995"/>
    <m/>
    <m/>
    <m/>
    <m/>
    <m/>
    <m/>
    <m/>
    <n v="7237.5599999999995"/>
    <m/>
    <n v="0"/>
    <n v="-945.53999999999905"/>
    <m/>
    <n v="7237.5599999999995"/>
    <n v="0"/>
    <m/>
  </r>
  <r>
    <x v="0"/>
    <n v="1"/>
    <n v="41205"/>
    <n v="41205"/>
    <n v="43012"/>
    <s v="No"/>
    <s v="Y"/>
    <m/>
    <x v="1"/>
    <m/>
    <n v="397948"/>
    <x v="34"/>
    <s v="Amber"/>
    <s v="Lockyear"/>
    <x v="389"/>
    <d v="2011-09-14T00:00:00"/>
    <n v="11.939767282683095"/>
    <n v="7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m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1"/>
    <n v="1"/>
    <n v="41205"/>
    <n v="41205"/>
    <n v="43012"/>
    <s v="No"/>
    <s v="Y"/>
    <m/>
    <x v="1"/>
    <m/>
    <n v="397352"/>
    <x v="34"/>
    <s v="Anthony"/>
    <s v="Knights"/>
    <x v="375"/>
    <d v="2011-07-11T00:00:00"/>
    <n v="12.11772758384668"/>
    <n v="7"/>
    <n v="872"/>
    <n v="872"/>
    <d v="2023-04-01T00:00:00"/>
    <n v="1"/>
    <d v="2023-04-01T00:00:00"/>
    <n v="0"/>
    <n v="0"/>
    <n v="0"/>
    <s v="open"/>
    <n v="28"/>
    <m/>
    <m/>
    <x v="0"/>
    <x v="0"/>
    <x v="0"/>
    <s v="NO"/>
    <s v="NO"/>
    <s v="NO"/>
    <s v="NO"/>
    <m/>
    <n v="7237.5599999999995"/>
    <s v="SLCD"/>
    <n v="1"/>
    <n v="0"/>
    <n v="0"/>
    <n v="0"/>
    <n v="0"/>
    <n v="7237.5599999999995"/>
    <n v="0"/>
    <m/>
    <m/>
    <e v="#N/A"/>
    <e v="#N/A"/>
    <e v="#N/A"/>
    <m/>
    <m/>
    <n v="0"/>
    <n v="0"/>
    <s v=""/>
    <m/>
    <m/>
    <m/>
    <m/>
    <m/>
    <m/>
    <m/>
    <m/>
    <m/>
    <m/>
    <m/>
    <n v="0"/>
    <m/>
    <m/>
    <m/>
    <m/>
    <m/>
    <m/>
    <m/>
    <n v="0"/>
    <m/>
    <n v="0"/>
    <n v="-7237.5599999999995"/>
    <m/>
    <n v="0"/>
    <n v="0"/>
    <m/>
  </r>
  <r>
    <x v="0"/>
    <n v="1"/>
    <n v="41205"/>
    <n v="41205"/>
    <n v="43012"/>
    <s v="No"/>
    <s v="Y"/>
    <m/>
    <x v="1"/>
    <m/>
    <n v="390253"/>
    <x v="34"/>
    <s v="Arlo"/>
    <s v="Crocombe"/>
    <x v="390"/>
    <d v="2010-06-14T00:00:00"/>
    <n v="13.190965092402465"/>
    <n v="8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MLD"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0"/>
    <n v="1"/>
    <n v="41205"/>
    <n v="41205"/>
    <n v="43012"/>
    <s v="No"/>
    <s v="Y"/>
    <m/>
    <x v="1"/>
    <m/>
    <n v="373219"/>
    <x v="34"/>
    <s v="Ben"/>
    <s v="Stockings"/>
    <x v="391"/>
    <d v="2007-12-31T00:00:00"/>
    <n v="15.644079397672828"/>
    <n v="10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SEMH"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0"/>
    <n v="1"/>
    <n v="41205"/>
    <n v="41205"/>
    <n v="43012"/>
    <s v="No"/>
    <s v="Y"/>
    <m/>
    <x v="1"/>
    <m/>
    <n v="371518"/>
    <x v="34"/>
    <s v="Benjamin"/>
    <s v="Twigg"/>
    <x v="392"/>
    <d v="2007-04-15T00:00:00"/>
    <n v="16.355920602327174"/>
    <n v="11"/>
    <n v="872"/>
    <n v="872"/>
    <d v="2023-04-01T00:00:00"/>
    <n v="1"/>
    <d v="2023-07-21T00:00:00"/>
    <n v="63"/>
    <n v="63"/>
    <n v="0.328125"/>
    <s v="Yr 11"/>
    <n v="22"/>
    <m/>
    <m/>
    <x v="1"/>
    <x v="1"/>
    <x v="0"/>
    <s v="NO"/>
    <s v="NO"/>
    <s v="NO"/>
    <s v="NO"/>
    <m/>
    <n v="4400.9399999999987"/>
    <s v="SLCD"/>
    <n v="1"/>
    <n v="0.328125"/>
    <n v="1444.0584374999996"/>
    <n v="1444.0584374999996"/>
    <n v="1444.0584374999996"/>
    <n v="1444.0584374999996"/>
    <n v="1444.0584374999996"/>
    <m/>
    <m/>
    <e v="#N/A"/>
    <e v="#N/A"/>
    <s v="BCA"/>
    <s v="Y"/>
    <n v="2933.9599999999991"/>
    <n v="0"/>
    <n v="1444.0584374999996"/>
    <s v="The Berkshire College of Agriculture "/>
    <s v="COLL"/>
    <m/>
    <m/>
    <m/>
    <s v="The Berkshire College of Agriculture "/>
    <m/>
    <m/>
    <m/>
    <m/>
    <s v="Y"/>
    <m/>
    <n v="1444.0584374999996"/>
    <s v="COLL"/>
    <m/>
    <m/>
    <m/>
    <m/>
    <m/>
    <m/>
    <n v="1444.0584374999996"/>
    <m/>
    <n v="0"/>
    <n v="0"/>
    <m/>
    <n v="1444.0584374999996"/>
    <n v="0"/>
    <m/>
  </r>
  <r>
    <x v="0"/>
    <n v="1"/>
    <n v="41205"/>
    <n v="41205"/>
    <n v="43012"/>
    <s v="No"/>
    <s v="Y"/>
    <m/>
    <x v="1"/>
    <m/>
    <n v="419983"/>
    <x v="34"/>
    <s v="Callum"/>
    <s v="Evans-Farrar"/>
    <x v="393"/>
    <d v="2009-03-03T00:00:00"/>
    <n v="14.472279260780287"/>
    <n v="9"/>
    <n v="872"/>
    <n v="872"/>
    <d v="2023-04-01T00:00:00"/>
    <n v="1"/>
    <d v="2024-03-31T00:00:00"/>
    <n v="192"/>
    <n v="192"/>
    <n v="1"/>
    <s v="open"/>
    <n v="29"/>
    <m/>
    <m/>
    <x v="0"/>
    <x v="0"/>
    <x v="0"/>
    <s v="NO"/>
    <s v="NO"/>
    <s v="NO"/>
    <s v="NO"/>
    <m/>
    <n v="7710.33"/>
    <s v="SEMH"/>
    <n v="1"/>
    <n v="1"/>
    <n v="7710.33"/>
    <n v="7710.33"/>
    <n v="7710.33"/>
    <n v="7710.33"/>
    <n v="7710.33"/>
    <m/>
    <m/>
    <e v="#N/A"/>
    <e v="#N/A"/>
    <e v="#N/A"/>
    <m/>
    <m/>
    <n v="0"/>
    <n v="7710.33"/>
    <s v=""/>
    <m/>
    <m/>
    <m/>
    <m/>
    <m/>
    <m/>
    <m/>
    <m/>
    <m/>
    <m/>
    <m/>
    <n v="7710.33"/>
    <m/>
    <m/>
    <m/>
    <m/>
    <m/>
    <m/>
    <m/>
    <n v="7710.33"/>
    <m/>
    <n v="0"/>
    <n v="0"/>
    <m/>
    <n v="7710.33"/>
    <n v="0"/>
    <m/>
  </r>
  <r>
    <x v="0"/>
    <n v="1"/>
    <n v="41205"/>
    <n v="41205"/>
    <n v="43012"/>
    <s v="No"/>
    <s v="Y"/>
    <m/>
    <x v="1"/>
    <m/>
    <n v="377911"/>
    <x v="34"/>
    <s v="Camron"/>
    <s v="Perry"/>
    <x v="394"/>
    <d v="2007-11-17T00:00:00"/>
    <n v="15.764544832306639"/>
    <n v="10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SEMH"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0"/>
    <n v="1"/>
    <n v="41205"/>
    <n v="41205"/>
    <n v="43012"/>
    <s v="No"/>
    <s v="Y"/>
    <m/>
    <x v="1"/>
    <m/>
    <n v="388216"/>
    <x v="34"/>
    <s v="Chloe"/>
    <s v="Nagle"/>
    <x v="395"/>
    <d v="2010-06-04T00:00:00"/>
    <n v="13.218343600273785"/>
    <n v="8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PD"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0"/>
    <n v="1"/>
    <n v="41205"/>
    <n v="41205"/>
    <n v="43012"/>
    <s v="No"/>
    <s v="Y"/>
    <m/>
    <x v="1"/>
    <m/>
    <n v="397472"/>
    <x v="34"/>
    <s v="Colleen"/>
    <s v="Molson"/>
    <x v="396"/>
    <d v="2011-06-30T00:00:00"/>
    <n v="12.147843942505133"/>
    <n v="7"/>
    <n v="872"/>
    <n v="872"/>
    <d v="2023-04-01T00:00:00"/>
    <n v="1"/>
    <d v="2024-03-31T00:00:00"/>
    <n v="192"/>
    <n v="192"/>
    <n v="1"/>
    <s v="open"/>
    <n v="23"/>
    <m/>
    <m/>
    <x v="1"/>
    <x v="1"/>
    <x v="0"/>
    <s v="NO"/>
    <s v="NO"/>
    <s v="NO"/>
    <s v="NO"/>
    <m/>
    <n v="4873.7099999999991"/>
    <s v="SLCD"/>
    <n v="1"/>
    <n v="1"/>
    <n v="4873.7099999999991"/>
    <n v="4873.7099999999991"/>
    <n v="4873.7099999999991"/>
    <n v="4873.7099999999991"/>
    <n v="4873.7099999999991"/>
    <m/>
    <m/>
    <e v="#N/A"/>
    <e v="#N/A"/>
    <e v="#N/A"/>
    <m/>
    <m/>
    <n v="0"/>
    <n v="4873.7099999999991"/>
    <s v=""/>
    <m/>
    <m/>
    <m/>
    <m/>
    <m/>
    <m/>
    <m/>
    <m/>
    <m/>
    <m/>
    <m/>
    <n v="4873.7099999999991"/>
    <m/>
    <m/>
    <m/>
    <m/>
    <m/>
    <m/>
    <m/>
    <n v="4873.7099999999991"/>
    <m/>
    <n v="0"/>
    <n v="0"/>
    <m/>
    <n v="4873.7099999999991"/>
    <n v="0"/>
    <m/>
  </r>
  <r>
    <x v="0"/>
    <n v="1"/>
    <n v="41205"/>
    <n v="41205"/>
    <n v="43012"/>
    <s v="No"/>
    <s v="Y"/>
    <m/>
    <x v="1"/>
    <m/>
    <n v="371127"/>
    <x v="34"/>
    <s v="Daisy"/>
    <s v="Emery"/>
    <x v="397"/>
    <d v="2007-07-25T00:00:00"/>
    <n v="16.079397672826833"/>
    <n v="11"/>
    <n v="872"/>
    <n v="872"/>
    <d v="2023-04-01T00:00:00"/>
    <n v="1"/>
    <d v="2023-07-21T00:00:00"/>
    <n v="63"/>
    <n v="63"/>
    <n v="0.328125"/>
    <s v="Yr 11"/>
    <n v="25"/>
    <m/>
    <m/>
    <x v="1"/>
    <x v="1"/>
    <x v="0"/>
    <s v="NO"/>
    <s v="NO"/>
    <s v="NO"/>
    <s v="NO"/>
    <m/>
    <n v="5819.25"/>
    <s v="SEMH"/>
    <n v="1"/>
    <n v="0.328125"/>
    <n v="1909.44140625"/>
    <n v="1909.44140625"/>
    <n v="1909.44140625"/>
    <n v="1909.44140625"/>
    <n v="1909.44140625"/>
    <m/>
    <m/>
    <e v="#N/A"/>
    <e v="#N/A"/>
    <m/>
    <m/>
    <m/>
    <n v="0"/>
    <n v="1909.44140625"/>
    <s v="Named on Type"/>
    <m/>
    <m/>
    <m/>
    <m/>
    <s v="Named on Type"/>
    <m/>
    <m/>
    <m/>
    <m/>
    <s v="Y"/>
    <m/>
    <n v="1909.44140625"/>
    <s v="COLL"/>
    <m/>
    <m/>
    <m/>
    <m/>
    <m/>
    <m/>
    <n v="1909.44140625"/>
    <m/>
    <n v="0"/>
    <n v="0"/>
    <m/>
    <n v="1909.44140625"/>
    <n v="0"/>
    <m/>
  </r>
  <r>
    <x v="0"/>
    <n v="1"/>
    <n v="41205"/>
    <n v="41205"/>
    <n v="43012"/>
    <s v="No"/>
    <s v="Y"/>
    <m/>
    <x v="1"/>
    <m/>
    <n v="369258"/>
    <x v="34"/>
    <s v="Daniel"/>
    <s v="Hennessey"/>
    <x v="398"/>
    <d v="2007-01-15T00:00:00"/>
    <n v="16.602327173169062"/>
    <n v="11"/>
    <n v="872"/>
    <n v="872"/>
    <d v="2023-04-01T00:00:00"/>
    <n v="1"/>
    <d v="2023-07-21T00:00:00"/>
    <n v="63"/>
    <n v="63"/>
    <n v="0.328125"/>
    <s v="Yr 11"/>
    <n v="25"/>
    <m/>
    <m/>
    <x v="1"/>
    <x v="1"/>
    <x v="0"/>
    <s v="NO"/>
    <s v="NO"/>
    <s v="NO"/>
    <s v="NO"/>
    <m/>
    <n v="5819.25"/>
    <s v="SEMH"/>
    <n v="1"/>
    <n v="0.328125"/>
    <n v="1909.44140625"/>
    <n v="1909.44140625"/>
    <n v="1909.44140625"/>
    <n v="1909.44140625"/>
    <n v="1909.44140625"/>
    <m/>
    <m/>
    <e v="#N/A"/>
    <e v="#N/A"/>
    <s v="Reading coll"/>
    <s v="Y"/>
    <n v="3879.5"/>
    <n v="0"/>
    <n v="1909.44140625"/>
    <s v="Reading College"/>
    <s v="COLL"/>
    <m/>
    <m/>
    <m/>
    <s v="Reading College"/>
    <m/>
    <m/>
    <m/>
    <m/>
    <s v="Y"/>
    <m/>
    <n v="1909.44140625"/>
    <s v="COLL"/>
    <m/>
    <m/>
    <m/>
    <m/>
    <m/>
    <m/>
    <n v="1909.44140625"/>
    <m/>
    <n v="0"/>
    <n v="0"/>
    <m/>
    <n v="1909.44140625"/>
    <n v="0"/>
    <m/>
  </r>
  <r>
    <x v="1"/>
    <n v="1"/>
    <n v="41205"/>
    <n v="41205"/>
    <n v="43012"/>
    <s v="No"/>
    <s v="Y"/>
    <m/>
    <x v="1"/>
    <s v="AD"/>
    <n v="369258"/>
    <x v="34"/>
    <s v="Daniel"/>
    <s v="Hennessey"/>
    <x v="398"/>
    <d v="2007-01-15T00:00:00"/>
    <n v="16.602327173169062"/>
    <n v="11"/>
    <n v="872"/>
    <n v="872"/>
    <d v="2023-04-01T00:00:00"/>
    <n v="1"/>
    <d v="2023-07-21T00:00:00"/>
    <n v="63"/>
    <n v="63"/>
    <n v="1"/>
    <s v="Yr 11"/>
    <n v="3208.68"/>
    <m/>
    <m/>
    <x v="0"/>
    <x v="1"/>
    <x v="1"/>
    <s v="NO"/>
    <s v="NO"/>
    <s v="NO"/>
    <s v="NO"/>
    <m/>
    <n v="3208.68"/>
    <s v="SEMH"/>
    <n v="1"/>
    <n v="1"/>
    <n v="3208.68"/>
    <n v="3208.68"/>
    <n v="3208.68"/>
    <n v="0"/>
    <n v="3208.68"/>
    <m/>
    <m/>
    <e v="#N/A"/>
    <e v="#N/A"/>
    <e v="#N/A"/>
    <m/>
    <m/>
    <n v="0"/>
    <n v="3208.68"/>
    <s v="Reading College"/>
    <s v="COLL"/>
    <m/>
    <m/>
    <m/>
    <s v="Reading College"/>
    <m/>
    <m/>
    <m/>
    <m/>
    <s v="Y"/>
    <m/>
    <n v="3208.68"/>
    <s v="COLL"/>
    <m/>
    <m/>
    <m/>
    <m/>
    <m/>
    <m/>
    <n v="3208.68"/>
    <m/>
    <n v="0"/>
    <n v="3208.68"/>
    <m/>
    <n v="3208.68"/>
    <n v="0"/>
    <m/>
  </r>
  <r>
    <x v="0"/>
    <n v="1"/>
    <n v="41205"/>
    <n v="41205"/>
    <n v="43012"/>
    <s v="No"/>
    <s v="Y"/>
    <m/>
    <x v="1"/>
    <m/>
    <n v="440767"/>
    <x v="34"/>
    <s v="Daniel"/>
    <s v="Okwelegbe"/>
    <x v="399"/>
    <d v="2011-03-03T00:00:00"/>
    <n v="12.473648186173854"/>
    <n v="7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SLCD"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0"/>
    <n v="1"/>
    <n v="41205"/>
    <n v="41205"/>
    <n v="43012"/>
    <s v="No"/>
    <s v="Y"/>
    <m/>
    <x v="1"/>
    <m/>
    <n v="373368"/>
    <x v="34"/>
    <s v="Dylan"/>
    <s v="Bagga"/>
    <x v="400"/>
    <d v="2008-03-19T00:00:00"/>
    <n v="15.427789185489392"/>
    <n v="10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ASD"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0"/>
    <n v="1"/>
    <n v="41205"/>
    <n v="41205"/>
    <n v="43012"/>
    <s v="No"/>
    <s v="Y"/>
    <m/>
    <x v="1"/>
    <m/>
    <n v="370657"/>
    <x v="34"/>
    <s v="Elliott"/>
    <s v="Cook"/>
    <x v="401"/>
    <d v="2007-05-13T00:00:00"/>
    <n v="16.279260780287473"/>
    <n v="11"/>
    <n v="872"/>
    <n v="872"/>
    <d v="2023-04-01T00:00:00"/>
    <n v="1"/>
    <d v="2023-07-21T00:00:00"/>
    <n v="63"/>
    <n v="63"/>
    <n v="0.328125"/>
    <s v="Yr 11"/>
    <n v="25"/>
    <m/>
    <m/>
    <x v="1"/>
    <x v="1"/>
    <x v="0"/>
    <s v="NO"/>
    <s v="NO"/>
    <s v="NO"/>
    <s v="NO"/>
    <m/>
    <n v="5819.25"/>
    <s v="SEMH"/>
    <n v="1"/>
    <n v="0.328125"/>
    <n v="1909.44140625"/>
    <n v="1909.44140625"/>
    <n v="1909.44140625"/>
    <n v="1909.44140625"/>
    <n v="1909.44140625"/>
    <m/>
    <m/>
    <e v="#N/A"/>
    <e v="#N/A"/>
    <s v="Reading coll"/>
    <s v="Y"/>
    <n v="3879.5"/>
    <n v="0"/>
    <n v="1909.44140625"/>
    <s v="Reading college"/>
    <s v="COLL"/>
    <m/>
    <m/>
    <m/>
    <s v="Reading College"/>
    <m/>
    <m/>
    <m/>
    <m/>
    <s v="Y"/>
    <m/>
    <n v="1909.44140625"/>
    <s v="COLL"/>
    <m/>
    <m/>
    <m/>
    <m/>
    <m/>
    <m/>
    <n v="1909.44140625"/>
    <m/>
    <n v="0"/>
    <n v="0"/>
    <m/>
    <n v="1909.44140625"/>
    <n v="0"/>
    <m/>
  </r>
  <r>
    <x v="1"/>
    <n v="1"/>
    <n v="41205"/>
    <n v="41205"/>
    <n v="43012"/>
    <s v="No"/>
    <s v="Y"/>
    <m/>
    <x v="1"/>
    <s v="AP"/>
    <n v="370657"/>
    <x v="34"/>
    <s v="Elliott"/>
    <s v="Cook"/>
    <x v="401"/>
    <d v="2007-05-13T00:00:00"/>
    <n v="16.279260780287473"/>
    <n v="11"/>
    <n v="872"/>
    <n v="872"/>
    <d v="2023-04-01T00:00:00"/>
    <n v="1"/>
    <d v="2023-07-21T00:00:00"/>
    <n v="63"/>
    <n v="63"/>
    <n v="0.328125"/>
    <s v="Yr 11"/>
    <n v="18240"/>
    <m/>
    <m/>
    <x v="0"/>
    <x v="1"/>
    <x v="1"/>
    <s v="NO"/>
    <s v="NO"/>
    <s v="NO"/>
    <s v="NO"/>
    <m/>
    <n v="18240"/>
    <s v="SEMH"/>
    <n v="1"/>
    <n v="0.328125"/>
    <n v="5985"/>
    <n v="5985"/>
    <n v="5985"/>
    <n v="5985"/>
    <n v="5985"/>
    <m/>
    <m/>
    <e v="#N/A"/>
    <e v="#N/A"/>
    <e v="#N/A"/>
    <m/>
    <m/>
    <n v="0"/>
    <n v="5985"/>
    <s v="Reading college"/>
    <s v="COLL"/>
    <m/>
    <m/>
    <m/>
    <s v="Reading College"/>
    <m/>
    <m/>
    <m/>
    <m/>
    <s v="Y"/>
    <m/>
    <n v="5985"/>
    <s v="COLL"/>
    <m/>
    <m/>
    <m/>
    <m/>
    <m/>
    <m/>
    <n v="5985"/>
    <m/>
    <n v="0"/>
    <n v="0"/>
    <m/>
    <n v="5985"/>
    <n v="0"/>
    <m/>
  </r>
  <r>
    <x v="0"/>
    <n v="1"/>
    <n v="41205"/>
    <n v="41205"/>
    <n v="43012"/>
    <s v="No"/>
    <s v="Y"/>
    <m/>
    <x v="1"/>
    <m/>
    <n v="394790"/>
    <x v="34"/>
    <s v="Ethan"/>
    <s v="Boba"/>
    <x v="402"/>
    <d v="2011-01-22T00:00:00"/>
    <n v="12.583162217659138"/>
    <n v="7"/>
    <n v="872"/>
    <n v="872"/>
    <d v="2023-04-01T00:00:00"/>
    <n v="1"/>
    <d v="2023-07-21T00:00:00"/>
    <n v="63"/>
    <n v="63"/>
    <n v="0.328125"/>
    <s v="open"/>
    <n v="25"/>
    <m/>
    <m/>
    <x v="1"/>
    <x v="1"/>
    <x v="0"/>
    <s v="NO"/>
    <s v="NO"/>
    <s v="NO"/>
    <s v="NO"/>
    <m/>
    <n v="5819.25"/>
    <s v="OD"/>
    <n v="1"/>
    <n v="0.328125"/>
    <n v="1909.44140625"/>
    <n v="1909.44140625"/>
    <n v="1909.44140625"/>
    <n v="8183.0999999999985"/>
    <n v="5819.25"/>
    <m/>
    <m/>
    <e v="#N/A"/>
    <e v="#N/A"/>
    <e v="#N/A"/>
    <m/>
    <m/>
    <n v="-3909.80859375"/>
    <n v="1909.44140625"/>
    <s v=""/>
    <m/>
    <m/>
    <m/>
    <m/>
    <m/>
    <m/>
    <m/>
    <m/>
    <m/>
    <m/>
    <m/>
    <n v="1909.44140625"/>
    <m/>
    <m/>
    <m/>
    <m/>
    <m/>
    <m/>
    <m/>
    <n v="1909.44140625"/>
    <m/>
    <n v="0"/>
    <n v="-6273.6585937499985"/>
    <m/>
    <n v="1909.44140625"/>
    <n v="0"/>
    <m/>
  </r>
  <r>
    <x v="0"/>
    <n v="1"/>
    <n v="41205"/>
    <n v="41205"/>
    <n v="43012"/>
    <s v="No"/>
    <s v="Y"/>
    <m/>
    <x v="1"/>
    <m/>
    <n v="397390"/>
    <x v="34"/>
    <s v="Frederick "/>
    <s v="Page"/>
    <x v="403"/>
    <d v="2011-06-08T00:00:00"/>
    <n v="12.208076659822039"/>
    <n v="7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m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0"/>
    <n v="1"/>
    <n v="41205"/>
    <n v="41205"/>
    <n v="43012"/>
    <s v="No"/>
    <s v="Y"/>
    <m/>
    <x v="1"/>
    <m/>
    <n v="389901"/>
    <x v="34"/>
    <s v="Harley"/>
    <s v="Cummins"/>
    <x v="404"/>
    <d v="2010-08-17T00:00:00"/>
    <n v="13.015742642026009"/>
    <n v="8"/>
    <n v="872"/>
    <n v="872"/>
    <d v="2023-04-01T00:00:00"/>
    <n v="1"/>
    <d v="2024-03-31T00:00:00"/>
    <n v="192"/>
    <n v="192"/>
    <n v="1"/>
    <s v="open"/>
    <n v="26"/>
    <m/>
    <m/>
    <x v="0"/>
    <x v="0"/>
    <x v="0"/>
    <s v="NO"/>
    <s v="NO"/>
    <s v="NO"/>
    <s v="NO"/>
    <m/>
    <n v="6292.02"/>
    <s v="ASD"/>
    <n v="1"/>
    <n v="1"/>
    <n v="6292.02"/>
    <n v="6292.02"/>
    <n v="6292.02"/>
    <n v="6292.02"/>
    <n v="6292.02"/>
    <m/>
    <m/>
    <e v="#N/A"/>
    <e v="#N/A"/>
    <e v="#N/A"/>
    <m/>
    <m/>
    <n v="0"/>
    <n v="6292.02"/>
    <s v=""/>
    <m/>
    <m/>
    <m/>
    <m/>
    <m/>
    <m/>
    <m/>
    <m/>
    <m/>
    <m/>
    <m/>
    <n v="6292.02"/>
    <m/>
    <m/>
    <m/>
    <m/>
    <m/>
    <m/>
    <m/>
    <n v="6292.02"/>
    <m/>
    <n v="0"/>
    <n v="0"/>
    <m/>
    <n v="6292.02"/>
    <n v="0"/>
    <m/>
  </r>
  <r>
    <x v="0"/>
    <n v="1"/>
    <n v="41205"/>
    <n v="41205"/>
    <n v="43012"/>
    <s v="No"/>
    <s v="Y"/>
    <m/>
    <x v="1"/>
    <m/>
    <n v="383365"/>
    <x v="34"/>
    <s v="Isaac"/>
    <s v="Tregunno"/>
    <x v="405"/>
    <d v="2009-11-24T00:00:00"/>
    <n v="13.744010951403148"/>
    <n v="8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SEMH"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0"/>
    <n v="1"/>
    <n v="41205"/>
    <n v="41205"/>
    <n v="43012"/>
    <s v="No"/>
    <s v="Y"/>
    <m/>
    <x v="1"/>
    <m/>
    <n v="383812"/>
    <x v="34"/>
    <s v="James"/>
    <s v="Creaney"/>
    <x v="406"/>
    <d v="2009-07-29T00:00:00"/>
    <n v="14.067077344284737"/>
    <n v="9"/>
    <n v="872"/>
    <n v="872"/>
    <d v="2023-04-01T00:00:00"/>
    <n v="1"/>
    <d v="2024-03-31T00:00:00"/>
    <n v="192"/>
    <n v="192"/>
    <n v="1"/>
    <s v="open"/>
    <s v="TOP"/>
    <m/>
    <m/>
    <x v="0"/>
    <x v="1"/>
    <x v="1"/>
    <s v="NO"/>
    <s v="NO"/>
    <s v="NO"/>
    <s v="NO"/>
    <m/>
    <n v="9000"/>
    <s v="MLD"/>
    <n v="1"/>
    <n v="1"/>
    <n v="9000"/>
    <n v="9000"/>
    <n v="9000"/>
    <n v="9000"/>
    <n v="9000"/>
    <m/>
    <m/>
    <e v="#N/A"/>
    <e v="#N/A"/>
    <e v="#N/A"/>
    <m/>
    <m/>
    <n v="0"/>
    <n v="9000"/>
    <s v=""/>
    <m/>
    <m/>
    <m/>
    <m/>
    <m/>
    <m/>
    <m/>
    <m/>
    <m/>
    <m/>
    <m/>
    <n v="9000"/>
    <m/>
    <m/>
    <m/>
    <m/>
    <m/>
    <m/>
    <m/>
    <n v="9000"/>
    <m/>
    <n v="0"/>
    <n v="0"/>
    <m/>
    <n v="9000"/>
    <n v="0"/>
    <m/>
  </r>
  <r>
    <x v="0"/>
    <n v="1"/>
    <n v="41205"/>
    <n v="41205"/>
    <n v="43012"/>
    <s v="No"/>
    <s v="Y"/>
    <m/>
    <x v="1"/>
    <m/>
    <n v="397978"/>
    <x v="34"/>
    <s v="Jan"/>
    <s v="Alpar"/>
    <x v="407"/>
    <d v="2011-08-17T00:00:00"/>
    <n v="12.016427104722792"/>
    <n v="7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ASD"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0"/>
    <n v="1"/>
    <n v="41205"/>
    <n v="41205"/>
    <n v="43012"/>
    <s v="No"/>
    <s v="Y"/>
    <m/>
    <x v="1"/>
    <m/>
    <n v="441332"/>
    <x v="34"/>
    <s v="John"/>
    <s v="Olakotan"/>
    <x v="408"/>
    <d v="2011-05-29T00:00:00"/>
    <n v="12.235455167693361"/>
    <n v="7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SLCD"/>
    <n v="1"/>
    <n v="1"/>
    <n v="5819.25"/>
    <n v="5819.25"/>
    <n v="5819.25"/>
    <n v="8183.0999999999985"/>
    <n v="8183.0999999999985"/>
    <m/>
    <m/>
    <e v="#N/A"/>
    <e v="#N/A"/>
    <e v="#N/A"/>
    <m/>
    <m/>
    <n v="-2363.8499999999985"/>
    <n v="5819.25"/>
    <s v=""/>
    <m/>
    <m/>
    <m/>
    <m/>
    <m/>
    <m/>
    <m/>
    <m/>
    <m/>
    <m/>
    <m/>
    <n v="5819.25"/>
    <m/>
    <m/>
    <m/>
    <m/>
    <m/>
    <m/>
    <m/>
    <n v="5819.25"/>
    <m/>
    <n v="0"/>
    <n v="-2363.8499999999985"/>
    <m/>
    <n v="5819.25"/>
    <n v="0"/>
    <m/>
  </r>
  <r>
    <x v="0"/>
    <n v="1"/>
    <n v="41205"/>
    <n v="41205"/>
    <n v="43012"/>
    <s v="No"/>
    <s v="Y"/>
    <m/>
    <x v="1"/>
    <m/>
    <n v="414583"/>
    <x v="34"/>
    <s v="Jonathan"/>
    <s v="CHINTA KUNTA"/>
    <x v="409"/>
    <d v="2011-02-09T00:00:00"/>
    <n v="12.533880903490759"/>
    <n v="7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MLD"/>
    <n v="1"/>
    <n v="1"/>
    <n v="5819.25"/>
    <n v="5819.25"/>
    <n v="5819.25"/>
    <n v="8183.0999999999985"/>
    <n v="8183.0999999999985"/>
    <m/>
    <m/>
    <e v="#N/A"/>
    <e v="#N/A"/>
    <e v="#N/A"/>
    <m/>
    <m/>
    <n v="-2363.8499999999985"/>
    <n v="5819.25"/>
    <s v=""/>
    <m/>
    <m/>
    <m/>
    <m/>
    <m/>
    <m/>
    <m/>
    <m/>
    <m/>
    <m/>
    <m/>
    <n v="5819.25"/>
    <m/>
    <m/>
    <m/>
    <m/>
    <m/>
    <m/>
    <m/>
    <n v="5819.25"/>
    <m/>
    <n v="0"/>
    <n v="-2363.8499999999985"/>
    <m/>
    <n v="5819.25"/>
    <n v="0"/>
    <m/>
  </r>
  <r>
    <x v="0"/>
    <n v="1"/>
    <n v="41205"/>
    <n v="41205"/>
    <n v="43012"/>
    <s v="No"/>
    <s v="Y"/>
    <m/>
    <x v="1"/>
    <m/>
    <n v="377269"/>
    <x v="34"/>
    <s v="Justin"/>
    <s v="Cleeton"/>
    <x v="410"/>
    <d v="2008-04-10T00:00:00"/>
    <n v="15.367556468172484"/>
    <n v="10"/>
    <n v="872"/>
    <n v="872"/>
    <d v="2023-04-01T00:00:00"/>
    <n v="1"/>
    <d v="2024-03-31T00:00:00"/>
    <n v="192"/>
    <n v="192"/>
    <n v="1"/>
    <s v="open"/>
    <n v="27"/>
    <m/>
    <m/>
    <x v="0"/>
    <x v="0"/>
    <x v="0"/>
    <s v="NO"/>
    <s v="NO"/>
    <s v="NO"/>
    <s v="NO"/>
    <m/>
    <n v="6764.7899999999991"/>
    <s v="ASD"/>
    <n v="1"/>
    <n v="1"/>
    <n v="6764.7899999999991"/>
    <n v="6764.7899999999991"/>
    <n v="6764.7899999999991"/>
    <n v="6764.7899999999991"/>
    <n v="6764.7899999999991"/>
    <m/>
    <m/>
    <e v="#N/A"/>
    <e v="#N/A"/>
    <e v="#N/A"/>
    <m/>
    <m/>
    <n v="0"/>
    <n v="6764.7899999999991"/>
    <s v=""/>
    <m/>
    <m/>
    <m/>
    <m/>
    <m/>
    <m/>
    <m/>
    <m/>
    <m/>
    <m/>
    <m/>
    <n v="6764.7899999999991"/>
    <m/>
    <m/>
    <m/>
    <m/>
    <m/>
    <m/>
    <m/>
    <n v="6764.7899999999991"/>
    <m/>
    <n v="0"/>
    <n v="0"/>
    <m/>
    <n v="6764.7899999999991"/>
    <n v="0"/>
    <m/>
  </r>
  <r>
    <x v="0"/>
    <n v="1"/>
    <n v="41205"/>
    <n v="41205"/>
    <n v="43012"/>
    <s v="No"/>
    <s v="Y"/>
    <m/>
    <x v="1"/>
    <m/>
    <n v="392384"/>
    <x v="34"/>
    <s v="Kai"/>
    <s v="Nader"/>
    <x v="411"/>
    <d v="2010-09-20T00:00:00"/>
    <n v="12.922655715263518"/>
    <n v="7"/>
    <n v="872"/>
    <n v="872"/>
    <d v="2023-04-01T00:00:00"/>
    <n v="1"/>
    <d v="2024-03-31T00:00:00"/>
    <n v="192"/>
    <n v="192"/>
    <n v="1"/>
    <s v="open"/>
    <n v="28"/>
    <m/>
    <m/>
    <x v="0"/>
    <x v="0"/>
    <x v="0"/>
    <s v="NO"/>
    <s v="NO"/>
    <s v="NO"/>
    <s v="NO"/>
    <m/>
    <n v="7237.5599999999995"/>
    <s v="ASD"/>
    <n v="1"/>
    <n v="1"/>
    <n v="7237.5599999999995"/>
    <n v="7237.5599999999995"/>
    <n v="7237.5599999999995"/>
    <n v="7237.5599999999995"/>
    <n v="7237.5599999999995"/>
    <m/>
    <m/>
    <e v="#N/A"/>
    <e v="#N/A"/>
    <e v="#N/A"/>
    <m/>
    <m/>
    <n v="0"/>
    <n v="7237.5599999999995"/>
    <s v=""/>
    <m/>
    <m/>
    <m/>
    <m/>
    <m/>
    <m/>
    <m/>
    <m/>
    <m/>
    <m/>
    <m/>
    <n v="7237.5599999999995"/>
    <m/>
    <m/>
    <m/>
    <m/>
    <m/>
    <m/>
    <m/>
    <n v="7237.5599999999995"/>
    <m/>
    <n v="0"/>
    <n v="0"/>
    <m/>
    <n v="7237.5599999999995"/>
    <n v="0"/>
    <m/>
  </r>
  <r>
    <x v="0"/>
    <n v="1"/>
    <n v="41205"/>
    <n v="41205"/>
    <n v="43012"/>
    <s v="No"/>
    <s v="Y"/>
    <m/>
    <x v="1"/>
    <m/>
    <n v="387526"/>
    <x v="34"/>
    <s v="Kassius"/>
    <s v="Clarke"/>
    <x v="412"/>
    <d v="2010-05-02T00:00:00"/>
    <n v="13.308692676249144"/>
    <n v="8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SEMH"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0"/>
    <n v="1"/>
    <n v="41205"/>
    <n v="41205"/>
    <n v="43012"/>
    <s v="No"/>
    <s v="Y"/>
    <m/>
    <x v="1"/>
    <m/>
    <n v="434000"/>
    <x v="34"/>
    <s v="Kenan"/>
    <s v="Rsjkumar"/>
    <x v="413"/>
    <d v="2011-12-30T00:00:00"/>
    <n v="11.646817248459959"/>
    <n v="6"/>
    <n v="872"/>
    <n v="872"/>
    <d v="2023-09-04T00:00:00"/>
    <n v="66"/>
    <d v="2023-03-31T00:00:00"/>
    <n v="192"/>
    <n v="127"/>
    <n v="0.7"/>
    <s v="open"/>
    <n v="30"/>
    <m/>
    <m/>
    <x v="0"/>
    <x v="0"/>
    <x v="0"/>
    <s v="NO"/>
    <s v="NO"/>
    <s v="NO"/>
    <s v="NO"/>
    <m/>
    <n v="8183.0999999999985"/>
    <s v="Autistic Spectrum"/>
    <n v="1"/>
    <n v="0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728.17"/>
    <n v="5728.17"/>
    <s v="starts Maiden Erlegh 4/9/23"/>
  </r>
  <r>
    <x v="0"/>
    <n v="1"/>
    <n v="41205"/>
    <n v="41205"/>
    <n v="43012"/>
    <s v="No"/>
    <s v="Y"/>
    <m/>
    <x v="1"/>
    <m/>
    <n v="376618"/>
    <x v="34"/>
    <s v="Kenenna"/>
    <s v="Ejike"/>
    <x v="414"/>
    <d v="2008-11-06T00:00:00"/>
    <n v="14.792607802874743"/>
    <n v="8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Severe LD"/>
    <n v="1"/>
    <n v="1"/>
    <n v="8183.0999999999985"/>
    <n v="8183.0999999999985"/>
    <n v="8183.0999999999985"/>
    <n v="6671.4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1511.6999999999989"/>
    <m/>
    <n v="8183.0999999999985"/>
    <n v="0"/>
    <m/>
  </r>
  <r>
    <x v="0"/>
    <n v="1"/>
    <n v="41205"/>
    <n v="41205"/>
    <n v="43012"/>
    <s v="No"/>
    <s v="Y"/>
    <m/>
    <x v="1"/>
    <m/>
    <n v="425597"/>
    <x v="34"/>
    <s v="Khabib"/>
    <s v="Gilani"/>
    <x v="415"/>
    <d v="2006-09-02T00:00:00"/>
    <n v="16.971937029431896"/>
    <n v="10"/>
    <n v="872"/>
    <n v="872"/>
    <d v="2023-04-01T00:00:00"/>
    <n v="1"/>
    <d v="2024-03-31T00:00:00"/>
    <n v="192"/>
    <n v="192"/>
    <n v="1"/>
    <s v="open"/>
    <n v="28"/>
    <m/>
    <m/>
    <x v="0"/>
    <x v="0"/>
    <x v="0"/>
    <s v="NO"/>
    <s v="NO"/>
    <s v="NO"/>
    <s v="NO"/>
    <m/>
    <n v="7237.5599999999995"/>
    <s v="SEMH"/>
    <n v="1"/>
    <n v="1"/>
    <n v="7237.5599999999995"/>
    <n v="7237.5599999999995"/>
    <n v="7237.5599999999995"/>
    <n v="8183.0999999999985"/>
    <n v="8183.0999999999985"/>
    <m/>
    <m/>
    <e v="#N/A"/>
    <e v="#N/A"/>
    <e v="#N/A"/>
    <m/>
    <m/>
    <n v="-945.53999999999905"/>
    <n v="7237.5599999999995"/>
    <s v=""/>
    <m/>
    <m/>
    <m/>
    <m/>
    <m/>
    <m/>
    <m/>
    <m/>
    <m/>
    <m/>
    <m/>
    <n v="7237.5599999999995"/>
    <m/>
    <m/>
    <m/>
    <m/>
    <m/>
    <m/>
    <m/>
    <n v="7237.5599999999995"/>
    <m/>
    <n v="0"/>
    <n v="-945.53999999999905"/>
    <m/>
    <n v="7237.5599999999995"/>
    <n v="0"/>
    <m/>
  </r>
  <r>
    <x v="0"/>
    <n v="1"/>
    <n v="41205"/>
    <n v="41205"/>
    <n v="43012"/>
    <s v="No"/>
    <s v="Y"/>
    <m/>
    <x v="1"/>
    <m/>
    <n v="389560"/>
    <x v="34"/>
    <s v="Kyle"/>
    <s v="Clow"/>
    <x v="416"/>
    <d v="2010-07-29T00:00:00"/>
    <n v="13.067761806981519"/>
    <n v="8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MLD"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0"/>
    <n v="1"/>
    <n v="41205"/>
    <n v="41205"/>
    <n v="43012"/>
    <s v="No"/>
    <s v="Y"/>
    <m/>
    <x v="1"/>
    <m/>
    <n v="392704"/>
    <x v="34"/>
    <s v="Laci-Lou"/>
    <s v="Corby"/>
    <x v="417"/>
    <d v="2011-05-03T00:00:00"/>
    <n v="12.306639288158795"/>
    <n v="7"/>
    <n v="872"/>
    <n v="872"/>
    <d v="2023-04-01T00:00:00"/>
    <n v="1"/>
    <d v="2024-03-31T00:00:00"/>
    <n v="192"/>
    <n v="192"/>
    <n v="1"/>
    <s v="open"/>
    <n v="7305"/>
    <m/>
    <m/>
    <x v="0"/>
    <x v="1"/>
    <x v="1"/>
    <s v="NO"/>
    <s v="NO"/>
    <s v="NO"/>
    <s v="NO"/>
    <m/>
    <n v="7305"/>
    <s v="SLCD"/>
    <n v="1"/>
    <n v="1"/>
    <n v="7305"/>
    <n v="7305"/>
    <n v="7305"/>
    <n v="7305"/>
    <n v="7305"/>
    <m/>
    <m/>
    <e v="#N/A"/>
    <e v="#N/A"/>
    <e v="#N/A"/>
    <m/>
    <m/>
    <n v="0"/>
    <n v="7305"/>
    <s v=""/>
    <m/>
    <m/>
    <m/>
    <m/>
    <m/>
    <m/>
    <m/>
    <m/>
    <m/>
    <m/>
    <m/>
    <n v="7305"/>
    <m/>
    <m/>
    <m/>
    <m/>
    <m/>
    <m/>
    <m/>
    <n v="7305"/>
    <m/>
    <n v="0"/>
    <n v="0"/>
    <m/>
    <n v="7305"/>
    <n v="0"/>
    <m/>
  </r>
  <r>
    <x v="0"/>
    <n v="1"/>
    <n v="41205"/>
    <n v="41205"/>
    <n v="43012"/>
    <s v="No"/>
    <s v="Y"/>
    <m/>
    <x v="1"/>
    <m/>
    <n v="406718"/>
    <x v="34"/>
    <s v="Michael"/>
    <s v="Rostron"/>
    <x v="418"/>
    <d v="2010-05-13T00:00:00"/>
    <n v="13.278576317590691"/>
    <n v="8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SEMH"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0"/>
    <n v="1"/>
    <n v="41205"/>
    <n v="41205"/>
    <n v="43012"/>
    <s v="No"/>
    <s v="Y"/>
    <m/>
    <x v="1"/>
    <m/>
    <n v="397971"/>
    <x v="34"/>
    <s v="Mikhail"/>
    <s v="Jafri"/>
    <x v="419"/>
    <d v="2011-07-10T00:00:00"/>
    <n v="12.120465434633813"/>
    <n v="7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SLCD"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1"/>
    <n v="1"/>
    <n v="41205"/>
    <n v="41205"/>
    <n v="43012"/>
    <s v="No"/>
    <s v="Y"/>
    <m/>
    <x v="1"/>
    <s v="AD"/>
    <n v="397971"/>
    <x v="34"/>
    <s v="Mikhail"/>
    <s v="Jafri"/>
    <x v="419"/>
    <d v="2011-07-10T00:00:00"/>
    <n v="12.120465434633813"/>
    <n v="7"/>
    <n v="872"/>
    <n v="872"/>
    <d v="2023-04-01T00:00:00"/>
    <n v="1"/>
    <d v="2023-07-21T00:00:00"/>
    <n v="63"/>
    <n v="63"/>
    <n v="1"/>
    <d v="2023-07-21T00:00:00"/>
    <n v="600"/>
    <m/>
    <m/>
    <x v="0"/>
    <x v="1"/>
    <x v="1"/>
    <s v="NO"/>
    <s v="NO"/>
    <s v="NO"/>
    <s v="NO"/>
    <m/>
    <n v="600"/>
    <s v="SLCD"/>
    <n v="1"/>
    <n v="1"/>
    <n v="600"/>
    <n v="600"/>
    <n v="600"/>
    <n v="0"/>
    <n v="600"/>
    <m/>
    <m/>
    <e v="#N/A"/>
    <e v="#N/A"/>
    <e v="#N/A"/>
    <m/>
    <m/>
    <n v="0"/>
    <n v="600"/>
    <s v=""/>
    <m/>
    <m/>
    <m/>
    <m/>
    <m/>
    <n v="600"/>
    <n v="600"/>
    <m/>
    <m/>
    <m/>
    <n v="396.875"/>
    <n v="996.875"/>
    <m/>
    <m/>
    <m/>
    <m/>
    <m/>
    <m/>
    <m/>
    <n v="996.875"/>
    <m/>
    <n v="0"/>
    <n v="996.875"/>
    <m/>
    <n v="996.875"/>
    <n v="0"/>
    <m/>
  </r>
  <r>
    <x v="0"/>
    <n v="1"/>
    <n v="41205"/>
    <n v="41205"/>
    <n v="43012"/>
    <s v="No"/>
    <s v="Y"/>
    <m/>
    <x v="1"/>
    <m/>
    <n v="408378"/>
    <x v="34"/>
    <s v="Mohammed"/>
    <s v="Saddiq"/>
    <x v="420"/>
    <d v="2011-08-23T00:00:00"/>
    <n v="12"/>
    <n v="7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ASD"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0"/>
    <n v="1"/>
    <n v="41205"/>
    <n v="41205"/>
    <n v="43012"/>
    <s v="No"/>
    <s v="Y"/>
    <m/>
    <x v="1"/>
    <m/>
    <n v="376394"/>
    <x v="34"/>
    <s v="Muhammad"/>
    <s v="Khan"/>
    <x v="421"/>
    <d v="2007-10-23T00:00:00"/>
    <n v="15.832991101984941"/>
    <n v="10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MLD"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0"/>
    <n v="1"/>
    <n v="41205"/>
    <n v="41205"/>
    <n v="43012"/>
    <s v="No"/>
    <s v="Y"/>
    <m/>
    <x v="1"/>
    <m/>
    <n v="387523"/>
    <x v="34"/>
    <s v="Oliver"/>
    <s v="Dalby"/>
    <x v="422"/>
    <d v="2010-04-07T00:00:00"/>
    <n v="13.377138945927447"/>
    <n v="8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ASD"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0"/>
    <n v="1"/>
    <n v="41205"/>
    <n v="41205"/>
    <n v="43012"/>
    <s v="No"/>
    <s v="Y"/>
    <m/>
    <x v="1"/>
    <m/>
    <n v="376547"/>
    <x v="34"/>
    <s v="Oliver"/>
    <s v="Worth"/>
    <x v="423"/>
    <d v="2008-05-09T00:00:00"/>
    <n v="15.288158795345653"/>
    <n v="10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ASD"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0"/>
    <n v="1"/>
    <n v="41205"/>
    <n v="41205"/>
    <n v="43012"/>
    <s v="No"/>
    <s v="Y"/>
    <m/>
    <x v="1"/>
    <m/>
    <n v="391946"/>
    <x v="34"/>
    <s v="Oliver-James"/>
    <s v="McEwen"/>
    <x v="424"/>
    <d v="2010-09-27T00:00:00"/>
    <n v="12.903490759753593"/>
    <n v="7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SLCD"/>
    <n v="1"/>
    <n v="1"/>
    <n v="5819.25"/>
    <n v="5819.25"/>
    <n v="5819.25"/>
    <n v="8183.0999999999985"/>
    <n v="8183.0999999999985"/>
    <m/>
    <m/>
    <e v="#N/A"/>
    <e v="#N/A"/>
    <e v="#N/A"/>
    <m/>
    <m/>
    <n v="-2363.8499999999985"/>
    <n v="5819.25"/>
    <s v=""/>
    <m/>
    <m/>
    <m/>
    <m/>
    <m/>
    <m/>
    <m/>
    <m/>
    <m/>
    <m/>
    <m/>
    <n v="5819.25"/>
    <m/>
    <m/>
    <m/>
    <m/>
    <m/>
    <m/>
    <m/>
    <n v="5819.25"/>
    <m/>
    <n v="0"/>
    <n v="-2363.8499999999985"/>
    <m/>
    <n v="5819.25"/>
    <n v="0"/>
    <m/>
  </r>
  <r>
    <x v="0"/>
    <n v="1"/>
    <n v="41205"/>
    <n v="41205"/>
    <n v="43012"/>
    <s v="No"/>
    <s v="Y"/>
    <m/>
    <x v="1"/>
    <m/>
    <n v="378802"/>
    <x v="34"/>
    <s v="Orla"/>
    <s v="Singh"/>
    <x v="425"/>
    <d v="2008-11-15T00:00:00"/>
    <n v="14.767967145790555"/>
    <n v="9"/>
    <n v="872"/>
    <n v="872"/>
    <d v="2023-04-01T00:00:00"/>
    <n v="1"/>
    <d v="2024-03-31T00:00:00"/>
    <n v="192"/>
    <n v="192"/>
    <n v="1"/>
    <s v="open"/>
    <n v="27"/>
    <m/>
    <m/>
    <x v="0"/>
    <x v="0"/>
    <x v="0"/>
    <s v="NO"/>
    <s v="NO"/>
    <s v="NO"/>
    <s v="NO"/>
    <m/>
    <n v="6764.7899999999991"/>
    <s v="ASD"/>
    <n v="1"/>
    <n v="1"/>
    <n v="6764.7899999999991"/>
    <n v="6764.7899999999991"/>
    <n v="6764.7899999999991"/>
    <n v="6764.7899999999991"/>
    <n v="6764.7899999999991"/>
    <m/>
    <m/>
    <e v="#N/A"/>
    <e v="#N/A"/>
    <e v="#N/A"/>
    <m/>
    <m/>
    <n v="0"/>
    <n v="6764.7899999999991"/>
    <s v=""/>
    <m/>
    <m/>
    <m/>
    <m/>
    <m/>
    <m/>
    <m/>
    <m/>
    <m/>
    <m/>
    <m/>
    <n v="6764.7899999999991"/>
    <m/>
    <m/>
    <m/>
    <m/>
    <m/>
    <m/>
    <m/>
    <n v="6764.7899999999991"/>
    <m/>
    <n v="0"/>
    <n v="0"/>
    <m/>
    <n v="6764.7899999999991"/>
    <n v="0"/>
    <m/>
  </r>
  <r>
    <x v="0"/>
    <n v="1"/>
    <n v="41205"/>
    <n v="41205"/>
    <n v="43012"/>
    <s v="No"/>
    <s v="Y"/>
    <m/>
    <x v="1"/>
    <m/>
    <n v="437843"/>
    <x v="34"/>
    <s v="Raffio"/>
    <s v="Mann"/>
    <x v="426"/>
    <d v="2010-05-26T00:00:00"/>
    <n v="13.242984257357975"/>
    <n v="8"/>
    <n v="872"/>
    <n v="872"/>
    <d v="2023-04-01T00:00:00"/>
    <n v="1"/>
    <d v="2024-03-31T00:00:00"/>
    <n v="192"/>
    <n v="192"/>
    <n v="1"/>
    <s v="open"/>
    <n v="7500"/>
    <m/>
    <m/>
    <x v="0"/>
    <x v="1"/>
    <x v="1"/>
    <s v="NO"/>
    <s v="NO"/>
    <s v="NO"/>
    <s v="NO"/>
    <n v="7500"/>
    <n v="7500"/>
    <s v="SEMH"/>
    <n v="1"/>
    <n v="1"/>
    <n v="7500"/>
    <n v="7500"/>
    <n v="7500"/>
    <n v="7500"/>
    <n v="7500"/>
    <m/>
    <m/>
    <e v="#N/A"/>
    <e v="#N/A"/>
    <e v="#N/A"/>
    <m/>
    <m/>
    <n v="0"/>
    <n v="7500"/>
    <s v=""/>
    <m/>
    <m/>
    <m/>
    <m/>
    <m/>
    <m/>
    <m/>
    <m/>
    <m/>
    <m/>
    <m/>
    <n v="7500"/>
    <m/>
    <m/>
    <m/>
    <m/>
    <m/>
    <m/>
    <m/>
    <n v="7500"/>
    <m/>
    <n v="0"/>
    <n v="0"/>
    <m/>
    <n v="7500"/>
    <n v="0"/>
    <m/>
  </r>
  <r>
    <x v="0"/>
    <n v="1"/>
    <n v="41205"/>
    <n v="41205"/>
    <n v="43012"/>
    <s v="No"/>
    <s v="Y"/>
    <m/>
    <x v="1"/>
    <m/>
    <n v="399599"/>
    <x v="34"/>
    <s v="Razan"/>
    <s v="Somai"/>
    <x v="427"/>
    <d v="2010-08-21T00:00:00"/>
    <n v="13.00479123887748"/>
    <n v="8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PD"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0"/>
    <n v="1"/>
    <n v="41205"/>
    <n v="41205"/>
    <n v="43012"/>
    <s v="No"/>
    <s v="Y"/>
    <m/>
    <x v="1"/>
    <m/>
    <n v="435997"/>
    <x v="34"/>
    <s v="Reyan"/>
    <s v="Shah"/>
    <x v="428"/>
    <d v="2006-05-17T00:00:00"/>
    <n v="17.267624914442163"/>
    <n v="11"/>
    <n v="872"/>
    <n v="872"/>
    <d v="2023-04-01T00:00:00"/>
    <n v="1"/>
    <d v="2023-07-21T00:00:00"/>
    <n v="63"/>
    <n v="63"/>
    <n v="0.328125"/>
    <s v="Yr 11"/>
    <n v="15719"/>
    <m/>
    <m/>
    <x v="0"/>
    <x v="1"/>
    <x v="1"/>
    <s v="NO"/>
    <s v="NO"/>
    <s v="NO"/>
    <s v="NO"/>
    <n v="15719"/>
    <n v="15719"/>
    <m/>
    <n v="1"/>
    <n v="0.328125"/>
    <n v="5157.796875"/>
    <n v="5157.796875"/>
    <n v="5157.796875"/>
    <n v="5157.796875"/>
    <n v="5157.796875"/>
    <m/>
    <m/>
    <e v="#N/A"/>
    <e v="#N/A"/>
    <s v="BCA"/>
    <s v="Y"/>
    <n v="10479.333333333334"/>
    <n v="0"/>
    <n v="5157.796875"/>
    <s v="BCA"/>
    <s v="COLL"/>
    <m/>
    <m/>
    <m/>
    <s v="BCA"/>
    <m/>
    <m/>
    <m/>
    <m/>
    <s v="Y"/>
    <m/>
    <n v="5157.796875"/>
    <s v="COLL"/>
    <m/>
    <m/>
    <m/>
    <m/>
    <m/>
    <m/>
    <n v="5157.796875"/>
    <m/>
    <n v="0"/>
    <n v="0"/>
    <m/>
    <n v="5157.796875"/>
    <n v="0"/>
    <m/>
  </r>
  <r>
    <x v="0"/>
    <n v="1"/>
    <n v="41205"/>
    <n v="41205"/>
    <n v="43012"/>
    <s v="No"/>
    <s v="Y"/>
    <m/>
    <x v="1"/>
    <m/>
    <n v="387846"/>
    <x v="34"/>
    <s v="Rubina"/>
    <s v="Khan"/>
    <x v="429"/>
    <d v="2010-02-07T00:00:00"/>
    <n v="13.538672142368242"/>
    <n v="8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SLD"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0"/>
    <n v="1"/>
    <n v="41205"/>
    <n v="41205"/>
    <n v="43012"/>
    <s v="No"/>
    <s v="Y"/>
    <m/>
    <x v="1"/>
    <m/>
    <n v="383296"/>
    <x v="34"/>
    <s v="Samuel"/>
    <s v="Keary"/>
    <x v="430"/>
    <d v="2009-05-15T00:00:00"/>
    <n v="14.272416153319645"/>
    <n v="9"/>
    <n v="872"/>
    <n v="872"/>
    <d v="2023-04-01T00:00:00"/>
    <n v="1"/>
    <d v="2024-03-31T00:00:00"/>
    <n v="192"/>
    <n v="192"/>
    <n v="1"/>
    <s v="open"/>
    <n v="28"/>
    <m/>
    <m/>
    <x v="0"/>
    <x v="0"/>
    <x v="0"/>
    <s v="NO"/>
    <s v="NO"/>
    <s v="NO"/>
    <s v="NO"/>
    <m/>
    <n v="7237.5599999999995"/>
    <s v="ASD"/>
    <n v="1"/>
    <n v="1"/>
    <n v="7237.5599999999995"/>
    <n v="7237.5599999999995"/>
    <n v="7237.5599999999995"/>
    <n v="7237.5599999999995"/>
    <n v="7237.5599999999995"/>
    <m/>
    <m/>
    <e v="#N/A"/>
    <e v="#N/A"/>
    <e v="#N/A"/>
    <m/>
    <m/>
    <n v="0"/>
    <n v="7237.5599999999995"/>
    <s v=""/>
    <m/>
    <m/>
    <m/>
    <m/>
    <m/>
    <m/>
    <m/>
    <m/>
    <m/>
    <m/>
    <m/>
    <n v="7237.5599999999995"/>
    <m/>
    <m/>
    <m/>
    <m/>
    <m/>
    <m/>
    <m/>
    <n v="7237.5599999999995"/>
    <m/>
    <n v="0"/>
    <n v="0"/>
    <m/>
    <n v="7237.5599999999995"/>
    <n v="0"/>
    <m/>
  </r>
  <r>
    <x v="0"/>
    <n v="1"/>
    <n v="41205"/>
    <n v="41205"/>
    <n v="43012"/>
    <s v="No"/>
    <s v="Y"/>
    <m/>
    <x v="2"/>
    <m/>
    <n v="359295"/>
    <x v="34"/>
    <s v="Saoirse"/>
    <s v="De chi-Adams"/>
    <x v="431"/>
    <d v="2005-05-05T00:00:00"/>
    <n v="18.299794661190965"/>
    <n v="13"/>
    <n v="872"/>
    <n v="872"/>
    <d v="2023-04-01T00:00:00"/>
    <n v="1"/>
    <d v="2023-07-21T00:00:00"/>
    <n v="63"/>
    <n v="63"/>
    <n v="0.328125"/>
    <s v="16+"/>
    <n v="26317"/>
    <m/>
    <m/>
    <x v="0"/>
    <x v="1"/>
    <x v="1"/>
    <s v="NO"/>
    <s v="NO"/>
    <s v="NO"/>
    <s v="NO"/>
    <m/>
    <n v="26317"/>
    <s v="ASD"/>
    <n v="1"/>
    <n v="0.328125"/>
    <n v="8635.265625"/>
    <n v="8635.265625"/>
    <n v="8635.265625"/>
    <n v="8635.265625"/>
    <n v="8635.265625"/>
    <m/>
    <m/>
    <e v="#N/A"/>
    <e v="#N/A"/>
    <e v="#N/A"/>
    <m/>
    <m/>
    <n v="0"/>
    <n v="8635.265625"/>
    <s v="???"/>
    <m/>
    <m/>
    <m/>
    <m/>
    <m/>
    <n v="26317"/>
    <n v="26317"/>
    <m/>
    <m/>
    <m/>
    <n v="17407.598958333336"/>
    <n v="26042.864583333336"/>
    <m/>
    <m/>
    <m/>
    <m/>
    <m/>
    <m/>
    <m/>
    <n v="26042.864583333336"/>
    <m/>
    <n v="0"/>
    <n v="17407.598958333336"/>
    <m/>
    <n v="26042.864583333336"/>
    <n v="0"/>
    <m/>
  </r>
  <r>
    <x v="1"/>
    <n v="1"/>
    <n v="41205"/>
    <n v="41205"/>
    <n v="43012"/>
    <s v="No"/>
    <s v="Y"/>
    <m/>
    <x v="1"/>
    <m/>
    <n v="395349"/>
    <x v="34"/>
    <s v="Sophie"/>
    <s v="Dimmick"/>
    <x v="28"/>
    <d v="2011-12-29T00:00:00"/>
    <n v="11.649555099247092"/>
    <n v="7"/>
    <n v="872"/>
    <n v="872"/>
    <d v="2023-09-04T00:00:00"/>
    <n v="66"/>
    <d v="2024-03-31T00:00:00"/>
    <n v="192"/>
    <n v="127"/>
    <n v="0.66145833333333337"/>
    <m/>
    <n v="25"/>
    <m/>
    <m/>
    <x v="1"/>
    <x v="1"/>
    <x v="0"/>
    <s v="NO"/>
    <s v="NO"/>
    <s v="NO"/>
    <s v="NO"/>
    <m/>
    <n v="5819.25"/>
    <s v="SLCD"/>
    <n v="1"/>
    <n v="0.66145833333333337"/>
    <n v="3849.19140625"/>
    <n v="3849.19140625"/>
    <n v="3849.19140625"/>
    <n v="0"/>
    <n v="0"/>
    <m/>
    <m/>
    <m/>
    <m/>
    <m/>
    <m/>
    <m/>
    <n v="3849.19140625"/>
    <n v="3849.19140625"/>
    <s v=""/>
    <m/>
    <m/>
    <m/>
    <m/>
    <m/>
    <s v="summer leaver"/>
    <m/>
    <m/>
    <m/>
    <m/>
    <m/>
    <n v="3849.19140625"/>
    <m/>
    <m/>
    <m/>
    <m/>
    <m/>
    <m/>
    <m/>
    <n v="3849.19140625"/>
    <m/>
    <n v="0"/>
    <n v="3849.19140625"/>
    <m/>
    <n v="3849.19140625"/>
    <n v="0"/>
    <m/>
  </r>
  <r>
    <x v="0"/>
    <n v="1"/>
    <n v="41205"/>
    <n v="41205"/>
    <n v="43012"/>
    <s v="No"/>
    <s v="Y"/>
    <m/>
    <x v="1"/>
    <m/>
    <n v="422878"/>
    <x v="34"/>
    <s v="Sreekar"/>
    <s v="Rajen"/>
    <x v="432"/>
    <d v="2007-04-07T00:00:00"/>
    <n v="16.377823408624231"/>
    <n v="11"/>
    <n v="872"/>
    <n v="872"/>
    <d v="2023-04-01T00:00:00"/>
    <n v="1"/>
    <d v="2023-07-21T00:00:00"/>
    <n v="63"/>
    <n v="63"/>
    <n v="0.328125"/>
    <s v="Yr 11"/>
    <n v="25"/>
    <m/>
    <m/>
    <x v="1"/>
    <x v="1"/>
    <x v="0"/>
    <s v="NO"/>
    <s v="NO"/>
    <s v="NO"/>
    <s v="NO"/>
    <m/>
    <n v="5819.25"/>
    <s v="ASD"/>
    <n v="1"/>
    <n v="0.328125"/>
    <n v="1909.44140625"/>
    <n v="1909.44140625"/>
    <n v="1909.44140625"/>
    <n v="1909.44140625"/>
    <n v="1909.44140625"/>
    <m/>
    <m/>
    <e v="#N/A"/>
    <e v="#N/A"/>
    <s v="Cease"/>
    <s v="Y"/>
    <n v="3879.5"/>
    <n v="0"/>
    <n v="1909.44140625"/>
    <s v="Cease "/>
    <m/>
    <m/>
    <m/>
    <m/>
    <s v="Cease "/>
    <m/>
    <m/>
    <m/>
    <m/>
    <s v="Y"/>
    <m/>
    <n v="1909.44140625"/>
    <s v="Cease"/>
    <m/>
    <m/>
    <m/>
    <m/>
    <m/>
    <m/>
    <n v="1909.44140625"/>
    <m/>
    <n v="0"/>
    <n v="0"/>
    <m/>
    <n v="1909.44140625"/>
    <n v="0"/>
    <m/>
  </r>
  <r>
    <x v="0"/>
    <n v="1"/>
    <n v="41205"/>
    <n v="41205"/>
    <n v="43012"/>
    <s v="No"/>
    <s v="Y"/>
    <m/>
    <x v="1"/>
    <m/>
    <n v="383165"/>
    <x v="34"/>
    <s v="Sriram"/>
    <s v="Pokala"/>
    <x v="433"/>
    <d v="2009-06-18T00:00:00"/>
    <n v="14.179329226557153"/>
    <n v="9"/>
    <n v="872"/>
    <n v="872"/>
    <d v="2023-04-01T00:00:00"/>
    <n v="1"/>
    <d v="2023-07-21T00:00:00"/>
    <n v="63"/>
    <n v="63"/>
    <n v="0.328125"/>
    <d v="2023-09-01T00:00:00"/>
    <n v="26999"/>
    <m/>
    <m/>
    <x v="0"/>
    <x v="1"/>
    <x v="1"/>
    <s v="NO"/>
    <s v="NO"/>
    <s v="NO"/>
    <s v="NO"/>
    <m/>
    <n v="26999"/>
    <s v="ASD"/>
    <n v="1"/>
    <n v="0.328125"/>
    <n v="8859.046875"/>
    <n v="8859.046875"/>
    <n v="8859.046875"/>
    <n v="8999.6666666666661"/>
    <n v="8999.6666666666661"/>
    <m/>
    <m/>
    <e v="#N/A"/>
    <e v="#N/A"/>
    <e v="#N/A"/>
    <m/>
    <m/>
    <n v="-140.61979166666606"/>
    <n v="8859.046875"/>
    <s v=""/>
    <m/>
    <m/>
    <m/>
    <m/>
    <m/>
    <m/>
    <m/>
    <m/>
    <m/>
    <m/>
    <m/>
    <n v="8859.046875"/>
    <m/>
    <m/>
    <m/>
    <m/>
    <m/>
    <m/>
    <m/>
    <n v="8859.046875"/>
    <m/>
    <n v="0"/>
    <n v="-140.61979166666606"/>
    <m/>
    <n v="8859.046875"/>
    <n v="0"/>
    <m/>
  </r>
  <r>
    <x v="1"/>
    <n v="1"/>
    <n v="41205"/>
    <n v="41205"/>
    <n v="43012"/>
    <s v="No"/>
    <s v="Y"/>
    <m/>
    <x v="1"/>
    <s v="AD"/>
    <n v="383165"/>
    <x v="34"/>
    <s v="Sriram"/>
    <s v="Pokala"/>
    <x v="433"/>
    <d v="2009-06-18T00:00:00"/>
    <n v="14.179329226557153"/>
    <n v="9"/>
    <n v="872"/>
    <n v="872"/>
    <d v="2023-04-01T00:00:00"/>
    <n v="1"/>
    <d v="2023-07-21T00:00:00"/>
    <n v="63"/>
    <n v="63"/>
    <n v="0.328125"/>
    <d v="2023-07-21T00:00:00"/>
    <n v="19739"/>
    <m/>
    <m/>
    <x v="0"/>
    <x v="1"/>
    <x v="1"/>
    <s v="NO"/>
    <s v="NO"/>
    <s v="NO"/>
    <s v="NO"/>
    <m/>
    <n v="19739"/>
    <s v="ASD"/>
    <n v="1"/>
    <n v="0.328125"/>
    <n v="6476.859375"/>
    <n v="6476.859375"/>
    <n v="6476.859375"/>
    <n v="6476.859375"/>
    <n v="6476.859375"/>
    <m/>
    <m/>
    <e v="#N/A"/>
    <e v="#N/A"/>
    <e v="#N/A"/>
    <m/>
    <m/>
    <n v="0"/>
    <n v="6476.859375"/>
    <s v=""/>
    <m/>
    <m/>
    <m/>
    <m/>
    <m/>
    <n v="19739"/>
    <n v="19739"/>
    <m/>
    <m/>
    <m/>
    <n v="13056.526041666668"/>
    <n v="19533.385416666668"/>
    <m/>
    <m/>
    <m/>
    <m/>
    <m/>
    <m/>
    <m/>
    <n v="19533.385416666668"/>
    <m/>
    <n v="0"/>
    <n v="13056.526041666668"/>
    <m/>
    <n v="19533.385416666668"/>
    <n v="0"/>
    <m/>
  </r>
  <r>
    <x v="0"/>
    <n v="1"/>
    <n v="41205"/>
    <n v="41205"/>
    <n v="43012"/>
    <s v="No"/>
    <s v="Y"/>
    <m/>
    <x v="1"/>
    <m/>
    <n v="400568"/>
    <x v="34"/>
    <s v="Syeda"/>
    <s v="Taj"/>
    <x v="434"/>
    <d v="2006-10-08T00:00:00"/>
    <n v="16.873374401095141"/>
    <n v="11"/>
    <n v="872"/>
    <n v="872"/>
    <d v="2023-04-01T00:00:00"/>
    <n v="1"/>
    <d v="2023-07-21T00:00:00"/>
    <n v="63"/>
    <n v="63"/>
    <n v="0.328125"/>
    <s v="Yr 11"/>
    <n v="25"/>
    <m/>
    <m/>
    <x v="1"/>
    <x v="1"/>
    <x v="0"/>
    <s v="NO"/>
    <s v="NO"/>
    <s v="NO"/>
    <s v="NO"/>
    <m/>
    <n v="5819.25"/>
    <m/>
    <n v="1"/>
    <n v="0.328125"/>
    <n v="1909.44140625"/>
    <n v="1909.44140625"/>
    <n v="1909.44140625"/>
    <n v="1909.44140625"/>
    <n v="1909.44140625"/>
    <m/>
    <m/>
    <e v="#N/A"/>
    <e v="#N/A"/>
    <s v="ME MAT"/>
    <m/>
    <m/>
    <n v="0"/>
    <n v="1909.44140625"/>
    <s v="Maiden Erlegh school"/>
    <s v="WBC Academy"/>
    <n v="43012"/>
    <m/>
    <m/>
    <s v="Maiden Erlegh school"/>
    <m/>
    <m/>
    <m/>
    <m/>
    <s v="Y"/>
    <m/>
    <n v="1909.44140625"/>
    <s v="COLL"/>
    <m/>
    <m/>
    <m/>
    <m/>
    <m/>
    <m/>
    <n v="1909.44140625"/>
    <m/>
    <n v="0"/>
    <n v="0"/>
    <m/>
    <n v="1909.44140625"/>
    <n v="0"/>
    <m/>
  </r>
  <r>
    <x v="0"/>
    <n v="1"/>
    <n v="41205"/>
    <n v="41205"/>
    <n v="43012"/>
    <s v="No"/>
    <s v="Y"/>
    <m/>
    <x v="1"/>
    <m/>
    <n v="394802"/>
    <x v="34"/>
    <s v="Tommy"/>
    <s v="Parlour"/>
    <x v="435"/>
    <d v="2011-02-19T00:00:00"/>
    <n v="12.506502395619439"/>
    <n v="7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SLCD"/>
    <n v="1"/>
    <n v="1"/>
    <n v="5819.25"/>
    <n v="5819.25"/>
    <n v="5819.25"/>
    <n v="8183.099999999998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-2363.8499999999985"/>
    <m/>
    <n v="5819.25"/>
    <n v="0"/>
    <m/>
  </r>
  <r>
    <x v="0"/>
    <n v="1"/>
    <n v="41205"/>
    <n v="41205"/>
    <n v="43012"/>
    <s v="No"/>
    <s v="Y"/>
    <m/>
    <x v="1"/>
    <m/>
    <n v="386592"/>
    <x v="34"/>
    <s v="Trey"/>
    <s v="Gurney"/>
    <x v="436"/>
    <d v="2010-05-04T00:00:00"/>
    <n v="13.30321697467488"/>
    <n v="8"/>
    <n v="872"/>
    <n v="872"/>
    <d v="2023-04-01T00:00:00"/>
    <n v="1"/>
    <d v="2024-03-31T00:00:00"/>
    <n v="192"/>
    <n v="192"/>
    <n v="1"/>
    <s v="open"/>
    <n v="23"/>
    <m/>
    <m/>
    <x v="1"/>
    <x v="1"/>
    <x v="0"/>
    <s v="NO"/>
    <s v="NO"/>
    <s v="NO"/>
    <s v="NO"/>
    <m/>
    <n v="4873.7099999999991"/>
    <s v="SLCD"/>
    <n v="1"/>
    <n v="1"/>
    <n v="4873.7099999999991"/>
    <n v="4873.7099999999991"/>
    <n v="4873.7099999999991"/>
    <n v="4873.7099999999991"/>
    <n v="4873.7099999999991"/>
    <m/>
    <m/>
    <e v="#N/A"/>
    <e v="#N/A"/>
    <e v="#N/A"/>
    <m/>
    <m/>
    <n v="0"/>
    <n v="4873.7099999999991"/>
    <s v=""/>
    <m/>
    <m/>
    <m/>
    <m/>
    <m/>
    <m/>
    <m/>
    <m/>
    <m/>
    <m/>
    <m/>
    <n v="4873.7099999999991"/>
    <m/>
    <m/>
    <m/>
    <m/>
    <m/>
    <m/>
    <m/>
    <n v="4873.7099999999991"/>
    <m/>
    <n v="0"/>
    <n v="0"/>
    <m/>
    <n v="4873.7099999999991"/>
    <n v="0"/>
    <m/>
  </r>
  <r>
    <x v="0"/>
    <n v="1"/>
    <n v="41205"/>
    <n v="41205"/>
    <n v="43012"/>
    <s v="No"/>
    <s v="Y"/>
    <m/>
    <x v="1"/>
    <m/>
    <n v="420828"/>
    <x v="34"/>
    <s v="Veda"/>
    <s v="Gorthy"/>
    <x v="437"/>
    <d v="2008-03-21T00:00:00"/>
    <n v="15.422313483915127"/>
    <n v="10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Severe LD"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1"/>
    <n v="1"/>
    <n v="41205"/>
    <n v="41205"/>
    <n v="43012"/>
    <s v="No"/>
    <s v="Y"/>
    <m/>
    <x v="1"/>
    <s v="AD"/>
    <n v="420828"/>
    <x v="34"/>
    <s v="Veda"/>
    <s v="Gorthy"/>
    <x v="437"/>
    <d v="2008-03-21T00:00:00"/>
    <n v="15.422313483915127"/>
    <n v="10"/>
    <n v="872"/>
    <n v="872"/>
    <d v="2023-04-01T00:00:00"/>
    <n v="1"/>
    <d v="2024-03-31T00:00:00"/>
    <n v="192"/>
    <n v="192"/>
    <n v="1"/>
    <s v="open"/>
    <n v="9000"/>
    <m/>
    <m/>
    <x v="0"/>
    <x v="1"/>
    <x v="1"/>
    <s v="NO"/>
    <s v="NO"/>
    <s v="NO"/>
    <s v="NO"/>
    <m/>
    <n v="9000"/>
    <s v="Severe LD"/>
    <n v="1"/>
    <n v="1"/>
    <n v="9000"/>
    <n v="9000"/>
    <n v="9000"/>
    <n v="9000"/>
    <n v="9000"/>
    <m/>
    <m/>
    <e v="#N/A"/>
    <e v="#N/A"/>
    <e v="#N/A"/>
    <m/>
    <m/>
    <n v="0"/>
    <n v="9000"/>
    <s v=""/>
    <m/>
    <m/>
    <m/>
    <m/>
    <m/>
    <m/>
    <m/>
    <m/>
    <m/>
    <m/>
    <m/>
    <n v="9000"/>
    <m/>
    <m/>
    <m/>
    <m/>
    <m/>
    <m/>
    <m/>
    <n v="9000"/>
    <m/>
    <n v="0"/>
    <n v="0"/>
    <m/>
    <n v="9000"/>
    <n v="0"/>
    <m/>
  </r>
  <r>
    <x v="0"/>
    <n v="1"/>
    <n v="41205"/>
    <n v="41205"/>
    <n v="43012"/>
    <s v="No"/>
    <s v="Y"/>
    <m/>
    <x v="1"/>
    <m/>
    <n v="443316"/>
    <x v="34"/>
    <s v="Xavier"/>
    <s v="Cancela Stokes"/>
    <x v="438"/>
    <d v="2010-12-06T00:00:00"/>
    <n v="12.711841204654347"/>
    <n v="7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ASD"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0"/>
    <n v="1"/>
    <n v="41125"/>
    <n v="41125"/>
    <n v="43012"/>
    <s v="No"/>
    <s v="Y"/>
    <m/>
    <x v="0"/>
    <m/>
    <n v="437554"/>
    <x v="35"/>
    <s v="Aegon"/>
    <s v="Karthik"/>
    <x v="439"/>
    <d v="2017-09-15T00:00:00"/>
    <n v="5.935660506502396"/>
    <n v="0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m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0"/>
    <n v="1"/>
    <n v="41125"/>
    <n v="41125"/>
    <n v="43012"/>
    <s v="No"/>
    <s v="Y"/>
    <m/>
    <x v="0"/>
    <m/>
    <n v="409987"/>
    <x v="35"/>
    <s v="Callum"/>
    <s v="Perry"/>
    <x v="440"/>
    <d v="2013-06-04T00:00:00"/>
    <n v="10.217659137577002"/>
    <n v="5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MLD"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1"/>
    <n v="1"/>
    <n v="41125"/>
    <n v="41125"/>
    <n v="43012"/>
    <s v="No"/>
    <s v="Y"/>
    <m/>
    <x v="0"/>
    <s v="AD"/>
    <n v="409987"/>
    <x v="35"/>
    <s v="Callum"/>
    <s v="Perry"/>
    <x v="440"/>
    <d v="2013-06-04T00:00:00"/>
    <n v="10.217659137577002"/>
    <n v="5"/>
    <n v="872"/>
    <n v="872"/>
    <d v="2023-04-19T00:00:00"/>
    <n v="4"/>
    <d v="2023-04-19T00:00:00"/>
    <n v="3"/>
    <n v="0"/>
    <n v="1"/>
    <d v="2023-04-19T00:00:00"/>
    <n v="775"/>
    <m/>
    <m/>
    <x v="0"/>
    <x v="1"/>
    <x v="1"/>
    <s v="NO"/>
    <s v="NO"/>
    <s v="NO"/>
    <s v="NO"/>
    <m/>
    <n v="775"/>
    <s v="MLD"/>
    <n v="1"/>
    <n v="1"/>
    <n v="775"/>
    <n v="775"/>
    <n v="775"/>
    <n v="0"/>
    <n v="775"/>
    <m/>
    <m/>
    <e v="#N/A"/>
    <e v="#N/A"/>
    <e v="#N/A"/>
    <m/>
    <m/>
    <n v="0"/>
    <n v="775"/>
    <s v=""/>
    <m/>
    <m/>
    <m/>
    <m/>
    <m/>
    <m/>
    <m/>
    <m/>
    <m/>
    <m/>
    <m/>
    <n v="775"/>
    <m/>
    <m/>
    <m/>
    <m/>
    <m/>
    <m/>
    <m/>
    <n v="775"/>
    <m/>
    <n v="0"/>
    <n v="775"/>
    <m/>
    <n v="775"/>
    <n v="0"/>
    <m/>
  </r>
  <r>
    <x v="0"/>
    <n v="1"/>
    <n v="41125"/>
    <n v="41125"/>
    <n v="43012"/>
    <s v="No"/>
    <s v="Y"/>
    <m/>
    <x v="0"/>
    <m/>
    <n v="399595"/>
    <x v="35"/>
    <s v="Daniel"/>
    <s v="Sier-Acinas"/>
    <x v="441"/>
    <d v="2011-11-21T00:00:00"/>
    <n v="11.75359342915811"/>
    <n v="6"/>
    <n v="872"/>
    <n v="872"/>
    <d v="2023-04-01T00:00:00"/>
    <n v="1"/>
    <d v="2023-07-21T00:00:00"/>
    <n v="63"/>
    <n v="63"/>
    <n v="0.328125"/>
    <s v="Yr 6"/>
    <n v="26"/>
    <m/>
    <m/>
    <x v="0"/>
    <x v="0"/>
    <x v="0"/>
    <s v="NO"/>
    <s v="NO"/>
    <s v="NO"/>
    <s v="NO"/>
    <m/>
    <n v="6292.02"/>
    <s v="SLCD"/>
    <n v="1"/>
    <n v="0.328125"/>
    <n v="2064.5690625000002"/>
    <n v="2064.5690625000002"/>
    <n v="2064.5690625000002"/>
    <n v="2064.5690625000002"/>
    <n v="2064.5690625000002"/>
    <m/>
    <m/>
    <e v="#N/A"/>
    <s v="Bohunt"/>
    <e v="#N/A"/>
    <m/>
    <m/>
    <n v="0"/>
    <n v="2064.5690625000002"/>
    <s v="???"/>
    <m/>
    <m/>
    <m/>
    <m/>
    <m/>
    <n v="26"/>
    <n v="6292.02"/>
    <m/>
    <m/>
    <m/>
    <n v="4161.9090624999999"/>
    <n v="6226.4781249999996"/>
    <m/>
    <m/>
    <s v="?"/>
    <s v="?"/>
    <m/>
    <m/>
    <m/>
    <n v="6226.4781249999996"/>
    <m/>
    <n v="0"/>
    <n v="4161.909062499999"/>
    <m/>
    <n v="6226.4781249999996"/>
    <n v="0"/>
    <m/>
  </r>
  <r>
    <x v="1"/>
    <n v="1"/>
    <n v="41125"/>
    <n v="41125"/>
    <n v="43012"/>
    <s v="No"/>
    <s v="Y"/>
    <m/>
    <x v="0"/>
    <m/>
    <n v="449759"/>
    <x v="35"/>
    <s v="Gabriel"/>
    <s v="Doggett"/>
    <x v="442"/>
    <d v="2019-03-12T00:00:00"/>
    <n v="4.4490075290896645"/>
    <n v="0"/>
    <n v="872"/>
    <n v="872"/>
    <d v="2023-09-04T00:00:00"/>
    <n v="66"/>
    <d v="2024-03-31T00:00:00"/>
    <n v="192"/>
    <n v="127"/>
    <n v="0.66145833333333337"/>
    <m/>
    <n v="30"/>
    <m/>
    <m/>
    <x v="0"/>
    <x v="0"/>
    <x v="0"/>
    <s v="NO"/>
    <s v="NO"/>
    <s v="NO"/>
    <s v="NO"/>
    <m/>
    <n v="8183.0999999999985"/>
    <m/>
    <n v="1"/>
    <n v="0.66145833333333337"/>
    <n v="5412.7796874999995"/>
    <n v="5412.7796874999995"/>
    <n v="5412.7796874999995"/>
    <n v="0"/>
    <n v="0"/>
    <m/>
    <m/>
    <m/>
    <m/>
    <m/>
    <m/>
    <m/>
    <n v="5412.7796874999995"/>
    <n v="5412.7796874999995"/>
    <s v=""/>
    <m/>
    <m/>
    <m/>
    <m/>
    <m/>
    <m/>
    <m/>
    <m/>
    <m/>
    <m/>
    <m/>
    <n v="5412.7796874999995"/>
    <m/>
    <m/>
    <m/>
    <m/>
    <m/>
    <m/>
    <m/>
    <n v="5412.7796874999995"/>
    <m/>
    <n v="0"/>
    <n v="5412.7796874999995"/>
    <m/>
    <n v="5412.7796874999995"/>
    <n v="0"/>
    <m/>
  </r>
  <r>
    <x v="0"/>
    <n v="1"/>
    <n v="41125"/>
    <n v="41125"/>
    <n v="43012"/>
    <s v="No"/>
    <s v="Y"/>
    <m/>
    <x v="0"/>
    <m/>
    <n v="435223"/>
    <x v="35"/>
    <s v="Hartaj"/>
    <s v="Grewal"/>
    <x v="443"/>
    <d v="2017-06-09T00:00:00"/>
    <n v="6.2039698836413413"/>
    <n v="1"/>
    <n v="872"/>
    <n v="872"/>
    <d v="2023-04-01T00:00:00"/>
    <n v="1"/>
    <d v="2024-03-31T00:00:00"/>
    <n v="192"/>
    <n v="192"/>
    <n v="1"/>
    <s v="open"/>
    <n v="26"/>
    <m/>
    <m/>
    <x v="0"/>
    <x v="0"/>
    <x v="0"/>
    <s v="NO"/>
    <s v="NO"/>
    <s v="NO"/>
    <s v="NO"/>
    <m/>
    <n v="6292.02"/>
    <m/>
    <n v="1"/>
    <n v="1"/>
    <n v="6292.02"/>
    <n v="6292.02"/>
    <n v="6292.02"/>
    <n v="6292.02"/>
    <n v="6292.02"/>
    <m/>
    <m/>
    <e v="#N/A"/>
    <e v="#N/A"/>
    <e v="#N/A"/>
    <m/>
    <m/>
    <n v="0"/>
    <n v="6292.02"/>
    <s v=""/>
    <m/>
    <m/>
    <m/>
    <m/>
    <m/>
    <m/>
    <m/>
    <m/>
    <m/>
    <m/>
    <m/>
    <n v="6292.02"/>
    <m/>
    <m/>
    <m/>
    <m/>
    <m/>
    <m/>
    <m/>
    <n v="6292.02"/>
    <m/>
    <n v="0"/>
    <n v="0"/>
    <m/>
    <n v="6292.02"/>
    <n v="0"/>
    <m/>
  </r>
  <r>
    <x v="0"/>
    <n v="1"/>
    <n v="41125"/>
    <n v="41125"/>
    <n v="43012"/>
    <s v="No"/>
    <s v="Y"/>
    <m/>
    <x v="0"/>
    <m/>
    <n v="437367"/>
    <x v="35"/>
    <s v="Sofia"/>
    <s v="Tinnion"/>
    <x v="444"/>
    <d v="2018-04-17T00:00:00"/>
    <n v="5.3497604380561263"/>
    <n v="0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m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1"/>
    <n v="1"/>
    <n v="41125"/>
    <n v="41125"/>
    <n v="43012"/>
    <s v="No"/>
    <s v="Y"/>
    <m/>
    <x v="0"/>
    <s v="AD"/>
    <n v="437367"/>
    <x v="35"/>
    <s v="Sofia"/>
    <s v="Tinnion"/>
    <x v="444"/>
    <d v="2018-04-17T00:00:00"/>
    <n v="5.3497604380561263"/>
    <n v="0"/>
    <n v="872"/>
    <n v="872"/>
    <d v="2023-04-01T00:00:00"/>
    <n v="1"/>
    <d v="2024-03-31T00:00:00"/>
    <n v="192"/>
    <n v="192"/>
    <n v="1"/>
    <s v="open"/>
    <n v="20884.25"/>
    <m/>
    <m/>
    <x v="0"/>
    <x v="1"/>
    <x v="1"/>
    <s v="NO"/>
    <s v="NO"/>
    <s v="NO"/>
    <s v="NO"/>
    <m/>
    <n v="20884.25"/>
    <m/>
    <n v="1"/>
    <n v="1"/>
    <n v="20884.25"/>
    <n v="20884.25"/>
    <n v="20884.25"/>
    <n v="20884.25"/>
    <n v="20884.25"/>
    <m/>
    <m/>
    <e v="#N/A"/>
    <e v="#N/A"/>
    <e v="#N/A"/>
    <m/>
    <m/>
    <n v="0"/>
    <n v="20884.25"/>
    <s v=""/>
    <m/>
    <m/>
    <m/>
    <m/>
    <m/>
    <m/>
    <m/>
    <m/>
    <m/>
    <m/>
    <m/>
    <n v="20884.25"/>
    <m/>
    <m/>
    <m/>
    <m/>
    <m/>
    <m/>
    <m/>
    <n v="20884.25"/>
    <m/>
    <n v="0"/>
    <n v="0"/>
    <m/>
    <n v="20884.25"/>
    <n v="0"/>
    <m/>
  </r>
  <r>
    <x v="0"/>
    <n v="1"/>
    <n v="4000"/>
    <n v="4000"/>
    <n v="43012"/>
    <s v="No"/>
    <s v="Y"/>
    <m/>
    <x v="1"/>
    <m/>
    <n v="436061"/>
    <x v="36"/>
    <s v="Ahiza"/>
    <s v="Robins"/>
    <x v="445"/>
    <d v="2009-03-27T00:00:00"/>
    <n v="14.406570841889117"/>
    <n v="9"/>
    <n v="872"/>
    <n v="872"/>
    <d v="2023-04-01T00:00:00"/>
    <n v="1"/>
    <d v="2024-03-31T00:00:00"/>
    <n v="192"/>
    <n v="192"/>
    <n v="1"/>
    <s v="open"/>
    <n v="26"/>
    <m/>
    <m/>
    <x v="0"/>
    <x v="0"/>
    <x v="0"/>
    <s v="NO"/>
    <s v="NO"/>
    <s v="NO"/>
    <s v="NO"/>
    <m/>
    <n v="6292.02"/>
    <s v="SLCD"/>
    <n v="1"/>
    <n v="1"/>
    <n v="6292.02"/>
    <n v="6292.02"/>
    <n v="6292.02"/>
    <n v="6292.02"/>
    <n v="6292.02"/>
    <m/>
    <m/>
    <e v="#N/A"/>
    <e v="#N/A"/>
    <e v="#N/A"/>
    <m/>
    <m/>
    <n v="0"/>
    <n v="6292.02"/>
    <s v=""/>
    <m/>
    <m/>
    <m/>
    <m/>
    <m/>
    <m/>
    <m/>
    <m/>
    <m/>
    <m/>
    <m/>
    <n v="6292.02"/>
    <m/>
    <m/>
    <m/>
    <m/>
    <m/>
    <m/>
    <m/>
    <n v="6292.02"/>
    <m/>
    <n v="0"/>
    <n v="0"/>
    <m/>
    <n v="6292.02"/>
    <n v="0"/>
    <s v="moving to Bohunt"/>
  </r>
  <r>
    <x v="0"/>
    <n v="1"/>
    <n v="4000"/>
    <n v="4000"/>
    <n v="43012"/>
    <s v="No"/>
    <s v="Y"/>
    <m/>
    <x v="1"/>
    <m/>
    <n v="383267"/>
    <x v="36"/>
    <s v="Coral-Louise"/>
    <s v="Allum"/>
    <x v="446"/>
    <d v="2009-06-02T00:00:00"/>
    <n v="14.223134839151266"/>
    <n v="9"/>
    <n v="872"/>
    <n v="872"/>
    <d v="2023-04-01T00:00:00"/>
    <n v="1"/>
    <d v="2023-07-21T00:00:00"/>
    <n v="63"/>
    <n v="63"/>
    <n v="1"/>
    <d v="2023-07-31T00:00:00"/>
    <n v="2546.4"/>
    <m/>
    <m/>
    <x v="0"/>
    <x v="1"/>
    <x v="1"/>
    <s v="NO"/>
    <s v="NO"/>
    <s v="NO"/>
    <s v="NO"/>
    <m/>
    <n v="2546.4"/>
    <s v="SEMH"/>
    <n v="1"/>
    <n v="1"/>
    <n v="2546.4"/>
    <n v="2546.4"/>
    <n v="2546.4"/>
    <n v="0"/>
    <n v="2546.4"/>
    <m/>
    <m/>
    <e v="#N/A"/>
    <e v="#N/A"/>
    <e v="#N/A"/>
    <m/>
    <m/>
    <n v="0"/>
    <n v="2546.4"/>
    <s v=""/>
    <m/>
    <m/>
    <m/>
    <m/>
    <m/>
    <n v="2546.4"/>
    <n v="2546.4"/>
    <m/>
    <m/>
    <m/>
    <n v="1684.3375000000001"/>
    <n v="4230.7375000000002"/>
    <m/>
    <m/>
    <s v="OOB Special"/>
    <s v="Pride Academy"/>
    <m/>
    <s v="CCF_19/07/2023 £46,884"/>
    <m/>
    <n v="4230.7375000000002"/>
    <m/>
    <n v="0"/>
    <n v="4230.7375000000002"/>
    <m/>
    <n v="4230.7375000000002"/>
    <n v="0"/>
    <m/>
  </r>
  <r>
    <x v="0"/>
    <n v="1"/>
    <n v="4000"/>
    <n v="4000"/>
    <n v="43012"/>
    <s v="No"/>
    <s v="Y"/>
    <m/>
    <x v="1"/>
    <m/>
    <n v="389392"/>
    <x v="36"/>
    <s v="Curtis"/>
    <s v="Heath"/>
    <x v="447"/>
    <d v="2010-03-09T00:00:00"/>
    <n v="13.456536618754278"/>
    <n v="8"/>
    <n v="872"/>
    <n v="872"/>
    <d v="2023-04-01T00:00:00"/>
    <n v="1"/>
    <d v="2024-03-31T00:00:00"/>
    <n v="192"/>
    <n v="192"/>
    <n v="1"/>
    <s v="open"/>
    <n v="28"/>
    <m/>
    <m/>
    <x v="0"/>
    <x v="0"/>
    <x v="0"/>
    <s v="NO"/>
    <s v="NO"/>
    <s v="NO"/>
    <s v="NO"/>
    <m/>
    <n v="7237.5599999999995"/>
    <s v="ASD"/>
    <n v="1"/>
    <n v="1"/>
    <n v="7237.5599999999995"/>
    <n v="7237.5599999999995"/>
    <n v="7237.5599999999995"/>
    <n v="7237.5599999999995"/>
    <n v="7237.5599999999995"/>
    <m/>
    <m/>
    <e v="#N/A"/>
    <e v="#N/A"/>
    <e v="#N/A"/>
    <m/>
    <m/>
    <n v="0"/>
    <n v="7237.5599999999995"/>
    <s v=""/>
    <m/>
    <m/>
    <m/>
    <m/>
    <m/>
    <m/>
    <m/>
    <m/>
    <m/>
    <m/>
    <m/>
    <n v="7237.5599999999995"/>
    <m/>
    <m/>
    <m/>
    <m/>
    <m/>
    <m/>
    <m/>
    <n v="7237.5599999999995"/>
    <m/>
    <n v="0"/>
    <n v="0"/>
    <m/>
    <n v="7237.5599999999995"/>
    <n v="0"/>
    <m/>
  </r>
  <r>
    <x v="0"/>
    <n v="1"/>
    <n v="4000"/>
    <n v="4000"/>
    <n v="43012"/>
    <s v="No"/>
    <s v="Y"/>
    <m/>
    <x v="1"/>
    <m/>
    <n v="392124"/>
    <x v="36"/>
    <s v="Frenny-Jr"/>
    <s v="Green"/>
    <x v="448"/>
    <d v="2010-10-21T00:00:00"/>
    <n v="12.837782340862423"/>
    <n v="8"/>
    <n v="872"/>
    <n v="872"/>
    <d v="2023-05-23T00:00:00"/>
    <n v="26"/>
    <d v="2024-03-31T00:00:00"/>
    <n v="192"/>
    <n v="167"/>
    <n v="0.86979166666666663"/>
    <s v="open"/>
    <n v="25"/>
    <m/>
    <m/>
    <x v="1"/>
    <x v="1"/>
    <x v="0"/>
    <s v="NO"/>
    <s v="NO"/>
    <s v="NO"/>
    <s v="NO"/>
    <m/>
    <n v="5819.25"/>
    <s v="SEMH"/>
    <n v="1"/>
    <n v="0.86979166666666663"/>
    <n v="5061.53515625"/>
    <n v="5061.53515625"/>
    <n v="5061.53515625"/>
    <n v="0"/>
    <n v="0"/>
    <m/>
    <m/>
    <e v="#N/A"/>
    <e v="#N/A"/>
    <e v="#N/A"/>
    <m/>
    <m/>
    <n v="5061.53515625"/>
    <n v="5061.53515625"/>
    <s v=""/>
    <m/>
    <m/>
    <m/>
    <m/>
    <m/>
    <m/>
    <m/>
    <m/>
    <m/>
    <m/>
    <m/>
    <n v="5061.53515625"/>
    <m/>
    <m/>
    <m/>
    <m/>
    <m/>
    <m/>
    <m/>
    <n v="5061.53515625"/>
    <m/>
    <n v="0"/>
    <n v="5061.53515625"/>
    <m/>
    <n v="5061.53515625"/>
    <n v="0"/>
    <m/>
  </r>
  <r>
    <x v="0"/>
    <n v="1"/>
    <n v="4000"/>
    <n v="4000"/>
    <n v="43012"/>
    <s v="No"/>
    <s v="Y"/>
    <m/>
    <x v="1"/>
    <m/>
    <n v="371306"/>
    <x v="36"/>
    <s v="Freya"/>
    <s v="Bayliss-Humphreys"/>
    <x v="449"/>
    <d v="2007-09-27T00:00:00"/>
    <n v="15.904175222450377"/>
    <n v="10"/>
    <n v="872"/>
    <n v="872"/>
    <d v="2023-04-01T00:00:00"/>
    <n v="1"/>
    <d v="2024-03-31T00:00:00"/>
    <n v="192"/>
    <n v="192"/>
    <n v="1"/>
    <s v="open"/>
    <n v="24"/>
    <m/>
    <m/>
    <x v="1"/>
    <x v="1"/>
    <x v="0"/>
    <s v="NO"/>
    <s v="NO"/>
    <s v="NO"/>
    <s v="NO"/>
    <m/>
    <n v="5346.48"/>
    <s v="ASD"/>
    <n v="1"/>
    <n v="1"/>
    <n v="5346.48"/>
    <n v="5346.48"/>
    <n v="5346.48"/>
    <n v="5346.48"/>
    <n v="5346.48"/>
    <m/>
    <m/>
    <e v="#N/A"/>
    <e v="#N/A"/>
    <e v="#N/A"/>
    <m/>
    <m/>
    <n v="0"/>
    <n v="5346.48"/>
    <s v=""/>
    <m/>
    <m/>
    <m/>
    <m/>
    <m/>
    <m/>
    <m/>
    <m/>
    <m/>
    <m/>
    <m/>
    <n v="5346.48"/>
    <m/>
    <m/>
    <m/>
    <m/>
    <m/>
    <m/>
    <m/>
    <n v="5346.48"/>
    <m/>
    <n v="0"/>
    <n v="0"/>
    <m/>
    <n v="5346.48"/>
    <n v="0"/>
    <m/>
  </r>
  <r>
    <x v="0"/>
    <n v="1"/>
    <n v="4000"/>
    <n v="4000"/>
    <n v="43012"/>
    <s v="No"/>
    <s v="Y"/>
    <m/>
    <x v="1"/>
    <m/>
    <n v="374534"/>
    <x v="36"/>
    <s v="Holly"/>
    <s v="Elliott"/>
    <x v="450"/>
    <d v="2008-06-19T00:00:00"/>
    <n v="15.175906913073238"/>
    <n v="10"/>
    <n v="872"/>
    <n v="872"/>
    <d v="2023-04-01T00:00:00"/>
    <n v="1"/>
    <d v="2024-03-31T00:00:00"/>
    <n v="192"/>
    <n v="192"/>
    <n v="1"/>
    <s v="open"/>
    <n v="23"/>
    <m/>
    <m/>
    <x v="1"/>
    <x v="1"/>
    <x v="0"/>
    <s v="NO"/>
    <s v="NO"/>
    <s v="NO"/>
    <s v="NO"/>
    <m/>
    <n v="4873.7099999999991"/>
    <s v="ASD"/>
    <n v="1"/>
    <n v="1"/>
    <n v="4873.7099999999991"/>
    <n v="4873.7099999999991"/>
    <n v="4873.7099999999991"/>
    <n v="4873.7099999999991"/>
    <n v="4873.7099999999991"/>
    <m/>
    <m/>
    <e v="#N/A"/>
    <e v="#N/A"/>
    <e v="#N/A"/>
    <m/>
    <m/>
    <n v="0"/>
    <n v="4873.7099999999991"/>
    <s v=""/>
    <m/>
    <m/>
    <m/>
    <m/>
    <m/>
    <m/>
    <m/>
    <m/>
    <m/>
    <m/>
    <m/>
    <n v="4873.7099999999991"/>
    <m/>
    <m/>
    <m/>
    <m/>
    <m/>
    <m/>
    <m/>
    <n v="4873.7099999999991"/>
    <m/>
    <n v="0"/>
    <n v="0"/>
    <m/>
    <n v="4873.7099999999991"/>
    <n v="0"/>
    <m/>
  </r>
  <r>
    <x v="1"/>
    <n v="1"/>
    <n v="4000"/>
    <n v="4000"/>
    <n v="43012"/>
    <s v="No"/>
    <s v="Y"/>
    <m/>
    <x v="1"/>
    <s v="AD"/>
    <n v="374534"/>
    <x v="36"/>
    <s v="Holly"/>
    <s v="Elliott"/>
    <x v="450"/>
    <d v="2008-06-19T00:00:00"/>
    <n v="15.175906913073238"/>
    <n v="10"/>
    <n v="872"/>
    <n v="872"/>
    <d v="2023-09-01T00:00:00"/>
    <n v="65"/>
    <d v="2024-03-31T00:00:00"/>
    <n v="192"/>
    <n v="128"/>
    <n v="0.66666666666666663"/>
    <s v="open"/>
    <n v="720"/>
    <m/>
    <m/>
    <x v="2"/>
    <x v="2"/>
    <x v="2"/>
    <s v="NO"/>
    <s v="NO"/>
    <s v="NO"/>
    <s v="NO"/>
    <m/>
    <n v="720"/>
    <s v="ASD"/>
    <n v="1"/>
    <n v="1"/>
    <n v="720"/>
    <n v="720"/>
    <n v="0"/>
    <n v="0"/>
    <n v="0"/>
    <m/>
    <m/>
    <e v="#N/A"/>
    <e v="#N/A"/>
    <e v="#N/A"/>
    <m/>
    <m/>
    <n v="0"/>
    <n v="0"/>
    <m/>
    <m/>
    <m/>
    <m/>
    <m/>
    <m/>
    <m/>
    <m/>
    <m/>
    <m/>
    <m/>
    <m/>
    <n v="0"/>
    <m/>
    <m/>
    <m/>
    <m/>
    <m/>
    <m/>
    <m/>
    <n v="720"/>
    <s v="new additional provision"/>
    <n v="720"/>
    <n v="720"/>
    <m/>
    <n v="720"/>
    <n v="0"/>
    <m/>
  </r>
  <r>
    <x v="0"/>
    <n v="1"/>
    <n v="4000"/>
    <n v="4000"/>
    <n v="43012"/>
    <s v="No"/>
    <s v="Y"/>
    <m/>
    <x v="1"/>
    <m/>
    <n v="397388"/>
    <x v="36"/>
    <s v="Jenson"/>
    <s v="Parrish"/>
    <x v="451"/>
    <d v="2010-10-11T00:00:00"/>
    <n v="12.865160848733744"/>
    <n v="7"/>
    <n v="872"/>
    <n v="872"/>
    <d v="2023-04-01T00:00:00"/>
    <n v="1"/>
    <d v="2024-03-31T00:00:00"/>
    <n v="192"/>
    <n v="192"/>
    <n v="1"/>
    <s v="open"/>
    <n v="24"/>
    <m/>
    <m/>
    <x v="1"/>
    <x v="1"/>
    <x v="0"/>
    <s v="NO"/>
    <s v="NO"/>
    <s v="NO"/>
    <s v="NO"/>
    <m/>
    <n v="5346.48"/>
    <s v="ASD"/>
    <n v="1"/>
    <n v="1"/>
    <n v="5346.48"/>
    <n v="5346.48"/>
    <n v="5346.48"/>
    <n v="5346.48"/>
    <n v="5346.48"/>
    <m/>
    <m/>
    <e v="#N/A"/>
    <e v="#N/A"/>
    <e v="#N/A"/>
    <m/>
    <m/>
    <n v="0"/>
    <n v="5346.48"/>
    <s v=""/>
    <m/>
    <m/>
    <m/>
    <m/>
    <m/>
    <m/>
    <m/>
    <m/>
    <m/>
    <m/>
    <m/>
    <n v="5346.48"/>
    <m/>
    <m/>
    <m/>
    <m/>
    <m/>
    <m/>
    <m/>
    <n v="5346.48"/>
    <m/>
    <n v="0"/>
    <n v="0"/>
    <m/>
    <n v="5346.48"/>
    <n v="0"/>
    <m/>
  </r>
  <r>
    <x v="0"/>
    <n v="1"/>
    <n v="4000"/>
    <n v="4000"/>
    <n v="43012"/>
    <s v="No"/>
    <s v="Y"/>
    <m/>
    <x v="1"/>
    <m/>
    <n v="394852"/>
    <x v="36"/>
    <s v="Jeremy"/>
    <s v="Poku"/>
    <x v="452"/>
    <d v="2008-08-25T00:00:00"/>
    <n v="14.992470910335387"/>
    <n v="10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MLD"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0"/>
    <n v="1"/>
    <n v="4000"/>
    <n v="4000"/>
    <n v="43012"/>
    <s v="No"/>
    <s v="Y"/>
    <m/>
    <x v="1"/>
    <m/>
    <n v="397177"/>
    <x v="36"/>
    <s v="Jessie"/>
    <s v="Flockton"/>
    <x v="453"/>
    <d v="2011-04-14T00:00:00"/>
    <n v="12.358658453114305"/>
    <n v="7"/>
    <n v="872"/>
    <n v="872"/>
    <d v="2023-04-01T00:00:00"/>
    <n v="1"/>
    <d v="2024-03-31T00:00:00"/>
    <n v="192"/>
    <n v="192"/>
    <n v="1"/>
    <s v="open"/>
    <n v="23"/>
    <m/>
    <m/>
    <x v="1"/>
    <x v="1"/>
    <x v="0"/>
    <s v="NO"/>
    <s v="NO"/>
    <s v="NO"/>
    <s v="NO"/>
    <m/>
    <n v="4873.7099999999991"/>
    <s v="ASD"/>
    <n v="1"/>
    <n v="1"/>
    <n v="4873.7099999999991"/>
    <n v="4873.7099999999991"/>
    <n v="4873.7099999999991"/>
    <n v="4873.7099999999991"/>
    <n v="4873.7099999999991"/>
    <m/>
    <m/>
    <e v="#N/A"/>
    <e v="#N/A"/>
    <e v="#N/A"/>
    <m/>
    <m/>
    <n v="0"/>
    <n v="4873.7099999999991"/>
    <s v=""/>
    <m/>
    <m/>
    <m/>
    <m/>
    <m/>
    <m/>
    <m/>
    <m/>
    <m/>
    <m/>
    <m/>
    <n v="4873.7099999999991"/>
    <m/>
    <m/>
    <m/>
    <m/>
    <m/>
    <m/>
    <m/>
    <n v="4873.7099999999991"/>
    <m/>
    <n v="0"/>
    <n v="0"/>
    <m/>
    <n v="4873.7099999999991"/>
    <n v="0"/>
    <m/>
  </r>
  <r>
    <x v="0"/>
    <n v="1"/>
    <n v="4000"/>
    <n v="4000"/>
    <n v="43012"/>
    <s v="No"/>
    <s v="Y"/>
    <m/>
    <x v="1"/>
    <m/>
    <n v="385476"/>
    <x v="36"/>
    <s v="Joshua"/>
    <s v="Wylde"/>
    <x v="454"/>
    <d v="2010-01-15T00:00:00"/>
    <n v="13.60164271047228"/>
    <n v="8"/>
    <n v="872"/>
    <n v="872"/>
    <d v="2023-05-25T00:00:00"/>
    <n v="28"/>
    <d v="2024-03-31T00:00:00"/>
    <n v="192"/>
    <n v="165"/>
    <n v="0.859375"/>
    <s v="open"/>
    <n v="24"/>
    <m/>
    <m/>
    <x v="1"/>
    <x v="1"/>
    <x v="0"/>
    <s v="NO"/>
    <s v="NO"/>
    <s v="NO"/>
    <s v="NO"/>
    <m/>
    <n v="5346.48"/>
    <s v="SEMH"/>
    <n v="1"/>
    <n v="0.859375"/>
    <n v="4594.6312499999995"/>
    <n v="4594.6312499999995"/>
    <n v="4594.6312499999995"/>
    <n v="0"/>
    <n v="0"/>
    <m/>
    <m/>
    <e v="#N/A"/>
    <e v="#N/A"/>
    <e v="#N/A"/>
    <m/>
    <m/>
    <n v="4594.6312499999995"/>
    <n v="4594.6312499999995"/>
    <s v=""/>
    <m/>
    <m/>
    <m/>
    <m/>
    <m/>
    <m/>
    <m/>
    <m/>
    <m/>
    <m/>
    <m/>
    <n v="4594.6312499999995"/>
    <m/>
    <m/>
    <m/>
    <m/>
    <m/>
    <m/>
    <m/>
    <n v="4594.6312499999995"/>
    <m/>
    <n v="0"/>
    <n v="4594.6312499999995"/>
    <m/>
    <n v="4594.6312499999995"/>
    <n v="0"/>
    <m/>
  </r>
  <r>
    <x v="0"/>
    <n v="1"/>
    <n v="4000"/>
    <n v="4000"/>
    <n v="43012"/>
    <s v="No"/>
    <s v="Y"/>
    <m/>
    <x v="1"/>
    <m/>
    <n v="390741"/>
    <x v="36"/>
    <s v="Kyana"/>
    <s v="Roach"/>
    <x v="455"/>
    <d v="2010-04-25T00:00:00"/>
    <n v="13.32785763175907"/>
    <n v="8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SEMH"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0"/>
    <n v="1"/>
    <n v="4000"/>
    <n v="4000"/>
    <n v="43012"/>
    <s v="No"/>
    <s v="Y"/>
    <m/>
    <x v="1"/>
    <m/>
    <n v="440768"/>
    <x v="36"/>
    <s v="Maria"/>
    <s v="Koscheck"/>
    <x v="456"/>
    <d v="2011-07-14T00:00:00"/>
    <n v="12.109514031485284"/>
    <n v="7"/>
    <n v="872"/>
    <n v="872"/>
    <d v="2023-05-02T00:00:00"/>
    <n v="11"/>
    <d v="2024-03-31T00:00:00"/>
    <n v="192"/>
    <n v="182"/>
    <n v="0.94791666666666663"/>
    <s v="open"/>
    <n v="23"/>
    <m/>
    <m/>
    <x v="1"/>
    <x v="1"/>
    <x v="0"/>
    <s v="NO"/>
    <s v="NO"/>
    <s v="NO"/>
    <s v="NO"/>
    <m/>
    <n v="4873.7099999999991"/>
    <s v="SEMH"/>
    <n v="1"/>
    <n v="0.94791666666666663"/>
    <n v="4619.8709374999989"/>
    <n v="4619.8709374999989"/>
    <n v="4619.8709374999989"/>
    <n v="0"/>
    <n v="4619.8709374999989"/>
    <m/>
    <m/>
    <e v="#N/A"/>
    <e v="#N/A"/>
    <e v="#N/A"/>
    <m/>
    <m/>
    <n v="0"/>
    <n v="4619.8709374999989"/>
    <s v=""/>
    <m/>
    <m/>
    <m/>
    <m/>
    <m/>
    <m/>
    <m/>
    <m/>
    <m/>
    <m/>
    <m/>
    <n v="4619.8709374999989"/>
    <m/>
    <m/>
    <m/>
    <m/>
    <m/>
    <m/>
    <m/>
    <n v="4619.8709374999989"/>
    <m/>
    <n v="0"/>
    <n v="4619.8709374999989"/>
    <m/>
    <n v="4619.8709374999989"/>
    <n v="0"/>
    <m/>
  </r>
  <r>
    <x v="0"/>
    <n v="1"/>
    <n v="4000"/>
    <n v="4000"/>
    <n v="43012"/>
    <s v="No"/>
    <s v="Y"/>
    <m/>
    <x v="1"/>
    <m/>
    <n v="395065"/>
    <x v="36"/>
    <s v="Olivia"/>
    <s v="Burke"/>
    <x v="457"/>
    <d v="2011-03-24T00:00:00"/>
    <n v="12.41615331964408"/>
    <n v="7"/>
    <n v="872"/>
    <n v="872"/>
    <d v="2023-04-01T00:00:00"/>
    <n v="1"/>
    <d v="2024-03-31T00:00:00"/>
    <n v="192"/>
    <n v="192"/>
    <n v="1"/>
    <s v="open"/>
    <n v="20010"/>
    <m/>
    <m/>
    <x v="0"/>
    <x v="1"/>
    <x v="1"/>
    <s v="NO"/>
    <s v="NO"/>
    <s v="NO"/>
    <s v="NO"/>
    <m/>
    <n v="20010"/>
    <s v="SLD"/>
    <n v="1"/>
    <n v="1"/>
    <n v="20010"/>
    <n v="20010"/>
    <n v="20010"/>
    <n v="20010"/>
    <n v="20010"/>
    <m/>
    <m/>
    <e v="#N/A"/>
    <e v="#N/A"/>
    <e v="#N/A"/>
    <m/>
    <m/>
    <n v="0"/>
    <n v="20010"/>
    <s v=""/>
    <m/>
    <m/>
    <m/>
    <m/>
    <m/>
    <m/>
    <m/>
    <m/>
    <m/>
    <m/>
    <m/>
    <n v="20010"/>
    <m/>
    <m/>
    <m/>
    <m/>
    <m/>
    <m/>
    <m/>
    <n v="20010"/>
    <m/>
    <n v="0"/>
    <n v="0"/>
    <m/>
    <n v="20010"/>
    <n v="0"/>
    <m/>
  </r>
  <r>
    <x v="0"/>
    <n v="1"/>
    <n v="4000"/>
    <n v="4000"/>
    <n v="43012"/>
    <s v="No"/>
    <s v="Y"/>
    <m/>
    <x v="1"/>
    <m/>
    <n v="367891"/>
    <x v="36"/>
    <s v="Rhys"/>
    <s v="Baker"/>
    <x v="458"/>
    <d v="2006-12-31T00:00:00"/>
    <n v="16.643394934976044"/>
    <n v="11"/>
    <n v="872"/>
    <n v="872"/>
    <d v="2023-04-01T00:00:00"/>
    <n v="1"/>
    <d v="2023-07-21T00:00:00"/>
    <n v="63"/>
    <n v="63"/>
    <n v="0.328125"/>
    <s v="Yr 11"/>
    <n v="25"/>
    <m/>
    <m/>
    <x v="1"/>
    <x v="1"/>
    <x v="0"/>
    <s v="NO"/>
    <s v="NO"/>
    <s v="NO"/>
    <s v="NO"/>
    <m/>
    <n v="5819.25"/>
    <s v="ASD"/>
    <n v="1"/>
    <n v="0.328125"/>
    <n v="1909.44140625"/>
    <n v="1909.44140625"/>
    <n v="1909.44140625"/>
    <n v="1909.44140625"/>
    <n v="1909.44140625"/>
    <m/>
    <m/>
    <e v="#N/A"/>
    <e v="#N/A"/>
    <s v="BCA"/>
    <s v="Y"/>
    <n v="3879.5"/>
    <n v="0"/>
    <n v="1909.44140625"/>
    <s v="BCA"/>
    <s v="COLL"/>
    <m/>
    <m/>
    <m/>
    <s v="BCA"/>
    <m/>
    <m/>
    <m/>
    <m/>
    <s v="Y"/>
    <m/>
    <n v="1909.44140625"/>
    <s v="COLL"/>
    <m/>
    <m/>
    <m/>
    <m/>
    <m/>
    <m/>
    <n v="1909.44140625"/>
    <m/>
    <n v="0"/>
    <n v="0"/>
    <m/>
    <n v="1909.44140625"/>
    <n v="0"/>
    <m/>
  </r>
  <r>
    <x v="0"/>
    <n v="1"/>
    <n v="4000"/>
    <n v="4000"/>
    <n v="43012"/>
    <s v="No"/>
    <s v="Y"/>
    <m/>
    <x v="1"/>
    <m/>
    <n v="383234"/>
    <x v="36"/>
    <s v="Riley-Lukas"/>
    <s v="Holmes"/>
    <x v="459"/>
    <d v="2009-04-08T00:00:00"/>
    <n v="14.373716632443532"/>
    <n v="9"/>
    <n v="872"/>
    <n v="872"/>
    <d v="2023-04-01T00:00:00"/>
    <n v="1"/>
    <d v="2024-03-31T00:00:00"/>
    <n v="192"/>
    <n v="192"/>
    <n v="1"/>
    <s v="open"/>
    <n v="22"/>
    <m/>
    <m/>
    <x v="1"/>
    <x v="1"/>
    <x v="0"/>
    <s v="NO"/>
    <s v="NO"/>
    <s v="NO"/>
    <s v="NO"/>
    <m/>
    <n v="4400.9399999999987"/>
    <s v="SEMH"/>
    <n v="1"/>
    <n v="1"/>
    <n v="4400.9399999999987"/>
    <n v="4400.9399999999987"/>
    <n v="4400.9399999999987"/>
    <n v="4400.9399999999987"/>
    <n v="4400.9399999999987"/>
    <m/>
    <m/>
    <e v="#N/A"/>
    <e v="#N/A"/>
    <e v="#N/A"/>
    <m/>
    <m/>
    <n v="0"/>
    <n v="4400.9399999999987"/>
    <s v=""/>
    <m/>
    <m/>
    <m/>
    <m/>
    <m/>
    <m/>
    <m/>
    <m/>
    <m/>
    <m/>
    <m/>
    <n v="4400.9399999999987"/>
    <m/>
    <m/>
    <m/>
    <m/>
    <m/>
    <m/>
    <m/>
    <n v="4400.9399999999987"/>
    <m/>
    <n v="0"/>
    <n v="0"/>
    <m/>
    <n v="4400.9399999999987"/>
    <n v="0"/>
    <m/>
  </r>
  <r>
    <x v="0"/>
    <n v="1"/>
    <n v="41126"/>
    <n v="41126"/>
    <n v="43012"/>
    <s v="Yes"/>
    <s v="Y"/>
    <m/>
    <x v="0"/>
    <m/>
    <n v="435232"/>
    <x v="37"/>
    <s v="Charlie"/>
    <s v="Harris"/>
    <x v="460"/>
    <d v="2017-04-03T00:00:00"/>
    <n v="6.3874058863791925"/>
    <n v="1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SLCD"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1"/>
    <n v="1"/>
    <n v="41126"/>
    <n v="41126"/>
    <n v="43012"/>
    <s v="Yes"/>
    <s v="Y"/>
    <m/>
    <x v="0"/>
    <s v="AD"/>
    <n v="435232"/>
    <x v="37"/>
    <s v="Charlie"/>
    <s v="Harris"/>
    <x v="460"/>
    <d v="2017-04-03T00:00:00"/>
    <n v="6.3874058863791925"/>
    <n v="1"/>
    <n v="872"/>
    <n v="872"/>
    <d v="2023-06-05T00:00:00"/>
    <n v="30"/>
    <d v="2024-03-31T00:00:00"/>
    <n v="192"/>
    <n v="163"/>
    <n v="0.84895833333333337"/>
    <s v="open"/>
    <n v="6036.9"/>
    <m/>
    <m/>
    <x v="0"/>
    <x v="1"/>
    <x v="1"/>
    <s v="NO"/>
    <s v="NO"/>
    <s v="NO"/>
    <s v="NO"/>
    <m/>
    <n v="6036.9"/>
    <s v="SLCD"/>
    <n v="1"/>
    <n v="0.84895833333333337"/>
    <n v="5125.0765625000004"/>
    <n v="5125.0765625000004"/>
    <n v="5125.0765625000004"/>
    <n v="0"/>
    <n v="0"/>
    <m/>
    <m/>
    <e v="#N/A"/>
    <e v="#N/A"/>
    <e v="#N/A"/>
    <m/>
    <m/>
    <n v="5125.0765625000004"/>
    <n v="5125.0765625000004"/>
    <s v=""/>
    <m/>
    <m/>
    <m/>
    <m/>
    <m/>
    <m/>
    <m/>
    <m/>
    <m/>
    <m/>
    <m/>
    <n v="5125.0765625000004"/>
    <m/>
    <m/>
    <m/>
    <m/>
    <m/>
    <m/>
    <m/>
    <n v="5125.0765625000004"/>
    <m/>
    <n v="0"/>
    <n v="5125.0765625000004"/>
    <m/>
    <n v="5125.0765625000004"/>
    <n v="0"/>
    <m/>
  </r>
  <r>
    <x v="0"/>
    <n v="1"/>
    <n v="41126"/>
    <n v="41126"/>
    <n v="43012"/>
    <s v="Yes"/>
    <s v="Y"/>
    <m/>
    <x v="0"/>
    <m/>
    <n v="435233"/>
    <x v="37"/>
    <s v="Finley"/>
    <s v="Harris"/>
    <x v="461"/>
    <d v="2017-04-03T00:00:00"/>
    <n v="6.3874058863791925"/>
    <n v="1"/>
    <n v="872"/>
    <n v="872"/>
    <d v="2023-06-16T00:00:00"/>
    <n v="38"/>
    <d v="2024-03-31T00:00:00"/>
    <n v="192"/>
    <n v="155"/>
    <n v="0.80729166666666663"/>
    <s v="open"/>
    <n v="24"/>
    <m/>
    <m/>
    <x v="1"/>
    <x v="1"/>
    <x v="0"/>
    <s v="NO"/>
    <s v="NO"/>
    <s v="NO"/>
    <s v="NO"/>
    <m/>
    <n v="5346.48"/>
    <s v="ASD"/>
    <n v="1"/>
    <n v="0.80729166666666663"/>
    <n v="4316.1687499999998"/>
    <n v="4316.1687499999998"/>
    <n v="0"/>
    <n v="0"/>
    <n v="0"/>
    <m/>
    <m/>
    <e v="#N/A"/>
    <e v="#N/A"/>
    <e v="#N/A"/>
    <m/>
    <m/>
    <n v="0"/>
    <n v="0"/>
    <m/>
    <m/>
    <m/>
    <m/>
    <m/>
    <m/>
    <m/>
    <m/>
    <m/>
    <m/>
    <m/>
    <m/>
    <n v="0"/>
    <m/>
    <m/>
    <m/>
    <m/>
    <m/>
    <m/>
    <m/>
    <n v="4316.1687499999998"/>
    <s v="new provision"/>
    <n v="4316.1687499999998"/>
    <n v="4316.1687499999998"/>
    <m/>
    <n v="4316.1687499999998"/>
    <n v="0"/>
    <m/>
  </r>
  <r>
    <x v="0"/>
    <n v="1"/>
    <n v="41127"/>
    <n v="41127"/>
    <n v="43012"/>
    <s v="No"/>
    <s v="Y"/>
    <m/>
    <x v="0"/>
    <m/>
    <n v="403293"/>
    <x v="38"/>
    <s v="Alfie"/>
    <s v="Gooch"/>
    <x v="462"/>
    <d v="2011-11-25T00:00:00"/>
    <n v="11.742642026009582"/>
    <n v="6"/>
    <s v="872"/>
    <s v="872"/>
    <d v="2023-04-01T00:00:00"/>
    <n v="1"/>
    <d v="2023-07-21T00:00:00"/>
    <n v="63"/>
    <n v="63"/>
    <n v="0.328125"/>
    <s v="Yr 6"/>
    <n v="25"/>
    <m/>
    <m/>
    <x v="1"/>
    <x v="1"/>
    <x v="0"/>
    <s v="NO"/>
    <s v="NO"/>
    <s v="NO"/>
    <s v="NO"/>
    <m/>
    <n v="5819.25"/>
    <s v="MLD"/>
    <n v="1"/>
    <n v="0.328125"/>
    <n v="1909.44140625"/>
    <n v="1909.44140625"/>
    <n v="1909.44140625"/>
    <n v="1909.44140625"/>
    <n v="1909.44140625"/>
    <m/>
    <m/>
    <e v="#N/A"/>
    <s v="Edgebarrow"/>
    <e v="#N/A"/>
    <m/>
    <m/>
    <n v="0"/>
    <n v="1909.44140625"/>
    <s v="???"/>
    <m/>
    <m/>
    <m/>
    <m/>
    <m/>
    <n v="25"/>
    <n v="5819.25"/>
    <m/>
    <m/>
    <m/>
    <n v="3849.19140625"/>
    <n v="5758.6328125"/>
    <m/>
    <m/>
    <s v="?"/>
    <s v="?"/>
    <m/>
    <m/>
    <m/>
    <n v="5758.6328125"/>
    <m/>
    <n v="0"/>
    <n v="3849.19140625"/>
    <m/>
    <n v="5758.6328125"/>
    <n v="0"/>
    <m/>
  </r>
  <r>
    <x v="0"/>
    <n v="1"/>
    <n v="41127"/>
    <n v="41127"/>
    <n v="43012"/>
    <s v="No"/>
    <s v="Y"/>
    <m/>
    <x v="0"/>
    <m/>
    <n v="409622"/>
    <x v="38"/>
    <s v="Harry"/>
    <s v="Gibson"/>
    <x v="463"/>
    <d v="2013-08-30T00:00:00"/>
    <n v="9.979466119096509"/>
    <n v="5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SLCD"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0"/>
    <n v="1"/>
    <n v="41127"/>
    <n v="41127"/>
    <n v="43012"/>
    <s v="No"/>
    <s v="Y"/>
    <m/>
    <x v="0"/>
    <m/>
    <n v="413170"/>
    <x v="38"/>
    <s v="Jasper"/>
    <s v="Wright"/>
    <x v="464"/>
    <d v="2014-03-22T00:00:00"/>
    <n v="9.4209445585215601"/>
    <n v="4"/>
    <n v="872"/>
    <n v="872"/>
    <d v="2023-04-01T00:00:00"/>
    <n v="1"/>
    <d v="2024-03-31T00:00:00"/>
    <n v="192"/>
    <n v="192"/>
    <n v="1"/>
    <s v="open"/>
    <n v="2658.8"/>
    <m/>
    <m/>
    <x v="0"/>
    <x v="1"/>
    <x v="1"/>
    <s v="NO"/>
    <s v="NO"/>
    <s v="NO"/>
    <s v="NO"/>
    <m/>
    <n v="2658.8"/>
    <s v="OD"/>
    <n v="1"/>
    <n v="1"/>
    <n v="2658.8"/>
    <n v="2658.8"/>
    <n v="2658.8"/>
    <n v="0"/>
    <n v="2658.8"/>
    <m/>
    <m/>
    <e v="#N/A"/>
    <e v="#N/A"/>
    <e v="#N/A"/>
    <m/>
    <m/>
    <n v="0"/>
    <n v="2658.8"/>
    <s v=""/>
    <m/>
    <m/>
    <m/>
    <m/>
    <m/>
    <m/>
    <m/>
    <m/>
    <m/>
    <m/>
    <m/>
    <n v="2658.8"/>
    <m/>
    <m/>
    <m/>
    <m/>
    <m/>
    <m/>
    <m/>
    <n v="2658.8"/>
    <m/>
    <n v="0"/>
    <n v="2658.8"/>
    <m/>
    <n v="2658.8"/>
    <n v="0"/>
    <m/>
  </r>
  <r>
    <x v="0"/>
    <n v="1"/>
    <n v="41127"/>
    <n v="41127"/>
    <n v="43012"/>
    <s v="No"/>
    <s v="Y"/>
    <m/>
    <x v="0"/>
    <m/>
    <n v="414755"/>
    <x v="38"/>
    <s v="Lewis"/>
    <s v="Platt"/>
    <x v="465"/>
    <d v="2013-07-21T00:00:00"/>
    <n v="10.088980150581794"/>
    <n v="5"/>
    <n v="872"/>
    <n v="872"/>
    <d v="2023-04-01T00:00:00"/>
    <n v="1"/>
    <d v="2024-03-31T00:00:00"/>
    <n v="192"/>
    <n v="192"/>
    <n v="1"/>
    <s v="open"/>
    <n v="27"/>
    <m/>
    <m/>
    <x v="0"/>
    <x v="0"/>
    <x v="0"/>
    <s v="NO"/>
    <s v="NO"/>
    <s v="NO"/>
    <s v="NO"/>
    <m/>
    <n v="6764.7899999999991"/>
    <m/>
    <n v="1"/>
    <n v="1"/>
    <n v="6764.7899999999991"/>
    <n v="6764.7899999999991"/>
    <n v="0"/>
    <n v="0"/>
    <n v="0"/>
    <m/>
    <m/>
    <e v="#N/A"/>
    <e v="#N/A"/>
    <e v="#N/A"/>
    <m/>
    <m/>
    <n v="0"/>
    <n v="0"/>
    <m/>
    <m/>
    <m/>
    <m/>
    <m/>
    <m/>
    <m/>
    <m/>
    <m/>
    <m/>
    <m/>
    <m/>
    <n v="0"/>
    <m/>
    <m/>
    <m/>
    <m/>
    <m/>
    <m/>
    <m/>
    <n v="6764.7899999999991"/>
    <s v="new provision"/>
    <n v="6764.7899999999991"/>
    <n v="6764.7899999999991"/>
    <m/>
    <n v="6764.7899999999991"/>
    <n v="0"/>
    <m/>
  </r>
  <r>
    <x v="0"/>
    <n v="1"/>
    <n v="41127"/>
    <n v="41127"/>
    <n v="43012"/>
    <s v="No"/>
    <s v="Y"/>
    <m/>
    <x v="0"/>
    <m/>
    <n v="419798"/>
    <x v="38"/>
    <s v="Theo"/>
    <s v="Harris"/>
    <x v="466"/>
    <d v="2015-02-01T00:00:00"/>
    <n v="8.555783709787816"/>
    <n v="3"/>
    <n v="872"/>
    <n v="872"/>
    <d v="2023-04-01T00:00:00"/>
    <n v="1"/>
    <d v="2024-03-31T00:00:00"/>
    <n v="192"/>
    <n v="192"/>
    <n v="1"/>
    <s v="open"/>
    <n v="2818.5"/>
    <m/>
    <m/>
    <x v="0"/>
    <x v="1"/>
    <x v="1"/>
    <s v="NO"/>
    <s v="NO"/>
    <s v="NO"/>
    <s v="NO"/>
    <m/>
    <n v="2818.5"/>
    <s v="SLD"/>
    <n v="1"/>
    <n v="1"/>
    <n v="2818.5"/>
    <n v="2818.5"/>
    <n v="2818.5"/>
    <n v="2818.5"/>
    <n v="2818.5"/>
    <m/>
    <m/>
    <e v="#N/A"/>
    <e v="#N/A"/>
    <e v="#N/A"/>
    <m/>
    <m/>
    <n v="0"/>
    <n v="2818.5"/>
    <s v=""/>
    <m/>
    <m/>
    <m/>
    <m/>
    <m/>
    <m/>
    <m/>
    <m/>
    <m/>
    <m/>
    <m/>
    <n v="2818.5"/>
    <m/>
    <m/>
    <m/>
    <m/>
    <m/>
    <m/>
    <m/>
    <n v="2818.5"/>
    <m/>
    <n v="0"/>
    <n v="0"/>
    <m/>
    <n v="2818.5"/>
    <n v="0"/>
    <m/>
  </r>
  <r>
    <x v="0"/>
    <n v="1"/>
    <n v="41206"/>
    <n v="41206"/>
    <n v="43012"/>
    <s v="No"/>
    <s v="Y"/>
    <m/>
    <x v="1"/>
    <m/>
    <n v="425838"/>
    <x v="39"/>
    <s v="Abdullah"/>
    <s v="Abbas"/>
    <x v="467"/>
    <d v="2009-11-04T00:00:00"/>
    <n v="13.798767967145791"/>
    <n v="8"/>
    <n v="872"/>
    <n v="872"/>
    <d v="2023-04-01T00:00:00"/>
    <n v="1"/>
    <d v="2024-03-31T00:00:00"/>
    <n v="192"/>
    <n v="192"/>
    <n v="1"/>
    <s v="open"/>
    <n v="41"/>
    <m/>
    <m/>
    <x v="0"/>
    <x v="1"/>
    <x v="1"/>
    <s v="NO"/>
    <s v="NO"/>
    <s v="NO"/>
    <s v="NO"/>
    <m/>
    <n v="13383.57"/>
    <s v="SEMH"/>
    <n v="1"/>
    <n v="1"/>
    <n v="13383.57"/>
    <n v="13383.57"/>
    <n v="13383.57"/>
    <n v="13383.57"/>
    <n v="13383.57"/>
    <m/>
    <m/>
    <e v="#N/A"/>
    <e v="#N/A"/>
    <e v="#N/A"/>
    <m/>
    <m/>
    <n v="0"/>
    <n v="13383.57"/>
    <s v=""/>
    <m/>
    <m/>
    <m/>
    <m/>
    <m/>
    <m/>
    <m/>
    <m/>
    <m/>
    <m/>
    <m/>
    <n v="13383.57"/>
    <m/>
    <m/>
    <m/>
    <m/>
    <m/>
    <m/>
    <m/>
    <n v="13383.57"/>
    <m/>
    <n v="0"/>
    <n v="0"/>
    <m/>
    <n v="13383.57"/>
    <n v="0"/>
    <m/>
  </r>
  <r>
    <x v="0"/>
    <n v="1"/>
    <n v="41206"/>
    <n v="41206"/>
    <n v="43012"/>
    <s v="No"/>
    <s v="Y"/>
    <m/>
    <x v="1"/>
    <m/>
    <n v="387850"/>
    <x v="39"/>
    <s v="Alfie"/>
    <s v="Cooper"/>
    <x v="468"/>
    <d v="2010-03-12T00:00:00"/>
    <n v="13.448323066392881"/>
    <n v="8"/>
    <n v="872"/>
    <n v="872"/>
    <d v="2023-04-04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SLD"/>
    <n v="1"/>
    <n v="1"/>
    <n v="5819.25"/>
    <n v="5819.25"/>
    <n v="5819.25"/>
    <n v="0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5819.25"/>
    <m/>
    <n v="5819.25"/>
    <n v="0"/>
    <m/>
  </r>
  <r>
    <x v="1"/>
    <n v="1"/>
    <n v="41206"/>
    <n v="41206"/>
    <n v="43012"/>
    <s v="No"/>
    <s v="Y"/>
    <m/>
    <x v="1"/>
    <m/>
    <n v="434563"/>
    <x v="39"/>
    <s v="Amelie"/>
    <s v="Hickman"/>
    <x v="469"/>
    <d v="2017-04-15T00:00:00"/>
    <n v="6.3545516769336068"/>
    <n v="1"/>
    <n v="872"/>
    <n v="872"/>
    <d v="2023-04-01T00:00:00"/>
    <n v="1"/>
    <d v="2023-07-21T00:00:00"/>
    <n v="63"/>
    <n v="63"/>
    <n v="0.328125"/>
    <s v="open"/>
    <n v="30"/>
    <m/>
    <m/>
    <x v="0"/>
    <x v="0"/>
    <x v="0"/>
    <s v="NO"/>
    <s v="NO"/>
    <s v="NO"/>
    <s v="NO"/>
    <m/>
    <n v="8183.0999999999985"/>
    <s v="ASD"/>
    <n v="1"/>
    <n v="0.328125"/>
    <n v="2685.0796874999996"/>
    <n v="2685.0796874999996"/>
    <n v="2685.0796874999996"/>
    <n v="8183.0999999999985"/>
    <n v="0"/>
    <m/>
    <m/>
    <e v="#N/A"/>
    <e v="#N/A"/>
    <e v="#N/A"/>
    <m/>
    <m/>
    <n v="2685.0796874999996"/>
    <n v="2685.0796874999996"/>
    <s v="The Propller Acad Trust(Bishopswood)"/>
    <s v="OOBS Spec"/>
    <n v="43009"/>
    <m/>
    <m/>
    <m/>
    <m/>
    <m/>
    <m/>
    <m/>
    <m/>
    <m/>
    <n v="2685.0796874999996"/>
    <m/>
    <m/>
    <m/>
    <m/>
    <m/>
    <m/>
    <m/>
    <n v="2685.0796874999996"/>
    <m/>
    <n v="0"/>
    <n v="-5498.0203124999989"/>
    <m/>
    <n v="2685.0796874999996"/>
    <n v="0"/>
    <m/>
  </r>
  <r>
    <x v="1"/>
    <n v="1"/>
    <n v="41206"/>
    <n v="41206"/>
    <n v="43012"/>
    <s v="No"/>
    <s v="Y"/>
    <m/>
    <x v="1"/>
    <s v="AD"/>
    <n v="434563"/>
    <x v="39"/>
    <s v="Amelie"/>
    <s v="Hickman"/>
    <x v="469"/>
    <d v="2017-04-15T00:00:00"/>
    <n v="6.3545516769336068"/>
    <n v="1"/>
    <n v="872"/>
    <n v="872"/>
    <d v="2023-04-01T00:00:00"/>
    <n v="1"/>
    <d v="2023-07-21T00:00:00"/>
    <n v="63"/>
    <n v="63"/>
    <n v="1"/>
    <d v="2023-07-21T00:00:00"/>
    <n v="15658.75"/>
    <m/>
    <m/>
    <x v="0"/>
    <x v="1"/>
    <x v="1"/>
    <s v="NO"/>
    <s v="NO"/>
    <s v="NO"/>
    <s v="NO"/>
    <m/>
    <n v="15658.75"/>
    <s v="ASD"/>
    <n v="1"/>
    <n v="1"/>
    <n v="15658.75"/>
    <n v="15658.75"/>
    <n v="15658.75"/>
    <n v="0"/>
    <n v="15658.75"/>
    <m/>
    <m/>
    <e v="#N/A"/>
    <e v="#N/A"/>
    <e v="#N/A"/>
    <m/>
    <m/>
    <n v="0"/>
    <n v="15658.75"/>
    <m/>
    <m/>
    <m/>
    <m/>
    <m/>
    <m/>
    <m/>
    <m/>
    <m/>
    <m/>
    <m/>
    <n v="0"/>
    <n v="15658.75"/>
    <m/>
    <m/>
    <m/>
    <m/>
    <m/>
    <m/>
    <m/>
    <n v="15658.75"/>
    <m/>
    <n v="0"/>
    <n v="15658.75"/>
    <m/>
    <n v="15658.75"/>
    <n v="0"/>
    <m/>
  </r>
  <r>
    <x v="0"/>
    <n v="1"/>
    <n v="41206"/>
    <n v="41206"/>
    <n v="43012"/>
    <s v="No"/>
    <s v="Y"/>
    <m/>
    <x v="1"/>
    <m/>
    <n v="384105"/>
    <x v="39"/>
    <s v="Benjamin"/>
    <s v="Kimuli"/>
    <x v="470"/>
    <d v="2009-08-11T00:00:00"/>
    <n v="14.031485284052019"/>
    <n v="9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PD"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0"/>
    <n v="1"/>
    <n v="41206"/>
    <n v="41206"/>
    <n v="43012"/>
    <s v="No"/>
    <s v="Y"/>
    <m/>
    <x v="2"/>
    <m/>
    <n v="365904"/>
    <x v="39"/>
    <s v="Bethan"/>
    <s v="Coller"/>
    <x v="471"/>
    <d v="2006-06-19T00:00:00"/>
    <n v="17.177275838466805"/>
    <n v="12"/>
    <n v="872"/>
    <n v="872"/>
    <d v="2023-04-01T00:00:00"/>
    <n v="1"/>
    <d v="2023-07-21T00:00:00"/>
    <n v="63"/>
    <n v="63"/>
    <n v="0.328125"/>
    <s v="16+"/>
    <n v="35"/>
    <m/>
    <m/>
    <x v="0"/>
    <x v="1"/>
    <x v="1"/>
    <s v="NO"/>
    <s v="NO"/>
    <s v="NO"/>
    <s v="NO"/>
    <m/>
    <n v="10546.95"/>
    <s v="PD"/>
    <n v="1"/>
    <n v="0.328125"/>
    <n v="3460.7179687500002"/>
    <n v="3460.7179687500002"/>
    <n v="3460.7179687500002"/>
    <n v="3460.7179687500002"/>
    <n v="3460.7179687500002"/>
    <m/>
    <m/>
    <e v="#N/A"/>
    <e v="#N/A"/>
    <e v="#N/A"/>
    <m/>
    <m/>
    <n v="0"/>
    <n v="3460.7179687500002"/>
    <s v="???"/>
    <m/>
    <m/>
    <m/>
    <m/>
    <m/>
    <n v="35"/>
    <n v="10546.95"/>
    <m/>
    <m/>
    <m/>
    <n v="6976.3679687499998"/>
    <n v="10437.0859375"/>
    <m/>
    <m/>
    <m/>
    <m/>
    <m/>
    <m/>
    <m/>
    <n v="10437.0859375"/>
    <m/>
    <n v="0"/>
    <n v="6976.3679687499998"/>
    <m/>
    <n v="10437.0859375"/>
    <n v="0"/>
    <m/>
  </r>
  <r>
    <x v="0"/>
    <n v="1"/>
    <n v="41206"/>
    <n v="41206"/>
    <n v="43012"/>
    <s v="No"/>
    <s v="Y"/>
    <m/>
    <x v="1"/>
    <m/>
    <n v="368868"/>
    <x v="39"/>
    <s v="Charles"/>
    <s v="Hookway"/>
    <x v="472"/>
    <d v="2007-01-25T00:00:00"/>
    <n v="16.57494866529774"/>
    <n v="11"/>
    <n v="872"/>
    <n v="872"/>
    <d v="2023-04-01T00:00:00"/>
    <n v="1"/>
    <d v="2023-07-21T00:00:00"/>
    <n v="63"/>
    <n v="63"/>
    <n v="0.328125"/>
    <s v="Yr 11"/>
    <n v="25"/>
    <m/>
    <m/>
    <x v="1"/>
    <x v="1"/>
    <x v="0"/>
    <s v="NO"/>
    <s v="NO"/>
    <s v="NO"/>
    <s v="NO"/>
    <m/>
    <n v="5819.25"/>
    <s v="ASD"/>
    <n v="1"/>
    <n v="0.328125"/>
    <n v="1909.44140625"/>
    <n v="1909.44140625"/>
    <n v="1909.44140625"/>
    <n v="1909.44140625"/>
    <n v="1909.44140625"/>
    <m/>
    <m/>
    <e v="#N/A"/>
    <e v="#N/A"/>
    <s v="The Piggott schl"/>
    <m/>
    <m/>
    <n v="0"/>
    <n v="1909.44140625"/>
    <s v="The Piggott school"/>
    <s v="WBC Academy"/>
    <n v="43012"/>
    <m/>
    <m/>
    <s v="The Piggott school"/>
    <m/>
    <m/>
    <m/>
    <m/>
    <s v="Y"/>
    <m/>
    <n v="1909.44140625"/>
    <s v="COLL"/>
    <m/>
    <m/>
    <m/>
    <m/>
    <m/>
    <m/>
    <n v="1909.44140625"/>
    <m/>
    <n v="0"/>
    <n v="0"/>
    <m/>
    <n v="1909.44140625"/>
    <n v="0"/>
    <m/>
  </r>
  <r>
    <x v="0"/>
    <n v="1"/>
    <n v="41206"/>
    <n v="41206"/>
    <n v="43012"/>
    <s v="No"/>
    <s v="Y"/>
    <m/>
    <x v="1"/>
    <m/>
    <n v="390562"/>
    <x v="39"/>
    <s v="Charles"/>
    <s v="Shearsby"/>
    <x v="473"/>
    <d v="2011-04-23T00:00:00"/>
    <n v="12.334017796030116"/>
    <n v="7"/>
    <n v="872"/>
    <n v="872"/>
    <d v="2023-04-01T00:00:00"/>
    <n v="1"/>
    <d v="2024-03-31T00:00:00"/>
    <n v="192"/>
    <n v="192"/>
    <n v="1"/>
    <s v="open"/>
    <n v="28"/>
    <m/>
    <m/>
    <x v="0"/>
    <x v="0"/>
    <x v="0"/>
    <s v="NO"/>
    <s v="NO"/>
    <s v="NO"/>
    <s v="NO"/>
    <m/>
    <n v="7237.5599999999995"/>
    <s v="ASD"/>
    <n v="1"/>
    <n v="1"/>
    <n v="7237.5599999999995"/>
    <n v="7237.5599999999995"/>
    <n v="7237.5599999999995"/>
    <n v="7237.5599999999995"/>
    <n v="7237.5599999999995"/>
    <m/>
    <m/>
    <e v="#N/A"/>
    <e v="#N/A"/>
    <e v="#N/A"/>
    <m/>
    <m/>
    <n v="0"/>
    <n v="7237.5599999999995"/>
    <s v=""/>
    <m/>
    <m/>
    <m/>
    <m/>
    <m/>
    <m/>
    <m/>
    <m/>
    <m/>
    <m/>
    <m/>
    <n v="7237.5599999999995"/>
    <m/>
    <m/>
    <m/>
    <m/>
    <m/>
    <m/>
    <m/>
    <n v="7237.5599999999995"/>
    <m/>
    <n v="0"/>
    <n v="0"/>
    <m/>
    <n v="7237.5599999999995"/>
    <n v="0"/>
    <m/>
  </r>
  <r>
    <x v="0"/>
    <n v="1"/>
    <n v="41206"/>
    <n v="41206"/>
    <n v="43012"/>
    <s v="No"/>
    <s v="Y"/>
    <m/>
    <x v="1"/>
    <m/>
    <n v="377110"/>
    <x v="39"/>
    <s v="Clara"/>
    <s v="Steuart"/>
    <x v="474"/>
    <d v="2008-05-29T00:00:00"/>
    <n v="15.233401779603012"/>
    <n v="10"/>
    <n v="872"/>
    <n v="872"/>
    <d v="2023-04-01T00:00:00"/>
    <n v="1"/>
    <d v="2024-03-31T00:00:00"/>
    <n v="192"/>
    <n v="192"/>
    <n v="1"/>
    <s v="open"/>
    <n v="28"/>
    <m/>
    <m/>
    <x v="0"/>
    <x v="0"/>
    <x v="0"/>
    <s v="NO"/>
    <s v="NO"/>
    <s v="NO"/>
    <s v="NO"/>
    <m/>
    <n v="7237.5599999999995"/>
    <s v="MDI"/>
    <n v="1"/>
    <n v="1"/>
    <n v="7237.5599999999995"/>
    <n v="7237.5599999999995"/>
    <n v="7237.5599999999995"/>
    <n v="7237.5599999999995"/>
    <n v="7237.5599999999995"/>
    <m/>
    <m/>
    <e v="#N/A"/>
    <e v="#N/A"/>
    <e v="#N/A"/>
    <m/>
    <m/>
    <n v="0"/>
    <n v="7237.5599999999995"/>
    <s v=""/>
    <m/>
    <m/>
    <m/>
    <m/>
    <m/>
    <m/>
    <m/>
    <m/>
    <m/>
    <m/>
    <m/>
    <n v="7237.5599999999995"/>
    <m/>
    <m/>
    <m/>
    <m/>
    <m/>
    <m/>
    <m/>
    <n v="7237.5599999999995"/>
    <m/>
    <n v="0"/>
    <n v="0"/>
    <m/>
    <n v="7237.5599999999995"/>
    <n v="0"/>
    <m/>
  </r>
  <r>
    <x v="0"/>
    <n v="1"/>
    <n v="41206"/>
    <n v="41206"/>
    <n v="43012"/>
    <s v="No"/>
    <s v="Y"/>
    <m/>
    <x v="1"/>
    <m/>
    <n v="374748"/>
    <x v="39"/>
    <s v="Ewan"/>
    <s v="Meadowcroft"/>
    <x v="475"/>
    <d v="2008-02-21T00:00:00"/>
    <n v="15.501711156741958"/>
    <n v="10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ASD"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1"/>
    <n v="1"/>
    <n v="41206"/>
    <n v="41206"/>
    <n v="43012"/>
    <s v="No"/>
    <s v="Y"/>
    <m/>
    <x v="1"/>
    <s v="AD"/>
    <n v="374748"/>
    <x v="39"/>
    <s v="Ewan"/>
    <s v="Meadowcroft"/>
    <x v="475"/>
    <d v="2008-02-21T00:00:00"/>
    <n v="15.501711156741958"/>
    <n v="10"/>
    <n v="872"/>
    <n v="872"/>
    <d v="2023-04-01T00:00:00"/>
    <n v="1"/>
    <d v="2024-03-31T00:00:00"/>
    <n v="192"/>
    <n v="192"/>
    <n v="1"/>
    <s v="open"/>
    <n v="6810"/>
    <m/>
    <m/>
    <x v="0"/>
    <x v="1"/>
    <x v="1"/>
    <s v="NO"/>
    <s v="NO"/>
    <s v="NO"/>
    <s v="NO"/>
    <m/>
    <n v="6810"/>
    <s v="ASD"/>
    <n v="1"/>
    <n v="1"/>
    <n v="6810"/>
    <n v="6810"/>
    <n v="6810"/>
    <n v="6810"/>
    <n v="6810"/>
    <m/>
    <m/>
    <e v="#N/A"/>
    <e v="#N/A"/>
    <e v="#N/A"/>
    <m/>
    <m/>
    <n v="0"/>
    <n v="6810"/>
    <s v=""/>
    <m/>
    <m/>
    <m/>
    <m/>
    <m/>
    <m/>
    <m/>
    <m/>
    <m/>
    <m/>
    <m/>
    <n v="6810"/>
    <m/>
    <m/>
    <m/>
    <m/>
    <m/>
    <m/>
    <m/>
    <n v="6810"/>
    <m/>
    <n v="0"/>
    <n v="0"/>
    <m/>
    <n v="6810"/>
    <n v="0"/>
    <m/>
  </r>
  <r>
    <x v="0"/>
    <n v="1"/>
    <n v="41206"/>
    <n v="41206"/>
    <n v="43012"/>
    <s v="No"/>
    <s v="Y"/>
    <m/>
    <x v="1"/>
    <m/>
    <n v="416370"/>
    <x v="39"/>
    <s v="Grace"/>
    <s v="Wilkes"/>
    <x v="476"/>
    <d v="2014-11-09T00:00:00"/>
    <n v="8.7857631759069132"/>
    <n v="3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SLCD"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0"/>
    <n v="1"/>
    <n v="41206"/>
    <n v="41206"/>
    <n v="43012"/>
    <s v="No"/>
    <s v="Y"/>
    <m/>
    <x v="2"/>
    <m/>
    <n v="350700"/>
    <x v="39"/>
    <s v="Harrison"/>
    <s v="Gibson"/>
    <x v="477"/>
    <d v="2005-01-20T00:00:00"/>
    <n v="18.587268993839835"/>
    <n v="13"/>
    <n v="872"/>
    <n v="872"/>
    <d v="2023-04-01T00:00:00"/>
    <n v="1"/>
    <d v="2023-07-21T00:00:00"/>
    <n v="63"/>
    <n v="63"/>
    <n v="0.328125"/>
    <s v="16+"/>
    <n v="25"/>
    <m/>
    <m/>
    <x v="1"/>
    <x v="1"/>
    <x v="0"/>
    <s v="NO"/>
    <s v="NO"/>
    <s v="NO"/>
    <s v="NO"/>
    <m/>
    <n v="5819.25"/>
    <s v="ASD"/>
    <n v="1"/>
    <n v="0.328125"/>
    <n v="1909.44140625"/>
    <n v="1909.44140625"/>
    <n v="1909.44140625"/>
    <n v="1909.44140625"/>
    <n v="1909.44140625"/>
    <m/>
    <m/>
    <e v="#N/A"/>
    <e v="#N/A"/>
    <e v="#N/A"/>
    <m/>
    <m/>
    <n v="0"/>
    <n v="1909.44140625"/>
    <s v="???"/>
    <m/>
    <m/>
    <m/>
    <m/>
    <m/>
    <n v="25"/>
    <n v="5819.25"/>
    <m/>
    <m/>
    <m/>
    <n v="3849.19140625"/>
    <n v="5758.6328125"/>
    <m/>
    <m/>
    <m/>
    <m/>
    <m/>
    <m/>
    <m/>
    <n v="5758.6328125"/>
    <m/>
    <n v="0"/>
    <n v="3849.19140625"/>
    <m/>
    <n v="5758.6328125"/>
    <n v="0"/>
    <m/>
  </r>
  <r>
    <x v="0"/>
    <n v="1"/>
    <n v="41206"/>
    <n v="41206"/>
    <n v="43012"/>
    <s v="No"/>
    <s v="Y"/>
    <m/>
    <x v="1"/>
    <m/>
    <n v="416371"/>
    <x v="39"/>
    <s v="Hope"/>
    <s v="Wilkes"/>
    <x v="478"/>
    <d v="2014-11-09T00:00:00"/>
    <n v="8.7857631759069132"/>
    <n v="3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SLCD"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0"/>
    <n v="1"/>
    <n v="41206"/>
    <n v="41206"/>
    <n v="43012"/>
    <s v="No"/>
    <s v="Y"/>
    <m/>
    <x v="1"/>
    <m/>
    <n v="390326"/>
    <x v="39"/>
    <s v="Isabelle"/>
    <s v="McAndrew"/>
    <x v="479"/>
    <d v="2010-04-09T00:00:00"/>
    <n v="13.371663244353183"/>
    <n v="8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SPLD"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0"/>
    <n v="1"/>
    <n v="41206"/>
    <n v="41206"/>
    <n v="43012"/>
    <s v="No"/>
    <s v="Y"/>
    <m/>
    <x v="1"/>
    <m/>
    <n v="422700"/>
    <x v="39"/>
    <s v="Jack"/>
    <s v="Leather"/>
    <x v="480"/>
    <d v="2008-08-09T00:00:00"/>
    <n v="15.0362765229295"/>
    <n v="10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SEMH"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0"/>
    <n v="1"/>
    <n v="41206"/>
    <n v="41206"/>
    <n v="43012"/>
    <s v="No"/>
    <s v="Y"/>
    <m/>
    <x v="1"/>
    <m/>
    <n v="392651"/>
    <x v="39"/>
    <s v="Jake"/>
    <s v="Gauterin"/>
    <x v="481"/>
    <d v="2010-10-03T00:00:00"/>
    <n v="12.887063655030801"/>
    <n v="8"/>
    <n v="872"/>
    <n v="872"/>
    <d v="2023-04-01T00:00:00"/>
    <n v="1"/>
    <d v="2024-03-31T00:00:00"/>
    <n v="192"/>
    <n v="192"/>
    <n v="1"/>
    <s v="open"/>
    <n v="28"/>
    <m/>
    <m/>
    <x v="0"/>
    <x v="0"/>
    <x v="0"/>
    <s v="NO"/>
    <s v="NO"/>
    <s v="NO"/>
    <s v="NO"/>
    <m/>
    <n v="7237.5599999999995"/>
    <s v="ASD"/>
    <n v="1"/>
    <n v="1"/>
    <n v="7237.5599999999995"/>
    <n v="7237.5599999999995"/>
    <n v="0"/>
    <n v="0"/>
    <n v="0"/>
    <m/>
    <m/>
    <e v="#N/A"/>
    <e v="#N/A"/>
    <e v="#N/A"/>
    <m/>
    <m/>
    <n v="0"/>
    <n v="0"/>
    <m/>
    <m/>
    <m/>
    <m/>
    <m/>
    <m/>
    <m/>
    <m/>
    <m/>
    <m/>
    <m/>
    <m/>
    <n v="0"/>
    <m/>
    <m/>
    <m/>
    <m/>
    <m/>
    <m/>
    <m/>
    <n v="7237.5599999999995"/>
    <s v="new provision"/>
    <n v="7237.5599999999995"/>
    <n v="7237.5599999999995"/>
    <m/>
    <n v="7237.5599999999995"/>
    <n v="0"/>
    <m/>
  </r>
  <r>
    <x v="0"/>
    <n v="1"/>
    <n v="41206"/>
    <n v="41206"/>
    <n v="43012"/>
    <s v="No"/>
    <s v="Y"/>
    <m/>
    <x v="1"/>
    <m/>
    <n v="387534"/>
    <x v="39"/>
    <s v="Jasmine"/>
    <s v="Ford"/>
    <x v="482"/>
    <d v="2010-03-03T00:00:00"/>
    <n v="13.47296372347707"/>
    <n v="8"/>
    <n v="872"/>
    <n v="872"/>
    <d v="2023-04-01T00:00:00"/>
    <n v="1"/>
    <d v="2024-03-31T00:00:00"/>
    <n v="192"/>
    <n v="192"/>
    <n v="1"/>
    <s v="open"/>
    <n v="22"/>
    <m/>
    <m/>
    <x v="1"/>
    <x v="1"/>
    <x v="0"/>
    <s v="NO"/>
    <s v="NO"/>
    <s v="NO"/>
    <s v="NO"/>
    <m/>
    <n v="4400.9399999999987"/>
    <s v="MLD"/>
    <n v="1"/>
    <n v="1"/>
    <n v="4400.9399999999987"/>
    <n v="4400.9399999999987"/>
    <n v="4400.9399999999987"/>
    <n v="4400.9399999999987"/>
    <n v="4400.9399999999987"/>
    <m/>
    <m/>
    <e v="#N/A"/>
    <e v="#N/A"/>
    <e v="#N/A"/>
    <m/>
    <m/>
    <n v="0"/>
    <n v="4400.9399999999987"/>
    <s v=""/>
    <m/>
    <m/>
    <m/>
    <m/>
    <m/>
    <m/>
    <m/>
    <m/>
    <m/>
    <m/>
    <m/>
    <n v="4400.9399999999987"/>
    <m/>
    <m/>
    <m/>
    <m/>
    <m/>
    <m/>
    <m/>
    <n v="4400.9399999999987"/>
    <m/>
    <n v="0"/>
    <n v="0"/>
    <m/>
    <n v="4400.9399999999987"/>
    <n v="0"/>
    <m/>
  </r>
  <r>
    <x v="0"/>
    <n v="1"/>
    <n v="41206"/>
    <n v="41206"/>
    <n v="43012"/>
    <s v="No"/>
    <s v="Y"/>
    <m/>
    <x v="1"/>
    <m/>
    <n v="390021"/>
    <x v="39"/>
    <s v="Joe"/>
    <s v="Adams"/>
    <x v="483"/>
    <d v="2010-05-31T00:00:00"/>
    <n v="13.229295003422314"/>
    <n v="8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SEMH"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1"/>
    <n v="1"/>
    <n v="41206"/>
    <n v="41206"/>
    <n v="43012"/>
    <s v="No"/>
    <s v="Y"/>
    <m/>
    <x v="1"/>
    <m/>
    <n v="373783"/>
    <x v="39"/>
    <s v="Lexie"/>
    <s v="Donovan"/>
    <x v="484"/>
    <d v="2007-11-29T00:00:00"/>
    <n v="15.731690622861054"/>
    <n v="10"/>
    <n v="872"/>
    <n v="872"/>
    <d v="2023-09-04T00:00:00"/>
    <n v="66"/>
    <d v="2024-03-31T00:00:00"/>
    <n v="192"/>
    <n v="127"/>
    <n v="0.66145833333333337"/>
    <m/>
    <n v="25"/>
    <m/>
    <m/>
    <x v="1"/>
    <x v="1"/>
    <x v="0"/>
    <s v="NO"/>
    <s v="NO"/>
    <s v="NO"/>
    <s v="NO"/>
    <m/>
    <n v="5819.25"/>
    <m/>
    <n v="1"/>
    <n v="0.66145833333333337"/>
    <n v="3849.19140625"/>
    <n v="3849.19140625"/>
    <n v="3849.19140625"/>
    <n v="0"/>
    <n v="0"/>
    <m/>
    <m/>
    <m/>
    <m/>
    <m/>
    <m/>
    <m/>
    <n v="3849.19140625"/>
    <n v="3849.19140625"/>
    <s v=""/>
    <m/>
    <m/>
    <m/>
    <m/>
    <m/>
    <s v="summer leaver"/>
    <m/>
    <m/>
    <m/>
    <m/>
    <m/>
    <n v="3849.19140625"/>
    <m/>
    <m/>
    <m/>
    <m/>
    <m/>
    <m/>
    <m/>
    <n v="3849.19140625"/>
    <m/>
    <n v="0"/>
    <n v="3849.19140625"/>
    <m/>
    <n v="3849.19140625"/>
    <n v="0"/>
    <m/>
  </r>
  <r>
    <x v="0"/>
    <n v="1"/>
    <n v="41206"/>
    <n v="41206"/>
    <n v="43012"/>
    <s v="No"/>
    <s v="Y"/>
    <m/>
    <x v="1"/>
    <m/>
    <n v="396360"/>
    <x v="39"/>
    <s v="Matthew"/>
    <s v="Morris"/>
    <x v="485"/>
    <d v="2011-08-26T00:00:00"/>
    <n v="11.991786447638603"/>
    <n v="7"/>
    <n v="872"/>
    <n v="872"/>
    <d v="2023-04-01T00:00:00"/>
    <n v="1"/>
    <d v="2024-03-31T00:00:00"/>
    <n v="192"/>
    <n v="192"/>
    <n v="1"/>
    <s v="open"/>
    <n v="27"/>
    <m/>
    <m/>
    <x v="0"/>
    <x v="0"/>
    <x v="0"/>
    <s v="NO"/>
    <s v="NO"/>
    <s v="NO"/>
    <s v="NO"/>
    <m/>
    <n v="6764.7899999999991"/>
    <s v="ASD"/>
    <n v="1"/>
    <n v="1"/>
    <n v="6764.7899999999991"/>
    <n v="6764.7899999999991"/>
    <n v="6764.7899999999991"/>
    <n v="6764.7899999999991"/>
    <n v="6764.7899999999991"/>
    <m/>
    <m/>
    <e v="#N/A"/>
    <e v="#N/A"/>
    <e v="#N/A"/>
    <m/>
    <m/>
    <n v="0"/>
    <n v="6764.7899999999991"/>
    <s v=""/>
    <m/>
    <m/>
    <m/>
    <m/>
    <m/>
    <m/>
    <m/>
    <m/>
    <m/>
    <m/>
    <m/>
    <n v="6764.7899999999991"/>
    <m/>
    <m/>
    <m/>
    <m/>
    <m/>
    <m/>
    <m/>
    <n v="6764.7899999999991"/>
    <m/>
    <n v="0"/>
    <n v="0"/>
    <m/>
    <n v="6764.7899999999991"/>
    <n v="0"/>
    <m/>
  </r>
  <r>
    <x v="0"/>
    <n v="1"/>
    <n v="41206"/>
    <n v="41206"/>
    <n v="43012"/>
    <s v="No"/>
    <s v="Y"/>
    <m/>
    <x v="1"/>
    <m/>
    <n v="433833"/>
    <x v="39"/>
    <s v="Mohammad"/>
    <s v="Awais"/>
    <x v="486"/>
    <d v="2009-11-11T00:00:00"/>
    <n v="13.779603011635865"/>
    <n v="8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VI"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0"/>
    <n v="1"/>
    <n v="41206"/>
    <n v="41206"/>
    <n v="43012"/>
    <s v="No"/>
    <s v="Y"/>
    <m/>
    <x v="1"/>
    <m/>
    <n v="397687"/>
    <x v="39"/>
    <s v="Omkar"/>
    <s v="Syam"/>
    <x v="487"/>
    <d v="2011-08-02T00:00:00"/>
    <n v="12.057494866529774"/>
    <n v="7"/>
    <n v="872"/>
    <n v="872"/>
    <d v="2023-04-01T00:00:00"/>
    <n v="1"/>
    <d v="2023-07-21T00:00:00"/>
    <n v="63"/>
    <n v="63"/>
    <n v="0.328125"/>
    <s v="Yr 6"/>
    <n v="30"/>
    <m/>
    <m/>
    <x v="0"/>
    <x v="0"/>
    <x v="0"/>
    <s v="NO"/>
    <s v="NO"/>
    <s v="NO"/>
    <s v="NO"/>
    <m/>
    <n v="8183.0999999999985"/>
    <s v="PD"/>
    <n v="1"/>
    <n v="0.328125"/>
    <n v="2685.0796874999996"/>
    <n v="2685.0796874999996"/>
    <n v="2685.0796874999996"/>
    <n v="2685.0796874999996"/>
    <n v="2685.0796874999996"/>
    <m/>
    <m/>
    <e v="#N/A"/>
    <s v="Piggott schl"/>
    <e v="#N/A"/>
    <m/>
    <m/>
    <n v="0"/>
    <n v="2685.0796874999996"/>
    <s v="Name The Piggot Funding approved"/>
    <s v="WBC Academy"/>
    <n v="43012"/>
    <m/>
    <s v="Name The Piggot Funding approved"/>
    <m/>
    <n v="30"/>
    <n v="8183.0999999999985"/>
    <m/>
    <s v="Y"/>
    <m/>
    <n v="5412.7796874999985"/>
    <n v="8097.8593749999982"/>
    <m/>
    <m/>
    <m/>
    <m/>
    <m/>
    <m/>
    <m/>
    <n v="8097.8593749999982"/>
    <m/>
    <n v="0"/>
    <n v="5412.7796874999985"/>
    <m/>
    <n v="8097.8593749999982"/>
    <n v="0"/>
    <m/>
  </r>
  <r>
    <x v="0"/>
    <n v="1"/>
    <n v="41206"/>
    <n v="41206"/>
    <n v="43012"/>
    <s v="No"/>
    <s v="Y"/>
    <m/>
    <x v="1"/>
    <m/>
    <n v="382436"/>
    <x v="39"/>
    <s v="Oscar"/>
    <s v="May"/>
    <x v="488"/>
    <d v="2009-05-16T00:00:00"/>
    <n v="14.269678302532512"/>
    <n v="9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ASD"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0"/>
    <n v="1"/>
    <n v="41206"/>
    <n v="41206"/>
    <n v="43012"/>
    <s v="No"/>
    <s v="Y"/>
    <m/>
    <x v="1"/>
    <m/>
    <n v="389299"/>
    <x v="39"/>
    <s v="Reece"/>
    <s v="Lewendon"/>
    <x v="489"/>
    <d v="2010-07-04T00:00:00"/>
    <n v="13.136208076659821"/>
    <n v="8"/>
    <n v="872"/>
    <n v="872"/>
    <d v="2023-04-01T00:00:00"/>
    <n v="1"/>
    <d v="2024-03-31T00:00:00"/>
    <n v="192"/>
    <n v="192"/>
    <n v="1"/>
    <s v="open"/>
    <n v="26"/>
    <m/>
    <m/>
    <x v="0"/>
    <x v="0"/>
    <x v="0"/>
    <s v="NO"/>
    <s v="NO"/>
    <s v="NO"/>
    <s v="NO"/>
    <m/>
    <n v="6292.02"/>
    <s v="SLCD"/>
    <n v="1"/>
    <n v="1"/>
    <n v="6292.02"/>
    <n v="6292.02"/>
    <n v="6292.02"/>
    <n v="6292.02"/>
    <n v="6292.02"/>
    <m/>
    <m/>
    <e v="#N/A"/>
    <e v="#N/A"/>
    <e v="#N/A"/>
    <m/>
    <m/>
    <n v="0"/>
    <n v="6292.02"/>
    <s v=""/>
    <m/>
    <m/>
    <m/>
    <m/>
    <m/>
    <m/>
    <m/>
    <m/>
    <m/>
    <m/>
    <m/>
    <n v="6292.02"/>
    <m/>
    <m/>
    <m/>
    <m/>
    <m/>
    <m/>
    <m/>
    <n v="6292.02"/>
    <m/>
    <n v="0"/>
    <n v="0"/>
    <m/>
    <n v="6292.02"/>
    <n v="0"/>
    <m/>
  </r>
  <r>
    <x v="0"/>
    <n v="1"/>
    <n v="41206"/>
    <n v="41206"/>
    <n v="43012"/>
    <s v="No"/>
    <s v="Y"/>
    <m/>
    <x v="2"/>
    <m/>
    <n v="358391"/>
    <x v="39"/>
    <s v="Rosina"/>
    <s v="Pearson"/>
    <x v="490"/>
    <d v="2005-06-09T00:00:00"/>
    <n v="18.203969883641342"/>
    <n v="13"/>
    <n v="872"/>
    <n v="872"/>
    <d v="2023-04-01T00:00:00"/>
    <n v="1"/>
    <d v="2023-07-21T00:00:00"/>
    <n v="63"/>
    <n v="63"/>
    <n v="0.328125"/>
    <s v="16+"/>
    <n v="21"/>
    <m/>
    <m/>
    <x v="1"/>
    <x v="1"/>
    <x v="0"/>
    <s v="NO"/>
    <s v="NO"/>
    <s v="NO"/>
    <s v="NO"/>
    <m/>
    <n v="3928.17"/>
    <s v="ASD"/>
    <n v="1"/>
    <n v="0.328125"/>
    <n v="1288.9307812500001"/>
    <n v="1288.9307812500001"/>
    <n v="1288.9307812500001"/>
    <n v="1288.9307812500001"/>
    <n v="1288.9307812500001"/>
    <m/>
    <m/>
    <e v="#N/A"/>
    <e v="#N/A"/>
    <e v="#N/A"/>
    <m/>
    <m/>
    <n v="0"/>
    <n v="1288.9307812500001"/>
    <s v="???"/>
    <m/>
    <m/>
    <m/>
    <m/>
    <m/>
    <n v="21"/>
    <n v="3928.17"/>
    <m/>
    <m/>
    <m/>
    <n v="2598.32078125"/>
    <n v="3887.2515625000001"/>
    <m/>
    <m/>
    <m/>
    <m/>
    <m/>
    <m/>
    <m/>
    <n v="3887.2515625000001"/>
    <m/>
    <n v="0"/>
    <n v="2598.32078125"/>
    <m/>
    <n v="3887.2515625000001"/>
    <n v="0"/>
    <m/>
  </r>
  <r>
    <x v="0"/>
    <n v="1"/>
    <n v="41206"/>
    <n v="41206"/>
    <n v="43012"/>
    <s v="No"/>
    <s v="Y"/>
    <m/>
    <x v="1"/>
    <m/>
    <n v="384337"/>
    <x v="39"/>
    <s v="Samuel"/>
    <s v="Hilling"/>
    <x v="491"/>
    <d v="2009-02-03T00:00:00"/>
    <n v="14.548939082819986"/>
    <n v="9"/>
    <n v="872"/>
    <n v="872"/>
    <d v="2023-04-01T00:00:00"/>
    <n v="1"/>
    <d v="2024-03-31T00:00:00"/>
    <n v="192"/>
    <n v="192"/>
    <n v="1"/>
    <s v="open"/>
    <n v="27"/>
    <m/>
    <m/>
    <x v="0"/>
    <x v="0"/>
    <x v="0"/>
    <s v="NO"/>
    <s v="NO"/>
    <s v="NO"/>
    <s v="NO"/>
    <m/>
    <n v="6764.7899999999991"/>
    <s v="ASD"/>
    <n v="1"/>
    <n v="1"/>
    <n v="6764.7899999999991"/>
    <n v="6764.7899999999991"/>
    <n v="6764.7899999999991"/>
    <n v="6764.7899999999991"/>
    <n v="6764.7899999999991"/>
    <m/>
    <m/>
    <e v="#N/A"/>
    <e v="#N/A"/>
    <e v="#N/A"/>
    <m/>
    <m/>
    <n v="0"/>
    <n v="6764.7899999999991"/>
    <s v=""/>
    <m/>
    <m/>
    <m/>
    <m/>
    <m/>
    <m/>
    <m/>
    <m/>
    <m/>
    <m/>
    <m/>
    <n v="6764.7899999999991"/>
    <m/>
    <m/>
    <m/>
    <m/>
    <m/>
    <m/>
    <m/>
    <n v="6764.7899999999991"/>
    <m/>
    <n v="0"/>
    <n v="0"/>
    <m/>
    <n v="6764.7899999999991"/>
    <n v="0"/>
    <m/>
  </r>
  <r>
    <x v="0"/>
    <n v="1"/>
    <n v="41206"/>
    <n v="41206"/>
    <n v="43012"/>
    <s v="No"/>
    <s v="Y"/>
    <m/>
    <x v="1"/>
    <m/>
    <n v="397241"/>
    <x v="39"/>
    <s v="Skye"/>
    <s v="Henwood"/>
    <x v="492"/>
    <d v="2011-05-28T00:00:00"/>
    <n v="12.238193018480493"/>
    <n v="7"/>
    <n v="872"/>
    <n v="872"/>
    <d v="2023-04-01T00:00:00"/>
    <n v="1"/>
    <d v="2024-03-31T00:00:00"/>
    <n v="192"/>
    <n v="192"/>
    <n v="1"/>
    <s v="open"/>
    <n v="13649.5"/>
    <m/>
    <m/>
    <x v="0"/>
    <x v="1"/>
    <x v="1"/>
    <s v="NO"/>
    <s v="NO"/>
    <s v="NO"/>
    <s v="NO"/>
    <m/>
    <n v="13649.5"/>
    <m/>
    <n v="1"/>
    <n v="1"/>
    <n v="13649.5"/>
    <n v="13649.5"/>
    <n v="13649.5"/>
    <n v="13649.5"/>
    <n v="13649.5"/>
    <m/>
    <m/>
    <e v="#N/A"/>
    <e v="#N/A"/>
    <e v="#N/A"/>
    <m/>
    <m/>
    <n v="0"/>
    <n v="13649.5"/>
    <s v=""/>
    <m/>
    <m/>
    <m/>
    <m/>
    <m/>
    <m/>
    <m/>
    <m/>
    <m/>
    <m/>
    <m/>
    <n v="13649.5"/>
    <m/>
    <m/>
    <m/>
    <m/>
    <m/>
    <m/>
    <m/>
    <n v="13649.5"/>
    <m/>
    <n v="0"/>
    <n v="0"/>
    <m/>
    <n v="13649.5"/>
    <n v="0"/>
    <m/>
  </r>
  <r>
    <x v="1"/>
    <n v="1"/>
    <n v="41206"/>
    <n v="41206"/>
    <n v="43012"/>
    <s v="No"/>
    <s v="Y"/>
    <m/>
    <x v="1"/>
    <s v="AD"/>
    <n v="397241"/>
    <x v="39"/>
    <s v="Skye"/>
    <s v="Henwood"/>
    <x v="492"/>
    <d v="2011-05-28T00:00:00"/>
    <n v="12.238193018480493"/>
    <n v="7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m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0"/>
    <n v="1"/>
    <n v="41206"/>
    <n v="41206"/>
    <n v="43012"/>
    <s v="No"/>
    <s v="Y"/>
    <m/>
    <x v="1"/>
    <m/>
    <n v="397650"/>
    <x v="39"/>
    <s v="Toby"/>
    <s v="Beresford"/>
    <x v="493"/>
    <d v="2010-10-15T00:00:00"/>
    <n v="12.854209445585216"/>
    <n v="7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ASD"/>
    <n v="1"/>
    <n v="1"/>
    <n v="5819.25"/>
    <n v="5819.25"/>
    <n v="5819.25"/>
    <n v="0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5819.25"/>
    <m/>
    <n v="5819.25"/>
    <n v="0"/>
    <m/>
  </r>
  <r>
    <x v="0"/>
    <n v="1"/>
    <n v="41206"/>
    <n v="41206"/>
    <n v="43012"/>
    <s v="No"/>
    <s v="Y"/>
    <m/>
    <x v="1"/>
    <m/>
    <n v="409697"/>
    <x v="39"/>
    <s v="Vedant"/>
    <s v="Syam"/>
    <x v="494"/>
    <d v="2013-07-18T00:00:00"/>
    <n v="10.097193702943189"/>
    <n v="5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PD"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0"/>
    <n v="1"/>
    <n v="41206"/>
    <n v="41206"/>
    <n v="43012"/>
    <s v="No"/>
    <s v="Y"/>
    <m/>
    <x v="1"/>
    <m/>
    <n v="419910"/>
    <x v="39"/>
    <s v="Zachary"/>
    <s v="Sparks"/>
    <x v="304"/>
    <d v="2015-07-16T00:00:00"/>
    <n v="8.1040383299110204"/>
    <n v="3"/>
    <n v="872"/>
    <n v="872"/>
    <d v="2023-04-01T00:00:00"/>
    <n v="1"/>
    <d v="2024-03-31T00:00:00"/>
    <n v="192"/>
    <n v="192"/>
    <n v="1"/>
    <s v="open"/>
    <n v="12468"/>
    <m/>
    <m/>
    <x v="0"/>
    <x v="1"/>
    <x v="1"/>
    <s v="NO"/>
    <s v="NO"/>
    <s v="NO"/>
    <s v="NO"/>
    <m/>
    <n v="12468"/>
    <m/>
    <n v="1"/>
    <n v="1"/>
    <n v="12468"/>
    <n v="12468"/>
    <n v="12468"/>
    <n v="0"/>
    <n v="12468"/>
    <m/>
    <m/>
    <e v="#N/A"/>
    <e v="#N/A"/>
    <e v="#N/A"/>
    <m/>
    <m/>
    <n v="0"/>
    <n v="12468"/>
    <s v=""/>
    <m/>
    <m/>
    <m/>
    <m/>
    <m/>
    <m/>
    <m/>
    <m/>
    <m/>
    <m/>
    <m/>
    <n v="12468"/>
    <m/>
    <m/>
    <m/>
    <m/>
    <m/>
    <m/>
    <m/>
    <n v="12468"/>
    <m/>
    <n v="0"/>
    <n v="12468"/>
    <m/>
    <n v="12468"/>
    <n v="0"/>
    <m/>
  </r>
  <r>
    <x v="0"/>
    <n v="1"/>
    <n v="41129"/>
    <n v="41129"/>
    <n v="43012"/>
    <s v="Yes"/>
    <s v="Y"/>
    <m/>
    <x v="0"/>
    <m/>
    <n v="429049"/>
    <x v="40"/>
    <s v="Alexander"/>
    <s v="Martin"/>
    <x v="495"/>
    <d v="2017-07-13T00:00:00"/>
    <n v="6.1108829568788501"/>
    <n v="0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SLCD"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0"/>
    <n v="1"/>
    <n v="41129"/>
    <n v="41129"/>
    <n v="43012"/>
    <s v="Yes"/>
    <s v="Y"/>
    <m/>
    <x v="0"/>
    <m/>
    <n v="434700"/>
    <x v="40"/>
    <s v="Gabriel"/>
    <s v="Hart"/>
    <x v="496"/>
    <d v="2017-04-28T00:00:00"/>
    <n v="6.3189596167008899"/>
    <n v="1"/>
    <n v="872"/>
    <n v="872"/>
    <d v="2023-04-01T00:00:00"/>
    <n v="1"/>
    <d v="2023-04-01T00:00:00"/>
    <n v="0"/>
    <n v="0"/>
    <n v="0"/>
    <s v="open"/>
    <n v="25"/>
    <m/>
    <m/>
    <x v="1"/>
    <x v="1"/>
    <x v="0"/>
    <s v="NO"/>
    <s v="NO"/>
    <s v="NO"/>
    <s v="NO"/>
    <m/>
    <n v="5819.25"/>
    <s v="SLCD"/>
    <n v="1"/>
    <n v="0"/>
    <n v="0"/>
    <n v="0"/>
    <n v="0"/>
    <n v="5819.25"/>
    <n v="5819.25"/>
    <m/>
    <m/>
    <e v="#N/A"/>
    <e v="#N/A"/>
    <e v="#N/A"/>
    <m/>
    <m/>
    <n v="-5819.25"/>
    <n v="0"/>
    <s v=""/>
    <m/>
    <m/>
    <m/>
    <m/>
    <m/>
    <m/>
    <m/>
    <m/>
    <m/>
    <m/>
    <m/>
    <n v="0"/>
    <m/>
    <m/>
    <m/>
    <m/>
    <m/>
    <m/>
    <m/>
    <n v="0"/>
    <m/>
    <n v="0"/>
    <n v="-5819.25"/>
    <m/>
    <n v="0"/>
    <n v="0"/>
    <m/>
  </r>
  <r>
    <x v="0"/>
    <n v="1"/>
    <n v="41129"/>
    <n v="41129"/>
    <n v="43012"/>
    <s v="Yes"/>
    <s v="Y"/>
    <m/>
    <x v="0"/>
    <m/>
    <n v="440604"/>
    <x v="40"/>
    <s v="Hadriel"/>
    <s v="Liu"/>
    <x v="497"/>
    <d v="2017-02-22T00:00:00"/>
    <n v="6.4969199178644761"/>
    <n v="1"/>
    <n v="872"/>
    <n v="872"/>
    <d v="2023-04-26T00:00:00"/>
    <n v="9"/>
    <d v="2024-03-31T00:00:00"/>
    <n v="192"/>
    <n v="184"/>
    <n v="0.95833333333333337"/>
    <s v="open"/>
    <n v="30"/>
    <m/>
    <m/>
    <x v="0"/>
    <x v="0"/>
    <x v="0"/>
    <s v="NO"/>
    <s v="NO"/>
    <s v="NO"/>
    <s v="NO"/>
    <m/>
    <n v="8183.0999999999985"/>
    <s v="SEMH"/>
    <n v="1"/>
    <n v="0.95833333333333337"/>
    <n v="7842.1374999999989"/>
    <n v="7842.1374999999989"/>
    <n v="7842.1374999999989"/>
    <n v="0"/>
    <n v="7842.1374999999989"/>
    <m/>
    <m/>
    <e v="#N/A"/>
    <e v="#N/A"/>
    <e v="#N/A"/>
    <m/>
    <m/>
    <n v="0"/>
    <n v="7842.1374999999989"/>
    <s v=""/>
    <m/>
    <m/>
    <m/>
    <m/>
    <m/>
    <m/>
    <m/>
    <m/>
    <m/>
    <m/>
    <m/>
    <n v="7842.1374999999989"/>
    <m/>
    <m/>
    <m/>
    <m/>
    <m/>
    <m/>
    <m/>
    <n v="7842.1374999999989"/>
    <m/>
    <n v="0"/>
    <n v="7842.1374999999989"/>
    <m/>
    <n v="7842.1374999999989"/>
    <n v="0"/>
    <m/>
  </r>
  <r>
    <x v="0"/>
    <n v="1"/>
    <n v="41129"/>
    <n v="41129"/>
    <n v="43012"/>
    <s v="Yes"/>
    <s v="Y"/>
    <m/>
    <x v="0"/>
    <m/>
    <n v="421786"/>
    <x v="40"/>
    <s v="Lewis"/>
    <s v="Wontner-Smith"/>
    <x v="498"/>
    <d v="2016-05-13T00:00:00"/>
    <n v="7.2772073921971252"/>
    <n v="2"/>
    <n v="872"/>
    <n v="872"/>
    <d v="2023-04-01T00:00:00"/>
    <n v="1"/>
    <d v="2023-07-21T00:00:00"/>
    <n v="63"/>
    <n v="63"/>
    <n v="0.328125"/>
    <s v="Yr 2 Infant"/>
    <n v="30"/>
    <m/>
    <m/>
    <x v="0"/>
    <x v="0"/>
    <x v="0"/>
    <s v="NO"/>
    <s v="NO"/>
    <s v="NO"/>
    <s v="NO"/>
    <m/>
    <n v="8183.0999999999985"/>
    <s v="SEMH"/>
    <n v="1"/>
    <n v="0.328125"/>
    <n v="2685.0796874999996"/>
    <n v="2685.0796874999996"/>
    <n v="2685.0796874999996"/>
    <n v="2685.0796874999996"/>
    <n v="2685.0796874999996"/>
    <m/>
    <m/>
    <s v="Polehampton Jun"/>
    <e v="#N/A"/>
    <e v="#N/A"/>
    <m/>
    <m/>
    <n v="0"/>
    <n v="2685.0796874999996"/>
    <s v="Polehamptopn Junior School"/>
    <s v="WBC Academy"/>
    <n v="43012"/>
    <s v="Polehamptopn Junior School"/>
    <m/>
    <m/>
    <n v="30"/>
    <n v="8183.0999999999985"/>
    <s v="Y"/>
    <m/>
    <m/>
    <n v="5412.7796874999985"/>
    <n v="8097.8593749999982"/>
    <m/>
    <m/>
    <m/>
    <m/>
    <m/>
    <m/>
    <m/>
    <n v="8097.8593749999982"/>
    <m/>
    <n v="0"/>
    <n v="5412.7796874999985"/>
    <m/>
    <n v="8097.8593749999982"/>
    <n v="0"/>
    <m/>
  </r>
  <r>
    <x v="0"/>
    <n v="1"/>
    <n v="41130"/>
    <n v="41130"/>
    <n v="43012"/>
    <s v="No"/>
    <s v="Y"/>
    <m/>
    <x v="0"/>
    <m/>
    <n v="401700"/>
    <x v="41"/>
    <s v="Aiden"/>
    <s v="Roberts"/>
    <x v="499"/>
    <d v="2012-01-04T00:00:00"/>
    <n v="11.633127994524298"/>
    <n v="6"/>
    <n v="872"/>
    <n v="872"/>
    <d v="2023-04-01T00:00:00"/>
    <n v="1"/>
    <d v="2023-07-21T00:00:00"/>
    <n v="63"/>
    <n v="63"/>
    <n v="0.328125"/>
    <s v="Yr 6"/>
    <n v="26"/>
    <m/>
    <m/>
    <x v="0"/>
    <x v="0"/>
    <x v="0"/>
    <s v="NO"/>
    <s v="NO"/>
    <s v="NO"/>
    <s v="NO"/>
    <m/>
    <n v="6292.02"/>
    <s v="SLCD"/>
    <n v="1"/>
    <n v="0.328125"/>
    <n v="2064.5690625000002"/>
    <n v="2064.5690625000002"/>
    <n v="2064.5690625000002"/>
    <n v="2064.5690625000002"/>
    <n v="2064.5690625000002"/>
    <m/>
    <m/>
    <e v="#N/A"/>
    <s v="Waigenls Coll"/>
    <e v="#N/A"/>
    <m/>
    <m/>
    <n v="0"/>
    <n v="2064.5690625000002"/>
    <s v="Waingels College"/>
    <s v="WBC Academy"/>
    <n v="43012"/>
    <m/>
    <s v="Waingels College"/>
    <m/>
    <n v="26"/>
    <n v="6292.02"/>
    <m/>
    <s v="Y"/>
    <m/>
    <n v="4161.9090624999999"/>
    <n v="6226.4781249999996"/>
    <m/>
    <m/>
    <m/>
    <m/>
    <m/>
    <m/>
    <m/>
    <n v="6226.4781249999996"/>
    <m/>
    <n v="0"/>
    <n v="4161.909062499999"/>
    <m/>
    <n v="6226.4781249999996"/>
    <n v="0"/>
    <m/>
  </r>
  <r>
    <x v="0"/>
    <n v="1"/>
    <n v="41130"/>
    <n v="41130"/>
    <n v="43012"/>
    <s v="No"/>
    <s v="Y"/>
    <m/>
    <x v="0"/>
    <m/>
    <n v="403564"/>
    <x v="41"/>
    <s v="Aleah"/>
    <s v="Green"/>
    <x v="500"/>
    <d v="2012-04-12T00:00:00"/>
    <n v="11.36208076659822"/>
    <n v="6"/>
    <n v="872"/>
    <n v="872"/>
    <d v="2023-04-01T00:00:00"/>
    <n v="1"/>
    <d v="2023-07-21T00:00:00"/>
    <n v="63"/>
    <n v="63"/>
    <n v="0.328125"/>
    <s v="Yr 6"/>
    <n v="24.666665999999999"/>
    <m/>
    <m/>
    <x v="1"/>
    <x v="1"/>
    <x v="0"/>
    <s v="NO"/>
    <s v="NO"/>
    <s v="NO"/>
    <s v="NO"/>
    <m/>
    <n v="5661.6596848199988"/>
    <s v="MLD"/>
    <n v="1"/>
    <n v="0.328125"/>
    <n v="1857.7320840815621"/>
    <n v="1857.7320840815621"/>
    <n v="1857.7320840815621"/>
    <n v="1857.7320840815621"/>
    <n v="1857.7320840815621"/>
    <m/>
    <m/>
    <e v="#N/A"/>
    <s v="mainstream (non-special?)"/>
    <e v="#N/A"/>
    <s v="Y"/>
    <n v="3774.4397898799994"/>
    <n v="0"/>
    <n v="1857.7320840815621"/>
    <s v="Name on Type "/>
    <m/>
    <m/>
    <m/>
    <s v="Name on Type "/>
    <m/>
    <n v="24.666665999999999"/>
    <n v="5661.6596848199988"/>
    <m/>
    <s v="Y"/>
    <m/>
    <n v="3744.9519790215618"/>
    <n v="5602.6840631031237"/>
    <n v="3744.9519790215618"/>
    <s v="remove"/>
    <m/>
    <m/>
    <m/>
    <m/>
    <m/>
    <n v="5602.6840631031237"/>
    <m/>
    <n v="0"/>
    <n v="3744.9519790215618"/>
    <m/>
    <n v="5602.6840631031237"/>
    <n v="0"/>
    <m/>
  </r>
  <r>
    <x v="1"/>
    <n v="1"/>
    <n v="41130"/>
    <n v="41130"/>
    <n v="43012"/>
    <s v="No"/>
    <s v="Y"/>
    <m/>
    <x v="0"/>
    <s v="AP"/>
    <n v="403564"/>
    <x v="41"/>
    <s v="Aleah"/>
    <s v="Green"/>
    <x v="500"/>
    <d v="2012-04-12T00:00:00"/>
    <n v="11.36208076659822"/>
    <n v="6"/>
    <n v="872"/>
    <n v="872"/>
    <d v="2023-04-01T00:00:00"/>
    <n v="1"/>
    <d v="2023-07-21T00:00:00"/>
    <n v="63"/>
    <n v="63"/>
    <n v="0.328125"/>
    <s v="Yr 6"/>
    <n v="3300"/>
    <m/>
    <m/>
    <x v="0"/>
    <x v="1"/>
    <x v="1"/>
    <s v="NO"/>
    <s v="NO"/>
    <s v="NO"/>
    <s v="NO"/>
    <m/>
    <n v="3300"/>
    <s v="MLD"/>
    <n v="1"/>
    <n v="0.328125"/>
    <n v="1082.8125"/>
    <n v="1082.8125"/>
    <n v="1082.8125"/>
    <n v="1082.8125"/>
    <n v="1082.8125"/>
    <m/>
    <m/>
    <e v="#N/A"/>
    <e v="#N/A"/>
    <e v="#N/A"/>
    <m/>
    <m/>
    <n v="0"/>
    <n v="1082.8125"/>
    <s v="Name on Type "/>
    <m/>
    <m/>
    <m/>
    <s v="Name on Type "/>
    <m/>
    <n v="3300"/>
    <n v="3300"/>
    <m/>
    <s v="Y"/>
    <m/>
    <n v="2182.8125"/>
    <n v="3265.625"/>
    <m/>
    <m/>
    <m/>
    <m/>
    <m/>
    <m/>
    <m/>
    <n v="3265.625"/>
    <m/>
    <n v="0"/>
    <n v="2182.8125"/>
    <m/>
    <n v="3265.625"/>
    <n v="0"/>
    <m/>
  </r>
  <r>
    <x v="0"/>
    <n v="1"/>
    <n v="41130"/>
    <n v="41130"/>
    <n v="43012"/>
    <s v="No"/>
    <s v="Y"/>
    <m/>
    <x v="0"/>
    <m/>
    <n v="399698"/>
    <x v="41"/>
    <s v="Connor"/>
    <s v="Shepherd"/>
    <x v="501"/>
    <d v="2011-11-18T00:00:00"/>
    <n v="11.761806981519507"/>
    <n v="6"/>
    <n v="872"/>
    <n v="872"/>
    <d v="2023-04-01T00:00:00"/>
    <n v="1"/>
    <d v="2023-07-21T00:00:00"/>
    <n v="63"/>
    <n v="63"/>
    <n v="0.328125"/>
    <s v="Yr 6"/>
    <n v="22"/>
    <m/>
    <m/>
    <x v="1"/>
    <x v="1"/>
    <x v="0"/>
    <s v="NO"/>
    <s v="NO"/>
    <s v="NO"/>
    <s v="NO"/>
    <m/>
    <n v="4400.9399999999987"/>
    <s v="ASD"/>
    <n v="1"/>
    <n v="0.328125"/>
    <n v="1444.0584374999996"/>
    <n v="1444.0584374999996"/>
    <n v="1444.0584374999996"/>
    <n v="1444.0584374999996"/>
    <n v="1444.0584374999996"/>
    <m/>
    <m/>
    <e v="#N/A"/>
    <s v="Waingels Coll"/>
    <e v="#N/A"/>
    <m/>
    <m/>
    <n v="0"/>
    <n v="1444.0584374999996"/>
    <s v="Waingels College"/>
    <s v="WBC Academy"/>
    <n v="43012"/>
    <m/>
    <s v="Waingels College"/>
    <m/>
    <n v="22"/>
    <n v="4400.9399999999987"/>
    <m/>
    <s v="Y"/>
    <m/>
    <n v="2911.038437499999"/>
    <n v="4355.0968749999984"/>
    <m/>
    <m/>
    <m/>
    <m/>
    <m/>
    <m/>
    <m/>
    <n v="4355.0968749999984"/>
    <m/>
    <n v="0"/>
    <n v="2911.0384374999985"/>
    <m/>
    <n v="4355.0968749999984"/>
    <n v="0"/>
    <m/>
  </r>
  <r>
    <x v="0"/>
    <n v="1"/>
    <n v="41130"/>
    <n v="41130"/>
    <n v="43012"/>
    <s v="No"/>
    <s v="Y"/>
    <m/>
    <x v="0"/>
    <m/>
    <n v="404089"/>
    <x v="41"/>
    <s v="Elina"/>
    <s v="Samuels"/>
    <x v="502"/>
    <d v="2013-03-22T00:00:00"/>
    <n v="10.420260095824778"/>
    <n v="5"/>
    <n v="872"/>
    <n v="872"/>
    <d v="2023-06-13T00:00:00"/>
    <n v="36"/>
    <d v="2024-03-31T00:00:00"/>
    <n v="192"/>
    <n v="157"/>
    <n v="0.81770833333333337"/>
    <s v="open"/>
    <n v="28"/>
    <m/>
    <m/>
    <x v="0"/>
    <x v="0"/>
    <x v="0"/>
    <s v="NO"/>
    <s v="NO"/>
    <s v="NO"/>
    <s v="NO"/>
    <m/>
    <n v="7237.5599999999995"/>
    <s v="ASD"/>
    <n v="1"/>
    <n v="0.81770833333333337"/>
    <n v="5918.2131250000002"/>
    <n v="5918.2131250000002"/>
    <n v="5918.2131250000002"/>
    <n v="0"/>
    <n v="0"/>
    <m/>
    <m/>
    <m/>
    <m/>
    <m/>
    <m/>
    <m/>
    <n v="5918.2131250000002"/>
    <n v="5918.2131250000002"/>
    <s v=""/>
    <m/>
    <m/>
    <m/>
    <m/>
    <m/>
    <m/>
    <m/>
    <m/>
    <m/>
    <m/>
    <m/>
    <n v="5918.2131250000002"/>
    <m/>
    <m/>
    <m/>
    <m/>
    <m/>
    <m/>
    <m/>
    <n v="5918.2131250000002"/>
    <m/>
    <n v="0"/>
    <n v="5918.2131250000002"/>
    <m/>
    <n v="5918.2131250000002"/>
    <n v="0"/>
    <m/>
  </r>
  <r>
    <x v="0"/>
    <n v="1"/>
    <n v="41130"/>
    <n v="41130"/>
    <n v="43012"/>
    <s v="No"/>
    <s v="Y"/>
    <m/>
    <x v="0"/>
    <m/>
    <n v="400113"/>
    <x v="41"/>
    <s v="Elizabeth"/>
    <s v="Glover"/>
    <x v="503"/>
    <d v="2012-09-24T00:00:00"/>
    <n v="10.910335386721425"/>
    <n v="5"/>
    <n v="872"/>
    <n v="872"/>
    <d v="2023-04-01T00:00:00"/>
    <n v="1"/>
    <d v="2024-03-31T00:00:00"/>
    <n v="192"/>
    <n v="192"/>
    <n v="1"/>
    <s v="open"/>
    <n v="24"/>
    <m/>
    <m/>
    <x v="1"/>
    <x v="1"/>
    <x v="0"/>
    <s v="NO"/>
    <s v="NO"/>
    <s v="NO"/>
    <s v="NO"/>
    <m/>
    <n v="5346.48"/>
    <s v="ASD"/>
    <n v="1"/>
    <n v="1"/>
    <n v="5346.48"/>
    <n v="5346.48"/>
    <n v="5346.48"/>
    <n v="5346.48"/>
    <n v="5346.48"/>
    <m/>
    <m/>
    <e v="#N/A"/>
    <e v="#N/A"/>
    <e v="#N/A"/>
    <m/>
    <m/>
    <n v="0"/>
    <n v="5346.48"/>
    <s v=""/>
    <m/>
    <m/>
    <m/>
    <m/>
    <m/>
    <m/>
    <m/>
    <m/>
    <m/>
    <m/>
    <m/>
    <n v="5346.48"/>
    <m/>
    <m/>
    <m/>
    <m/>
    <m/>
    <m/>
    <m/>
    <n v="5346.48"/>
    <m/>
    <n v="0"/>
    <n v="0"/>
    <m/>
    <n v="5346.48"/>
    <n v="0"/>
    <m/>
  </r>
  <r>
    <x v="0"/>
    <n v="1"/>
    <n v="41130"/>
    <n v="41130"/>
    <n v="43012"/>
    <s v="No"/>
    <s v="Y"/>
    <m/>
    <x v="0"/>
    <m/>
    <n v="409841"/>
    <x v="41"/>
    <s v="Heidi"/>
    <s v="Roberts"/>
    <x v="504"/>
    <d v="2013-04-19T00:00:00"/>
    <n v="10.343600273785079"/>
    <n v="5"/>
    <n v="872"/>
    <n v="872"/>
    <d v="2023-04-01T00:00:00"/>
    <n v="1"/>
    <d v="2024-03-31T00:00:00"/>
    <n v="192"/>
    <n v="192"/>
    <n v="1"/>
    <s v="open"/>
    <n v="23"/>
    <m/>
    <m/>
    <x v="1"/>
    <x v="1"/>
    <x v="0"/>
    <s v="NO"/>
    <s v="NO"/>
    <s v="NO"/>
    <s v="NO"/>
    <m/>
    <n v="4873.7099999999991"/>
    <s v="SLD"/>
    <n v="1"/>
    <n v="1"/>
    <n v="4873.7099999999991"/>
    <n v="4873.7099999999991"/>
    <n v="4873.7099999999991"/>
    <n v="4873.7099999999991"/>
    <n v="4873.7099999999991"/>
    <m/>
    <m/>
    <e v="#N/A"/>
    <e v="#N/A"/>
    <e v="#N/A"/>
    <m/>
    <m/>
    <n v="0"/>
    <n v="4873.7099999999991"/>
    <s v=""/>
    <m/>
    <m/>
    <m/>
    <m/>
    <m/>
    <m/>
    <m/>
    <m/>
    <m/>
    <m/>
    <m/>
    <n v="4873.7099999999991"/>
    <m/>
    <m/>
    <m/>
    <m/>
    <m/>
    <m/>
    <m/>
    <n v="4873.7099999999991"/>
    <m/>
    <n v="0"/>
    <n v="0"/>
    <m/>
    <n v="4873.7099999999991"/>
    <n v="0"/>
    <m/>
  </r>
  <r>
    <x v="0"/>
    <n v="1"/>
    <n v="41130"/>
    <n v="41130"/>
    <n v="43012"/>
    <s v="No"/>
    <s v="Y"/>
    <m/>
    <x v="0"/>
    <m/>
    <n v="421632"/>
    <x v="41"/>
    <s v="Joshua"/>
    <s v="Gomez Elphick"/>
    <x v="505"/>
    <d v="2015-08-23T00:00:00"/>
    <n v="8"/>
    <n v="3"/>
    <n v="872"/>
    <n v="872"/>
    <d v="2023-05-03T00:00:00"/>
    <n v="12"/>
    <d v="2024-03-31T00:00:00"/>
    <n v="192"/>
    <n v="181"/>
    <n v="0.94270833333333337"/>
    <s v="open"/>
    <n v="28"/>
    <m/>
    <m/>
    <x v="0"/>
    <x v="0"/>
    <x v="0"/>
    <s v="NO"/>
    <s v="NO"/>
    <s v="NO"/>
    <s v="NO"/>
    <m/>
    <n v="7237.5599999999995"/>
    <s v="SEMH"/>
    <n v="1"/>
    <n v="0.94270833333333337"/>
    <n v="6822.9081249999999"/>
    <n v="6822.9081249999999"/>
    <n v="6822.9081249999999"/>
    <n v="0"/>
    <n v="6822.9081249999999"/>
    <m/>
    <m/>
    <e v="#N/A"/>
    <e v="#N/A"/>
    <e v="#N/A"/>
    <m/>
    <m/>
    <n v="0"/>
    <n v="6822.9081249999999"/>
    <s v=""/>
    <m/>
    <m/>
    <m/>
    <m/>
    <m/>
    <m/>
    <m/>
    <m/>
    <m/>
    <m/>
    <m/>
    <n v="6822.9081249999999"/>
    <m/>
    <m/>
    <m/>
    <m/>
    <m/>
    <m/>
    <m/>
    <n v="6822.9081249999999"/>
    <m/>
    <n v="0"/>
    <n v="6822.9081249999999"/>
    <m/>
    <n v="6822.9081249999999"/>
    <n v="0"/>
    <m/>
  </r>
  <r>
    <x v="0"/>
    <n v="1"/>
    <n v="41130"/>
    <n v="41130"/>
    <n v="43012"/>
    <s v="No"/>
    <s v="Y"/>
    <m/>
    <x v="0"/>
    <m/>
    <n v="412167"/>
    <x v="41"/>
    <s v="Josie"/>
    <s v="Rusher"/>
    <x v="506"/>
    <d v="2014-05-16T00:00:00"/>
    <n v="9.2703627652292955"/>
    <n v="4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SLCD"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0"/>
    <n v="1"/>
    <n v="41130"/>
    <n v="41130"/>
    <n v="43012"/>
    <s v="No"/>
    <s v="Y"/>
    <m/>
    <x v="0"/>
    <m/>
    <n v="401957"/>
    <x v="41"/>
    <s v="Mason"/>
    <s v="Hicks"/>
    <x v="507"/>
    <d v="2012-01-27T00:00:00"/>
    <n v="11.570157426420261"/>
    <n v="6"/>
    <n v="872"/>
    <n v="872"/>
    <d v="2023-04-01T00:00:00"/>
    <n v="1"/>
    <d v="2023-07-21T00:00:00"/>
    <n v="63"/>
    <n v="63"/>
    <n v="0.328125"/>
    <s v="Yr 6"/>
    <n v="25"/>
    <m/>
    <m/>
    <x v="1"/>
    <x v="1"/>
    <x v="0"/>
    <s v="NO"/>
    <s v="NO"/>
    <s v="NO"/>
    <s v="NO"/>
    <m/>
    <n v="5819.25"/>
    <s v="MLD"/>
    <n v="1"/>
    <n v="0.328125"/>
    <n v="1909.44140625"/>
    <n v="1909.44140625"/>
    <n v="1909.44140625"/>
    <n v="1909.44140625"/>
    <n v="1909.44140625"/>
    <m/>
    <m/>
    <e v="#N/A"/>
    <s v="The Piggott"/>
    <e v="#N/A"/>
    <m/>
    <m/>
    <n v="0"/>
    <n v="1909.44140625"/>
    <s v="Name The Piggott this is PP"/>
    <s v="WBC Academy"/>
    <n v="43012"/>
    <m/>
    <s v="Name The Piggott this is PP"/>
    <m/>
    <n v="25"/>
    <n v="5819.25"/>
    <m/>
    <s v="Y"/>
    <m/>
    <n v="3849.19140625"/>
    <n v="5758.6328125"/>
    <m/>
    <m/>
    <m/>
    <m/>
    <m/>
    <m/>
    <m/>
    <n v="5758.6328125"/>
    <m/>
    <n v="0"/>
    <n v="3849.19140625"/>
    <m/>
    <n v="5758.6328125"/>
    <n v="0"/>
    <m/>
  </r>
  <r>
    <x v="0"/>
    <n v="1"/>
    <n v="41130"/>
    <n v="41130"/>
    <n v="43012"/>
    <s v="No"/>
    <s v="Y"/>
    <m/>
    <x v="0"/>
    <m/>
    <n v="417971"/>
    <x v="41"/>
    <s v="Noah"/>
    <s v="Searle"/>
    <x v="508"/>
    <d v="2014-05-25T00:00:00"/>
    <n v="9.245722108145106"/>
    <n v="4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m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0"/>
    <n v="1"/>
    <n v="41130"/>
    <n v="41130"/>
    <n v="43012"/>
    <s v="No"/>
    <s v="Y"/>
    <m/>
    <x v="0"/>
    <m/>
    <n v="400942"/>
    <x v="41"/>
    <s v="William"/>
    <s v="Buchanan"/>
    <x v="509"/>
    <d v="2011-09-27T00:00:00"/>
    <n v="11.904175222450377"/>
    <n v="6"/>
    <n v="872"/>
    <n v="872"/>
    <d v="2023-04-01T00:00:00"/>
    <n v="1"/>
    <d v="2023-07-21T00:00:00"/>
    <n v="63"/>
    <n v="63"/>
    <n v="0.328125"/>
    <s v="Yr 6"/>
    <n v="25"/>
    <m/>
    <m/>
    <x v="1"/>
    <x v="1"/>
    <x v="0"/>
    <s v="NO"/>
    <s v="NO"/>
    <s v="NO"/>
    <s v="NO"/>
    <m/>
    <n v="5819.25"/>
    <s v="ASD"/>
    <n v="1"/>
    <n v="0.328125"/>
    <n v="1909.44140625"/>
    <n v="1909.44140625"/>
    <n v="1909.44140625"/>
    <n v="1909.44140625"/>
    <n v="1909.44140625"/>
    <m/>
    <m/>
    <e v="#N/A"/>
    <s v="The Piggott"/>
    <e v="#N/A"/>
    <m/>
    <m/>
    <n v="0"/>
    <n v="1909.44140625"/>
    <s v="The Piggott School"/>
    <s v="WBC Academy"/>
    <n v="43012"/>
    <m/>
    <s v="The Piggott School"/>
    <m/>
    <n v="25"/>
    <n v="5819.25"/>
    <m/>
    <s v="Y"/>
    <m/>
    <n v="3849.19140625"/>
    <n v="5758.6328125"/>
    <m/>
    <m/>
    <m/>
    <m/>
    <m/>
    <m/>
    <m/>
    <n v="5758.6328125"/>
    <m/>
    <n v="0"/>
    <n v="3849.19140625"/>
    <m/>
    <n v="5758.6328125"/>
    <n v="0"/>
    <m/>
  </r>
  <r>
    <x v="0"/>
    <n v="1"/>
    <n v="41131"/>
    <n v="41131"/>
    <n v="43011"/>
    <s v="No"/>
    <m/>
    <m/>
    <x v="0"/>
    <m/>
    <n v="411483"/>
    <x v="42"/>
    <s v="Akshaj"/>
    <s v="Kalamakuntla"/>
    <x v="510"/>
    <d v="2012-11-06T00:00:00"/>
    <n v="10.792607802874743"/>
    <n v="5"/>
    <n v="872"/>
    <n v="872"/>
    <d v="2023-04-01T00:00:00"/>
    <n v="1"/>
    <d v="2024-03-31T00:00:00"/>
    <n v="192"/>
    <n v="192"/>
    <n v="1"/>
    <s v="open"/>
    <n v="11841.45"/>
    <m/>
    <m/>
    <x v="0"/>
    <x v="1"/>
    <x v="1"/>
    <s v="NO"/>
    <s v="NO"/>
    <s v="NO"/>
    <s v="NO"/>
    <m/>
    <n v="11841.45"/>
    <s v="ASD"/>
    <n v="1"/>
    <n v="1"/>
    <n v="11841.45"/>
    <n v="11841.45"/>
    <n v="11841.45"/>
    <n v="11841.45"/>
    <n v="11841.45"/>
    <m/>
    <m/>
    <e v="#N/A"/>
    <e v="#N/A"/>
    <e v="#N/A"/>
    <m/>
    <m/>
    <n v="0"/>
    <n v="11841.45"/>
    <s v=""/>
    <m/>
    <m/>
    <m/>
    <m/>
    <m/>
    <m/>
    <m/>
    <m/>
    <m/>
    <m/>
    <m/>
    <n v="11841.45"/>
    <m/>
    <m/>
    <m/>
    <m/>
    <m/>
    <m/>
    <m/>
    <n v="11841.45"/>
    <m/>
    <n v="0"/>
    <n v="0"/>
    <m/>
    <n v="11841.45"/>
    <n v="0"/>
    <m/>
  </r>
  <r>
    <x v="0"/>
    <n v="1"/>
    <n v="41131"/>
    <n v="41131"/>
    <n v="43011"/>
    <s v="No"/>
    <m/>
    <m/>
    <x v="0"/>
    <m/>
    <n v="415633"/>
    <x v="42"/>
    <s v="Albert"/>
    <s v="Miclosoni"/>
    <x v="511"/>
    <d v="2014-06-20T00:00:00"/>
    <n v="9.1745379876796722"/>
    <n v="4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SLCD"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0"/>
    <n v="1"/>
    <n v="41131"/>
    <n v="41131"/>
    <n v="43011"/>
    <s v="No"/>
    <m/>
    <m/>
    <x v="0"/>
    <m/>
    <n v="431819"/>
    <x v="42"/>
    <s v="Aya"/>
    <s v="Tall"/>
    <x v="512"/>
    <d v="2016-09-26T00:00:00"/>
    <n v="6.9048596851471595"/>
    <n v="1"/>
    <n v="872"/>
    <n v="872"/>
    <d v="2023-04-01T00:00:00"/>
    <n v="1"/>
    <d v="2024-03-31T00:00:00"/>
    <n v="192"/>
    <n v="192"/>
    <n v="1"/>
    <s v="open"/>
    <n v="8901.0400000000009"/>
    <m/>
    <m/>
    <x v="0"/>
    <x v="1"/>
    <x v="1"/>
    <s v="NO"/>
    <s v="NO"/>
    <s v="NO"/>
    <s v="NO"/>
    <m/>
    <n v="8901.0400000000009"/>
    <s v="ASD"/>
    <n v="1"/>
    <n v="1"/>
    <n v="8901.0400000000009"/>
    <n v="8901.0400000000009"/>
    <n v="8901.0400000000009"/>
    <n v="8901.0400000000009"/>
    <n v="8901.0400000000009"/>
    <m/>
    <m/>
    <e v="#N/A"/>
    <e v="#N/A"/>
    <e v="#N/A"/>
    <m/>
    <m/>
    <n v="0"/>
    <n v="8901.0400000000009"/>
    <s v=""/>
    <m/>
    <m/>
    <m/>
    <m/>
    <m/>
    <m/>
    <m/>
    <m/>
    <m/>
    <m/>
    <m/>
    <n v="8901.0400000000009"/>
    <m/>
    <m/>
    <m/>
    <m/>
    <m/>
    <m/>
    <m/>
    <n v="8901.0400000000009"/>
    <m/>
    <n v="0"/>
    <n v="0"/>
    <m/>
    <n v="8901.0400000000009"/>
    <n v="0"/>
    <m/>
  </r>
  <r>
    <x v="0"/>
    <n v="1"/>
    <n v="41131"/>
    <n v="41131"/>
    <n v="43011"/>
    <s v="No"/>
    <m/>
    <m/>
    <x v="0"/>
    <m/>
    <n v="434883"/>
    <x v="42"/>
    <s v="Bradley"/>
    <s v="Norriss"/>
    <x v="513"/>
    <d v="2016-12-13T00:00:00"/>
    <n v="6.6913073237508556"/>
    <n v="1"/>
    <n v="872"/>
    <n v="872"/>
    <d v="2023-04-01T00:00:00"/>
    <n v="1"/>
    <d v="2024-03-31T00:00:00"/>
    <n v="192"/>
    <n v="192"/>
    <n v="1"/>
    <s v="open"/>
    <n v="28"/>
    <m/>
    <m/>
    <x v="0"/>
    <x v="0"/>
    <x v="0"/>
    <s v="NO"/>
    <s v="NO"/>
    <s v="NO"/>
    <s v="NO"/>
    <m/>
    <n v="7237.5599999999995"/>
    <s v="SEMH"/>
    <n v="1"/>
    <n v="1"/>
    <n v="7237.5599999999995"/>
    <n v="7237.5599999999995"/>
    <n v="7237.5599999999995"/>
    <n v="7237.5599999999995"/>
    <n v="7237.5599999999995"/>
    <m/>
    <m/>
    <e v="#N/A"/>
    <e v="#N/A"/>
    <e v="#N/A"/>
    <m/>
    <m/>
    <n v="0"/>
    <n v="7237.5599999999995"/>
    <s v=""/>
    <m/>
    <m/>
    <m/>
    <m/>
    <m/>
    <m/>
    <m/>
    <m/>
    <m/>
    <m/>
    <m/>
    <n v="7237.5599999999995"/>
    <m/>
    <m/>
    <m/>
    <m/>
    <m/>
    <m/>
    <m/>
    <n v="7237.5599999999995"/>
    <m/>
    <n v="0"/>
    <n v="0"/>
    <m/>
    <n v="7237.5599999999995"/>
    <n v="0"/>
    <m/>
  </r>
  <r>
    <x v="1"/>
    <n v="1"/>
    <n v="41131"/>
    <n v="41131"/>
    <n v="43011"/>
    <s v="No"/>
    <m/>
    <m/>
    <x v="0"/>
    <s v="AP"/>
    <n v="434883"/>
    <x v="42"/>
    <s v="Bradley"/>
    <s v="Norriss"/>
    <x v="513"/>
    <d v="2016-12-13T00:00:00"/>
    <n v="6.6913073237508556"/>
    <n v="1"/>
    <n v="872"/>
    <n v="872"/>
    <d v="2023-04-01T00:00:00"/>
    <n v="1"/>
    <d v="2023-04-01T00:00:00"/>
    <n v="0"/>
    <n v="0"/>
    <n v="1"/>
    <d v="2023-04-01T00:00:00"/>
    <n v="12315"/>
    <m/>
    <m/>
    <x v="0"/>
    <x v="1"/>
    <x v="1"/>
    <s v="NO"/>
    <s v="NO"/>
    <s v="NO"/>
    <s v="NO"/>
    <m/>
    <n v="12315"/>
    <s v="SEMH"/>
    <n v="1"/>
    <n v="1"/>
    <n v="12315"/>
    <n v="12315"/>
    <n v="12315"/>
    <n v="0"/>
    <n v="12315"/>
    <m/>
    <m/>
    <e v="#N/A"/>
    <e v="#N/A"/>
    <e v="#N/A"/>
    <m/>
    <m/>
    <n v="0"/>
    <n v="12315"/>
    <s v=""/>
    <m/>
    <m/>
    <m/>
    <m/>
    <m/>
    <m/>
    <m/>
    <m/>
    <m/>
    <m/>
    <m/>
    <n v="12315"/>
    <m/>
    <m/>
    <m/>
    <m/>
    <m/>
    <m/>
    <m/>
    <n v="12315"/>
    <m/>
    <n v="0"/>
    <n v="12315"/>
    <m/>
    <n v="12315"/>
    <n v="0"/>
    <m/>
  </r>
  <r>
    <x v="1"/>
    <n v="1"/>
    <n v="41131"/>
    <n v="41131"/>
    <n v="43011"/>
    <s v="No"/>
    <m/>
    <m/>
    <x v="0"/>
    <s v="AD"/>
    <n v="434883"/>
    <x v="42"/>
    <s v="Bradley"/>
    <s v="Norriss"/>
    <x v="513"/>
    <d v="2016-12-13T00:00:00"/>
    <n v="6.6913073237508556"/>
    <n v="1"/>
    <n v="872"/>
    <n v="872"/>
    <d v="2023-04-01T00:00:00"/>
    <n v="1"/>
    <d v="2023-07-21T00:00:00"/>
    <n v="63"/>
    <n v="63"/>
    <n v="1"/>
    <d v="2023-07-21T00:00:00"/>
    <n v="9674.7999999999993"/>
    <m/>
    <m/>
    <x v="0"/>
    <x v="1"/>
    <x v="1"/>
    <s v="NO"/>
    <s v="NO"/>
    <s v="NO"/>
    <s v="NO"/>
    <m/>
    <n v="9674.7999999999993"/>
    <s v="SEMH"/>
    <n v="1"/>
    <n v="1"/>
    <n v="9674.7999999999993"/>
    <n v="9674.7999999999993"/>
    <n v="9674.7999999999993"/>
    <n v="0"/>
    <n v="9674.7999999999993"/>
    <m/>
    <m/>
    <e v="#N/A"/>
    <e v="#N/A"/>
    <e v="#N/A"/>
    <m/>
    <m/>
    <n v="0"/>
    <n v="9674.7999999999993"/>
    <s v=""/>
    <m/>
    <m/>
    <m/>
    <m/>
    <m/>
    <n v="9674.7999999999993"/>
    <n v="9674.7999999999993"/>
    <m/>
    <m/>
    <m/>
    <n v="6399.4770833333323"/>
    <n v="16074.277083333331"/>
    <m/>
    <m/>
    <m/>
    <m/>
    <m/>
    <m/>
    <m/>
    <n v="16074.277083333331"/>
    <m/>
    <n v="0"/>
    <n v="16074.277083333331"/>
    <m/>
    <n v="16074.277083333331"/>
    <n v="0"/>
    <m/>
  </r>
  <r>
    <x v="0"/>
    <n v="1"/>
    <n v="41131"/>
    <n v="41131"/>
    <n v="43011"/>
    <s v="No"/>
    <m/>
    <m/>
    <x v="0"/>
    <m/>
    <n v="422967"/>
    <x v="42"/>
    <s v="Henry"/>
    <s v="Watson"/>
    <x v="514"/>
    <d v="2015-05-22T00:00:00"/>
    <n v="8.254620123203285"/>
    <n v="3"/>
    <n v="872"/>
    <n v="872"/>
    <d v="2023-04-01T00:00:00"/>
    <n v="1"/>
    <d v="2024-03-31T00:00:00"/>
    <n v="192"/>
    <n v="192"/>
    <n v="1"/>
    <s v="open"/>
    <n v="28"/>
    <m/>
    <m/>
    <x v="0"/>
    <x v="0"/>
    <x v="0"/>
    <s v="NO"/>
    <s v="NO"/>
    <s v="NO"/>
    <s v="NO"/>
    <m/>
    <n v="7237.5599999999995"/>
    <s v="ModLD"/>
    <n v="1"/>
    <n v="1"/>
    <n v="7237.5599999999995"/>
    <n v="7237.5599999999995"/>
    <n v="7237.5599999999995"/>
    <n v="7237.5599999999995"/>
    <n v="7237.5599999999995"/>
    <m/>
    <m/>
    <e v="#N/A"/>
    <e v="#N/A"/>
    <e v="#N/A"/>
    <m/>
    <m/>
    <n v="0"/>
    <n v="7237.5599999999995"/>
    <s v=""/>
    <m/>
    <m/>
    <m/>
    <m/>
    <m/>
    <m/>
    <m/>
    <m/>
    <m/>
    <m/>
    <m/>
    <n v="7237.5599999999995"/>
    <m/>
    <m/>
    <m/>
    <m/>
    <m/>
    <m/>
    <m/>
    <n v="7237.5599999999995"/>
    <m/>
    <n v="0"/>
    <n v="0"/>
    <m/>
    <n v="7237.5599999999995"/>
    <n v="0"/>
    <m/>
  </r>
  <r>
    <x v="0"/>
    <n v="1"/>
    <n v="41131"/>
    <n v="41131"/>
    <n v="43011"/>
    <s v="No"/>
    <m/>
    <m/>
    <x v="0"/>
    <m/>
    <n v="446933"/>
    <x v="42"/>
    <s v="Hwee"/>
    <s v="Au-Yeung"/>
    <x v="515"/>
    <d v="2019-02-03T00:00:00"/>
    <n v="4.5503080082135527"/>
    <n v="-1"/>
    <n v="872"/>
    <n v="872"/>
    <d v="2023-04-01T00:00:00"/>
    <n v="1"/>
    <d v="2023-04-01T00:00:00"/>
    <n v="0"/>
    <n v="0"/>
    <n v="0"/>
    <s v="open"/>
    <n v="30"/>
    <m/>
    <m/>
    <x v="0"/>
    <x v="0"/>
    <x v="0"/>
    <s v="NO"/>
    <s v="NO"/>
    <s v="NO"/>
    <s v="NO"/>
    <m/>
    <n v="8183.0999999999985"/>
    <m/>
    <n v="1"/>
    <n v="0"/>
    <n v="0"/>
    <n v="0"/>
    <n v="8183.0999999999985"/>
    <n v="8183.0999999999985"/>
    <n v="8183.0999999999985"/>
    <m/>
    <m/>
    <e v="#N/A"/>
    <e v="#N/A"/>
    <e v="#N/A"/>
    <m/>
    <m/>
    <n v="-8183.0999999999985"/>
    <n v="-8183.0999999999985"/>
    <s v="in nursery, transsitoning in Spring4, added to EY"/>
    <m/>
    <m/>
    <m/>
    <m/>
    <m/>
    <m/>
    <m/>
    <m/>
    <m/>
    <m/>
    <m/>
    <n v="-8183.0999999999985"/>
    <s v="in nursery, transitioning in Spring24, added to EY"/>
    <m/>
    <m/>
    <m/>
    <m/>
    <m/>
    <m/>
    <n v="0"/>
    <m/>
    <n v="8183.0999999999985"/>
    <n v="-8183.0999999999985"/>
    <m/>
    <n v="0"/>
    <n v="0"/>
    <m/>
  </r>
  <r>
    <x v="0"/>
    <n v="1"/>
    <n v="41131"/>
    <n v="41131"/>
    <n v="43011"/>
    <s v="No"/>
    <m/>
    <m/>
    <x v="0"/>
    <m/>
    <n v="432652"/>
    <x v="42"/>
    <s v="Jacob"/>
    <s v="Trinder"/>
    <x v="516"/>
    <d v="2017-05-06T00:00:00"/>
    <n v="6.2970568104038334"/>
    <n v="1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m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0"/>
    <n v="1"/>
    <n v="41131"/>
    <n v="41131"/>
    <n v="43011"/>
    <s v="No"/>
    <m/>
    <m/>
    <x v="0"/>
    <m/>
    <n v="402012"/>
    <x v="42"/>
    <s v="Max"/>
    <s v="Eeles"/>
    <x v="517"/>
    <d v="2011-11-02T00:00:00"/>
    <n v="11.805612594113621"/>
    <n v="6"/>
    <n v="872"/>
    <n v="872"/>
    <d v="2023-04-01T00:00:00"/>
    <n v="1"/>
    <d v="2023-07-21T00:00:00"/>
    <n v="63"/>
    <n v="63"/>
    <n v="0.328125"/>
    <s v="Yr 6"/>
    <n v="30"/>
    <m/>
    <m/>
    <x v="0"/>
    <x v="0"/>
    <x v="0"/>
    <s v="NO"/>
    <s v="NO"/>
    <s v="NO"/>
    <s v="NO"/>
    <m/>
    <n v="8183.0999999999985"/>
    <s v="SEMH"/>
    <n v="1"/>
    <n v="0.328125"/>
    <n v="2685.0796874999996"/>
    <n v="2685.0796874999996"/>
    <n v="2685.0796874999996"/>
    <n v="2685.0796874999996"/>
    <n v="2685.0796874999996"/>
    <m/>
    <m/>
    <e v="#N/A"/>
    <s v="Oak Tree"/>
    <e v="#N/A"/>
    <s v="Y"/>
    <n v="5455.3999999999987"/>
    <n v="0"/>
    <n v="2685.0796874999996"/>
    <s v="Name Oak Tree "/>
    <s v="WBC Spec"/>
    <m/>
    <m/>
    <s v="Name Oak Tree "/>
    <m/>
    <n v="30"/>
    <n v="8183.0999999999985"/>
    <m/>
    <s v="Y"/>
    <m/>
    <n v="5412.7796874999985"/>
    <n v="8097.8593749999982"/>
    <n v="5412.7796874999985"/>
    <s v="remove"/>
    <m/>
    <m/>
    <m/>
    <m/>
    <m/>
    <n v="8097.8593749999982"/>
    <m/>
    <n v="0"/>
    <n v="5412.7796874999985"/>
    <m/>
    <n v="8097.8593749999982"/>
    <n v="0"/>
    <m/>
  </r>
  <r>
    <x v="0"/>
    <n v="1"/>
    <n v="41131"/>
    <n v="41131"/>
    <n v="43011"/>
    <s v="No"/>
    <m/>
    <m/>
    <x v="0"/>
    <m/>
    <n v="400961"/>
    <x v="42"/>
    <s v="Mehul"/>
    <s v="Mokashi"/>
    <x v="518"/>
    <d v="2012-03-01T00:00:00"/>
    <n v="11.477070499657769"/>
    <n v="6"/>
    <n v="872"/>
    <n v="872"/>
    <d v="2023-04-01T00:00:00"/>
    <n v="1"/>
    <d v="2023-07-21T00:00:00"/>
    <n v="63"/>
    <n v="63"/>
    <n v="0.328125"/>
    <s v="Yr 6"/>
    <n v="30"/>
    <m/>
    <m/>
    <x v="0"/>
    <x v="0"/>
    <x v="0"/>
    <s v="NO"/>
    <s v="NO"/>
    <s v="NO"/>
    <s v="NO"/>
    <m/>
    <n v="8183.0999999999985"/>
    <s v="ASD"/>
    <n v="1"/>
    <n v="0.328125"/>
    <n v="2685.0796874999996"/>
    <n v="2685.0796874999996"/>
    <n v="2685.0796874999996"/>
    <n v="2685.0796874999996"/>
    <n v="2685.0796874999996"/>
    <m/>
    <m/>
    <e v="#N/A"/>
    <s v="ME MAT"/>
    <e v="#N/A"/>
    <m/>
    <m/>
    <n v="0"/>
    <n v="2685.0796874999996"/>
    <s v="Maiden Erlegh "/>
    <s v="WBC Academy"/>
    <n v="43012"/>
    <m/>
    <s v="Maiden Erlegh "/>
    <m/>
    <n v="30"/>
    <n v="8183.0999999999985"/>
    <m/>
    <s v="Y"/>
    <m/>
    <n v="5412.7796874999985"/>
    <n v="8097.8593749999982"/>
    <m/>
    <m/>
    <m/>
    <m/>
    <m/>
    <m/>
    <m/>
    <n v="8097.8593749999982"/>
    <m/>
    <n v="0"/>
    <n v="5412.7796874999985"/>
    <m/>
    <n v="8097.8593749999982"/>
    <n v="0"/>
    <m/>
  </r>
  <r>
    <x v="0"/>
    <n v="1"/>
    <n v="41131"/>
    <n v="41131"/>
    <n v="43011"/>
    <s v="No"/>
    <m/>
    <m/>
    <x v="0"/>
    <m/>
    <n v="409732"/>
    <x v="42"/>
    <s v="Muhammad"/>
    <s v="Anis"/>
    <x v="519"/>
    <d v="2013-05-03T00:00:00"/>
    <n v="10.30527036276523"/>
    <n v="5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ASD"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0"/>
    <n v="1"/>
    <n v="41131"/>
    <n v="41131"/>
    <n v="43011"/>
    <s v="No"/>
    <m/>
    <m/>
    <x v="0"/>
    <m/>
    <n v="420047"/>
    <x v="42"/>
    <s v="Nicolas"/>
    <s v="Cysneiros Karatzas"/>
    <x v="520"/>
    <d v="2015-01-26T00:00:00"/>
    <n v="8.5722108145106084"/>
    <n v="3"/>
    <n v="872"/>
    <n v="872"/>
    <d v="2023-04-01T00:00:00"/>
    <n v="1"/>
    <d v="2024-03-31T00:00:00"/>
    <n v="192"/>
    <n v="192"/>
    <n v="1"/>
    <s v="open"/>
    <n v="27"/>
    <m/>
    <m/>
    <x v="0"/>
    <x v="0"/>
    <x v="0"/>
    <s v="NO"/>
    <s v="NO"/>
    <s v="NO"/>
    <s v="NO"/>
    <m/>
    <n v="6764.7899999999991"/>
    <s v="Other Diff/Dis"/>
    <n v="1"/>
    <n v="1"/>
    <n v="6764.7899999999991"/>
    <n v="6764.7899999999991"/>
    <n v="6764.7899999999991"/>
    <n v="6764.7899999999991"/>
    <n v="6764.7899999999991"/>
    <m/>
    <m/>
    <e v="#N/A"/>
    <e v="#N/A"/>
    <e v="#N/A"/>
    <m/>
    <m/>
    <n v="0"/>
    <n v="6764.7899999999991"/>
    <s v=""/>
    <m/>
    <m/>
    <m/>
    <m/>
    <m/>
    <m/>
    <m/>
    <m/>
    <m/>
    <m/>
    <m/>
    <n v="6764.7899999999991"/>
    <m/>
    <m/>
    <m/>
    <m/>
    <m/>
    <m/>
    <m/>
    <n v="6764.7899999999991"/>
    <m/>
    <n v="0"/>
    <n v="0"/>
    <m/>
    <n v="6764.7899999999991"/>
    <n v="0"/>
    <m/>
  </r>
  <r>
    <x v="0"/>
    <n v="1"/>
    <n v="41131"/>
    <n v="41131"/>
    <n v="43011"/>
    <s v="No"/>
    <m/>
    <m/>
    <x v="0"/>
    <m/>
    <n v="410221"/>
    <x v="42"/>
    <s v="Nicole"/>
    <s v="Burr"/>
    <x v="521"/>
    <d v="2014-06-21T00:00:00"/>
    <n v="9.1718001368925393"/>
    <n v="4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MLD"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0"/>
    <n v="1"/>
    <n v="41131"/>
    <n v="41131"/>
    <n v="43011"/>
    <s v="No"/>
    <m/>
    <m/>
    <x v="0"/>
    <m/>
    <n v="432653"/>
    <x v="42"/>
    <s v="Oliver"/>
    <s v="Trinder"/>
    <x v="522"/>
    <d v="2017-05-06T00:00:00"/>
    <n v="6.2970568104038334"/>
    <n v="1"/>
    <s v="872"/>
    <s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m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0"/>
    <n v="1"/>
    <n v="41131"/>
    <n v="41131"/>
    <n v="43011"/>
    <s v="No"/>
    <m/>
    <m/>
    <x v="0"/>
    <m/>
    <n v="432379"/>
    <x v="42"/>
    <s v="Othniel"/>
    <s v="Nsiah Boateng"/>
    <x v="523"/>
    <d v="2015-07-27T00:00:00"/>
    <n v="8.0739219712525667"/>
    <n v="2"/>
    <s v="872"/>
    <s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MLD"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0"/>
    <n v="1"/>
    <n v="41131"/>
    <n v="41131"/>
    <n v="43011"/>
    <s v="No"/>
    <m/>
    <m/>
    <x v="0"/>
    <m/>
    <n v="401538"/>
    <x v="42"/>
    <s v="Rumaan"/>
    <s v="Waseem"/>
    <x v="524"/>
    <d v="2011-10-31T00:00:00"/>
    <n v="11.811088295687885"/>
    <n v="6"/>
    <n v="872"/>
    <n v="872"/>
    <d v="2023-04-01T00:00:00"/>
    <n v="1"/>
    <d v="2023-07-21T00:00:00"/>
    <n v="63"/>
    <n v="63"/>
    <n v="0.328125"/>
    <s v="Yr 6"/>
    <n v="26"/>
    <m/>
    <m/>
    <x v="0"/>
    <x v="0"/>
    <x v="0"/>
    <s v="NO"/>
    <s v="NO"/>
    <s v="NO"/>
    <s v="NO"/>
    <m/>
    <n v="6292.02"/>
    <s v="ASD"/>
    <n v="1"/>
    <n v="0.328125"/>
    <n v="2064.5690625000002"/>
    <n v="2064.5690625000002"/>
    <n v="2064.5690625000002"/>
    <n v="2064.5690625000002"/>
    <n v="2064.5690625000002"/>
    <m/>
    <m/>
    <e v="#N/A"/>
    <s v="The Holt"/>
    <e v="#N/A"/>
    <m/>
    <m/>
    <n v="0"/>
    <n v="2064.5690625000002"/>
    <s v="The Holt School"/>
    <s v="WBC Academy"/>
    <n v="43012"/>
    <m/>
    <s v="The Holt School"/>
    <m/>
    <n v="26"/>
    <n v="6292.02"/>
    <m/>
    <s v="Y"/>
    <m/>
    <n v="4161.9090624999999"/>
    <n v="6226.4781249999996"/>
    <m/>
    <m/>
    <m/>
    <m/>
    <m/>
    <m/>
    <m/>
    <n v="6226.4781249999996"/>
    <m/>
    <n v="0"/>
    <n v="4161.909062499999"/>
    <m/>
    <n v="6226.4781249999996"/>
    <n v="0"/>
    <m/>
  </r>
  <r>
    <x v="0"/>
    <n v="1"/>
    <n v="41131"/>
    <n v="41131"/>
    <n v="43011"/>
    <s v="No"/>
    <m/>
    <m/>
    <x v="0"/>
    <m/>
    <n v="446163"/>
    <x v="42"/>
    <s v="Romell"/>
    <s v="Robertson"/>
    <x v="525"/>
    <d v="2014-01-27T00:00:00"/>
    <n v="9.5687885010266935"/>
    <n v="4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m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0"/>
    <n v="1"/>
    <n v="41132"/>
    <n v="41132"/>
    <n v="43012"/>
    <s v="No"/>
    <s v="Y"/>
    <m/>
    <x v="0"/>
    <m/>
    <n v="424685"/>
    <x v="43"/>
    <s v="Ayla"/>
    <s v="Mirza"/>
    <x v="526"/>
    <d v="2015-12-11T00:00:00"/>
    <n v="7.698836413415469"/>
    <n v="2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SLCD"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0"/>
    <n v="1"/>
    <n v="41132"/>
    <n v="41132"/>
    <n v="43012"/>
    <s v="No"/>
    <s v="Y"/>
    <m/>
    <x v="0"/>
    <m/>
    <n v="433198"/>
    <x v="43"/>
    <s v="Daisy"/>
    <s v="Smith"/>
    <x v="527"/>
    <d v="2017-01-28T00:00:00"/>
    <n v="6.5653661875427787"/>
    <n v="1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SLCD"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0"/>
    <n v="1"/>
    <n v="41132"/>
    <n v="41132"/>
    <n v="43012"/>
    <s v="No"/>
    <s v="Y"/>
    <m/>
    <x v="0"/>
    <m/>
    <n v="403089"/>
    <x v="43"/>
    <s v="Eden"/>
    <s v="Close"/>
    <x v="528"/>
    <d v="2012-08-01T00:00:00"/>
    <n v="11.058179329226558"/>
    <n v="6"/>
    <n v="872"/>
    <n v="872"/>
    <d v="2023-04-01T00:00:00"/>
    <n v="1"/>
    <d v="2023-07-21T00:00:00"/>
    <n v="63"/>
    <n v="63"/>
    <n v="0.328125"/>
    <s v="Yr 6"/>
    <n v="27"/>
    <m/>
    <m/>
    <x v="0"/>
    <x v="0"/>
    <x v="0"/>
    <s v="NO"/>
    <s v="NO"/>
    <s v="NO"/>
    <s v="NO"/>
    <m/>
    <n v="6764.7899999999991"/>
    <s v="MLD"/>
    <n v="1"/>
    <n v="0.328125"/>
    <n v="2219.6967187499995"/>
    <n v="2219.6967187499995"/>
    <n v="2219.6967187499995"/>
    <n v="2219.6967187499995"/>
    <n v="2219.6967187499995"/>
    <m/>
    <m/>
    <e v="#N/A"/>
    <s v="The Holt"/>
    <e v="#N/A"/>
    <m/>
    <m/>
    <n v="0"/>
    <n v="2219.6967187499995"/>
    <s v="The Holt School"/>
    <s v="WBC Academy"/>
    <n v="43012"/>
    <m/>
    <s v="The Holt School"/>
    <m/>
    <n v="27"/>
    <n v="6764.7899999999991"/>
    <m/>
    <s v="Y"/>
    <m/>
    <n v="4474.6267187499998"/>
    <n v="6694.3234374999993"/>
    <m/>
    <m/>
    <m/>
    <m/>
    <m/>
    <m/>
    <m/>
    <n v="6694.3234374999993"/>
    <m/>
    <n v="0"/>
    <n v="4474.6267187499998"/>
    <m/>
    <n v="6694.3234374999993"/>
    <n v="0"/>
    <m/>
  </r>
  <r>
    <x v="0"/>
    <n v="1"/>
    <n v="41132"/>
    <n v="41132"/>
    <n v="43012"/>
    <s v="No"/>
    <s v="Y"/>
    <m/>
    <x v="0"/>
    <m/>
    <n v="429329"/>
    <x v="43"/>
    <s v="Hugo"/>
    <s v="Clair"/>
    <x v="529"/>
    <d v="2017-04-25T00:00:00"/>
    <n v="6.3271731690622861"/>
    <n v="1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SEN Supp"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0"/>
    <n v="1"/>
    <n v="41132"/>
    <n v="41132"/>
    <n v="43012"/>
    <s v="No"/>
    <s v="Y"/>
    <m/>
    <x v="0"/>
    <m/>
    <n v="419657"/>
    <x v="43"/>
    <s v="Ishaan"/>
    <s v="Honey"/>
    <x v="530"/>
    <d v="2015-01-29T00:00:00"/>
    <n v="8.5639972621492131"/>
    <n v="3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ASD"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1"/>
    <n v="1"/>
    <n v="41132"/>
    <n v="41132"/>
    <n v="43012"/>
    <s v="No"/>
    <s v="Y"/>
    <m/>
    <x v="0"/>
    <m/>
    <n v="442051"/>
    <x v="43"/>
    <s v="Khalil"/>
    <s v="Ketmouli"/>
    <x v="531"/>
    <d v="2019-04-11T00:00:00"/>
    <n v="4.3668720054757015"/>
    <n v="0"/>
    <n v="872"/>
    <n v="872"/>
    <d v="2023-09-04T00:00:00"/>
    <n v="1"/>
    <d v="2024-03-31T00:00:00"/>
    <n v="192"/>
    <n v="192"/>
    <n v="1"/>
    <m/>
    <n v="25"/>
    <m/>
    <m/>
    <x v="1"/>
    <x v="1"/>
    <x v="0"/>
    <s v="NO"/>
    <s v="NO"/>
    <s v="NO"/>
    <s v="NO"/>
    <m/>
    <n v="5819.25"/>
    <m/>
    <n v="1"/>
    <n v="1"/>
    <n v="5819.25"/>
    <n v="5819.25"/>
    <n v="5819.25"/>
    <n v="0"/>
    <n v="0"/>
    <m/>
    <m/>
    <m/>
    <m/>
    <m/>
    <m/>
    <m/>
    <n v="5819.25"/>
    <n v="5819.25"/>
    <s v=""/>
    <m/>
    <m/>
    <m/>
    <m/>
    <m/>
    <s v="summer leaver"/>
    <m/>
    <m/>
    <m/>
    <m/>
    <m/>
    <n v="5819.25"/>
    <m/>
    <m/>
    <m/>
    <m/>
    <m/>
    <m/>
    <m/>
    <n v="5819.25"/>
    <m/>
    <n v="0"/>
    <n v="5819.25"/>
    <m/>
    <n v="5819.25"/>
    <n v="0"/>
    <m/>
  </r>
  <r>
    <x v="0"/>
    <n v="1"/>
    <n v="41132"/>
    <n v="41132"/>
    <n v="43012"/>
    <s v="No"/>
    <s v="Y"/>
    <m/>
    <x v="0"/>
    <m/>
    <n v="437273"/>
    <x v="43"/>
    <s v="Woody"/>
    <s v="Goodall"/>
    <x v="532"/>
    <d v="2017-11-06T00:00:00"/>
    <n v="5.7932922655715267"/>
    <n v="0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SLCD"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0"/>
    <n v="1"/>
    <n v="41133"/>
    <n v="41133"/>
    <n v="43011"/>
    <s v="Yes"/>
    <m/>
    <m/>
    <x v="0"/>
    <m/>
    <n v="435901"/>
    <x v="44"/>
    <s v="Alexander"/>
    <s v="Trimble"/>
    <x v="533"/>
    <d v="2017-07-31T00:00:00"/>
    <n v="6.061601642710472"/>
    <n v="0"/>
    <n v="872"/>
    <n v="872"/>
    <d v="2023-04-01T00:00:00"/>
    <n v="1"/>
    <d v="2024-03-31T00:00:00"/>
    <n v="192"/>
    <n v="192"/>
    <n v="1"/>
    <s v="open"/>
    <n v="28"/>
    <m/>
    <m/>
    <x v="0"/>
    <x v="0"/>
    <x v="0"/>
    <s v="NO"/>
    <s v="NO"/>
    <s v="NO"/>
    <s v="NO"/>
    <m/>
    <n v="7237.5599999999995"/>
    <s v="SLCD"/>
    <n v="1"/>
    <n v="1"/>
    <n v="7237.5599999999995"/>
    <n v="7237.5599999999995"/>
    <n v="7237.5599999999995"/>
    <n v="7237.5599999999995"/>
    <n v="7237.5599999999995"/>
    <m/>
    <m/>
    <e v="#N/A"/>
    <e v="#N/A"/>
    <e v="#N/A"/>
    <m/>
    <m/>
    <n v="0"/>
    <n v="7237.5599999999995"/>
    <s v=""/>
    <m/>
    <m/>
    <m/>
    <m/>
    <m/>
    <m/>
    <m/>
    <m/>
    <m/>
    <m/>
    <m/>
    <n v="7237.5599999999995"/>
    <m/>
    <m/>
    <m/>
    <m/>
    <m/>
    <m/>
    <m/>
    <n v="7237.5599999999995"/>
    <m/>
    <n v="0"/>
    <n v="0"/>
    <m/>
    <n v="7237.5599999999995"/>
    <n v="0"/>
    <m/>
  </r>
  <r>
    <x v="0"/>
    <n v="1"/>
    <n v="41133"/>
    <n v="41133"/>
    <n v="43011"/>
    <s v="Yes"/>
    <m/>
    <m/>
    <x v="0"/>
    <m/>
    <n v="435902"/>
    <x v="44"/>
    <s v="Benjamin"/>
    <s v="Trimble"/>
    <x v="534"/>
    <d v="2017-07-31T00:00:00"/>
    <n v="6.061601642710472"/>
    <n v="0"/>
    <n v="872"/>
    <n v="872"/>
    <d v="2023-04-01T00:00:00"/>
    <n v="1"/>
    <d v="2024-03-31T00:00:00"/>
    <n v="192"/>
    <n v="192"/>
    <n v="1"/>
    <s v="open"/>
    <n v="28"/>
    <m/>
    <m/>
    <x v="0"/>
    <x v="0"/>
    <x v="0"/>
    <s v="NO"/>
    <s v="NO"/>
    <s v="NO"/>
    <s v="NO"/>
    <m/>
    <n v="7237.5599999999995"/>
    <s v="SLCD"/>
    <n v="1"/>
    <n v="1"/>
    <n v="7237.5599999999995"/>
    <n v="7237.5599999999995"/>
    <n v="7237.5599999999995"/>
    <n v="7237.5599999999995"/>
    <n v="7237.5599999999995"/>
    <m/>
    <m/>
    <e v="#N/A"/>
    <e v="#N/A"/>
    <e v="#N/A"/>
    <m/>
    <m/>
    <n v="0"/>
    <n v="7237.5599999999995"/>
    <s v=""/>
    <m/>
    <m/>
    <m/>
    <m/>
    <m/>
    <m/>
    <m/>
    <m/>
    <m/>
    <m/>
    <m/>
    <n v="7237.5599999999995"/>
    <m/>
    <m/>
    <m/>
    <m/>
    <m/>
    <m/>
    <m/>
    <n v="7237.5599999999995"/>
    <m/>
    <n v="0"/>
    <n v="0"/>
    <m/>
    <n v="7237.5599999999995"/>
    <n v="0"/>
    <m/>
  </r>
  <r>
    <x v="0"/>
    <n v="1"/>
    <n v="41133"/>
    <n v="41133"/>
    <n v="43011"/>
    <s v="Yes"/>
    <m/>
    <m/>
    <x v="0"/>
    <m/>
    <n v="426001"/>
    <x v="44"/>
    <s v="Harrison"/>
    <s v="Barnard"/>
    <x v="535"/>
    <d v="2016-02-27T00:00:00"/>
    <n v="7.485284052019165"/>
    <n v="2"/>
    <n v="872"/>
    <n v="872"/>
    <d v="2023-04-01T00:00:00"/>
    <n v="1"/>
    <d v="2023-07-21T00:00:00"/>
    <n v="63"/>
    <n v="63"/>
    <n v="0.328125"/>
    <s v="Yr 2 Infant"/>
    <n v="27"/>
    <m/>
    <m/>
    <x v="0"/>
    <x v="0"/>
    <x v="0"/>
    <s v="NO"/>
    <s v="NO"/>
    <s v="NO"/>
    <s v="NO"/>
    <m/>
    <n v="6764.7899999999991"/>
    <m/>
    <n v="1"/>
    <n v="0.328125"/>
    <n v="2219.6967187499995"/>
    <n v="2219.6967187499995"/>
    <n v="2219.6967187499995"/>
    <n v="2219.6967187499995"/>
    <n v="2219.6967187499995"/>
    <m/>
    <m/>
    <s v="Robert Piggott Jun"/>
    <e v="#N/A"/>
    <e v="#N/A"/>
    <m/>
    <m/>
    <n v="0"/>
    <n v="2219.6967187499995"/>
    <s v="Robert Piggott Junior school"/>
    <s v="WBC Mnstr"/>
    <n v="43011"/>
    <s v="Robert Piggott Junior school"/>
    <m/>
    <m/>
    <n v="27"/>
    <n v="6764.7899999999991"/>
    <s v="Y"/>
    <s v="Y"/>
    <m/>
    <n v="4474.6267187499998"/>
    <n v="6694.3234374999993"/>
    <m/>
    <m/>
    <m/>
    <m/>
    <m/>
    <m/>
    <m/>
    <n v="6694.3234374999993"/>
    <m/>
    <n v="0"/>
    <n v="4474.6267187499998"/>
    <m/>
    <n v="6694.3234374999993"/>
    <n v="0"/>
    <m/>
  </r>
  <r>
    <x v="1"/>
    <n v="1"/>
    <n v="41134"/>
    <n v="41134"/>
    <n v="43011"/>
    <s v="No"/>
    <m/>
    <m/>
    <x v="0"/>
    <m/>
    <n v="426001"/>
    <x v="44"/>
    <s v="Harrison"/>
    <s v="Barnard"/>
    <x v="535"/>
    <d v="2016-02-27T00:00:00"/>
    <n v="7.485284052019165"/>
    <n v="3"/>
    <n v="872"/>
    <n v="872"/>
    <d v="2023-09-04T00:00:00"/>
    <n v="66"/>
    <d v="2024-03-31T00:00:00"/>
    <n v="192"/>
    <n v="127"/>
    <n v="0.66145833333333337"/>
    <s v="open"/>
    <n v="27"/>
    <m/>
    <m/>
    <x v="0"/>
    <x v="0"/>
    <x v="0"/>
    <s v="NO"/>
    <s v="NO"/>
    <s v="NO"/>
    <s v="NO"/>
    <m/>
    <n v="6764.7899999999991"/>
    <m/>
    <n v="1"/>
    <n v="0.66145833333333337"/>
    <n v="4474.6267187499998"/>
    <n v="4474.6267187499998"/>
    <n v="4474.6267187499998"/>
    <n v="0"/>
    <n v="0"/>
    <m/>
    <m/>
    <m/>
    <m/>
    <m/>
    <m/>
    <m/>
    <n v="4474.6267187499998"/>
    <n v="4474.6267187499998"/>
    <s v="Robert Piggott Junior school"/>
    <s v="WBC Mnstr"/>
    <n v="43011"/>
    <s v="Robert Piggott Junior school"/>
    <m/>
    <m/>
    <s v="summer leaver"/>
    <m/>
    <s v="Y"/>
    <m/>
    <m/>
    <n v="0"/>
    <n v="4474.6267187499998"/>
    <m/>
    <m/>
    <m/>
    <m/>
    <m/>
    <m/>
    <m/>
    <n v="4474.6267187499998"/>
    <m/>
    <n v="0"/>
    <n v="4474.6267187499998"/>
    <m/>
    <n v="4474.6267187499998"/>
    <n v="0"/>
    <m/>
  </r>
  <r>
    <x v="0"/>
    <n v="1"/>
    <n v="41133"/>
    <n v="41133"/>
    <n v="43011"/>
    <s v="Yes"/>
    <m/>
    <m/>
    <x v="0"/>
    <m/>
    <n v="433681"/>
    <x v="44"/>
    <s v="Hermione "/>
    <s v="Shaw"/>
    <x v="536"/>
    <d v="2015-12-07T00:00:00"/>
    <n v="7.7097878165639973"/>
    <n v="2"/>
    <n v="872"/>
    <n v="872"/>
    <d v="2023-04-01T00:00:00"/>
    <n v="1"/>
    <d v="2023-07-21T00:00:00"/>
    <n v="63"/>
    <n v="63"/>
    <n v="0.328125"/>
    <s v="Yr 2 Infant"/>
    <n v="24"/>
    <m/>
    <m/>
    <x v="1"/>
    <x v="1"/>
    <x v="0"/>
    <s v="NO"/>
    <s v="NO"/>
    <s v="NO"/>
    <s v="NO"/>
    <m/>
    <n v="5346.48"/>
    <m/>
    <n v="1"/>
    <n v="0.328125"/>
    <n v="1754.3137499999998"/>
    <n v="1754.3137499999998"/>
    <n v="1754.3137499999998"/>
    <n v="1754.3137499999998"/>
    <n v="1754.3137499999998"/>
    <m/>
    <m/>
    <s v="Robert Piggott Jun"/>
    <e v="#N/A"/>
    <e v="#N/A"/>
    <m/>
    <m/>
    <n v="0"/>
    <n v="1754.3137499999998"/>
    <s v="Robert Piggott Junior School"/>
    <s v="WBC Mnstr"/>
    <n v="43011"/>
    <s v="Robert Piggott Junior school"/>
    <m/>
    <m/>
    <n v="24"/>
    <n v="5346.48"/>
    <s v="Y"/>
    <m/>
    <m/>
    <n v="3536.4737499999997"/>
    <n v="5290.7874999999995"/>
    <m/>
    <m/>
    <m/>
    <m/>
    <m/>
    <m/>
    <m/>
    <n v="5290.7874999999995"/>
    <m/>
    <n v="0"/>
    <n v="3536.4737499999997"/>
    <m/>
    <n v="5290.7874999999995"/>
    <n v="0"/>
    <m/>
  </r>
  <r>
    <x v="0"/>
    <n v="1"/>
    <n v="41133"/>
    <n v="41133"/>
    <n v="43011"/>
    <s v="Yes"/>
    <m/>
    <m/>
    <x v="0"/>
    <m/>
    <n v="430079"/>
    <x v="44"/>
    <s v="Jacob"/>
    <s v="Keegan"/>
    <x v="537"/>
    <d v="2015-12-10T00:00:00"/>
    <n v="7.7015742642026011"/>
    <n v="2"/>
    <n v="872"/>
    <n v="872"/>
    <d v="2023-04-01T00:00:00"/>
    <n v="1"/>
    <d v="2023-07-21T00:00:00"/>
    <n v="63"/>
    <n v="63"/>
    <n v="0.328125"/>
    <s v="Yr 2 Infant"/>
    <n v="23"/>
    <m/>
    <m/>
    <x v="1"/>
    <x v="1"/>
    <x v="0"/>
    <s v="NO"/>
    <s v="NO"/>
    <s v="NO"/>
    <s v="NO"/>
    <m/>
    <n v="4873.7099999999991"/>
    <s v="SLCD"/>
    <n v="1"/>
    <n v="0.328125"/>
    <n v="1599.1860937499996"/>
    <n v="1599.1860937499996"/>
    <n v="1599.1860937499996"/>
    <n v="1599.1860937499996"/>
    <n v="1599.1860937499996"/>
    <m/>
    <m/>
    <e v="#N/A"/>
    <e v="#N/A"/>
    <e v="#N/A"/>
    <m/>
    <m/>
    <n v="0"/>
    <n v="1599.1860937499996"/>
    <s v="???"/>
    <m/>
    <m/>
    <m/>
    <m/>
    <m/>
    <n v="23"/>
    <n v="4873.7099999999991"/>
    <m/>
    <m/>
    <m/>
    <n v="3223.7560937499993"/>
    <n v="4822.9421874999989"/>
    <m/>
    <m/>
    <s v="?"/>
    <s v="?"/>
    <m/>
    <m/>
    <m/>
    <n v="4822.9421874999989"/>
    <m/>
    <n v="0"/>
    <n v="3223.7560937499993"/>
    <m/>
    <n v="4822.9421874999989"/>
    <n v="0"/>
    <m/>
  </r>
  <r>
    <x v="0"/>
    <n v="1"/>
    <n v="41133"/>
    <n v="41133"/>
    <n v="43011"/>
    <s v="Yes"/>
    <m/>
    <m/>
    <x v="0"/>
    <m/>
    <n v="443914"/>
    <x v="44"/>
    <s v="Jack"/>
    <s v="Hemani"/>
    <x v="538"/>
    <d v="2017-10-31T00:00:00"/>
    <n v="5.8097193702943191"/>
    <n v="0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m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0"/>
    <n v="1"/>
    <n v="41133"/>
    <n v="41133"/>
    <n v="43011"/>
    <s v="Yes"/>
    <m/>
    <m/>
    <x v="0"/>
    <m/>
    <n v="430433"/>
    <x v="44"/>
    <s v="Samuel"/>
    <s v="Keegan"/>
    <x v="539"/>
    <d v="2015-12-10T00:00:00"/>
    <n v="7.7015742642026011"/>
    <n v="2"/>
    <n v="872"/>
    <n v="872"/>
    <d v="2023-04-01T00:00:00"/>
    <n v="1"/>
    <d v="2023-07-21T00:00:00"/>
    <n v="63"/>
    <n v="63"/>
    <n v="0.328125"/>
    <s v="Yr 2 Infant"/>
    <n v="23"/>
    <m/>
    <m/>
    <x v="1"/>
    <x v="1"/>
    <x v="0"/>
    <s v="NO"/>
    <s v="NO"/>
    <s v="NO"/>
    <s v="NO"/>
    <m/>
    <n v="4873.7099999999991"/>
    <s v="SLCD"/>
    <n v="1"/>
    <n v="0.328125"/>
    <n v="1599.1860937499996"/>
    <n v="1599.1860937499996"/>
    <n v="1599.1860937499996"/>
    <n v="1599.1860937499996"/>
    <n v="1599.1860937499996"/>
    <m/>
    <m/>
    <e v="#N/A"/>
    <e v="#N/A"/>
    <e v="#N/A"/>
    <m/>
    <m/>
    <n v="0"/>
    <n v="1599.1860937499996"/>
    <s v="???"/>
    <m/>
    <m/>
    <m/>
    <m/>
    <m/>
    <n v="23"/>
    <n v="4873.7099999999991"/>
    <m/>
    <m/>
    <m/>
    <n v="3223.7560937499993"/>
    <n v="4822.9421874999989"/>
    <m/>
    <m/>
    <s v="?"/>
    <s v="?"/>
    <m/>
    <m/>
    <m/>
    <n v="4822.9421874999989"/>
    <m/>
    <n v="0"/>
    <n v="3223.7560937499993"/>
    <m/>
    <n v="4822.9421874999989"/>
    <n v="0"/>
    <m/>
  </r>
  <r>
    <x v="0"/>
    <n v="1"/>
    <n v="41134"/>
    <n v="41134"/>
    <n v="43011"/>
    <s v="No"/>
    <m/>
    <m/>
    <x v="0"/>
    <m/>
    <n v="439711"/>
    <x v="45"/>
    <s v="Arthur"/>
    <s v="Wyld"/>
    <x v="540"/>
    <d v="2013-07-16T00:00:00"/>
    <n v="10.102669404517453"/>
    <n v="4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HI"/>
    <n v="1"/>
    <n v="1"/>
    <n v="8183.0999999999985"/>
    <n v="8183.0999999999985"/>
    <n v="8183.0999999999985"/>
    <n v="0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8183.0999999999985"/>
    <m/>
    <n v="8183.0999999999985"/>
    <n v="0"/>
    <m/>
  </r>
  <r>
    <x v="0"/>
    <n v="1"/>
    <n v="41134"/>
    <n v="41134"/>
    <n v="43011"/>
    <s v="No"/>
    <m/>
    <m/>
    <x v="0"/>
    <m/>
    <n v="407785"/>
    <x v="45"/>
    <s v="Barnaby"/>
    <s v="Roberts"/>
    <x v="541"/>
    <d v="2013-03-27T00:00:00"/>
    <n v="10.406570841889117"/>
    <n v="5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SEMH"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0"/>
    <n v="1"/>
    <n v="41134"/>
    <n v="41134"/>
    <n v="43011"/>
    <s v="No"/>
    <m/>
    <m/>
    <x v="0"/>
    <m/>
    <n v="419093"/>
    <x v="45"/>
    <s v="Ciara"/>
    <s v="Smith"/>
    <x v="542"/>
    <d v="2013-04-21T00:00:00"/>
    <n v="10.338124572210814"/>
    <n v="5"/>
    <n v="872"/>
    <n v="872"/>
    <d v="2023-04-01T00:00:00"/>
    <n v="1"/>
    <d v="2024-03-31T00:00:00"/>
    <n v="192"/>
    <n v="192"/>
    <n v="1"/>
    <s v="open"/>
    <n v="28"/>
    <m/>
    <m/>
    <x v="0"/>
    <x v="0"/>
    <x v="0"/>
    <s v="NO"/>
    <s v="NO"/>
    <s v="NO"/>
    <s v="NO"/>
    <m/>
    <n v="7237.5599999999995"/>
    <s v="SEMH"/>
    <n v="1"/>
    <n v="1"/>
    <n v="7237.5599999999995"/>
    <n v="7237.5599999999995"/>
    <n v="7237.5599999999995"/>
    <n v="7237.5599999999995"/>
    <n v="7237.5599999999995"/>
    <m/>
    <m/>
    <e v="#N/A"/>
    <e v="#N/A"/>
    <e v="#N/A"/>
    <m/>
    <m/>
    <n v="0"/>
    <n v="7237.5599999999995"/>
    <s v=""/>
    <m/>
    <m/>
    <m/>
    <m/>
    <m/>
    <m/>
    <m/>
    <m/>
    <m/>
    <m/>
    <m/>
    <n v="7237.5599999999995"/>
    <m/>
    <m/>
    <m/>
    <m/>
    <m/>
    <m/>
    <m/>
    <n v="7237.5599999999995"/>
    <m/>
    <n v="0"/>
    <n v="0"/>
    <m/>
    <n v="7237.5599999999995"/>
    <n v="0"/>
    <m/>
  </r>
  <r>
    <x v="1"/>
    <n v="1"/>
    <n v="41134"/>
    <n v="41134"/>
    <n v="43011"/>
    <s v="No"/>
    <m/>
    <m/>
    <x v="0"/>
    <m/>
    <n v="419093"/>
    <x v="45"/>
    <s v="Ciara"/>
    <s v="Smith"/>
    <x v="542"/>
    <d v="2013-04-21T00:00:00"/>
    <n v="10.338124572210814"/>
    <n v="5"/>
    <n v="872"/>
    <n v="872"/>
    <d v="2023-04-17T00:00:00"/>
    <n v="2"/>
    <d v="2023-07-21T00:00:00"/>
    <n v="63"/>
    <n v="62"/>
    <n v="0.32291666666666669"/>
    <d v="2023-07-21T00:00:00"/>
    <n v="7800"/>
    <m/>
    <m/>
    <x v="0"/>
    <x v="1"/>
    <x v="1"/>
    <s v="NO"/>
    <s v="NO"/>
    <s v="NO"/>
    <s v="NO"/>
    <m/>
    <n v="7800"/>
    <s v="SEMH"/>
    <n v="1"/>
    <n v="1"/>
    <n v="7800"/>
    <n v="7800"/>
    <n v="7800"/>
    <n v="0"/>
    <n v="0"/>
    <m/>
    <m/>
    <m/>
    <m/>
    <m/>
    <m/>
    <m/>
    <n v="7800"/>
    <n v="7800"/>
    <s v=""/>
    <m/>
    <m/>
    <m/>
    <m/>
    <m/>
    <n v="7800"/>
    <n v="7800"/>
    <m/>
    <m/>
    <m/>
    <n v="5159.375"/>
    <n v="12959.375"/>
    <m/>
    <m/>
    <m/>
    <m/>
    <m/>
    <m/>
    <m/>
    <n v="12959.375"/>
    <m/>
    <n v="0"/>
    <n v="12959.375"/>
    <m/>
    <n v="12959.375"/>
    <n v="0"/>
    <m/>
  </r>
  <r>
    <x v="0"/>
    <n v="1"/>
    <n v="41134"/>
    <n v="41134"/>
    <n v="43011"/>
    <s v="No"/>
    <m/>
    <m/>
    <x v="0"/>
    <m/>
    <n v="397428"/>
    <x v="45"/>
    <s v="Vinnie"/>
    <s v="Martin"/>
    <x v="543"/>
    <d v="2012-07-10T00:00:00"/>
    <n v="11.118412046543463"/>
    <n v="6"/>
    <n v="872"/>
    <n v="872"/>
    <d v="2023-04-01T00:00:00"/>
    <n v="1"/>
    <d v="2023-07-21T00:00:00"/>
    <n v="63"/>
    <n v="63"/>
    <n v="0.328125"/>
    <s v="Yr 6"/>
    <n v="23"/>
    <m/>
    <m/>
    <x v="1"/>
    <x v="1"/>
    <x v="0"/>
    <s v="NO"/>
    <s v="NO"/>
    <s v="NO"/>
    <s v="NO"/>
    <m/>
    <n v="4873.7099999999991"/>
    <s v="SEMH"/>
    <n v="1"/>
    <n v="0.328125"/>
    <n v="1599.1860937499996"/>
    <n v="1599.1860937499996"/>
    <n v="1599.1860937499996"/>
    <n v="1599.1860937499996"/>
    <n v="1599.1860937499996"/>
    <m/>
    <m/>
    <e v="#N/A"/>
    <s v="Oakbank"/>
    <e v="#N/A"/>
    <m/>
    <m/>
    <n v="0"/>
    <n v="1599.1860937499996"/>
    <s v="RPJUN?"/>
    <m/>
    <m/>
    <m/>
    <m/>
    <m/>
    <m/>
    <m/>
    <m/>
    <m/>
    <m/>
    <m/>
    <m/>
    <m/>
    <m/>
    <m/>
    <m/>
    <m/>
    <m/>
    <m/>
    <n v="1599.1860937499996"/>
    <m/>
    <n v="1599.1860937499996"/>
    <n v="0"/>
    <m/>
    <n v="1599.1860937499996"/>
    <n v="0"/>
    <m/>
  </r>
  <r>
    <x v="0"/>
    <n v="1"/>
    <n v="41134"/>
    <n v="41134"/>
    <n v="43011"/>
    <s v="No"/>
    <m/>
    <m/>
    <x v="0"/>
    <m/>
    <n v="409491"/>
    <x v="45"/>
    <s v="Zachary"/>
    <s v="Barnard"/>
    <x v="544"/>
    <d v="2012-12-20T00:00:00"/>
    <n v="10.67214236824093"/>
    <n v="5"/>
    <n v="872"/>
    <n v="872"/>
    <d v="2023-04-01T00:00:00"/>
    <n v="1"/>
    <d v="2024-03-31T00:00:00"/>
    <n v="192"/>
    <n v="192"/>
    <n v="1"/>
    <s v="open"/>
    <n v="23"/>
    <m/>
    <m/>
    <x v="1"/>
    <x v="1"/>
    <x v="0"/>
    <s v="NO"/>
    <s v="NO"/>
    <s v="NO"/>
    <s v="NO"/>
    <m/>
    <n v="4873.7099999999991"/>
    <s v="HI"/>
    <n v="1"/>
    <n v="1"/>
    <n v="4873.7099999999991"/>
    <n v="4873.7099999999991"/>
    <n v="4873.7099999999991"/>
    <n v="4873.7099999999991"/>
    <n v="4873.7099999999991"/>
    <m/>
    <m/>
    <e v="#N/A"/>
    <e v="#N/A"/>
    <e v="#N/A"/>
    <m/>
    <m/>
    <n v="0"/>
    <n v="4873.7099999999991"/>
    <s v=""/>
    <m/>
    <m/>
    <m/>
    <m/>
    <m/>
    <m/>
    <m/>
    <m/>
    <m/>
    <m/>
    <m/>
    <n v="4873.7099999999991"/>
    <m/>
    <m/>
    <m/>
    <m/>
    <m/>
    <m/>
    <m/>
    <n v="4873.7099999999991"/>
    <m/>
    <n v="0"/>
    <n v="0"/>
    <m/>
    <n v="4873.7099999999991"/>
    <n v="0"/>
    <m/>
  </r>
  <r>
    <x v="0"/>
    <n v="1"/>
    <n v="41135"/>
    <n v="41135"/>
    <n v="43012"/>
    <s v="Yes"/>
    <s v="Y"/>
    <m/>
    <x v="0"/>
    <m/>
    <n v="451071"/>
    <x v="46"/>
    <s v="Aisha"/>
    <s v="Wasi"/>
    <x v="545"/>
    <d v="2019-02-17T00:00:00"/>
    <n v="4.5119780971937029"/>
    <n v="-1"/>
    <n v="872"/>
    <n v="872"/>
    <d v="2023-04-01T00:00:00"/>
    <n v="1"/>
    <d v="2023-04-01T00:00:00"/>
    <n v="0"/>
    <n v="0"/>
    <n v="0"/>
    <s v="open"/>
    <n v="25"/>
    <m/>
    <m/>
    <x v="1"/>
    <x v="1"/>
    <x v="0"/>
    <s v="NO"/>
    <s v="NO"/>
    <s v="NO"/>
    <s v="NO"/>
    <m/>
    <n v="5819.25"/>
    <m/>
    <n v="1"/>
    <n v="0"/>
    <n v="0"/>
    <n v="0"/>
    <n v="5819.25"/>
    <n v="0"/>
    <n v="5819.25"/>
    <m/>
    <m/>
    <e v="#N/A"/>
    <e v="#N/A"/>
    <e v="#N/A"/>
    <m/>
    <m/>
    <n v="-5819.25"/>
    <n v="-5819.25"/>
    <s v="in nursery, transsitoning in Spring4, added to EY"/>
    <m/>
    <m/>
    <m/>
    <m/>
    <m/>
    <m/>
    <m/>
    <m/>
    <m/>
    <m/>
    <m/>
    <n v="-5819.25"/>
    <m/>
    <m/>
    <s v="in nursery, transitioning in Spring4, added to EY"/>
    <m/>
    <m/>
    <m/>
    <m/>
    <n v="0"/>
    <m/>
    <n v="5819.25"/>
    <n v="0"/>
    <m/>
    <n v="0"/>
    <n v="0"/>
    <m/>
  </r>
  <r>
    <x v="0"/>
    <n v="1"/>
    <n v="41135"/>
    <n v="41135"/>
    <n v="43012"/>
    <s v="Yes"/>
    <s v="Y"/>
    <m/>
    <x v="0"/>
    <m/>
    <n v="431775"/>
    <x v="46"/>
    <s v="Arvin"/>
    <s v="Gurung"/>
    <x v="546"/>
    <d v="2016-10-25T00:00:00"/>
    <n v="6.8254620123203287"/>
    <n v="1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m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0"/>
    <n v="1"/>
    <n v="41135"/>
    <n v="41135"/>
    <n v="43012"/>
    <s v="Yes"/>
    <s v="Y"/>
    <m/>
    <x v="0"/>
    <m/>
    <n v="445714"/>
    <x v="46"/>
    <s v="Chaitanya"/>
    <s v="Deepak"/>
    <x v="547"/>
    <d v="2017-11-29T00:00:00"/>
    <n v="5.7303216974674882"/>
    <n v="0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m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0"/>
    <n v="1"/>
    <n v="41135"/>
    <n v="41135"/>
    <n v="43012"/>
    <s v="Yes"/>
    <s v="Y"/>
    <m/>
    <x v="0"/>
    <m/>
    <n v="438489"/>
    <x v="46"/>
    <s v="Charvilochana"/>
    <s v="Dundigella"/>
    <x v="548"/>
    <d v="2017-03-01T00:00:00"/>
    <n v="6.4777549623545516"/>
    <n v="1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m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0"/>
    <n v="1"/>
    <n v="41135"/>
    <n v="41135"/>
    <n v="43012"/>
    <s v="Yes"/>
    <s v="Y"/>
    <m/>
    <x v="0"/>
    <m/>
    <n v="428576"/>
    <x v="46"/>
    <s v="Don Amandi"/>
    <s v="Jayamanne"/>
    <x v="549"/>
    <d v="2015-10-18T00:00:00"/>
    <n v="7.8466803559206024"/>
    <n v="2"/>
    <n v="872"/>
    <n v="872"/>
    <d v="2023-04-01T00:00:00"/>
    <n v="1"/>
    <d v="2023-07-21T00:00:00"/>
    <n v="63"/>
    <n v="63"/>
    <n v="0.328125"/>
    <s v="Yr 2 Infant"/>
    <n v="30"/>
    <m/>
    <m/>
    <x v="0"/>
    <x v="0"/>
    <x v="0"/>
    <s v="NO"/>
    <s v="NO"/>
    <s v="NO"/>
    <s v="NO"/>
    <m/>
    <n v="8183.0999999999985"/>
    <s v="SLCD"/>
    <n v="1"/>
    <n v="0.328125"/>
    <n v="2685.0796874999996"/>
    <n v="2685.0796874999996"/>
    <n v="2685.0796874999996"/>
    <n v="2685.0796874999996"/>
    <n v="2685.0796874999996"/>
    <m/>
    <m/>
    <e v="#N/A"/>
    <e v="#N/A"/>
    <e v="#N/A"/>
    <m/>
    <m/>
    <n v="0"/>
    <n v="2685.0796874999996"/>
    <s v="???"/>
    <m/>
    <m/>
    <m/>
    <m/>
    <m/>
    <n v="30"/>
    <n v="8183.0999999999985"/>
    <m/>
    <m/>
    <m/>
    <n v="5412.7796874999985"/>
    <n v="8097.8593749999982"/>
    <m/>
    <m/>
    <s v="?"/>
    <s v="?"/>
    <m/>
    <m/>
    <m/>
    <n v="8097.8593749999982"/>
    <m/>
    <n v="0"/>
    <n v="5412.7796874999985"/>
    <m/>
    <n v="8097.8593749999982"/>
    <n v="0"/>
    <m/>
  </r>
  <r>
    <x v="0"/>
    <n v="1"/>
    <n v="41135"/>
    <n v="41135"/>
    <n v="43012"/>
    <s v="Yes"/>
    <s v="Y"/>
    <m/>
    <x v="0"/>
    <m/>
    <n v="429041"/>
    <x v="46"/>
    <s v="Elsie"/>
    <s v="Huntley"/>
    <x v="550"/>
    <d v="2016-05-05T00:00:00"/>
    <n v="7.2991101984941817"/>
    <n v="2"/>
    <n v="872"/>
    <n v="872"/>
    <d v="2023-04-01T00:00:00"/>
    <n v="1"/>
    <d v="2023-07-21T00:00:00"/>
    <n v="63"/>
    <n v="63"/>
    <n v="0.328125"/>
    <s v="Yr 2 Infant"/>
    <n v="30"/>
    <m/>
    <m/>
    <x v="0"/>
    <x v="0"/>
    <x v="0"/>
    <s v="NO"/>
    <s v="NO"/>
    <s v="NO"/>
    <s v="NO"/>
    <m/>
    <n v="8183.0999999999985"/>
    <m/>
    <n v="1"/>
    <n v="0.328125"/>
    <n v="2685.0796874999996"/>
    <n v="2685.0796874999996"/>
    <n v="2685.0796874999996"/>
    <n v="2685.0796874999996"/>
    <n v="2685.0796874999996"/>
    <m/>
    <m/>
    <s v="Shinfield St Marys"/>
    <e v="#N/A"/>
    <e v="#N/A"/>
    <m/>
    <m/>
    <n v="0"/>
    <n v="2685.0796874999996"/>
    <s v="Shinfield St Mary's CE junior school"/>
    <s v="WBC Mnstr"/>
    <n v="43011"/>
    <s v="Shinfield St Mary's CE junior school"/>
    <m/>
    <m/>
    <n v="30"/>
    <n v="8183.0999999999985"/>
    <s v="Y"/>
    <m/>
    <m/>
    <n v="5412.7796874999985"/>
    <n v="8097.8593749999982"/>
    <m/>
    <m/>
    <m/>
    <m/>
    <m/>
    <m/>
    <m/>
    <n v="8097.8593749999982"/>
    <m/>
    <n v="0"/>
    <n v="5412.7796874999985"/>
    <m/>
    <n v="8097.8593749999982"/>
    <n v="0"/>
    <m/>
  </r>
  <r>
    <x v="1"/>
    <n v="1"/>
    <n v="41135"/>
    <n v="41135"/>
    <n v="43012"/>
    <s v="Yes"/>
    <s v="Y"/>
    <m/>
    <x v="0"/>
    <m/>
    <n v="444271"/>
    <x v="46"/>
    <s v="Khadem"/>
    <s v="Daniel"/>
    <x v="551"/>
    <d v="2018-09-22T00:00:00"/>
    <n v="4.9171800136892543"/>
    <n v="0"/>
    <n v="872"/>
    <n v="872"/>
    <d v="2023-09-01T00:00:00"/>
    <n v="65"/>
    <d v="2024-03-31T00:00:00"/>
    <n v="192"/>
    <n v="128"/>
    <n v="0.66666666666666663"/>
    <m/>
    <n v="12142.75"/>
    <m/>
    <m/>
    <x v="0"/>
    <x v="1"/>
    <x v="1"/>
    <s v="NO"/>
    <s v="NO"/>
    <s v="NO"/>
    <s v="NO"/>
    <m/>
    <n v="12142.75"/>
    <m/>
    <n v="1"/>
    <n v="0.66666666666666663"/>
    <n v="8095.1666666666661"/>
    <n v="8095.1666666666661"/>
    <n v="8095.1666666666661"/>
    <n v="0"/>
    <m/>
    <m/>
    <m/>
    <m/>
    <m/>
    <m/>
    <m/>
    <m/>
    <n v="8095.1666666666661"/>
    <n v="8095.1666666666661"/>
    <s v="from Willows Nursery (not Radstock!)"/>
    <m/>
    <m/>
    <m/>
    <m/>
    <m/>
    <m/>
    <m/>
    <m/>
    <m/>
    <m/>
    <m/>
    <n v="8095.1666666666661"/>
    <m/>
    <m/>
    <s v="newly added transfer"/>
    <m/>
    <m/>
    <m/>
    <m/>
    <n v="8095.1666666666661"/>
    <m/>
    <n v="0"/>
    <n v="8095.1666666666661"/>
    <m/>
    <n v="8095.1666666666661"/>
    <n v="0"/>
    <s v="1470 transition + £6058.75"/>
  </r>
  <r>
    <x v="0"/>
    <n v="1"/>
    <n v="41135"/>
    <n v="41135"/>
    <n v="43012"/>
    <s v="Yes"/>
    <s v="Y"/>
    <m/>
    <x v="0"/>
    <m/>
    <n v="430383"/>
    <x v="46"/>
    <s v="Lauren"/>
    <s v="Okeke"/>
    <x v="552"/>
    <d v="2016-03-17T00:00:00"/>
    <n v="7.4332648870636548"/>
    <n v="2"/>
    <n v="872"/>
    <n v="872"/>
    <d v="2023-04-01T00:00:00"/>
    <n v="1"/>
    <d v="2023-07-21T00:00:00"/>
    <n v="63"/>
    <n v="63"/>
    <n v="0.328125"/>
    <s v="Yr 2 Infant"/>
    <n v="28"/>
    <m/>
    <m/>
    <x v="0"/>
    <x v="0"/>
    <x v="0"/>
    <s v="NO"/>
    <s v="NO"/>
    <s v="NO"/>
    <s v="NO"/>
    <m/>
    <n v="7237.5599999999995"/>
    <m/>
    <n v="1"/>
    <n v="0.328125"/>
    <n v="2374.8243749999997"/>
    <n v="2374.8243749999997"/>
    <n v="2374.8243749999997"/>
    <n v="2374.8243749999997"/>
    <n v="2374.8243749999997"/>
    <m/>
    <m/>
    <s v="Shinfield St Marys"/>
    <e v="#N/A"/>
    <e v="#N/A"/>
    <m/>
    <m/>
    <n v="0"/>
    <n v="2374.8243749999997"/>
    <s v="Shinfield St Mary's CE junior school"/>
    <s v="WBC Mnstr"/>
    <n v="43011"/>
    <s v="Shinfield St Mary's CE junior school"/>
    <m/>
    <m/>
    <n v="28"/>
    <n v="7237.5599999999995"/>
    <s v="Y"/>
    <m/>
    <m/>
    <n v="4787.3443749999997"/>
    <n v="7162.1687499999989"/>
    <m/>
    <m/>
    <m/>
    <m/>
    <m/>
    <m/>
    <m/>
    <n v="7162.1687499999989"/>
    <m/>
    <n v="0"/>
    <n v="4787.3443749999988"/>
    <m/>
    <n v="7162.1687499999989"/>
    <n v="0"/>
    <m/>
  </r>
  <r>
    <x v="0"/>
    <n v="1"/>
    <n v="41135"/>
    <n v="41135"/>
    <n v="43012"/>
    <s v="Yes"/>
    <s v="Y"/>
    <m/>
    <x v="0"/>
    <m/>
    <n v="434519"/>
    <x v="46"/>
    <s v="Luke"/>
    <s v="Nesbitt"/>
    <x v="553"/>
    <d v="2017-04-17T00:00:00"/>
    <n v="6.3490759753593426"/>
    <n v="1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m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0"/>
    <n v="1"/>
    <n v="41135"/>
    <n v="41135"/>
    <n v="43012"/>
    <s v="Yes"/>
    <s v="Y"/>
    <m/>
    <x v="0"/>
    <m/>
    <n v="428575"/>
    <x v="46"/>
    <s v="Mohammed Zayn"/>
    <s v="Hafiz Gill"/>
    <x v="554"/>
    <d v="2016-01-08T00:00:00"/>
    <n v="7.6221765913757702"/>
    <n v="2"/>
    <n v="872"/>
    <n v="872"/>
    <d v="2023-04-01T00:00:00"/>
    <n v="1"/>
    <d v="2023-07-21T00:00:00"/>
    <n v="63"/>
    <n v="63"/>
    <n v="0.328125"/>
    <s v="Yr 2 Infant"/>
    <n v="30"/>
    <m/>
    <m/>
    <x v="0"/>
    <x v="0"/>
    <x v="0"/>
    <s v="NO"/>
    <s v="NO"/>
    <s v="NO"/>
    <s v="NO"/>
    <m/>
    <n v="8183.0999999999985"/>
    <s v="ASD"/>
    <n v="1"/>
    <n v="0.328125"/>
    <n v="2685.0796874999996"/>
    <n v="2685.0796874999996"/>
    <n v="2685.0796874999996"/>
    <n v="2685.0796874999996"/>
    <n v="2685.0796874999996"/>
    <m/>
    <m/>
    <s v="Shinfield St Marys"/>
    <e v="#N/A"/>
    <e v="#N/A"/>
    <m/>
    <m/>
    <n v="0"/>
    <n v="2685.0796874999996"/>
    <s v="Shinfield  St Mary's junior school"/>
    <s v="WBC Mnstr"/>
    <n v="43011"/>
    <s v="Shinfield  St Mary's junior school"/>
    <m/>
    <m/>
    <n v="30"/>
    <n v="8183.0999999999985"/>
    <s v="Y"/>
    <m/>
    <m/>
    <n v="5412.7796874999985"/>
    <n v="8097.8593749999982"/>
    <m/>
    <m/>
    <m/>
    <m/>
    <m/>
    <m/>
    <m/>
    <n v="8097.8593749999982"/>
    <m/>
    <n v="0"/>
    <n v="5412.7796874999985"/>
    <m/>
    <n v="8097.8593749999982"/>
    <n v="0"/>
    <m/>
  </r>
  <r>
    <x v="0"/>
    <n v="1"/>
    <n v="41135"/>
    <n v="41135"/>
    <n v="43012"/>
    <s v="Yes"/>
    <s v="Y"/>
    <m/>
    <x v="0"/>
    <m/>
    <n v="442460"/>
    <x v="46"/>
    <s v="Oliver"/>
    <s v="Gilbert"/>
    <x v="555"/>
    <d v="2018-02-28T00:00:00"/>
    <n v="5.4811772758384665"/>
    <n v="0"/>
    <n v="872"/>
    <n v="872"/>
    <d v="2023-06-20T00:00:00"/>
    <n v="41"/>
    <d v="2024-03-31T00:00:00"/>
    <n v="192"/>
    <n v="152"/>
    <n v="0.79166666666666663"/>
    <s v="open"/>
    <n v="28"/>
    <m/>
    <m/>
    <x v="0"/>
    <x v="0"/>
    <x v="0"/>
    <s v="NO"/>
    <s v="NO"/>
    <s v="NO"/>
    <s v="NO"/>
    <m/>
    <n v="7237.5599999999995"/>
    <m/>
    <n v="1"/>
    <n v="0.79166666666666663"/>
    <n v="5729.7349999999997"/>
    <n v="5729.7349999999997"/>
    <n v="0"/>
    <n v="0"/>
    <n v="0"/>
    <m/>
    <m/>
    <m/>
    <m/>
    <m/>
    <m/>
    <m/>
    <n v="0"/>
    <n v="0"/>
    <m/>
    <m/>
    <m/>
    <m/>
    <m/>
    <m/>
    <m/>
    <m/>
    <m/>
    <m/>
    <m/>
    <m/>
    <n v="0"/>
    <m/>
    <m/>
    <m/>
    <m/>
    <m/>
    <m/>
    <m/>
    <n v="5729.7349999999997"/>
    <m/>
    <n v="5729.7349999999997"/>
    <n v="5729.7349999999997"/>
    <m/>
    <n v="5729.7349999999997"/>
    <n v="0"/>
    <m/>
  </r>
  <r>
    <x v="0"/>
    <n v="1"/>
    <n v="41135"/>
    <n v="41135"/>
    <n v="43012"/>
    <s v="Yes"/>
    <s v="Y"/>
    <m/>
    <x v="0"/>
    <m/>
    <n v="449681"/>
    <x v="46"/>
    <s v="Riley"/>
    <s v="Bennett"/>
    <x v="556"/>
    <d v="2018-09-16T00:00:00"/>
    <n v="4.9336071184120467"/>
    <n v="1"/>
    <n v="872"/>
    <n v="872"/>
    <d v="2023-09-01T00:00:00"/>
    <n v="65"/>
    <d v="2024-03-31T00:00:00"/>
    <n v="192"/>
    <n v="128"/>
    <n v="0.66666666666666663"/>
    <s v="open"/>
    <n v="30"/>
    <m/>
    <m/>
    <x v="0"/>
    <x v="0"/>
    <x v="0"/>
    <s v="NO"/>
    <s v="NO"/>
    <s v="NO"/>
    <s v="NO"/>
    <m/>
    <n v="8183.0999999999985"/>
    <m/>
    <n v="1"/>
    <n v="0.66666666666666663"/>
    <n v="5455.3999999999987"/>
    <n v="5455.3999999999987"/>
    <n v="5455.3999999999987"/>
    <n v="0"/>
    <n v="8183.0999999999985"/>
    <m/>
    <m/>
    <e v="#N/A"/>
    <e v="#N/A"/>
    <e v="#N/A"/>
    <m/>
    <m/>
    <n v="-2727.7"/>
    <n v="5455.3999999999987"/>
    <s v="from SHINFnursery and Dingley"/>
    <m/>
    <m/>
    <m/>
    <m/>
    <m/>
    <m/>
    <m/>
    <m/>
    <m/>
    <m/>
    <m/>
    <n v="5455.3999999999987"/>
    <m/>
    <m/>
    <s v="newly added transfer info - otinallu incorrect onNWPU, should have been in EY"/>
    <m/>
    <m/>
    <m/>
    <m/>
    <n v="5455.3999999999987"/>
    <m/>
    <n v="0"/>
    <n v="5455.3999999999987"/>
    <m/>
    <n v="5455.3999999999987"/>
    <n v="0"/>
    <m/>
  </r>
  <r>
    <x v="0"/>
    <n v="1"/>
    <n v="41136"/>
    <n v="41136"/>
    <n v="43011"/>
    <s v="No"/>
    <m/>
    <m/>
    <x v="0"/>
    <m/>
    <n v="413652"/>
    <x v="47"/>
    <s v="Alisha"/>
    <s v="Mitra"/>
    <x v="557"/>
    <d v="2014-04-22T00:00:00"/>
    <n v="9.3360711841204651"/>
    <n v="4"/>
    <n v="872"/>
    <n v="872"/>
    <d v="2023-04-01T00:00:00"/>
    <n v="1"/>
    <d v="2024-03-31T00:00:00"/>
    <n v="192"/>
    <n v="192"/>
    <n v="1"/>
    <s v="open"/>
    <n v="32"/>
    <m/>
    <m/>
    <x v="0"/>
    <x v="1"/>
    <x v="1"/>
    <s v="NO"/>
    <s v="NO"/>
    <s v="NO"/>
    <s v="NO"/>
    <m/>
    <n v="9128.64"/>
    <s v="ASD"/>
    <n v="1"/>
    <n v="1"/>
    <n v="9128.64"/>
    <n v="9128.64"/>
    <n v="9128.64"/>
    <n v="9128.64"/>
    <n v="9128.64"/>
    <m/>
    <m/>
    <e v="#N/A"/>
    <e v="#N/A"/>
    <e v="#N/A"/>
    <m/>
    <m/>
    <n v="0"/>
    <n v="9128.64"/>
    <s v=""/>
    <m/>
    <m/>
    <m/>
    <m/>
    <m/>
    <m/>
    <m/>
    <m/>
    <m/>
    <m/>
    <m/>
    <n v="9128.64"/>
    <m/>
    <m/>
    <m/>
    <m/>
    <m/>
    <m/>
    <m/>
    <n v="9128.64"/>
    <m/>
    <n v="0"/>
    <n v="0"/>
    <m/>
    <n v="9128.64"/>
    <n v="0"/>
    <m/>
  </r>
  <r>
    <x v="0"/>
    <n v="1"/>
    <n v="41136"/>
    <n v="41136"/>
    <n v="43011"/>
    <s v="No"/>
    <m/>
    <m/>
    <x v="0"/>
    <m/>
    <n v="403000"/>
    <x v="47"/>
    <s v="Charlie"/>
    <s v="Rowntree"/>
    <x v="558"/>
    <d v="2012-02-19T00:00:00"/>
    <n v="11.507186858316222"/>
    <n v="6"/>
    <n v="872"/>
    <n v="872"/>
    <d v="2023-04-01T00:00:00"/>
    <n v="1"/>
    <d v="2023-07-21T00:00:00"/>
    <n v="63"/>
    <n v="63"/>
    <n v="0.328125"/>
    <s v="Yr 6"/>
    <n v="22"/>
    <m/>
    <m/>
    <x v="1"/>
    <x v="1"/>
    <x v="0"/>
    <s v="NO"/>
    <s v="NO"/>
    <s v="NO"/>
    <s v="NO"/>
    <m/>
    <n v="4400.9399999999987"/>
    <s v="ASD"/>
    <n v="1"/>
    <n v="0.328125"/>
    <n v="1444.0584374999996"/>
    <n v="1444.0584374999996"/>
    <n v="1444.0584374999996"/>
    <n v="1444.0584374999996"/>
    <n v="1444.0584374999996"/>
    <m/>
    <m/>
    <e v="#N/A"/>
    <s v="St Crispins"/>
    <e v="#N/A"/>
    <m/>
    <m/>
    <n v="0"/>
    <n v="1444.0584374999996"/>
    <s v="St Crispins"/>
    <s v="WBC Academy"/>
    <n v="43012"/>
    <m/>
    <s v="St Crispins"/>
    <m/>
    <n v="22"/>
    <n v="4400.9399999999987"/>
    <m/>
    <s v="Y"/>
    <m/>
    <n v="2911.038437499999"/>
    <n v="4355.0968749999984"/>
    <m/>
    <m/>
    <m/>
    <m/>
    <m/>
    <m/>
    <m/>
    <n v="4355.0968749999984"/>
    <m/>
    <n v="0"/>
    <n v="2911.0384374999985"/>
    <m/>
    <n v="4355.0968749999984"/>
    <n v="0"/>
    <m/>
  </r>
  <r>
    <x v="0"/>
    <n v="1"/>
    <n v="41136"/>
    <n v="41136"/>
    <n v="43011"/>
    <s v="No"/>
    <m/>
    <m/>
    <x v="0"/>
    <m/>
    <n v="406325"/>
    <x v="47"/>
    <s v="Dolly-Marie"/>
    <s v="Darling"/>
    <x v="559"/>
    <d v="2013-10-01T00:00:00"/>
    <n v="9.8918548939082829"/>
    <n v="4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MDI"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0"/>
    <n v="1"/>
    <n v="41136"/>
    <n v="41136"/>
    <n v="43011"/>
    <s v="No"/>
    <m/>
    <m/>
    <x v="0"/>
    <m/>
    <n v="418413"/>
    <x v="47"/>
    <s v="Emilia"/>
    <s v="Burke"/>
    <x v="560"/>
    <d v="2014-12-24T00:00:00"/>
    <n v="8.6625598904859693"/>
    <n v="3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m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0"/>
    <n v="1"/>
    <n v="41136"/>
    <n v="41136"/>
    <n v="43011"/>
    <s v="No"/>
    <m/>
    <m/>
    <x v="0"/>
    <m/>
    <n v="409240"/>
    <x v="47"/>
    <s v="Harley"/>
    <s v="Hewett"/>
    <x v="561"/>
    <d v="2013-07-24T00:00:00"/>
    <n v="10.080766598220396"/>
    <n v="5"/>
    <n v="872"/>
    <n v="872"/>
    <d v="2023-04-01T00:00:00"/>
    <n v="1"/>
    <d v="2024-03-31T00:00:00"/>
    <n v="192"/>
    <n v="192"/>
    <n v="1"/>
    <s v="open"/>
    <n v="21"/>
    <m/>
    <m/>
    <x v="1"/>
    <x v="1"/>
    <x v="0"/>
    <s v="NO"/>
    <s v="NO"/>
    <s v="NO"/>
    <s v="NO"/>
    <m/>
    <n v="3928.17"/>
    <s v="MLD"/>
    <n v="1"/>
    <n v="1"/>
    <n v="3928.17"/>
    <n v="3928.17"/>
    <n v="3928.17"/>
    <n v="3928.17"/>
    <n v="3928.17"/>
    <m/>
    <m/>
    <e v="#N/A"/>
    <e v="#N/A"/>
    <e v="#N/A"/>
    <m/>
    <m/>
    <n v="0"/>
    <n v="3928.17"/>
    <s v=""/>
    <m/>
    <m/>
    <m/>
    <m/>
    <m/>
    <m/>
    <m/>
    <m/>
    <m/>
    <m/>
    <m/>
    <n v="3928.17"/>
    <m/>
    <m/>
    <m/>
    <m/>
    <m/>
    <m/>
    <m/>
    <n v="3928.17"/>
    <m/>
    <n v="0"/>
    <n v="0"/>
    <m/>
    <n v="3928.17"/>
    <n v="0"/>
    <m/>
  </r>
  <r>
    <x v="0"/>
    <n v="1"/>
    <n v="41137"/>
    <n v="41137"/>
    <n v="43012"/>
    <s v="No"/>
    <s v="Y"/>
    <m/>
    <x v="0"/>
    <m/>
    <n v="408036"/>
    <x v="48"/>
    <s v="Dylan"/>
    <s v="Wells"/>
    <x v="562"/>
    <d v="2013-03-28T00:00:00"/>
    <n v="10.403832991101986"/>
    <n v="5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SEMH"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0"/>
    <n v="1"/>
    <n v="41137"/>
    <n v="41137"/>
    <n v="43012"/>
    <s v="No"/>
    <s v="Y"/>
    <m/>
    <x v="0"/>
    <m/>
    <n v="441951"/>
    <x v="48"/>
    <s v="Gianfranco"/>
    <s v="Gregorio"/>
    <x v="563"/>
    <d v="2018-04-28T00:00:00"/>
    <n v="5.3196440793976727"/>
    <n v="0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m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0"/>
    <n v="1"/>
    <n v="41137"/>
    <n v="41137"/>
    <n v="43012"/>
    <s v="No"/>
    <s v="Y"/>
    <m/>
    <x v="0"/>
    <m/>
    <n v="405979"/>
    <x v="48"/>
    <s v="Mason"/>
    <s v="Marsden"/>
    <x v="564"/>
    <d v="2012-11-02T00:00:00"/>
    <n v="10.803559206023271"/>
    <n v="5"/>
    <n v="872"/>
    <n v="872"/>
    <d v="2023-04-01T00:00:00"/>
    <n v="1"/>
    <d v="2024-03-31T00:00:00"/>
    <n v="192"/>
    <n v="192"/>
    <n v="1"/>
    <s v="open"/>
    <n v="22"/>
    <m/>
    <m/>
    <x v="1"/>
    <x v="1"/>
    <x v="0"/>
    <s v="NO"/>
    <s v="NO"/>
    <s v="NO"/>
    <s v="NO"/>
    <m/>
    <n v="4400.9399999999987"/>
    <s v="ASD"/>
    <n v="1"/>
    <n v="1"/>
    <n v="4400.9399999999987"/>
    <n v="4400.9399999999987"/>
    <n v="4400.9399999999987"/>
    <n v="4400.9399999999987"/>
    <n v="4400.9399999999987"/>
    <m/>
    <m/>
    <e v="#N/A"/>
    <e v="#N/A"/>
    <e v="#N/A"/>
    <m/>
    <m/>
    <n v="0"/>
    <n v="4400.9399999999987"/>
    <s v=""/>
    <m/>
    <m/>
    <m/>
    <m/>
    <m/>
    <m/>
    <m/>
    <m/>
    <m/>
    <m/>
    <m/>
    <n v="4400.9399999999987"/>
    <m/>
    <m/>
    <m/>
    <m/>
    <m/>
    <m/>
    <m/>
    <n v="4400.9399999999987"/>
    <m/>
    <n v="0"/>
    <n v="0"/>
    <m/>
    <n v="4400.9399999999987"/>
    <n v="0"/>
    <m/>
  </r>
  <r>
    <x v="0"/>
    <n v="1"/>
    <n v="41137"/>
    <n v="41137"/>
    <n v="43012"/>
    <s v="No"/>
    <s v="Y"/>
    <m/>
    <x v="0"/>
    <m/>
    <n v="454411"/>
    <x v="48"/>
    <s v="Vincent"/>
    <s v="Rea"/>
    <x v="565"/>
    <d v="2014-08-01T00:00:00"/>
    <n v="9.0595482546201236"/>
    <n v="4"/>
    <n v="872"/>
    <n v="872"/>
    <d v="2023-06-21T00:00:00"/>
    <n v="41"/>
    <d v="2024-03-31T00:00:00"/>
    <n v="192"/>
    <n v="152"/>
    <n v="0.79166666666666663"/>
    <s v="open"/>
    <n v="10200"/>
    <m/>
    <m/>
    <x v="0"/>
    <x v="1"/>
    <x v="1"/>
    <s v="NO"/>
    <s v="NO"/>
    <s v="NO"/>
    <s v="NO"/>
    <m/>
    <n v="10200"/>
    <m/>
    <n v="1"/>
    <n v="0.79166666666666663"/>
    <n v="8075"/>
    <n v="8075"/>
    <n v="0"/>
    <n v="0"/>
    <n v="0"/>
    <m/>
    <m/>
    <e v="#N/A"/>
    <e v="#N/A"/>
    <e v="#N/A"/>
    <m/>
    <m/>
    <n v="0"/>
    <n v="0"/>
    <m/>
    <m/>
    <m/>
    <m/>
    <m/>
    <m/>
    <m/>
    <m/>
    <m/>
    <m/>
    <m/>
    <m/>
    <n v="0"/>
    <m/>
    <m/>
    <m/>
    <m/>
    <m/>
    <m/>
    <m/>
    <n v="8075"/>
    <s v="new provision"/>
    <n v="8075"/>
    <n v="8075"/>
    <m/>
    <n v="8075"/>
    <n v="0"/>
    <m/>
  </r>
  <r>
    <x v="0"/>
    <n v="1"/>
    <n v="41138"/>
    <n v="41138"/>
    <n v="43011"/>
    <s v="No"/>
    <m/>
    <m/>
    <x v="0"/>
    <m/>
    <n v="434831"/>
    <x v="49"/>
    <s v="Aamari"/>
    <s v="McLean"/>
    <x v="566"/>
    <d v="2017-07-03T00:00:00"/>
    <n v="6.1382614647501708"/>
    <n v="1"/>
    <n v="872"/>
    <n v="872"/>
    <d v="2023-04-01T00:00:00"/>
    <n v="1"/>
    <d v="2024-03-31T00:00:00"/>
    <n v="192"/>
    <n v="192"/>
    <n v="1"/>
    <s v="open"/>
    <n v="28"/>
    <m/>
    <m/>
    <x v="0"/>
    <x v="0"/>
    <x v="0"/>
    <s v="NO"/>
    <s v="NO"/>
    <s v="NO"/>
    <s v="NO"/>
    <m/>
    <n v="7237.5599999999995"/>
    <s v="SLCD"/>
    <n v="1"/>
    <n v="1"/>
    <n v="7237.5599999999995"/>
    <n v="7237.5599999999995"/>
    <n v="7237.5599999999995"/>
    <n v="0"/>
    <n v="7237.5599999999995"/>
    <m/>
    <m/>
    <e v="#N/A"/>
    <e v="#N/A"/>
    <e v="#N/A"/>
    <m/>
    <m/>
    <n v="0"/>
    <n v="7237.5599999999995"/>
    <s v=""/>
    <m/>
    <m/>
    <m/>
    <m/>
    <m/>
    <m/>
    <m/>
    <m/>
    <m/>
    <m/>
    <m/>
    <n v="7237.5599999999995"/>
    <m/>
    <m/>
    <m/>
    <m/>
    <m/>
    <m/>
    <m/>
    <n v="7237.5599999999995"/>
    <m/>
    <n v="0"/>
    <n v="7237.5599999999995"/>
    <m/>
    <n v="7237.5599999999995"/>
    <n v="0"/>
    <m/>
  </r>
  <r>
    <x v="0"/>
    <n v="1"/>
    <n v="41138"/>
    <n v="41138"/>
    <n v="43011"/>
    <s v="No"/>
    <m/>
    <m/>
    <x v="0"/>
    <m/>
    <n v="420002"/>
    <x v="49"/>
    <s v="Alexander"/>
    <s v="Quaife"/>
    <x v="567"/>
    <d v="2016-02-12T00:00:00"/>
    <n v="7.526351813826146"/>
    <n v="2"/>
    <n v="872"/>
    <n v="872"/>
    <d v="2023-04-01T00:00:00"/>
    <n v="1"/>
    <d v="2024-03-31T00:00:00"/>
    <n v="192"/>
    <n v="192"/>
    <n v="1"/>
    <s v="open"/>
    <n v="28"/>
    <m/>
    <m/>
    <x v="0"/>
    <x v="0"/>
    <x v="0"/>
    <s v="NO"/>
    <s v="NO"/>
    <s v="NO"/>
    <s v="NO"/>
    <m/>
    <n v="7237.5599999999995"/>
    <s v="SEMH"/>
    <n v="1"/>
    <n v="1"/>
    <n v="7237.5599999999995"/>
    <n v="7237.5599999999995"/>
    <n v="7237.5599999999995"/>
    <n v="7237.5599999999995"/>
    <n v="7237.5599999999995"/>
    <m/>
    <m/>
    <e v="#N/A"/>
    <e v="#N/A"/>
    <e v="#N/A"/>
    <m/>
    <m/>
    <n v="0"/>
    <n v="7237.5599999999995"/>
    <s v=""/>
    <m/>
    <m/>
    <m/>
    <m/>
    <m/>
    <m/>
    <m/>
    <m/>
    <m/>
    <m/>
    <m/>
    <n v="7237.5599999999995"/>
    <m/>
    <m/>
    <m/>
    <m/>
    <m/>
    <m/>
    <m/>
    <n v="7237.5599999999995"/>
    <m/>
    <n v="0"/>
    <n v="0"/>
    <m/>
    <n v="7237.5599999999995"/>
    <n v="0"/>
    <m/>
  </r>
  <r>
    <x v="0"/>
    <n v="1"/>
    <n v="41138"/>
    <n v="41138"/>
    <n v="43011"/>
    <s v="No"/>
    <m/>
    <m/>
    <x v="0"/>
    <m/>
    <n v="404455"/>
    <x v="49"/>
    <s v="Archie"/>
    <s v="Day"/>
    <x v="568"/>
    <d v="2012-01-02T00:00:00"/>
    <n v="11.638603696098563"/>
    <n v="6"/>
    <n v="872"/>
    <n v="872"/>
    <d v="2023-05-05T00:00:00"/>
    <n v="14"/>
    <d v="2023-07-21T00:00:00"/>
    <n v="63"/>
    <n v="50"/>
    <n v="0.26041666666666669"/>
    <s v="Yr 6"/>
    <n v="25"/>
    <m/>
    <m/>
    <x v="1"/>
    <x v="1"/>
    <x v="0"/>
    <s v="NO"/>
    <s v="NO"/>
    <s v="NO"/>
    <s v="NO"/>
    <m/>
    <n v="5819.25"/>
    <s v="ASD"/>
    <n v="1"/>
    <n v="0.26041666666666669"/>
    <n v="1515.4296875"/>
    <n v="1515.4296875"/>
    <n v="1515.4296875"/>
    <n v="0"/>
    <n v="1515.4296875"/>
    <m/>
    <m/>
    <e v="#N/A"/>
    <e v="#N/A"/>
    <e v="#N/A"/>
    <m/>
    <m/>
    <n v="0"/>
    <n v="1515.4296875"/>
    <s v="???"/>
    <m/>
    <m/>
    <m/>
    <m/>
    <m/>
    <n v="25"/>
    <n v="5819.25"/>
    <m/>
    <m/>
    <m/>
    <n v="3849.19140625"/>
    <n v="5364.62109375"/>
    <m/>
    <m/>
    <s v="?"/>
    <s v="?"/>
    <m/>
    <m/>
    <m/>
    <n v="5364.62109375"/>
    <m/>
    <n v="0"/>
    <n v="5364.62109375"/>
    <m/>
    <n v="5364.62109375"/>
    <n v="0"/>
    <m/>
  </r>
  <r>
    <x v="1"/>
    <n v="1"/>
    <n v="41138"/>
    <n v="41138"/>
    <n v="43011"/>
    <s v="No"/>
    <m/>
    <m/>
    <x v="0"/>
    <m/>
    <n v="444618"/>
    <x v="49"/>
    <s v="Blake"/>
    <s v="Edwards-Lewis"/>
    <x v="569"/>
    <d v="2018-12-21T00:00:00"/>
    <n v="4.6707734428473646"/>
    <n v="0"/>
    <n v="872"/>
    <n v="872"/>
    <d v="2023-09-04T00:00:00"/>
    <n v="65"/>
    <d v="2024-03-31T00:00:00"/>
    <n v="192"/>
    <n v="128"/>
    <n v="0.66666666666666663"/>
    <m/>
    <n v="30"/>
    <m/>
    <m/>
    <x v="0"/>
    <x v="0"/>
    <x v="0"/>
    <s v="NO"/>
    <s v="NO"/>
    <s v="NO"/>
    <s v="NO"/>
    <m/>
    <n v="8183.0999999999985"/>
    <m/>
    <n v="1"/>
    <n v="0.66666666666666663"/>
    <n v="5455.3999999999987"/>
    <n v="5455.3999999999987"/>
    <n v="5455.3999999999987"/>
    <n v="0"/>
    <n v="0"/>
    <m/>
    <m/>
    <e v="#N/A"/>
    <e v="#N/A"/>
    <e v="#N/A"/>
    <m/>
    <m/>
    <n v="5455.3999999999987"/>
    <n v="5455.3999999999987"/>
    <s v=""/>
    <m/>
    <m/>
    <m/>
    <m/>
    <m/>
    <m/>
    <m/>
    <m/>
    <m/>
    <m/>
    <m/>
    <n v="5455.3999999999987"/>
    <m/>
    <m/>
    <m/>
    <m/>
    <m/>
    <m/>
    <m/>
    <n v="5455.3999999999987"/>
    <m/>
    <n v="0"/>
    <n v="5455.3999999999987"/>
    <m/>
    <n v="5455.3999999999987"/>
    <n v="0"/>
    <m/>
  </r>
  <r>
    <x v="0"/>
    <n v="1"/>
    <n v="41138"/>
    <n v="41138"/>
    <n v="43011"/>
    <s v="No"/>
    <m/>
    <m/>
    <x v="0"/>
    <m/>
    <n v="421432"/>
    <x v="49"/>
    <s v="Blake"/>
    <s v="Pechell"/>
    <x v="570"/>
    <d v="2015-06-23T00:00:00"/>
    <n v="8.1670088980150588"/>
    <n v="3"/>
    <n v="872"/>
    <n v="872"/>
    <d v="2023-04-01T00:00:00"/>
    <n v="1"/>
    <d v="2024-03-31T00:00:00"/>
    <n v="192"/>
    <n v="192"/>
    <n v="1"/>
    <s v="open"/>
    <n v="27"/>
    <m/>
    <m/>
    <x v="0"/>
    <x v="0"/>
    <x v="0"/>
    <s v="NO"/>
    <s v="NO"/>
    <s v="NO"/>
    <s v="NO"/>
    <m/>
    <n v="6764.7899999999991"/>
    <s v="SLCD"/>
    <n v="1"/>
    <n v="1"/>
    <n v="6764.7899999999991"/>
    <n v="6764.7899999999991"/>
    <n v="6764.7899999999991"/>
    <n v="0"/>
    <n v="6764.7899999999991"/>
    <m/>
    <m/>
    <e v="#N/A"/>
    <e v="#N/A"/>
    <e v="#N/A"/>
    <m/>
    <m/>
    <n v="0"/>
    <n v="6764.7899999999991"/>
    <s v=""/>
    <m/>
    <m/>
    <m/>
    <m/>
    <m/>
    <m/>
    <m/>
    <m/>
    <m/>
    <m/>
    <m/>
    <n v="6764.7899999999991"/>
    <m/>
    <m/>
    <m/>
    <m/>
    <m/>
    <m/>
    <m/>
    <n v="6764.7899999999991"/>
    <m/>
    <n v="0"/>
    <n v="6764.7899999999991"/>
    <m/>
    <n v="6764.7899999999991"/>
    <n v="0"/>
    <m/>
  </r>
  <r>
    <x v="0"/>
    <n v="1"/>
    <n v="41138"/>
    <n v="41138"/>
    <n v="43011"/>
    <s v="No"/>
    <m/>
    <m/>
    <x v="0"/>
    <m/>
    <n v="416045"/>
    <x v="49"/>
    <s v="Ethan"/>
    <s v="Nobes"/>
    <x v="571"/>
    <d v="2015-05-06T00:00:00"/>
    <n v="8.2984257357973998"/>
    <n v="3"/>
    <n v="872"/>
    <n v="872"/>
    <d v="2023-04-01T00:00:00"/>
    <n v="1"/>
    <d v="2024-03-31T00:00:00"/>
    <n v="192"/>
    <n v="192"/>
    <n v="1"/>
    <s v="open"/>
    <n v="21"/>
    <m/>
    <m/>
    <x v="1"/>
    <x v="1"/>
    <x v="0"/>
    <s v="NO"/>
    <s v="NO"/>
    <s v="NO"/>
    <s v="NO"/>
    <m/>
    <n v="3928.17"/>
    <s v="SLCD"/>
    <n v="1"/>
    <n v="1"/>
    <n v="3928.17"/>
    <n v="3928.17"/>
    <n v="3928.17"/>
    <n v="3928.17"/>
    <n v="3928.17"/>
    <m/>
    <m/>
    <e v="#N/A"/>
    <e v="#N/A"/>
    <e v="#N/A"/>
    <m/>
    <m/>
    <n v="0"/>
    <n v="3928.17"/>
    <s v=""/>
    <m/>
    <m/>
    <m/>
    <m/>
    <m/>
    <m/>
    <m/>
    <m/>
    <m/>
    <m/>
    <m/>
    <n v="3928.17"/>
    <m/>
    <m/>
    <m/>
    <m/>
    <m/>
    <m/>
    <m/>
    <n v="3928.17"/>
    <m/>
    <n v="0"/>
    <n v="0"/>
    <m/>
    <n v="3928.17"/>
    <n v="0"/>
    <m/>
  </r>
  <r>
    <x v="0"/>
    <n v="1"/>
    <n v="41138"/>
    <n v="41138"/>
    <n v="43011"/>
    <s v="No"/>
    <m/>
    <m/>
    <x v="0"/>
    <m/>
    <n v="428200"/>
    <x v="49"/>
    <s v="Harvey"/>
    <s v="Banks"/>
    <x v="572"/>
    <d v="2016-08-26T00:00:00"/>
    <n v="6.9897330595482545"/>
    <n v="2"/>
    <n v="872"/>
    <n v="872"/>
    <d v="2023-04-01T00:00:00"/>
    <n v="1"/>
    <d v="2024-03-31T00:00:00"/>
    <n v="192"/>
    <n v="192"/>
    <n v="1"/>
    <s v="open"/>
    <n v="27"/>
    <m/>
    <m/>
    <x v="0"/>
    <x v="0"/>
    <x v="0"/>
    <s v="NO"/>
    <s v="NO"/>
    <s v="NO"/>
    <s v="NO"/>
    <m/>
    <n v="6764.7899999999991"/>
    <s v="SLCD"/>
    <n v="1"/>
    <n v="1"/>
    <n v="6764.7899999999991"/>
    <n v="6764.7899999999991"/>
    <n v="6764.7899999999991"/>
    <n v="6764.7899999999991"/>
    <n v="6764.7899999999991"/>
    <m/>
    <m/>
    <e v="#N/A"/>
    <e v="#N/A"/>
    <e v="#N/A"/>
    <m/>
    <m/>
    <n v="0"/>
    <n v="6764.7899999999991"/>
    <s v=""/>
    <m/>
    <m/>
    <m/>
    <m/>
    <m/>
    <m/>
    <m/>
    <m/>
    <m/>
    <m/>
    <m/>
    <n v="6764.7899999999991"/>
    <m/>
    <m/>
    <m/>
    <m/>
    <m/>
    <m/>
    <m/>
    <n v="6764.7899999999991"/>
    <m/>
    <n v="0"/>
    <n v="0"/>
    <m/>
    <n v="6764.7899999999991"/>
    <n v="0"/>
    <m/>
  </r>
  <r>
    <x v="0"/>
    <n v="1"/>
    <n v="41138"/>
    <n v="41138"/>
    <n v="43011"/>
    <s v="No"/>
    <m/>
    <m/>
    <x v="0"/>
    <m/>
    <n v="414826"/>
    <x v="49"/>
    <s v="Hugo"/>
    <s v="Djuric"/>
    <x v="573"/>
    <d v="2014-05-25T00:00:00"/>
    <n v="9.245722108145106"/>
    <n v="4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ASD"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0"/>
    <n v="1"/>
    <n v="41138"/>
    <n v="41138"/>
    <n v="43011"/>
    <s v="No"/>
    <m/>
    <m/>
    <x v="0"/>
    <m/>
    <n v="411586"/>
    <x v="49"/>
    <s v="Ibrahim"/>
    <s v="Mirza"/>
    <x v="574"/>
    <d v="2013-09-17T00:00:00"/>
    <n v="9.9301848049281318"/>
    <n v="4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SLCD"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1"/>
    <n v="1"/>
    <n v="41138"/>
    <n v="41138"/>
    <n v="43011"/>
    <s v="No"/>
    <m/>
    <m/>
    <x v="0"/>
    <m/>
    <n v="409483"/>
    <x v="49"/>
    <s v="Jamie"/>
    <s v="Walsh"/>
    <x v="575"/>
    <d v="2013-05-22T00:00:00"/>
    <n v="10.253251197809719"/>
    <n v="5"/>
    <n v="872"/>
    <n v="872"/>
    <d v="2023-04-01T00:00:00"/>
    <n v="1"/>
    <d v="2023-04-01T00:00:00"/>
    <n v="0"/>
    <n v="0"/>
    <n v="0"/>
    <d v="2023-01-06T00:00:00"/>
    <n v="30"/>
    <m/>
    <m/>
    <x v="0"/>
    <x v="0"/>
    <x v="0"/>
    <s v="NO"/>
    <s v="NO"/>
    <s v="NO"/>
    <s v="NO"/>
    <m/>
    <n v="8183.0999999999985"/>
    <s v="SEMH"/>
    <n v="1"/>
    <n v="0"/>
    <n v="0"/>
    <n v="0"/>
    <n v="0"/>
    <n v="8183.0999999999985"/>
    <n v="0"/>
    <s v="Heathermount School - left already"/>
    <m/>
    <e v="#N/A"/>
    <e v="#N/A"/>
    <e v="#N/A"/>
    <m/>
    <m/>
    <n v="0"/>
    <n v="0"/>
    <s v=""/>
    <m/>
    <m/>
    <m/>
    <m/>
    <m/>
    <m/>
    <m/>
    <m/>
    <m/>
    <m/>
    <m/>
    <n v="0"/>
    <m/>
    <m/>
    <m/>
    <m/>
    <m/>
    <m/>
    <m/>
    <n v="0"/>
    <m/>
    <n v="0"/>
    <n v="-8183.0999999999985"/>
    <m/>
    <n v="0"/>
    <n v="0"/>
    <m/>
  </r>
  <r>
    <x v="0"/>
    <n v="1"/>
    <n v="41138"/>
    <n v="41138"/>
    <n v="43011"/>
    <s v="No"/>
    <m/>
    <m/>
    <x v="0"/>
    <m/>
    <n v="437276"/>
    <x v="49"/>
    <s v="Louie"/>
    <s v="Sunderland"/>
    <x v="576"/>
    <d v="2018-05-22T00:00:00"/>
    <n v="5.2539356605065022"/>
    <n v="0"/>
    <n v="872"/>
    <n v="872"/>
    <d v="2023-04-17T00:00:00"/>
    <n v="2"/>
    <d v="2024-03-31T00:00:00"/>
    <n v="192"/>
    <n v="191"/>
    <n v="0.99479166666666663"/>
    <s v="open"/>
    <n v="22"/>
    <m/>
    <m/>
    <x v="1"/>
    <x v="1"/>
    <x v="0"/>
    <s v="NO"/>
    <s v="NO"/>
    <s v="NO"/>
    <s v="NO"/>
    <m/>
    <n v="4400.9399999999987"/>
    <m/>
    <n v="1"/>
    <n v="0.99479166666666663"/>
    <n v="4378.018437499999"/>
    <n v="4378.018437499999"/>
    <m/>
    <n v="0"/>
    <m/>
    <m/>
    <m/>
    <e v="#N/A"/>
    <e v="#N/A"/>
    <e v="#N/A"/>
    <m/>
    <m/>
    <m/>
    <m/>
    <m/>
    <m/>
    <m/>
    <m/>
    <m/>
    <m/>
    <m/>
    <m/>
    <m/>
    <m/>
    <m/>
    <m/>
    <m/>
    <m/>
    <m/>
    <m/>
    <m/>
    <m/>
    <m/>
    <m/>
    <n v="4378.018437499999"/>
    <m/>
    <n v="4378.018437499999"/>
    <n v="4378.018437499999"/>
    <m/>
    <n v="4378.018437499999"/>
    <n v="0"/>
    <m/>
  </r>
  <r>
    <x v="0"/>
    <n v="1"/>
    <n v="41138"/>
    <n v="41138"/>
    <n v="43011"/>
    <s v="No"/>
    <m/>
    <m/>
    <x v="0"/>
    <m/>
    <n v="409474"/>
    <x v="49"/>
    <s v="Mason"/>
    <s v="Langley"/>
    <x v="577"/>
    <d v="2012-07-31T00:00:00"/>
    <n v="11.060917180013689"/>
    <n v="6"/>
    <n v="872"/>
    <n v="872"/>
    <d v="2023-04-01T00:00:00"/>
    <n v="1"/>
    <d v="2023-07-21T00:00:00"/>
    <n v="63"/>
    <n v="63"/>
    <n v="0.328125"/>
    <s v="Yr 6"/>
    <n v="25"/>
    <m/>
    <m/>
    <x v="1"/>
    <x v="1"/>
    <x v="0"/>
    <s v="NO"/>
    <s v="NO"/>
    <s v="NO"/>
    <s v="NO"/>
    <m/>
    <n v="5819.25"/>
    <s v="SLD"/>
    <n v="1"/>
    <n v="0.328125"/>
    <n v="1909.44140625"/>
    <n v="1909.44140625"/>
    <n v="1909.44140625"/>
    <n v="1909.44140625"/>
    <n v="1909.44140625"/>
    <m/>
    <m/>
    <e v="#N/A"/>
    <s v="Bulmershe"/>
    <e v="#N/A"/>
    <m/>
    <m/>
    <n v="0"/>
    <n v="1909.44140625"/>
    <s v="Bulmershe "/>
    <s v="WBC Mnstr"/>
    <n v="43011"/>
    <m/>
    <s v="Bulmershe "/>
    <m/>
    <n v="25"/>
    <n v="5819.25"/>
    <m/>
    <s v="Y"/>
    <m/>
    <n v="3849.19140625"/>
    <n v="5758.6328125"/>
    <m/>
    <m/>
    <m/>
    <m/>
    <m/>
    <m/>
    <m/>
    <n v="5758.6328125"/>
    <m/>
    <n v="0"/>
    <n v="3849.19140625"/>
    <m/>
    <n v="5758.6328125"/>
    <n v="0"/>
    <m/>
  </r>
  <r>
    <x v="0"/>
    <n v="1"/>
    <n v="41138"/>
    <n v="41138"/>
    <n v="43011"/>
    <s v="No"/>
    <m/>
    <m/>
    <x v="0"/>
    <m/>
    <n v="411538"/>
    <x v="49"/>
    <s v="Max"/>
    <s v="Newton"/>
    <x v="578"/>
    <d v="2013-12-27T00:00:00"/>
    <n v="9.6536618754277885"/>
    <n v="4"/>
    <n v="872"/>
    <n v="872"/>
    <d v="2023-04-01T00:00:00"/>
    <n v="1"/>
    <d v="2024-03-31T00:00:00"/>
    <n v="192"/>
    <n v="192"/>
    <n v="1"/>
    <s v="open"/>
    <n v="22"/>
    <m/>
    <m/>
    <x v="1"/>
    <x v="1"/>
    <x v="0"/>
    <s v="NO"/>
    <s v="NO"/>
    <s v="NO"/>
    <s v="NO"/>
    <m/>
    <n v="4400.9399999999987"/>
    <s v="SLCD"/>
    <n v="1"/>
    <n v="1"/>
    <n v="4400.9399999999987"/>
    <n v="4400.9399999999987"/>
    <n v="4400.9399999999987"/>
    <n v="4400.9399999999987"/>
    <n v="4400.9399999999987"/>
    <m/>
    <m/>
    <e v="#N/A"/>
    <e v="#N/A"/>
    <e v="#N/A"/>
    <m/>
    <m/>
    <n v="0"/>
    <n v="4400.9399999999987"/>
    <s v=""/>
    <m/>
    <m/>
    <m/>
    <m/>
    <m/>
    <m/>
    <m/>
    <m/>
    <m/>
    <m/>
    <m/>
    <n v="4400.9399999999987"/>
    <m/>
    <m/>
    <m/>
    <m/>
    <m/>
    <m/>
    <m/>
    <n v="4400.9399999999987"/>
    <m/>
    <n v="0"/>
    <n v="0"/>
    <m/>
    <n v="4400.9399999999987"/>
    <n v="0"/>
    <m/>
  </r>
  <r>
    <x v="0"/>
    <n v="1"/>
    <n v="41138"/>
    <n v="41138"/>
    <n v="43011"/>
    <s v="No"/>
    <m/>
    <m/>
    <x v="0"/>
    <m/>
    <n v="434693"/>
    <x v="49"/>
    <s v="Nathan"/>
    <s v="Tien"/>
    <x v="579"/>
    <d v="2017-04-08T00:00:00"/>
    <n v="6.3737166324435321"/>
    <n v="1"/>
    <n v="872"/>
    <n v="872"/>
    <d v="2023-04-01T00:00:00"/>
    <n v="1"/>
    <d v="2024-03-31T00:00:00"/>
    <n v="192"/>
    <n v="192"/>
    <n v="1"/>
    <s v="open"/>
    <n v="24"/>
    <m/>
    <m/>
    <x v="1"/>
    <x v="1"/>
    <x v="0"/>
    <s v="NO"/>
    <s v="NO"/>
    <s v="NO"/>
    <s v="NO"/>
    <m/>
    <n v="5346.48"/>
    <s v="SLCD"/>
    <n v="1"/>
    <n v="1"/>
    <n v="5346.48"/>
    <n v="5346.48"/>
    <n v="5346.48"/>
    <n v="5346.48"/>
    <n v="5346.48"/>
    <m/>
    <m/>
    <e v="#N/A"/>
    <e v="#N/A"/>
    <e v="#N/A"/>
    <m/>
    <m/>
    <n v="0"/>
    <n v="5346.48"/>
    <s v=""/>
    <m/>
    <m/>
    <m/>
    <m/>
    <m/>
    <m/>
    <m/>
    <m/>
    <m/>
    <m/>
    <m/>
    <n v="5346.48"/>
    <m/>
    <m/>
    <m/>
    <m/>
    <m/>
    <m/>
    <m/>
    <n v="5346.48"/>
    <m/>
    <n v="0"/>
    <n v="0"/>
    <m/>
    <n v="5346.48"/>
    <n v="0"/>
    <m/>
  </r>
  <r>
    <x v="1"/>
    <n v="1"/>
    <n v="41138"/>
    <n v="41138"/>
    <n v="43011"/>
    <s v="No"/>
    <m/>
    <m/>
    <x v="0"/>
    <s v="AD"/>
    <n v="434693"/>
    <x v="49"/>
    <s v="Nathan"/>
    <s v="Tien"/>
    <x v="579"/>
    <d v="2017-04-08T00:00:00"/>
    <n v="6.3737166324435321"/>
    <n v="1"/>
    <n v="872"/>
    <n v="872"/>
    <d v="2023-04-17T00:00:00"/>
    <n v="2"/>
    <d v="2023-04-17T00:00:00"/>
    <n v="1"/>
    <n v="0"/>
    <n v="1"/>
    <d v="2023-04-17T00:00:00"/>
    <n v="4132.5"/>
    <m/>
    <m/>
    <x v="0"/>
    <x v="1"/>
    <x v="1"/>
    <s v="NO"/>
    <s v="NO"/>
    <s v="NO"/>
    <s v="NO"/>
    <m/>
    <n v="4132.5"/>
    <s v="SLCD"/>
    <n v="1"/>
    <n v="1"/>
    <n v="4132.5"/>
    <n v="4132.5"/>
    <n v="4132.5"/>
    <n v="0"/>
    <n v="4132.5"/>
    <m/>
    <m/>
    <e v="#N/A"/>
    <e v="#N/A"/>
    <e v="#N/A"/>
    <m/>
    <m/>
    <n v="0"/>
    <n v="4132.5"/>
    <s v=""/>
    <m/>
    <m/>
    <m/>
    <m/>
    <m/>
    <m/>
    <m/>
    <m/>
    <m/>
    <m/>
    <m/>
    <n v="4132.5"/>
    <m/>
    <m/>
    <m/>
    <m/>
    <m/>
    <m/>
    <m/>
    <n v="4132.5"/>
    <m/>
    <n v="0"/>
    <n v="4132.5"/>
    <m/>
    <n v="4132.5"/>
    <n v="0"/>
    <m/>
  </r>
  <r>
    <x v="0"/>
    <n v="1"/>
    <n v="41138"/>
    <n v="41138"/>
    <n v="43011"/>
    <s v="No"/>
    <m/>
    <m/>
    <x v="0"/>
    <m/>
    <n v="426126"/>
    <x v="49"/>
    <s v="Ruqayyah"/>
    <s v="Khan"/>
    <x v="580"/>
    <d v="2016-03-09T00:00:00"/>
    <n v="7.4551676933607123"/>
    <n v="2"/>
    <n v="872"/>
    <n v="872"/>
    <d v="2023-04-01T00:00:00"/>
    <n v="1"/>
    <d v="2024-03-31T00:00:00"/>
    <n v="192"/>
    <n v="192"/>
    <n v="1"/>
    <s v="open"/>
    <n v="32"/>
    <m/>
    <m/>
    <x v="0"/>
    <x v="1"/>
    <x v="1"/>
    <s v="NO"/>
    <s v="NO"/>
    <s v="NO"/>
    <s v="NO"/>
    <m/>
    <n v="9128.64"/>
    <s v="PD"/>
    <n v="1"/>
    <n v="1"/>
    <n v="9128.64"/>
    <n v="9128.64"/>
    <n v="9128.64"/>
    <n v="9128.64"/>
    <n v="9128.64"/>
    <m/>
    <m/>
    <e v="#N/A"/>
    <e v="#N/A"/>
    <e v="#N/A"/>
    <m/>
    <m/>
    <n v="0"/>
    <n v="9128.64"/>
    <s v=""/>
    <m/>
    <m/>
    <m/>
    <m/>
    <m/>
    <m/>
    <m/>
    <m/>
    <m/>
    <m/>
    <m/>
    <n v="9128.64"/>
    <m/>
    <m/>
    <m/>
    <m/>
    <m/>
    <m/>
    <m/>
    <n v="9128.64"/>
    <m/>
    <n v="0"/>
    <n v="0"/>
    <m/>
    <n v="9128.64"/>
    <n v="0"/>
    <m/>
  </r>
  <r>
    <x v="1"/>
    <n v="1"/>
    <n v="41138"/>
    <n v="41138"/>
    <n v="43011"/>
    <s v="No"/>
    <m/>
    <m/>
    <x v="0"/>
    <s v="AD"/>
    <n v="426126"/>
    <x v="49"/>
    <s v="Ruqayyah"/>
    <s v="Khan"/>
    <x v="580"/>
    <d v="2016-03-09T00:00:00"/>
    <n v="7.4551676933607123"/>
    <n v="2"/>
    <n v="872"/>
    <n v="872"/>
    <d v="2023-04-01T00:00:00"/>
    <n v="1"/>
    <d v="2024-03-31T00:00:00"/>
    <n v="192"/>
    <n v="192"/>
    <n v="1"/>
    <s v="open"/>
    <n v="12059.93"/>
    <m/>
    <m/>
    <x v="0"/>
    <x v="1"/>
    <x v="1"/>
    <s v="NO"/>
    <s v="NO"/>
    <s v="NO"/>
    <s v="NO"/>
    <m/>
    <n v="12059.93"/>
    <s v="VI"/>
    <n v="1"/>
    <n v="1"/>
    <n v="12059.93"/>
    <n v="12059.93"/>
    <n v="12059.93"/>
    <n v="12059.93"/>
    <n v="12059.93"/>
    <m/>
    <m/>
    <e v="#N/A"/>
    <e v="#N/A"/>
    <e v="#N/A"/>
    <m/>
    <m/>
    <n v="0"/>
    <n v="12059.93"/>
    <s v=""/>
    <m/>
    <m/>
    <m/>
    <m/>
    <m/>
    <m/>
    <m/>
    <m/>
    <m/>
    <m/>
    <m/>
    <n v="12059.93"/>
    <m/>
    <m/>
    <m/>
    <m/>
    <m/>
    <m/>
    <m/>
    <n v="12059.93"/>
    <m/>
    <n v="0"/>
    <n v="0"/>
    <m/>
    <n v="12059.93"/>
    <n v="0"/>
    <m/>
  </r>
  <r>
    <x v="0"/>
    <n v="1"/>
    <n v="41138"/>
    <n v="41138"/>
    <n v="43011"/>
    <s v="No"/>
    <m/>
    <m/>
    <x v="0"/>
    <m/>
    <n v="392725"/>
    <x v="49"/>
    <s v="Tyler"/>
    <s v="Crick"/>
    <x v="581"/>
    <d v="2011-11-24T00:00:00"/>
    <n v="11.745379876796715"/>
    <n v="6"/>
    <n v="872"/>
    <n v="872"/>
    <d v="2023-04-01T00:00:00"/>
    <n v="1"/>
    <d v="2023-07-21T00:00:00"/>
    <n v="63"/>
    <n v="63"/>
    <n v="0.328125"/>
    <s v="Yr 6"/>
    <n v="30"/>
    <m/>
    <m/>
    <x v="0"/>
    <x v="0"/>
    <x v="0"/>
    <s v="NO"/>
    <s v="NO"/>
    <s v="NO"/>
    <s v="NO"/>
    <m/>
    <n v="8183.0999999999985"/>
    <s v="SEMH"/>
    <n v="1"/>
    <n v="0.328125"/>
    <n v="2685.0796874999996"/>
    <n v="2685.0796874999996"/>
    <n v="2685.0796874999996"/>
    <n v="2685.0796874999996"/>
    <n v="2685.0796874999996"/>
    <m/>
    <m/>
    <e v="#N/A"/>
    <s v="Oak Tree"/>
    <e v="#N/A"/>
    <s v="Y"/>
    <n v="5455.3999999999987"/>
    <n v="0"/>
    <n v="2685.0796874999996"/>
    <s v="Name Oak Tree"/>
    <s v="WBC Spec"/>
    <m/>
    <m/>
    <s v="Name Oak Tree"/>
    <m/>
    <n v="30"/>
    <n v="8183.0999999999985"/>
    <m/>
    <s v="Y"/>
    <m/>
    <n v="5412.7796874999985"/>
    <n v="8097.8593749999982"/>
    <n v="5412.7796874999985"/>
    <s v="remove"/>
    <m/>
    <m/>
    <m/>
    <m/>
    <m/>
    <n v="8097.8593749999982"/>
    <m/>
    <n v="0"/>
    <n v="5412.7796874999985"/>
    <m/>
    <n v="8097.8593749999982"/>
    <n v="0"/>
    <m/>
  </r>
  <r>
    <x v="0"/>
    <n v="1"/>
    <n v="41138"/>
    <n v="41138"/>
    <n v="43011"/>
    <s v="No"/>
    <m/>
    <m/>
    <x v="0"/>
    <m/>
    <n v="437276"/>
    <x v="49"/>
    <s v="Louie"/>
    <s v="Sunderland"/>
    <x v="576"/>
    <d v="2018-05-22T00:00:00"/>
    <n v="5.2539356605065022"/>
    <n v="0"/>
    <n v="872"/>
    <n v="872"/>
    <d v="2023-04-17T00:00:00"/>
    <n v="2"/>
    <d v="2024-03-31T00:00:00"/>
    <n v="192"/>
    <n v="191"/>
    <n v="0.99479166666666663"/>
    <s v="open"/>
    <n v="22"/>
    <m/>
    <m/>
    <x v="1"/>
    <x v="1"/>
    <x v="0"/>
    <s v="NO"/>
    <s v="NO"/>
    <s v="NO"/>
    <s v="NO"/>
    <m/>
    <n v="4400.9399999999987"/>
    <s v="SLCD"/>
    <n v="1"/>
    <n v="0.99479166666666663"/>
    <n v="4378.018437499999"/>
    <n v="4378.018437499999"/>
    <n v="0"/>
    <n v="0"/>
    <n v="0"/>
    <m/>
    <m/>
    <e v="#N/A"/>
    <e v="#N/A"/>
    <e v="#N/A"/>
    <m/>
    <m/>
    <n v="0"/>
    <n v="0"/>
    <m/>
    <m/>
    <m/>
    <m/>
    <m/>
    <m/>
    <m/>
    <m/>
    <m/>
    <m/>
    <m/>
    <m/>
    <n v="0"/>
    <m/>
    <m/>
    <m/>
    <m/>
    <m/>
    <m/>
    <m/>
    <n v="4378.018437499999"/>
    <s v="new provision"/>
    <n v="4378.018437499999"/>
    <n v="4378.018437499999"/>
    <m/>
    <n v="4378.018437499999"/>
    <n v="0"/>
    <m/>
  </r>
  <r>
    <x v="0"/>
    <n v="1"/>
    <n v="41208"/>
    <n v="41208"/>
    <n v="43015"/>
    <s v="No"/>
    <s v="Y"/>
    <s v="Y"/>
    <x v="1"/>
    <m/>
    <n v="374640"/>
    <x v="50"/>
    <s v="Ashton"/>
    <s v="Rowe"/>
    <x v="582"/>
    <d v="2008-08-05T00:00:00"/>
    <n v="15.047227926078028"/>
    <n v="10"/>
    <n v="872"/>
    <n v="872"/>
    <d v="2023-04-01T00:00:00"/>
    <n v="1"/>
    <d v="2024-03-31T00:00:00"/>
    <n v="192"/>
    <n v="192"/>
    <n v="0"/>
    <s v="open"/>
    <s v="SCR"/>
    <s v="SCR"/>
    <m/>
    <x v="0"/>
    <x v="1"/>
    <x v="1"/>
    <s v="NO"/>
    <s v="NO"/>
    <s v="NO"/>
    <s v="NO"/>
    <n v="20000"/>
    <n v="20000"/>
    <s v="ASD"/>
    <n v="1"/>
    <n v="0"/>
    <n v="0"/>
    <n v="0"/>
    <n v="0"/>
    <n v="20000"/>
    <n v="0"/>
    <m/>
    <m/>
    <e v="#N/A"/>
    <e v="#N/A"/>
    <e v="#N/A"/>
    <m/>
    <m/>
    <n v="0"/>
    <n v="0"/>
    <s v=""/>
    <m/>
    <m/>
    <m/>
    <m/>
    <m/>
    <m/>
    <m/>
    <m/>
    <m/>
    <m/>
    <m/>
    <n v="0"/>
    <m/>
    <m/>
    <m/>
    <m/>
    <m/>
    <m/>
    <m/>
    <n v="0"/>
    <m/>
    <n v="0"/>
    <n v="-20000"/>
    <m/>
    <n v="0"/>
    <n v="0"/>
    <m/>
  </r>
  <r>
    <x v="0"/>
    <n v="1"/>
    <n v="41208"/>
    <n v="41208"/>
    <n v="43015"/>
    <s v="No"/>
    <s v="Y"/>
    <s v="Y"/>
    <x v="1"/>
    <m/>
    <n v="377160"/>
    <x v="50"/>
    <s v="Dylan"/>
    <s v="Pitt"/>
    <x v="583"/>
    <d v="2007-12-13T00:00:00"/>
    <n v="15.693360711841205"/>
    <n v="10"/>
    <n v="872"/>
    <n v="872"/>
    <d v="2023-04-01T00:00:00"/>
    <n v="1"/>
    <d v="2024-03-31T00:00:00"/>
    <n v="192"/>
    <n v="192"/>
    <n v="0"/>
    <s v="open"/>
    <s v="SCR"/>
    <s v="SCR"/>
    <m/>
    <x v="0"/>
    <x v="1"/>
    <x v="1"/>
    <s v="NO"/>
    <s v="NO"/>
    <s v="NO"/>
    <s v="NO"/>
    <n v="20000"/>
    <n v="20000"/>
    <s v="ASD"/>
    <n v="1"/>
    <n v="0"/>
    <n v="0"/>
    <n v="0"/>
    <n v="0"/>
    <n v="20000"/>
    <n v="0"/>
    <m/>
    <m/>
    <e v="#N/A"/>
    <e v="#N/A"/>
    <e v="#N/A"/>
    <m/>
    <m/>
    <n v="0"/>
    <n v="0"/>
    <s v=""/>
    <m/>
    <m/>
    <m/>
    <m/>
    <m/>
    <m/>
    <m/>
    <m/>
    <m/>
    <m/>
    <m/>
    <n v="0"/>
    <m/>
    <m/>
    <m/>
    <m/>
    <m/>
    <m/>
    <m/>
    <n v="0"/>
    <m/>
    <n v="0"/>
    <n v="-20000"/>
    <m/>
    <n v="0"/>
    <n v="0"/>
    <m/>
  </r>
  <r>
    <x v="0"/>
    <n v="1"/>
    <n v="41208"/>
    <n v="41208"/>
    <n v="43015"/>
    <s v="No"/>
    <s v="Y"/>
    <s v="Y"/>
    <x v="1"/>
    <m/>
    <n v="382352"/>
    <x v="50"/>
    <s v="Emily"/>
    <s v="Brooks"/>
    <x v="584"/>
    <d v="2007-01-17T00:00:00"/>
    <n v="16.5968514715948"/>
    <n v="11"/>
    <n v="872"/>
    <n v="872"/>
    <d v="2023-04-01T00:00:00"/>
    <n v="1"/>
    <d v="2023-07-21T00:00:00"/>
    <n v="63"/>
    <n v="63"/>
    <n v="0"/>
    <s v="Yr 11"/>
    <s v="SCR"/>
    <s v="SCR"/>
    <m/>
    <x v="0"/>
    <x v="1"/>
    <x v="1"/>
    <s v="NO"/>
    <s v="NO"/>
    <s v="NO"/>
    <s v="NO"/>
    <n v="20000"/>
    <n v="20000"/>
    <s v="ASD"/>
    <n v="1"/>
    <n v="0"/>
    <n v="0"/>
    <n v="0"/>
    <n v="0"/>
    <n v="6562.5"/>
    <n v="0"/>
    <m/>
    <m/>
    <e v="#N/A"/>
    <e v="#N/A"/>
    <s v="St Crispins 6th Form"/>
    <m/>
    <m/>
    <n v="0"/>
    <n v="0"/>
    <s v="St Crispin's 6th form"/>
    <s v="WBC Academy"/>
    <n v="43012"/>
    <m/>
    <m/>
    <s v="St Crispin's 6th form"/>
    <m/>
    <m/>
    <m/>
    <m/>
    <s v="Y"/>
    <m/>
    <n v="0"/>
    <s v="COLL"/>
    <m/>
    <m/>
    <m/>
    <m/>
    <m/>
    <m/>
    <n v="0"/>
    <m/>
    <n v="0"/>
    <n v="-6562.5"/>
    <m/>
    <n v="0"/>
    <n v="0"/>
    <m/>
  </r>
  <r>
    <x v="0"/>
    <n v="1"/>
    <n v="41208"/>
    <n v="41208"/>
    <n v="43015"/>
    <s v="No"/>
    <s v="Y"/>
    <s v="Y"/>
    <x v="1"/>
    <m/>
    <n v="383675"/>
    <x v="50"/>
    <s v="George"/>
    <s v="Wickens"/>
    <x v="585"/>
    <d v="2009-07-19T00:00:00"/>
    <n v="14.094455852156058"/>
    <n v="9"/>
    <n v="872"/>
    <n v="872"/>
    <d v="2023-04-01T00:00:00"/>
    <n v="1"/>
    <d v="2024-03-31T00:00:00"/>
    <n v="192"/>
    <n v="192"/>
    <n v="0"/>
    <s v="open"/>
    <s v="SCR"/>
    <s v="SCR"/>
    <m/>
    <x v="0"/>
    <x v="1"/>
    <x v="1"/>
    <s v="NO"/>
    <s v="NO"/>
    <s v="NO"/>
    <s v="NO"/>
    <n v="20000"/>
    <n v="20000"/>
    <s v="ASD"/>
    <n v="1"/>
    <n v="0"/>
    <n v="0"/>
    <n v="0"/>
    <n v="0"/>
    <n v="20000"/>
    <n v="0"/>
    <m/>
    <m/>
    <e v="#N/A"/>
    <e v="#N/A"/>
    <e v="#N/A"/>
    <m/>
    <m/>
    <n v="0"/>
    <n v="0"/>
    <s v=""/>
    <m/>
    <m/>
    <m/>
    <m/>
    <m/>
    <m/>
    <m/>
    <m/>
    <m/>
    <m/>
    <m/>
    <n v="0"/>
    <m/>
    <m/>
    <m/>
    <m/>
    <m/>
    <m/>
    <m/>
    <n v="0"/>
    <m/>
    <n v="0"/>
    <n v="-20000"/>
    <m/>
    <n v="0"/>
    <n v="0"/>
    <m/>
  </r>
  <r>
    <x v="0"/>
    <n v="1"/>
    <n v="41208"/>
    <n v="41208"/>
    <n v="43015"/>
    <s v="No"/>
    <s v="Y"/>
    <s v="Y"/>
    <x v="1"/>
    <m/>
    <n v="371427"/>
    <x v="50"/>
    <s v="Joshua"/>
    <s v="Edmondson"/>
    <x v="586"/>
    <d v="2007-07-26T00:00:00"/>
    <n v="16.076659822039698"/>
    <n v="11"/>
    <n v="872"/>
    <n v="872"/>
    <d v="2023-04-01T00:00:00"/>
    <n v="1"/>
    <d v="2023-07-21T00:00:00"/>
    <n v="63"/>
    <n v="63"/>
    <n v="0"/>
    <s v="Yr 11"/>
    <s v="SCR"/>
    <s v="SCR"/>
    <m/>
    <x v="0"/>
    <x v="1"/>
    <x v="1"/>
    <s v="NO"/>
    <s v="NO"/>
    <s v="NO"/>
    <s v="NO"/>
    <n v="20000"/>
    <n v="20000"/>
    <s v="ASD"/>
    <n v="1"/>
    <n v="0"/>
    <n v="0"/>
    <n v="0"/>
    <n v="0"/>
    <n v="6562.5"/>
    <n v="0"/>
    <m/>
    <m/>
    <e v="#N/A"/>
    <e v="#N/A"/>
    <s v="Reading coll"/>
    <s v="Y"/>
    <n v="13333.333333333334"/>
    <n v="0"/>
    <n v="0"/>
    <s v="Reading College"/>
    <s v="COLL"/>
    <m/>
    <m/>
    <m/>
    <s v="Reading College"/>
    <m/>
    <m/>
    <m/>
    <m/>
    <s v="Y"/>
    <m/>
    <n v="0"/>
    <s v="COLL"/>
    <m/>
    <m/>
    <m/>
    <m/>
    <m/>
    <m/>
    <n v="0"/>
    <m/>
    <n v="0"/>
    <n v="-6562.5"/>
    <m/>
    <n v="0"/>
    <n v="0"/>
    <m/>
  </r>
  <r>
    <x v="0"/>
    <n v="1"/>
    <n v="41208"/>
    <n v="41208"/>
    <n v="43015"/>
    <s v="No"/>
    <s v="Y"/>
    <s v="Y"/>
    <x v="1"/>
    <m/>
    <n v="382129"/>
    <x v="50"/>
    <s v="Joshua"/>
    <s v="Stamp"/>
    <x v="587"/>
    <d v="2009-04-18T00:00:00"/>
    <n v="14.346338124572211"/>
    <n v="9"/>
    <n v="872"/>
    <n v="872"/>
    <d v="2023-04-01T00:00:00"/>
    <n v="1"/>
    <d v="2024-03-31T00:00:00"/>
    <n v="192"/>
    <n v="192"/>
    <n v="0"/>
    <s v="open"/>
    <s v="SCR"/>
    <s v="SCR"/>
    <m/>
    <x v="0"/>
    <x v="1"/>
    <x v="1"/>
    <s v="NO"/>
    <s v="NO"/>
    <s v="NO"/>
    <s v="NO"/>
    <n v="20000"/>
    <n v="20000"/>
    <s v="ASD"/>
    <n v="1"/>
    <n v="0"/>
    <n v="0"/>
    <n v="0"/>
    <n v="0"/>
    <n v="20000"/>
    <n v="0"/>
    <m/>
    <m/>
    <e v="#N/A"/>
    <e v="#N/A"/>
    <e v="#N/A"/>
    <m/>
    <m/>
    <n v="0"/>
    <n v="0"/>
    <s v=""/>
    <m/>
    <m/>
    <m/>
    <m/>
    <m/>
    <m/>
    <m/>
    <m/>
    <m/>
    <m/>
    <m/>
    <n v="0"/>
    <m/>
    <m/>
    <m/>
    <m/>
    <m/>
    <m/>
    <m/>
    <n v="0"/>
    <m/>
    <n v="0"/>
    <n v="-20000"/>
    <m/>
    <n v="0"/>
    <n v="0"/>
    <m/>
  </r>
  <r>
    <x v="0"/>
    <n v="1"/>
    <n v="41208"/>
    <n v="41208"/>
    <n v="43015"/>
    <s v="No"/>
    <s v="Y"/>
    <s v="Y"/>
    <x v="1"/>
    <m/>
    <n v="372987"/>
    <x v="50"/>
    <s v="Louis"/>
    <s v="Lake"/>
    <x v="588"/>
    <d v="2007-09-14T00:00:00"/>
    <n v="15.939767282683095"/>
    <n v="10"/>
    <n v="872"/>
    <n v="872"/>
    <d v="2023-04-01T00:00:00"/>
    <n v="1"/>
    <d v="2024-03-31T00:00:00"/>
    <n v="192"/>
    <n v="192"/>
    <n v="0"/>
    <s v="open"/>
    <s v="SCR"/>
    <s v="SCR"/>
    <m/>
    <x v="0"/>
    <x v="1"/>
    <x v="1"/>
    <s v="NO"/>
    <s v="NO"/>
    <s v="NO"/>
    <s v="NO"/>
    <n v="20000"/>
    <n v="20000"/>
    <s v="ASD"/>
    <n v="1"/>
    <n v="0"/>
    <n v="0"/>
    <n v="0"/>
    <n v="0"/>
    <n v="20000"/>
    <n v="0"/>
    <m/>
    <m/>
    <e v="#N/A"/>
    <e v="#N/A"/>
    <e v="#N/A"/>
    <m/>
    <m/>
    <n v="0"/>
    <n v="0"/>
    <s v=""/>
    <m/>
    <m/>
    <m/>
    <m/>
    <m/>
    <m/>
    <m/>
    <m/>
    <m/>
    <m/>
    <m/>
    <n v="0"/>
    <m/>
    <m/>
    <m/>
    <m/>
    <m/>
    <m/>
    <m/>
    <n v="0"/>
    <m/>
    <n v="0"/>
    <n v="-20000"/>
    <m/>
    <n v="0"/>
    <n v="0"/>
    <m/>
  </r>
  <r>
    <x v="0"/>
    <n v="1"/>
    <n v="41208"/>
    <n v="41208"/>
    <n v="43015"/>
    <s v="No"/>
    <s v="Y"/>
    <s v="Y"/>
    <x v="1"/>
    <m/>
    <n v="380913"/>
    <x v="50"/>
    <s v="Oscar"/>
    <s v="Byrne"/>
    <x v="589"/>
    <d v="2009-01-24T00:00:00"/>
    <n v="14.576317590691307"/>
    <n v="9"/>
    <n v="872"/>
    <n v="872"/>
    <d v="2023-04-01T00:00:00"/>
    <n v="1"/>
    <d v="2024-03-31T00:00:00"/>
    <n v="192"/>
    <n v="192"/>
    <n v="0"/>
    <s v="open"/>
    <s v="SCR"/>
    <s v="SCR"/>
    <m/>
    <x v="0"/>
    <x v="1"/>
    <x v="1"/>
    <s v="NO"/>
    <s v="NO"/>
    <s v="NO"/>
    <s v="NO"/>
    <n v="20000"/>
    <n v="20000"/>
    <s v="ASD"/>
    <n v="1"/>
    <n v="0"/>
    <n v="0"/>
    <n v="0"/>
    <n v="0"/>
    <n v="20000"/>
    <n v="0"/>
    <m/>
    <m/>
    <e v="#N/A"/>
    <e v="#N/A"/>
    <e v="#N/A"/>
    <m/>
    <m/>
    <n v="0"/>
    <n v="0"/>
    <s v=""/>
    <m/>
    <m/>
    <m/>
    <m/>
    <m/>
    <m/>
    <m/>
    <m/>
    <m/>
    <m/>
    <m/>
    <n v="0"/>
    <m/>
    <m/>
    <m/>
    <m/>
    <m/>
    <m/>
    <m/>
    <n v="0"/>
    <m/>
    <n v="0"/>
    <n v="-20000"/>
    <m/>
    <n v="0"/>
    <n v="0"/>
    <m/>
  </r>
  <r>
    <x v="0"/>
    <n v="1"/>
    <n v="41208"/>
    <n v="41208"/>
    <n v="43015"/>
    <s v="No"/>
    <s v="Y"/>
    <s v="Y"/>
    <x v="1"/>
    <m/>
    <n v="371512"/>
    <x v="50"/>
    <s v="Oskar"/>
    <s v="Vieten"/>
    <x v="590"/>
    <d v="2007-05-31T00:00:00"/>
    <n v="16.229979466119097"/>
    <n v="11"/>
    <n v="872"/>
    <n v="872"/>
    <d v="2023-04-01T00:00:00"/>
    <n v="1"/>
    <d v="2023-07-21T00:00:00"/>
    <n v="63"/>
    <n v="63"/>
    <n v="0"/>
    <s v="Yr 11"/>
    <s v="SCR"/>
    <s v="SCR"/>
    <m/>
    <x v="0"/>
    <x v="1"/>
    <x v="1"/>
    <s v="NO"/>
    <s v="NO"/>
    <s v="NO"/>
    <s v="NO"/>
    <n v="20000"/>
    <n v="20000"/>
    <s v="ASD"/>
    <n v="1"/>
    <n v="0"/>
    <n v="0"/>
    <n v="0"/>
    <n v="0"/>
    <n v="6562.5"/>
    <n v="0"/>
    <m/>
    <m/>
    <e v="#N/A"/>
    <e v="#N/A"/>
    <s v="Farnborough 6th form"/>
    <s v="Y"/>
    <n v="13333.333333333334"/>
    <n v="0"/>
    <n v="0"/>
    <s v="Farnborough Sixth Form "/>
    <s v="COLL"/>
    <m/>
    <m/>
    <m/>
    <s v="Farnborough Sixth Form "/>
    <m/>
    <m/>
    <m/>
    <m/>
    <s v="Y"/>
    <m/>
    <n v="0"/>
    <s v="COLL"/>
    <m/>
    <m/>
    <m/>
    <m/>
    <m/>
    <m/>
    <n v="0"/>
    <m/>
    <n v="0"/>
    <n v="-6562.5"/>
    <m/>
    <n v="0"/>
    <n v="0"/>
    <m/>
  </r>
  <r>
    <x v="0"/>
    <n v="1"/>
    <n v="41208"/>
    <n v="41208"/>
    <n v="43015"/>
    <s v="No"/>
    <s v="Y"/>
    <s v="Y"/>
    <x v="1"/>
    <m/>
    <n v="371374"/>
    <x v="50"/>
    <s v="Riley"/>
    <s v="Ledden "/>
    <x v="591"/>
    <d v="2007-06-13T00:00:00"/>
    <n v="16.194387405886378"/>
    <n v="11"/>
    <n v="872"/>
    <n v="872"/>
    <d v="2023-04-01T00:00:00"/>
    <n v="1"/>
    <d v="2023-07-21T00:00:00"/>
    <n v="63"/>
    <n v="63"/>
    <n v="0"/>
    <s v="Yr 11"/>
    <s v="SCR"/>
    <s v="SCR"/>
    <m/>
    <x v="0"/>
    <x v="1"/>
    <x v="1"/>
    <s v="NO"/>
    <s v="NO"/>
    <s v="NO"/>
    <s v="NO"/>
    <n v="20000"/>
    <n v="20000"/>
    <s v="ASD"/>
    <n v="1"/>
    <n v="0"/>
    <n v="0"/>
    <n v="0"/>
    <n v="0"/>
    <n v="6562.5"/>
    <n v="0"/>
    <m/>
    <m/>
    <e v="#N/A"/>
    <e v="#N/A"/>
    <s v="BCA"/>
    <s v="Y"/>
    <n v="13333.333333333334"/>
    <n v="0"/>
    <n v="0"/>
    <s v="BCA"/>
    <s v="COLL"/>
    <m/>
    <m/>
    <m/>
    <s v="BCA"/>
    <m/>
    <m/>
    <m/>
    <m/>
    <s v="Y"/>
    <m/>
    <n v="0"/>
    <s v="COLL"/>
    <m/>
    <m/>
    <m/>
    <m/>
    <m/>
    <m/>
    <n v="0"/>
    <m/>
    <n v="0"/>
    <n v="-6562.5"/>
    <m/>
    <n v="0"/>
    <n v="0"/>
    <m/>
  </r>
  <r>
    <x v="1"/>
    <n v="1"/>
    <n v="41208"/>
    <n v="41208"/>
    <n v="43015"/>
    <s v="No"/>
    <s v="Y"/>
    <s v="Y"/>
    <x v="1"/>
    <s v="AD"/>
    <n v="371374"/>
    <x v="50"/>
    <s v="Riley"/>
    <s v="Ledden "/>
    <x v="591"/>
    <d v="2007-06-13T00:00:00"/>
    <n v="16.194387405886378"/>
    <n v="11"/>
    <n v="872"/>
    <n v="872"/>
    <d v="2023-04-01T00:00:00"/>
    <n v="1"/>
    <d v="2023-07-21T00:00:00"/>
    <n v="63"/>
    <n v="63"/>
    <n v="0"/>
    <s v="Yr 11"/>
    <s v="TOP"/>
    <s v="SCR"/>
    <m/>
    <x v="0"/>
    <x v="1"/>
    <x v="1"/>
    <s v="NO"/>
    <s v="NO"/>
    <s v="NO"/>
    <s v="NO"/>
    <n v="10000"/>
    <n v="10000"/>
    <s v="ASD"/>
    <n v="1"/>
    <n v="0"/>
    <n v="0"/>
    <n v="0"/>
    <n v="0"/>
    <n v="3281.25"/>
    <n v="0"/>
    <m/>
    <m/>
    <e v="#N/A"/>
    <e v="#N/A"/>
    <e v="#N/A"/>
    <m/>
    <m/>
    <n v="0"/>
    <n v="0"/>
    <s v="BCA"/>
    <s v="COLL"/>
    <m/>
    <m/>
    <m/>
    <s v="BCA"/>
    <m/>
    <m/>
    <m/>
    <m/>
    <s v="Y"/>
    <m/>
    <n v="0"/>
    <s v="COLL"/>
    <m/>
    <m/>
    <m/>
    <m/>
    <m/>
    <m/>
    <n v="0"/>
    <m/>
    <n v="0"/>
    <n v="-3281.25"/>
    <m/>
    <n v="0"/>
    <n v="0"/>
    <m/>
  </r>
  <r>
    <x v="0"/>
    <n v="1"/>
    <n v="41208"/>
    <n v="41208"/>
    <n v="43015"/>
    <s v="No"/>
    <s v="Y"/>
    <s v="Y"/>
    <x v="1"/>
    <m/>
    <n v="363656"/>
    <x v="50"/>
    <s v="Sam"/>
    <s v="Fountain"/>
    <x v="592"/>
    <d v="2008-03-20T00:00:00"/>
    <n v="15.425051334702259"/>
    <n v="10"/>
    <n v="872"/>
    <n v="872"/>
    <d v="2023-04-01T00:00:00"/>
    <n v="1"/>
    <d v="2024-03-31T00:00:00"/>
    <n v="192"/>
    <n v="192"/>
    <n v="0"/>
    <s v="open"/>
    <s v="SCR"/>
    <s v="SCR"/>
    <m/>
    <x v="0"/>
    <x v="1"/>
    <x v="1"/>
    <s v="NO"/>
    <s v="NO"/>
    <s v="NO"/>
    <s v="NO"/>
    <n v="20000"/>
    <n v="20000"/>
    <s v="ASD"/>
    <n v="1"/>
    <n v="0"/>
    <n v="0"/>
    <n v="0"/>
    <n v="0"/>
    <n v="20000"/>
    <n v="0"/>
    <m/>
    <m/>
    <e v="#N/A"/>
    <e v="#N/A"/>
    <e v="#N/A"/>
    <m/>
    <m/>
    <n v="0"/>
    <n v="0"/>
    <s v=""/>
    <m/>
    <m/>
    <m/>
    <m/>
    <m/>
    <m/>
    <m/>
    <m/>
    <m/>
    <m/>
    <m/>
    <n v="0"/>
    <m/>
    <m/>
    <m/>
    <m/>
    <m/>
    <m/>
    <m/>
    <n v="0"/>
    <m/>
    <n v="0"/>
    <n v="-20000"/>
    <m/>
    <n v="0"/>
    <n v="0"/>
    <m/>
  </r>
  <r>
    <x v="0"/>
    <n v="1"/>
    <n v="41208"/>
    <n v="41208"/>
    <n v="43015"/>
    <s v="No"/>
    <s v="Y"/>
    <s v="Y"/>
    <x v="1"/>
    <m/>
    <n v="383008"/>
    <x v="50"/>
    <s v="Thomas"/>
    <s v="Clisby"/>
    <x v="593"/>
    <d v="2009-08-08T00:00:00"/>
    <n v="14.039698836413416"/>
    <n v="9"/>
    <n v="872"/>
    <n v="872"/>
    <d v="2023-04-01T00:00:00"/>
    <n v="1"/>
    <d v="2024-03-31T00:00:00"/>
    <n v="192"/>
    <n v="192"/>
    <n v="0"/>
    <s v="open"/>
    <s v="SCR"/>
    <s v="SCR"/>
    <m/>
    <x v="0"/>
    <x v="1"/>
    <x v="1"/>
    <s v="NO"/>
    <s v="NO"/>
    <s v="NO"/>
    <s v="NO"/>
    <n v="20000"/>
    <n v="20000"/>
    <s v="ASD"/>
    <n v="1"/>
    <n v="0"/>
    <n v="0"/>
    <n v="0"/>
    <n v="0"/>
    <n v="20000"/>
    <n v="0"/>
    <m/>
    <m/>
    <e v="#N/A"/>
    <e v="#N/A"/>
    <e v="#N/A"/>
    <m/>
    <m/>
    <n v="0"/>
    <n v="0"/>
    <s v=""/>
    <m/>
    <m/>
    <m/>
    <m/>
    <m/>
    <m/>
    <m/>
    <m/>
    <m/>
    <m/>
    <m/>
    <n v="0"/>
    <m/>
    <m/>
    <m/>
    <m/>
    <m/>
    <m/>
    <m/>
    <n v="0"/>
    <m/>
    <n v="0"/>
    <n v="-20000"/>
    <m/>
    <n v="0"/>
    <n v="0"/>
    <m/>
  </r>
  <r>
    <x v="2"/>
    <m/>
    <n v="41208"/>
    <n v="41208"/>
    <n v="43015"/>
    <s v="No"/>
    <s v="Y"/>
    <s v="Y"/>
    <x v="1"/>
    <m/>
    <m/>
    <x v="50"/>
    <m/>
    <m/>
    <x v="381"/>
    <m/>
    <n v="123.64407939767283"/>
    <m/>
    <n v="872"/>
    <n v="872"/>
    <d v="2023-04-01T00:00:00"/>
    <n v="1"/>
    <d v="2024-03-31T00:00:00"/>
    <n v="192"/>
    <n v="192"/>
    <n v="1"/>
    <s v="Oaks Budget"/>
    <s v="Oaks Budget Adj"/>
    <m/>
    <m/>
    <x v="0"/>
    <x v="1"/>
    <x v="1"/>
    <s v="NO"/>
    <s v="NO"/>
    <s v="NO"/>
    <s v="NO"/>
    <n v="269115"/>
    <n v="269115"/>
    <m/>
    <n v="1"/>
    <n v="1"/>
    <n v="269115"/>
    <n v="269115"/>
    <n v="269115"/>
    <n v="0"/>
    <n v="269115"/>
    <m/>
    <m/>
    <e v="#N/A"/>
    <e v="#N/A"/>
    <e v="#N/A"/>
    <m/>
    <m/>
    <n v="0"/>
    <n v="269115"/>
    <s v=""/>
    <m/>
    <m/>
    <m/>
    <m/>
    <m/>
    <m/>
    <m/>
    <m/>
    <m/>
    <m/>
    <m/>
    <n v="269115"/>
    <m/>
    <m/>
    <m/>
    <m/>
    <m/>
    <m/>
    <m/>
    <n v="269115"/>
    <m/>
    <n v="0"/>
    <n v="269115"/>
    <m/>
    <n v="269115"/>
    <n v="0"/>
    <m/>
  </r>
  <r>
    <x v="0"/>
    <n v="1"/>
    <n v="41208"/>
    <n v="41208"/>
    <n v="43012"/>
    <s v="No"/>
    <s v="Y"/>
    <m/>
    <x v="1"/>
    <m/>
    <n v="416704"/>
    <x v="50"/>
    <s v="Aagash"/>
    <s v="Thanesh"/>
    <x v="594"/>
    <d v="2008-07-09T00:00:00"/>
    <n v="15.121149897330595"/>
    <n v="10"/>
    <n v="872"/>
    <n v="872"/>
    <d v="2023-04-01T00:00:00"/>
    <n v="1"/>
    <d v="2024-03-31T00:00:00"/>
    <n v="192"/>
    <n v="192"/>
    <n v="1"/>
    <s v="open"/>
    <n v="33"/>
    <m/>
    <m/>
    <x v="0"/>
    <x v="1"/>
    <x v="1"/>
    <s v="NO"/>
    <s v="NO"/>
    <s v="NO"/>
    <s v="NO"/>
    <m/>
    <n v="9601.41"/>
    <s v="PD"/>
    <n v="1"/>
    <n v="1"/>
    <n v="9601.41"/>
    <n v="9601.41"/>
    <n v="9601.41"/>
    <n v="9601.41"/>
    <n v="9601.41"/>
    <m/>
    <m/>
    <e v="#N/A"/>
    <e v="#N/A"/>
    <e v="#N/A"/>
    <m/>
    <m/>
    <n v="0"/>
    <n v="9601.41"/>
    <s v=""/>
    <m/>
    <m/>
    <m/>
    <m/>
    <m/>
    <m/>
    <m/>
    <m/>
    <m/>
    <m/>
    <m/>
    <n v="9601.41"/>
    <m/>
    <m/>
    <m/>
    <m/>
    <m/>
    <m/>
    <m/>
    <n v="9601.41"/>
    <m/>
    <n v="0"/>
    <n v="0"/>
    <m/>
    <n v="9601.41"/>
    <n v="0"/>
    <m/>
  </r>
  <r>
    <x v="0"/>
    <n v="1"/>
    <n v="41208"/>
    <n v="41208"/>
    <n v="43012"/>
    <s v="No"/>
    <s v="Y"/>
    <m/>
    <x v="1"/>
    <m/>
    <n v="401365"/>
    <x v="50"/>
    <s v="Aleksandar"/>
    <s v="Saucek"/>
    <x v="595"/>
    <d v="2007-07-23T00:00:00"/>
    <n v="16.084873374401095"/>
    <n v="11"/>
    <n v="872"/>
    <n v="872"/>
    <d v="2023-04-01T00:00:00"/>
    <n v="1"/>
    <d v="2023-07-21T00:00:00"/>
    <n v="63"/>
    <n v="63"/>
    <n v="0.328125"/>
    <s v="Yr 11"/>
    <n v="25"/>
    <m/>
    <m/>
    <x v="1"/>
    <x v="1"/>
    <x v="0"/>
    <s v="NO"/>
    <s v="NO"/>
    <s v="NO"/>
    <s v="NO"/>
    <m/>
    <n v="5819.25"/>
    <s v="PD"/>
    <n v="1"/>
    <n v="0.328125"/>
    <n v="1909.44140625"/>
    <n v="1909.44140625"/>
    <n v="1909.44140625"/>
    <n v="1909.44140625"/>
    <n v="1909.44140625"/>
    <m/>
    <m/>
    <e v="#N/A"/>
    <e v="#N/A"/>
    <s v="FCT"/>
    <s v="Y"/>
    <n v="3879.5"/>
    <n v="0"/>
    <n v="1909.44140625"/>
    <s v="The Sixth Form College Farnborrough"/>
    <s v="COLL"/>
    <m/>
    <m/>
    <m/>
    <s v="The Sixth Form College Farnborrough"/>
    <m/>
    <m/>
    <m/>
    <m/>
    <s v="Y"/>
    <m/>
    <n v="1909.44140625"/>
    <s v="COLL"/>
    <m/>
    <m/>
    <m/>
    <m/>
    <m/>
    <m/>
    <n v="1909.44140625"/>
    <m/>
    <n v="0"/>
    <n v="0"/>
    <m/>
    <n v="1909.44140625"/>
    <n v="0"/>
    <m/>
  </r>
  <r>
    <x v="0"/>
    <n v="1"/>
    <n v="41208"/>
    <n v="41208"/>
    <n v="43012"/>
    <s v="No"/>
    <s v="Y"/>
    <m/>
    <x v="1"/>
    <m/>
    <n v="370941"/>
    <x v="50"/>
    <s v="Angus"/>
    <s v="Helyer"/>
    <x v="596"/>
    <d v="2007-05-26T00:00:00"/>
    <n v="16.243668720054757"/>
    <n v="11"/>
    <n v="872"/>
    <n v="872"/>
    <d v="2023-04-01T00:00:00"/>
    <n v="1"/>
    <d v="2023-07-21T00:00:00"/>
    <n v="63"/>
    <n v="63"/>
    <n v="0.328125"/>
    <s v="Yr 11"/>
    <n v="27"/>
    <m/>
    <m/>
    <x v="0"/>
    <x v="0"/>
    <x v="0"/>
    <s v="NO"/>
    <s v="NO"/>
    <s v="NO"/>
    <s v="NO"/>
    <m/>
    <n v="6764.7899999999991"/>
    <s v="SLCD"/>
    <n v="1"/>
    <n v="0.328125"/>
    <n v="2219.6967187499995"/>
    <n v="2219.6967187499995"/>
    <n v="2219.6967187499995"/>
    <n v="2219.6967187499995"/>
    <n v="2219.6967187499995"/>
    <m/>
    <m/>
    <e v="#N/A"/>
    <e v="#N/A"/>
    <s v="St Crispins"/>
    <m/>
    <m/>
    <n v="0"/>
    <n v="2219.6967187499995"/>
    <s v="St Crispins"/>
    <s v="WBC Academy"/>
    <n v="43012"/>
    <m/>
    <m/>
    <s v="St Crispins"/>
    <m/>
    <m/>
    <m/>
    <m/>
    <s v="Y"/>
    <m/>
    <n v="2219.6967187499995"/>
    <s v="COLL"/>
    <m/>
    <m/>
    <m/>
    <m/>
    <m/>
    <m/>
    <n v="2219.6967187499995"/>
    <m/>
    <n v="0"/>
    <n v="0"/>
    <m/>
    <n v="2219.6967187499995"/>
    <n v="0"/>
    <m/>
  </r>
  <r>
    <x v="1"/>
    <n v="1"/>
    <n v="41208"/>
    <n v="41208"/>
    <n v="43012"/>
    <s v="No"/>
    <s v="Y"/>
    <m/>
    <x v="1"/>
    <m/>
    <n v="403887"/>
    <x v="51"/>
    <s v="Annabelle"/>
    <s v="Lucas"/>
    <x v="597"/>
    <d v="2012-07-17T00:00:00"/>
    <n v="11.099247091033538"/>
    <n v="7"/>
    <n v="872"/>
    <n v="872"/>
    <d v="2023-09-04T00:00:00"/>
    <n v="66"/>
    <d v="2024-03-31T00:00:00"/>
    <n v="192"/>
    <n v="127"/>
    <n v="0.66145833333333337"/>
    <s v="Yr7"/>
    <n v="23"/>
    <m/>
    <m/>
    <x v="1"/>
    <x v="1"/>
    <x v="0"/>
    <s v="NO"/>
    <s v="NO"/>
    <s v="NO"/>
    <s v="NO"/>
    <m/>
    <n v="4873.7099999999991"/>
    <m/>
    <n v="1"/>
    <n v="0.66145833333333337"/>
    <n v="3223.7560937499998"/>
    <n v="3223.7560937499998"/>
    <n v="3223.7560937499998"/>
    <n v="0"/>
    <n v="0"/>
    <m/>
    <m/>
    <m/>
    <m/>
    <m/>
    <m/>
    <m/>
    <n v="3223.7560937499998"/>
    <n v="3223.7560937499998"/>
    <s v=""/>
    <m/>
    <m/>
    <m/>
    <m/>
    <m/>
    <m/>
    <m/>
    <m/>
    <s v="Y"/>
    <m/>
    <m/>
    <n v="3223.7560937499998"/>
    <m/>
    <m/>
    <m/>
    <m/>
    <m/>
    <m/>
    <m/>
    <n v="3223.7560937499998"/>
    <m/>
    <n v="0"/>
    <n v="3223.7560937499998"/>
    <m/>
    <n v="3223.7560937499998"/>
    <n v="0"/>
    <m/>
  </r>
  <r>
    <x v="0"/>
    <n v="1"/>
    <n v="41208"/>
    <n v="41208"/>
    <n v="43012"/>
    <s v="No"/>
    <s v="Y"/>
    <m/>
    <x v="1"/>
    <m/>
    <n v="388429"/>
    <x v="50"/>
    <s v="Annalea"/>
    <s v="Lane"/>
    <x v="598"/>
    <d v="2007-05-17T00:00:00"/>
    <n v="16.268309377138944"/>
    <n v="11"/>
    <n v="872"/>
    <n v="872"/>
    <d v="2023-04-01T00:00:00"/>
    <n v="1"/>
    <d v="2023-07-21T00:00:00"/>
    <n v="63"/>
    <n v="63"/>
    <n v="0.328125"/>
    <s v="Yr 11"/>
    <n v="25"/>
    <m/>
    <m/>
    <x v="1"/>
    <x v="1"/>
    <x v="0"/>
    <s v="NO"/>
    <s v="NO"/>
    <s v="NO"/>
    <s v="NO"/>
    <m/>
    <n v="5819.25"/>
    <s v="?"/>
    <n v="1"/>
    <n v="0.328125"/>
    <n v="1909.44140625"/>
    <n v="1909.44140625"/>
    <n v="1909.44140625"/>
    <n v="1909.44140625"/>
    <n v="1909.44140625"/>
    <m/>
    <m/>
    <e v="#N/A"/>
    <e v="#N/A"/>
    <s v="Reading coll"/>
    <s v="Y"/>
    <n v="3879.5"/>
    <n v="0"/>
    <n v="1909.44140625"/>
    <s v="Reading college"/>
    <s v="COLL"/>
    <m/>
    <m/>
    <m/>
    <s v="Reading College"/>
    <m/>
    <m/>
    <m/>
    <m/>
    <s v="Y"/>
    <m/>
    <n v="1909.44140625"/>
    <s v="COLL"/>
    <m/>
    <m/>
    <m/>
    <m/>
    <m/>
    <m/>
    <n v="1909.44140625"/>
    <m/>
    <n v="0"/>
    <n v="0"/>
    <m/>
    <n v="1909.44140625"/>
    <n v="0"/>
    <m/>
  </r>
  <r>
    <x v="0"/>
    <n v="1"/>
    <n v="41208"/>
    <n v="41208"/>
    <n v="43012"/>
    <s v="No"/>
    <s v="Y"/>
    <m/>
    <x v="1"/>
    <m/>
    <n v="391871"/>
    <x v="50"/>
    <s v="Brian-James"/>
    <s v="Clarke"/>
    <x v="599"/>
    <d v="2010-07-08T00:00:00"/>
    <n v="13.125256673511293"/>
    <n v="8"/>
    <n v="872"/>
    <n v="872"/>
    <d v="2023-04-01T00:00:00"/>
    <n v="1"/>
    <d v="2024-03-31T00:00:00"/>
    <n v="192"/>
    <n v="192"/>
    <n v="1"/>
    <s v="open"/>
    <n v="22"/>
    <m/>
    <m/>
    <x v="1"/>
    <x v="1"/>
    <x v="0"/>
    <s v="NO"/>
    <s v="NO"/>
    <s v="NO"/>
    <s v="NO"/>
    <m/>
    <n v="4400.9399999999987"/>
    <s v="MLD"/>
    <n v="1"/>
    <n v="1"/>
    <n v="4400.9399999999987"/>
    <n v="4400.9399999999987"/>
    <n v="4400.9399999999987"/>
    <n v="4400.9399999999987"/>
    <n v="4400.9399999999987"/>
    <m/>
    <m/>
    <e v="#N/A"/>
    <e v="#N/A"/>
    <e v="#N/A"/>
    <m/>
    <m/>
    <n v="0"/>
    <n v="4400.9399999999987"/>
    <s v=""/>
    <m/>
    <m/>
    <m/>
    <m/>
    <m/>
    <m/>
    <m/>
    <m/>
    <m/>
    <m/>
    <m/>
    <n v="4400.9399999999987"/>
    <m/>
    <m/>
    <m/>
    <m/>
    <m/>
    <m/>
    <m/>
    <n v="4400.9399999999987"/>
    <m/>
    <n v="0"/>
    <n v="0"/>
    <m/>
    <n v="4400.9399999999987"/>
    <n v="0"/>
    <m/>
  </r>
  <r>
    <x v="0"/>
    <n v="1"/>
    <n v="41208"/>
    <n v="41208"/>
    <n v="43012"/>
    <s v="No"/>
    <s v="Y"/>
    <m/>
    <x v="1"/>
    <m/>
    <n v="376515"/>
    <x v="50"/>
    <s v="Cassy"/>
    <s v="Allwood"/>
    <x v="600"/>
    <d v="2008-07-31T00:00:00"/>
    <n v="15.060917180013689"/>
    <n v="10"/>
    <n v="872"/>
    <n v="872"/>
    <d v="2023-04-01T00:00:00"/>
    <n v="1"/>
    <d v="2024-03-31T00:00:00"/>
    <n v="192"/>
    <n v="192"/>
    <n v="1"/>
    <s v="open"/>
    <n v="22"/>
    <m/>
    <m/>
    <x v="1"/>
    <x v="1"/>
    <x v="0"/>
    <s v="NO"/>
    <s v="NO"/>
    <s v="NO"/>
    <s v="NO"/>
    <m/>
    <n v="4400.9399999999987"/>
    <s v="MLD"/>
    <n v="1"/>
    <n v="1"/>
    <n v="4400.9399999999987"/>
    <n v="4400.9399999999987"/>
    <n v="4400.9399999999987"/>
    <n v="4400.9399999999987"/>
    <n v="4400.9399999999987"/>
    <m/>
    <m/>
    <e v="#N/A"/>
    <e v="#N/A"/>
    <e v="#N/A"/>
    <m/>
    <m/>
    <n v="0"/>
    <n v="4400.9399999999987"/>
    <s v=""/>
    <m/>
    <m/>
    <m/>
    <m/>
    <m/>
    <m/>
    <m/>
    <m/>
    <m/>
    <m/>
    <m/>
    <n v="4400.9399999999987"/>
    <m/>
    <m/>
    <m/>
    <m/>
    <m/>
    <m/>
    <m/>
    <n v="4400.9399999999987"/>
    <m/>
    <n v="0"/>
    <n v="0"/>
    <m/>
    <n v="4400.9399999999987"/>
    <n v="0"/>
    <m/>
  </r>
  <r>
    <x v="0"/>
    <n v="1"/>
    <n v="41208"/>
    <n v="41208"/>
    <n v="43012"/>
    <s v="No"/>
    <s v="Y"/>
    <m/>
    <x v="1"/>
    <m/>
    <n v="379582"/>
    <x v="50"/>
    <s v="Cayden"/>
    <s v="Edwards"/>
    <x v="601"/>
    <d v="2009-06-26T00:00:00"/>
    <n v="14.157426420260096"/>
    <n v="9"/>
    <n v="872"/>
    <n v="872"/>
    <d v="2023-04-01T00:00:00"/>
    <n v="1"/>
    <d v="2024-03-31T00:00:00"/>
    <n v="192"/>
    <n v="192"/>
    <n v="1"/>
    <s v="open"/>
    <n v="30000"/>
    <m/>
    <m/>
    <x v="0"/>
    <x v="1"/>
    <x v="1"/>
    <s v="NO"/>
    <s v="NO"/>
    <s v="NO"/>
    <s v="NO"/>
    <m/>
    <n v="30000"/>
    <s v="ASD"/>
    <n v="1"/>
    <n v="1"/>
    <n v="30000"/>
    <n v="30000"/>
    <n v="30000"/>
    <n v="30000"/>
    <n v="30000"/>
    <m/>
    <m/>
    <e v="#N/A"/>
    <e v="#N/A"/>
    <e v="#N/A"/>
    <m/>
    <m/>
    <n v="0"/>
    <n v="30000"/>
    <s v=""/>
    <m/>
    <m/>
    <m/>
    <m/>
    <m/>
    <m/>
    <m/>
    <m/>
    <m/>
    <m/>
    <m/>
    <n v="30000"/>
    <m/>
    <m/>
    <m/>
    <m/>
    <m/>
    <m/>
    <m/>
    <n v="30000"/>
    <m/>
    <n v="0"/>
    <n v="0"/>
    <m/>
    <n v="30000"/>
    <n v="0"/>
    <m/>
  </r>
  <r>
    <x v="0"/>
    <n v="1"/>
    <n v="41208"/>
    <n v="41208"/>
    <n v="43012"/>
    <s v="No"/>
    <s v="Y"/>
    <m/>
    <x v="1"/>
    <m/>
    <n v="389830"/>
    <x v="50"/>
    <s v="Charlie"/>
    <s v="Kirkwood"/>
    <x v="602"/>
    <d v="2010-04-27T00:00:00"/>
    <n v="13.322381930184806"/>
    <n v="8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ASD"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0"/>
    <n v="1"/>
    <n v="41208"/>
    <n v="41208"/>
    <n v="43012"/>
    <s v="No"/>
    <s v="Y"/>
    <m/>
    <x v="1"/>
    <m/>
    <n v="367809"/>
    <x v="50"/>
    <s v="Chelsee"/>
    <s v="L'Estrange"/>
    <x v="603"/>
    <d v="2006-12-15T00:00:00"/>
    <n v="16.687200547570157"/>
    <n v="11"/>
    <n v="872"/>
    <n v="872"/>
    <d v="2023-04-01T00:00:00"/>
    <n v="1"/>
    <d v="2023-07-21T00:00:00"/>
    <n v="63"/>
    <n v="63"/>
    <n v="0.328125"/>
    <s v="Yr 11"/>
    <n v="22"/>
    <m/>
    <m/>
    <x v="1"/>
    <x v="1"/>
    <x v="0"/>
    <s v="NO"/>
    <s v="NO"/>
    <s v="NO"/>
    <s v="NO"/>
    <m/>
    <n v="4400.9399999999987"/>
    <s v="SEMH"/>
    <n v="1"/>
    <n v="0.328125"/>
    <n v="1444.0584374999996"/>
    <n v="1444.0584374999996"/>
    <n v="1444.0584374999996"/>
    <n v="1444.0584374999996"/>
    <n v="1444.0584374999996"/>
    <m/>
    <m/>
    <e v="#N/A"/>
    <e v="#N/A"/>
    <s v="JAC"/>
    <s v="Y"/>
    <n v="2933.9599999999991"/>
    <n v="0"/>
    <n v="1444.0584374999996"/>
    <s v="Just Around The Corner "/>
    <s v="INMSS"/>
    <m/>
    <m/>
    <m/>
    <s v="Just Around The Corner "/>
    <m/>
    <m/>
    <m/>
    <m/>
    <s v="Y"/>
    <m/>
    <n v="1444.0584374999996"/>
    <s v="COLL"/>
    <m/>
    <m/>
    <m/>
    <m/>
    <m/>
    <m/>
    <n v="1444.0584374999996"/>
    <m/>
    <n v="0"/>
    <n v="0"/>
    <m/>
    <n v="1444.0584374999996"/>
    <n v="0"/>
    <m/>
  </r>
  <r>
    <x v="0"/>
    <n v="1"/>
    <n v="41208"/>
    <n v="41208"/>
    <n v="43012"/>
    <s v="No"/>
    <s v="Y"/>
    <m/>
    <x v="1"/>
    <m/>
    <n v="396584"/>
    <x v="50"/>
    <s v="Corey"/>
    <s v="Holland"/>
    <x v="604"/>
    <d v="2011-01-24T00:00:00"/>
    <n v="12.577686516084873"/>
    <n v="7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SEMH"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0"/>
    <n v="1"/>
    <n v="41208"/>
    <n v="41208"/>
    <n v="43012"/>
    <s v="No"/>
    <s v="Y"/>
    <m/>
    <x v="1"/>
    <m/>
    <n v="367808"/>
    <x v="50"/>
    <s v="Courtney"/>
    <s v="L'Estrange"/>
    <x v="605"/>
    <d v="2006-12-15T00:00:00"/>
    <n v="16.687200547570157"/>
    <n v="11"/>
    <n v="872"/>
    <n v="872"/>
    <d v="2023-04-01T00:00:00"/>
    <n v="1"/>
    <d v="2023-07-21T00:00:00"/>
    <n v="63"/>
    <n v="63"/>
    <n v="0.328125"/>
    <s v="Yr 11"/>
    <n v="25"/>
    <m/>
    <m/>
    <x v="1"/>
    <x v="1"/>
    <x v="0"/>
    <s v="NO"/>
    <s v="NO"/>
    <s v="NO"/>
    <s v="NO"/>
    <m/>
    <n v="5819.25"/>
    <s v="SEMH"/>
    <n v="1"/>
    <n v="0.328125"/>
    <n v="1909.44140625"/>
    <n v="1909.44140625"/>
    <n v="1909.44140625"/>
    <n v="1909.44140625"/>
    <n v="1909.44140625"/>
    <m/>
    <m/>
    <e v="#N/A"/>
    <e v="#N/A"/>
    <s v="Reading coll"/>
    <s v="Y"/>
    <n v="3879.5"/>
    <n v="0"/>
    <n v="1909.44140625"/>
    <s v="???"/>
    <m/>
    <m/>
    <m/>
    <m/>
    <m/>
    <n v="25"/>
    <n v="5819.25"/>
    <m/>
    <m/>
    <m/>
    <n v="3849.19140625"/>
    <n v="5758.6328125"/>
    <m/>
    <m/>
    <m/>
    <m/>
    <m/>
    <m/>
    <m/>
    <n v="5758.6328125"/>
    <m/>
    <n v="0"/>
    <n v="3849.19140625"/>
    <m/>
    <n v="5758.6328125"/>
    <n v="0"/>
    <m/>
  </r>
  <r>
    <x v="0"/>
    <n v="1"/>
    <n v="41208"/>
    <n v="41208"/>
    <n v="43012"/>
    <s v="No"/>
    <s v="Y"/>
    <m/>
    <x v="1"/>
    <m/>
    <n v="384210"/>
    <x v="50"/>
    <s v="Daniel"/>
    <s v="Watson"/>
    <x v="606"/>
    <d v="2008-11-09T00:00:00"/>
    <n v="14.784394250513348"/>
    <n v="9"/>
    <n v="872"/>
    <n v="872"/>
    <d v="2023-04-01T00:00:00"/>
    <n v="1"/>
    <d v="2024-03-31T00:00:00"/>
    <n v="192"/>
    <n v="192"/>
    <n v="1"/>
    <s v="open"/>
    <n v="29820"/>
    <m/>
    <m/>
    <x v="0"/>
    <x v="1"/>
    <x v="1"/>
    <s v="NO"/>
    <s v="NO"/>
    <s v="NO"/>
    <s v="NO"/>
    <m/>
    <n v="29820"/>
    <s v="ASD"/>
    <n v="1"/>
    <n v="1"/>
    <n v="29820"/>
    <n v="29820"/>
    <n v="29820"/>
    <n v="29820"/>
    <n v="29820"/>
    <m/>
    <m/>
    <e v="#N/A"/>
    <e v="#N/A"/>
    <e v="#N/A"/>
    <m/>
    <m/>
    <n v="0"/>
    <n v="29820"/>
    <s v=""/>
    <m/>
    <m/>
    <m/>
    <m/>
    <m/>
    <m/>
    <m/>
    <m/>
    <m/>
    <m/>
    <m/>
    <n v="29820"/>
    <m/>
    <m/>
    <m/>
    <m/>
    <m/>
    <m/>
    <m/>
    <n v="29820"/>
    <m/>
    <n v="0"/>
    <n v="0"/>
    <m/>
    <n v="29820"/>
    <n v="0"/>
    <m/>
  </r>
  <r>
    <x v="0"/>
    <n v="1"/>
    <n v="41208"/>
    <n v="41208"/>
    <n v="43012"/>
    <s v="No"/>
    <s v="Y"/>
    <m/>
    <x v="1"/>
    <m/>
    <n v="379464"/>
    <x v="50"/>
    <s v="Emily"/>
    <s v="Sudlow"/>
    <x v="607"/>
    <d v="2008-12-03T00:00:00"/>
    <n v="14.718685831622176"/>
    <n v="9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SEN Supp"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0"/>
    <n v="1"/>
    <n v="41208"/>
    <n v="41208"/>
    <n v="43012"/>
    <s v="No"/>
    <s v="Y"/>
    <m/>
    <x v="2"/>
    <m/>
    <n v="365916"/>
    <x v="50"/>
    <s v="Ewan"/>
    <s v="Ormiston"/>
    <x v="608"/>
    <d v="2006-06-06T00:00:00"/>
    <n v="17.212867898699521"/>
    <n v="12"/>
    <n v="872"/>
    <n v="872"/>
    <d v="2023-04-01T00:00:00"/>
    <n v="1"/>
    <d v="2023-07-21T00:00:00"/>
    <n v="63"/>
    <n v="63"/>
    <n v="0.328125"/>
    <s v="16+"/>
    <n v="11712.5"/>
    <m/>
    <m/>
    <x v="0"/>
    <x v="1"/>
    <x v="1"/>
    <s v="NO"/>
    <s v="NO"/>
    <s v="NO"/>
    <s v="NO"/>
    <m/>
    <n v="11712.5"/>
    <s v="ASD"/>
    <n v="1"/>
    <n v="0.328125"/>
    <n v="3843.1640625"/>
    <n v="3843.1640625"/>
    <n v="3843.1640625"/>
    <n v="3843.1640625"/>
    <n v="3843.1640625"/>
    <m/>
    <m/>
    <e v="#N/A"/>
    <e v="#N/A"/>
    <e v="#N/A"/>
    <m/>
    <m/>
    <n v="0"/>
    <n v="3843.1640625"/>
    <s v="???"/>
    <m/>
    <m/>
    <m/>
    <m/>
    <m/>
    <n v="11712.5"/>
    <n v="11712.5"/>
    <m/>
    <m/>
    <m/>
    <n v="7747.3307291666661"/>
    <n v="11590.494791666666"/>
    <m/>
    <m/>
    <m/>
    <m/>
    <m/>
    <m/>
    <m/>
    <n v="11590.494791666666"/>
    <m/>
    <n v="0"/>
    <n v="7747.3307291666661"/>
    <m/>
    <n v="11590.494791666666"/>
    <n v="0"/>
    <m/>
  </r>
  <r>
    <x v="0"/>
    <n v="1"/>
    <n v="41208"/>
    <n v="41208"/>
    <n v="43012"/>
    <s v="No"/>
    <s v="Y"/>
    <m/>
    <x v="1"/>
    <m/>
    <n v="432708"/>
    <x v="50"/>
    <s v="Harry"/>
    <s v="Farley"/>
    <x v="609"/>
    <d v="2009-07-28T00:00:00"/>
    <n v="14.069815195071868"/>
    <n v="9"/>
    <n v="872"/>
    <n v="872"/>
    <d v="2023-04-01T00:00:00"/>
    <n v="1"/>
    <d v="2024-03-31T00:00:00"/>
    <n v="192"/>
    <n v="192"/>
    <n v="1"/>
    <s v="open"/>
    <n v="28"/>
    <m/>
    <m/>
    <x v="0"/>
    <x v="0"/>
    <x v="0"/>
    <s v="NO"/>
    <s v="NO"/>
    <s v="NO"/>
    <s v="NO"/>
    <m/>
    <n v="7237.5599999999995"/>
    <s v="MLD"/>
    <n v="1"/>
    <n v="1"/>
    <n v="7237.5599999999995"/>
    <n v="7237.5599999999995"/>
    <n v="7237.5599999999995"/>
    <n v="7237.5599999999995"/>
    <n v="7237.5599999999995"/>
    <m/>
    <m/>
    <e v="#N/A"/>
    <e v="#N/A"/>
    <e v="#N/A"/>
    <m/>
    <m/>
    <n v="0"/>
    <n v="7237.5599999999995"/>
    <s v=""/>
    <m/>
    <m/>
    <m/>
    <m/>
    <m/>
    <m/>
    <m/>
    <m/>
    <m/>
    <m/>
    <m/>
    <n v="7237.5599999999995"/>
    <m/>
    <m/>
    <m/>
    <m/>
    <m/>
    <m/>
    <m/>
    <n v="7237.5599999999995"/>
    <m/>
    <n v="0"/>
    <n v="0"/>
    <m/>
    <n v="7237.5599999999995"/>
    <n v="0"/>
    <m/>
  </r>
  <r>
    <x v="0"/>
    <n v="1"/>
    <n v="41208"/>
    <n v="41208"/>
    <n v="43012"/>
    <s v="No"/>
    <s v="Y"/>
    <m/>
    <x v="1"/>
    <m/>
    <n v="400730"/>
    <x v="50"/>
    <s v="Harrison"/>
    <s v="Bacon-Canning"/>
    <x v="610"/>
    <d v="2006-10-15T00:00:00"/>
    <n v="16.854209445585216"/>
    <n v="11"/>
    <n v="872"/>
    <n v="872"/>
    <d v="2023-04-01T00:00:00"/>
    <n v="1"/>
    <d v="2023-07-21T00:00:00"/>
    <n v="63"/>
    <n v="63"/>
    <n v="0.328125"/>
    <s v="Yr 11"/>
    <s v="TOP"/>
    <m/>
    <m/>
    <x v="0"/>
    <x v="1"/>
    <x v="1"/>
    <s v="NO"/>
    <s v="NO"/>
    <s v="NO"/>
    <s v="NO"/>
    <m/>
    <n v="9115.2000000000007"/>
    <s v="SEMH"/>
    <n v="1"/>
    <n v="0.328125"/>
    <n v="2990.9250000000002"/>
    <n v="2990.9250000000002"/>
    <n v="2990.9250000000002"/>
    <n v="2990.9250000000002"/>
    <n v="2990.9250000000002"/>
    <m/>
    <m/>
    <e v="#N/A"/>
    <e v="#N/A"/>
    <s v="St Crispins"/>
    <m/>
    <m/>
    <n v="0"/>
    <n v="2990.9250000000002"/>
    <s v="St Crispin's School"/>
    <s v="WBC Academy"/>
    <n v="43012"/>
    <m/>
    <m/>
    <s v="St Crispin's School"/>
    <m/>
    <m/>
    <m/>
    <m/>
    <s v="Y"/>
    <m/>
    <n v="2990.9250000000002"/>
    <s v="COLL"/>
    <m/>
    <m/>
    <m/>
    <m/>
    <m/>
    <m/>
    <n v="2990.9250000000002"/>
    <m/>
    <n v="0"/>
    <n v="0"/>
    <m/>
    <n v="2990.9250000000002"/>
    <n v="0"/>
    <m/>
  </r>
  <r>
    <x v="0"/>
    <n v="1"/>
    <n v="41208"/>
    <n v="41208"/>
    <n v="43015"/>
    <s v="No"/>
    <s v="Y"/>
    <s v="Y"/>
    <x v="1"/>
    <m/>
    <n v="378702"/>
    <x v="50"/>
    <s v="Harvey"/>
    <s v="Gosling"/>
    <x v="611"/>
    <d v="2008-11-05T00:00:00"/>
    <n v="14.795345653661876"/>
    <n v="9"/>
    <n v="872"/>
    <n v="872"/>
    <d v="2023-09-01T00:00:00"/>
    <n v="1"/>
    <d v="2024-03-31T00:00:00"/>
    <n v="63"/>
    <n v="63"/>
    <n v="0.328125"/>
    <s v="open"/>
    <s v="Autistic Spec"/>
    <m/>
    <m/>
    <x v="0"/>
    <x v="1"/>
    <x v="1"/>
    <s v="NO"/>
    <s v="NO"/>
    <s v="NO"/>
    <s v="NO"/>
    <m/>
    <n v="8708"/>
    <m/>
    <n v="1"/>
    <n v="0.328125"/>
    <n v="2857.31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857.3125"/>
    <n v="2857.3125"/>
    <m/>
  </r>
  <r>
    <x v="0"/>
    <n v="1"/>
    <n v="41208"/>
    <n v="41208"/>
    <n v="43012"/>
    <s v="No"/>
    <s v="Y"/>
    <m/>
    <x v="1"/>
    <m/>
    <n v="435695"/>
    <x v="50"/>
    <s v="Hei Long"/>
    <s v="Chiang"/>
    <x v="612"/>
    <d v="2011-04-26T00:00:00"/>
    <n v="12.325804243668721"/>
    <n v="7"/>
    <n v="872"/>
    <n v="872"/>
    <d v="2023-04-19T00:00:00"/>
    <n v="4"/>
    <d v="2024-03-31T00:00:00"/>
    <n v="192"/>
    <n v="189"/>
    <n v="0.984375"/>
    <s v="open"/>
    <n v="30"/>
    <m/>
    <m/>
    <x v="0"/>
    <x v="0"/>
    <x v="0"/>
    <s v="NO"/>
    <s v="NO"/>
    <s v="NO"/>
    <s v="NO"/>
    <m/>
    <n v="8183.0999999999985"/>
    <m/>
    <n v="1"/>
    <n v="0.984375"/>
    <n v="8055.2390624999989"/>
    <n v="8055.2390624999989"/>
    <n v="8055.2390624999989"/>
    <n v="0"/>
    <n v="8055.2390624999989"/>
    <m/>
    <m/>
    <e v="#N/A"/>
    <e v="#N/A"/>
    <e v="#N/A"/>
    <m/>
    <m/>
    <n v="0"/>
    <n v="8055.2390624999989"/>
    <s v=""/>
    <m/>
    <m/>
    <m/>
    <m/>
    <m/>
    <m/>
    <m/>
    <m/>
    <m/>
    <m/>
    <m/>
    <n v="8055.2390624999989"/>
    <m/>
    <m/>
    <m/>
    <m/>
    <m/>
    <m/>
    <m/>
    <n v="8055.2390624999989"/>
    <m/>
    <n v="0"/>
    <n v="8055.2390624999989"/>
    <m/>
    <n v="8055.2390624999989"/>
    <n v="0"/>
    <m/>
  </r>
  <r>
    <x v="0"/>
    <n v="1"/>
    <n v="41208"/>
    <n v="41208"/>
    <n v="43012"/>
    <s v="No"/>
    <s v="Y"/>
    <m/>
    <x v="1"/>
    <m/>
    <n v="375624"/>
    <x v="50"/>
    <s v="Iwan"/>
    <s v="Winfield"/>
    <x v="613"/>
    <d v="2009-02-17T00:00:00"/>
    <n v="14.510609171800137"/>
    <n v="9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SLCD"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0"/>
    <n v="1"/>
    <n v="41208"/>
    <n v="41208"/>
    <n v="43012"/>
    <s v="No"/>
    <s v="Y"/>
    <m/>
    <x v="1"/>
    <m/>
    <n v="385104"/>
    <x v="50"/>
    <s v="Jacob"/>
    <s v="Lloyd"/>
    <x v="614"/>
    <d v="2009-07-30T00:00:00"/>
    <n v="14.064339493497604"/>
    <n v="9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SEMH"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0"/>
    <n v="1"/>
    <n v="41208"/>
    <n v="41208"/>
    <n v="43012"/>
    <s v="No"/>
    <s v="Y"/>
    <m/>
    <x v="1"/>
    <m/>
    <n v="387144"/>
    <x v="50"/>
    <s v="Jay"/>
    <s v="Jones"/>
    <x v="615"/>
    <d v="2010-01-27T00:00:00"/>
    <n v="13.568788501026694"/>
    <n v="8"/>
    <n v="872"/>
    <n v="872"/>
    <d v="2023-04-01T00:00:00"/>
    <n v="1"/>
    <d v="2024-03-31T00:00:00"/>
    <n v="192"/>
    <n v="192"/>
    <n v="1"/>
    <s v="open"/>
    <n v="8807"/>
    <m/>
    <m/>
    <x v="0"/>
    <x v="1"/>
    <x v="1"/>
    <s v="NO"/>
    <s v="NO"/>
    <s v="NO"/>
    <s v="NO"/>
    <m/>
    <n v="8807"/>
    <s v="SEMH"/>
    <n v="1"/>
    <n v="1"/>
    <n v="8807"/>
    <n v="8807"/>
    <n v="8807"/>
    <n v="8807"/>
    <n v="8807"/>
    <m/>
    <m/>
    <e v="#N/A"/>
    <e v="#N/A"/>
    <e v="#N/A"/>
    <m/>
    <m/>
    <n v="0"/>
    <n v="8807"/>
    <s v=""/>
    <m/>
    <m/>
    <m/>
    <m/>
    <m/>
    <m/>
    <m/>
    <m/>
    <m/>
    <m/>
    <m/>
    <n v="8807"/>
    <m/>
    <m/>
    <m/>
    <m/>
    <m/>
    <m/>
    <m/>
    <n v="8807"/>
    <m/>
    <n v="0"/>
    <n v="0"/>
    <m/>
    <n v="8807"/>
    <n v="0"/>
    <m/>
  </r>
  <r>
    <x v="0"/>
    <n v="1"/>
    <n v="41208"/>
    <n v="41208"/>
    <n v="43012"/>
    <s v="No"/>
    <s v="Y"/>
    <m/>
    <x v="1"/>
    <m/>
    <n v="419138"/>
    <x v="50"/>
    <s v="Kaya"/>
    <s v="Beynon"/>
    <x v="616"/>
    <d v="2007-08-10T00:00:00"/>
    <n v="16.035592060232716"/>
    <n v="11"/>
    <n v="872"/>
    <n v="872"/>
    <d v="2023-04-01T00:00:00"/>
    <n v="1"/>
    <d v="2023-07-21T00:00:00"/>
    <n v="63"/>
    <n v="63"/>
    <n v="0.328125"/>
    <s v="Yr 11"/>
    <n v="24"/>
    <m/>
    <m/>
    <x v="1"/>
    <x v="1"/>
    <x v="0"/>
    <s v="NO"/>
    <s v="NO"/>
    <s v="NO"/>
    <s v="NO"/>
    <m/>
    <n v="5346.48"/>
    <s v="SEMH"/>
    <n v="1"/>
    <n v="0.328125"/>
    <n v="1754.3137499999998"/>
    <n v="1754.3137499999998"/>
    <n v="1754.3137499999998"/>
    <n v="1754.3137499999998"/>
    <n v="1754.3137499999998"/>
    <m/>
    <m/>
    <e v="#N/A"/>
    <e v="#N/A"/>
    <s v="Mover out"/>
    <s v="Y"/>
    <n v="3564.3199999999997"/>
    <n v="0"/>
    <n v="1754.3137499999998"/>
    <s v="NAME ON TYPE Moving out of area end of Year 11"/>
    <m/>
    <m/>
    <m/>
    <m/>
    <s v="NAME ON TYPE Moving out of area end of Year 11"/>
    <m/>
    <m/>
    <m/>
    <m/>
    <s v="Y"/>
    <m/>
    <n v="1754.3137499999998"/>
    <s v="COLL"/>
    <m/>
    <m/>
    <m/>
    <m/>
    <m/>
    <m/>
    <n v="1754.3137499999998"/>
    <m/>
    <n v="0"/>
    <n v="0"/>
    <m/>
    <n v="1754.3137499999998"/>
    <n v="0"/>
    <m/>
  </r>
  <r>
    <x v="0"/>
    <n v="1"/>
    <n v="41208"/>
    <n v="41208"/>
    <n v="43012"/>
    <s v="No"/>
    <s v="Y"/>
    <m/>
    <x v="1"/>
    <m/>
    <n v="397407"/>
    <x v="50"/>
    <s v="Leo"/>
    <s v="North"/>
    <x v="617"/>
    <d v="2011-05-20T00:00:00"/>
    <n v="12.260095824777549"/>
    <n v="7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OD"/>
    <n v="1"/>
    <n v="1"/>
    <n v="8183.0999999999985"/>
    <n v="8183.0999999999985"/>
    <n v="8183.0999999999985"/>
    <n v="0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8183.0999999999985"/>
    <m/>
    <n v="8183.0999999999985"/>
    <n v="0"/>
    <m/>
  </r>
  <r>
    <x v="0"/>
    <n v="1"/>
    <n v="41208"/>
    <n v="41208"/>
    <n v="43012"/>
    <s v="No"/>
    <s v="Y"/>
    <m/>
    <x v="1"/>
    <m/>
    <n v="401306"/>
    <x v="50"/>
    <s v="Leo"/>
    <s v="Popaya"/>
    <x v="618"/>
    <d v="2007-07-26T00:00:00"/>
    <n v="16.076659822039698"/>
    <n v="11"/>
    <n v="872"/>
    <n v="872"/>
    <d v="2023-04-01T00:00:00"/>
    <n v="1"/>
    <d v="2023-07-21T00:00:00"/>
    <n v="63"/>
    <n v="63"/>
    <n v="0.328125"/>
    <s v="Yr 11"/>
    <n v="26"/>
    <m/>
    <m/>
    <x v="0"/>
    <x v="0"/>
    <x v="0"/>
    <s v="NO"/>
    <s v="NO"/>
    <s v="NO"/>
    <s v="NO"/>
    <m/>
    <n v="6292.02"/>
    <s v="SEMH"/>
    <n v="1"/>
    <n v="0.328125"/>
    <n v="2064.5690625000002"/>
    <n v="2064.5690625000002"/>
    <n v="2064.5690625000002"/>
    <n v="2064.5690625000002"/>
    <n v="2064.5690625000002"/>
    <m/>
    <m/>
    <e v="#N/A"/>
    <e v="#N/A"/>
    <s v="BNLL coll"/>
    <s v="Y"/>
    <n v="4194.68"/>
    <n v="0"/>
    <n v="2064.5690625000002"/>
    <s v="Bracknell"/>
    <s v="COLL"/>
    <m/>
    <m/>
    <m/>
    <s v="Bracknell"/>
    <m/>
    <m/>
    <m/>
    <m/>
    <s v="Y"/>
    <m/>
    <n v="2064.5690625000002"/>
    <s v="COLL"/>
    <m/>
    <m/>
    <m/>
    <m/>
    <m/>
    <m/>
    <n v="2064.5690625000002"/>
    <m/>
    <n v="0"/>
    <n v="0"/>
    <m/>
    <n v="2064.5690625000002"/>
    <n v="0"/>
    <m/>
  </r>
  <r>
    <x v="1"/>
    <n v="1"/>
    <n v="41208"/>
    <n v="41208"/>
    <n v="43012"/>
    <s v="No"/>
    <s v="Y"/>
    <m/>
    <x v="1"/>
    <s v="AD"/>
    <n v="401306"/>
    <x v="50"/>
    <s v="Leo"/>
    <s v="Popaya"/>
    <x v="618"/>
    <d v="2007-07-26T00:00:00"/>
    <n v="16.076659822039698"/>
    <n v="11"/>
    <n v="872"/>
    <n v="872"/>
    <d v="2023-04-01T00:00:00"/>
    <n v="1"/>
    <d v="2023-07-21T00:00:00"/>
    <n v="63"/>
    <n v="63"/>
    <n v="0.328125"/>
    <s v="Yr 11"/>
    <n v="16463.96"/>
    <m/>
    <m/>
    <x v="0"/>
    <x v="1"/>
    <x v="1"/>
    <s v="NO"/>
    <s v="NO"/>
    <s v="NO"/>
    <s v="NO"/>
    <m/>
    <n v="16463.96"/>
    <s v="SEMH"/>
    <n v="1"/>
    <n v="0.328125"/>
    <n v="5402.2368749999996"/>
    <n v="5402.2368749999996"/>
    <n v="5402.2368749999996"/>
    <n v="5402.2368749999996"/>
    <n v="5402.2368749999996"/>
    <m/>
    <m/>
    <e v="#N/A"/>
    <e v="#N/A"/>
    <e v="#N/A"/>
    <m/>
    <m/>
    <n v="0"/>
    <n v="5402.2368749999996"/>
    <s v="Bracknell"/>
    <s v="COLL"/>
    <m/>
    <m/>
    <m/>
    <s v="Bracknell"/>
    <m/>
    <m/>
    <m/>
    <m/>
    <s v="Y"/>
    <m/>
    <n v="5402.2368749999996"/>
    <s v="COLL"/>
    <m/>
    <m/>
    <m/>
    <m/>
    <m/>
    <m/>
    <n v="5402.2368749999996"/>
    <m/>
    <n v="0"/>
    <n v="0"/>
    <m/>
    <n v="5402.2368749999996"/>
    <n v="0"/>
    <m/>
  </r>
  <r>
    <x v="0"/>
    <n v="1"/>
    <n v="41208"/>
    <n v="41208"/>
    <n v="43012"/>
    <s v="No"/>
    <s v="Y"/>
    <m/>
    <x v="1"/>
    <m/>
    <n v="379399"/>
    <x v="50"/>
    <s v="Leonardo"/>
    <s v="Scales"/>
    <x v="619"/>
    <d v="2008-10-13T00:00:00"/>
    <n v="14.858316221765914"/>
    <n v="9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SLCD"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0"/>
    <n v="1"/>
    <n v="41208"/>
    <n v="41208"/>
    <n v="43012"/>
    <s v="No"/>
    <s v="Y"/>
    <m/>
    <x v="1"/>
    <m/>
    <n v="427315"/>
    <x v="50"/>
    <s v="Lewis"/>
    <s v="Wood"/>
    <x v="620"/>
    <d v="2008-04-07T00:00:00"/>
    <n v="15.375770020533881"/>
    <n v="10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SEMH"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0"/>
    <n v="1"/>
    <n v="41208"/>
    <n v="41208"/>
    <n v="43012"/>
    <s v="No"/>
    <s v="Y"/>
    <m/>
    <x v="1"/>
    <m/>
    <n v="391847"/>
    <x v="50"/>
    <s v="Libby-May"/>
    <s v="Mulcahy-Claridge"/>
    <x v="621"/>
    <d v="2009-08-09T00:00:00"/>
    <n v="14.036960985626283"/>
    <n v="9"/>
    <n v="872"/>
    <n v="872"/>
    <d v="2023-04-01T00:00:00"/>
    <n v="1"/>
    <d v="2024-03-31T00:00:00"/>
    <n v="192"/>
    <n v="192"/>
    <n v="1"/>
    <s v="open"/>
    <n v="28"/>
    <m/>
    <m/>
    <x v="0"/>
    <x v="0"/>
    <x v="0"/>
    <s v="NO"/>
    <s v="NO"/>
    <s v="NO"/>
    <s v="NO"/>
    <m/>
    <n v="7237.5599999999995"/>
    <s v="SEMH"/>
    <n v="1"/>
    <n v="1"/>
    <n v="7237.5599999999995"/>
    <n v="7237.5599999999995"/>
    <n v="7237.5599999999995"/>
    <n v="7237.5599999999995"/>
    <n v="7237.5599999999995"/>
    <m/>
    <m/>
    <e v="#N/A"/>
    <e v="#N/A"/>
    <e v="#N/A"/>
    <m/>
    <m/>
    <n v="0"/>
    <n v="7237.5599999999995"/>
    <s v=""/>
    <m/>
    <m/>
    <m/>
    <m/>
    <m/>
    <m/>
    <m/>
    <m/>
    <m/>
    <m/>
    <m/>
    <n v="7237.5599999999995"/>
    <m/>
    <m/>
    <m/>
    <m/>
    <m/>
    <m/>
    <m/>
    <n v="7237.5599999999995"/>
    <m/>
    <n v="0"/>
    <n v="0"/>
    <m/>
    <n v="7237.5599999999995"/>
    <n v="0"/>
    <m/>
  </r>
  <r>
    <x v="0"/>
    <n v="1"/>
    <n v="41208"/>
    <n v="41208"/>
    <n v="43012"/>
    <s v="No"/>
    <s v="Y"/>
    <m/>
    <x v="1"/>
    <m/>
    <n v="389140"/>
    <x v="50"/>
    <s v="Mia"/>
    <s v="Farricker"/>
    <x v="622"/>
    <d v="2010-08-11T00:00:00"/>
    <n v="13.032169746748803"/>
    <n v="8"/>
    <n v="872"/>
    <n v="872"/>
    <d v="2023-04-01T00:00:00"/>
    <n v="1"/>
    <d v="2024-03-31T00:00:00"/>
    <n v="192"/>
    <n v="192"/>
    <n v="1"/>
    <s v="open"/>
    <n v="3896.66"/>
    <m/>
    <m/>
    <x v="0"/>
    <x v="1"/>
    <x v="1"/>
    <s v="NO"/>
    <s v="NO"/>
    <s v="NO"/>
    <s v="NO"/>
    <m/>
    <n v="3896.66"/>
    <s v="ASD"/>
    <n v="1"/>
    <n v="1"/>
    <n v="3896.66"/>
    <n v="3896.66"/>
    <n v="3896.66"/>
    <n v="3896.66"/>
    <n v="3896.66"/>
    <m/>
    <m/>
    <e v="#N/A"/>
    <e v="#N/A"/>
    <e v="#N/A"/>
    <m/>
    <m/>
    <n v="0"/>
    <n v="3896.66"/>
    <s v=""/>
    <m/>
    <m/>
    <m/>
    <m/>
    <m/>
    <m/>
    <m/>
    <m/>
    <m/>
    <m/>
    <m/>
    <n v="3896.66"/>
    <m/>
    <m/>
    <m/>
    <m/>
    <m/>
    <m/>
    <m/>
    <n v="3896.66"/>
    <m/>
    <n v="0"/>
    <n v="0"/>
    <m/>
    <n v="3896.66"/>
    <n v="0"/>
    <m/>
  </r>
  <r>
    <x v="0"/>
    <n v="1"/>
    <n v="41208"/>
    <n v="41208"/>
    <n v="43012"/>
    <s v="No"/>
    <s v="Y"/>
    <m/>
    <x v="1"/>
    <m/>
    <n v="390039"/>
    <x v="50"/>
    <s v="Ollie"/>
    <s v="Morrish"/>
    <x v="623"/>
    <d v="2010-08-25T00:00:00"/>
    <n v="12.993839835728952"/>
    <n v="8"/>
    <n v="872"/>
    <n v="872"/>
    <d v="2023-04-01T00:00:00"/>
    <n v="1"/>
    <d v="2024-03-31T00:00:00"/>
    <n v="192"/>
    <n v="192"/>
    <n v="1"/>
    <s v="open"/>
    <n v="8807"/>
    <m/>
    <m/>
    <x v="0"/>
    <x v="1"/>
    <x v="1"/>
    <s v="NO"/>
    <s v="NO"/>
    <s v="NO"/>
    <s v="NO"/>
    <m/>
    <n v="8807"/>
    <s v="SEMH"/>
    <n v="1"/>
    <n v="1"/>
    <n v="8807"/>
    <n v="8807"/>
    <n v="8807"/>
    <n v="8807"/>
    <n v="8807"/>
    <m/>
    <m/>
    <e v="#N/A"/>
    <e v="#N/A"/>
    <e v="#N/A"/>
    <m/>
    <m/>
    <n v="0"/>
    <n v="8807"/>
    <s v=""/>
    <m/>
    <m/>
    <m/>
    <m/>
    <m/>
    <m/>
    <m/>
    <m/>
    <m/>
    <m/>
    <m/>
    <n v="8807"/>
    <m/>
    <m/>
    <m/>
    <m/>
    <m/>
    <m/>
    <m/>
    <n v="8807"/>
    <m/>
    <n v="0"/>
    <n v="0"/>
    <m/>
    <n v="8807"/>
    <n v="0"/>
    <m/>
  </r>
  <r>
    <x v="0"/>
    <n v="1"/>
    <n v="41208"/>
    <n v="41208"/>
    <n v="43012"/>
    <s v="No"/>
    <s v="Y"/>
    <m/>
    <x v="1"/>
    <m/>
    <n v="390166"/>
    <x v="50"/>
    <s v="Poppy-Irys"/>
    <s v="Pemberton"/>
    <x v="624"/>
    <d v="2010-05-02T00:00:00"/>
    <n v="13.308692676249144"/>
    <n v="8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SPLD"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0"/>
    <n v="1"/>
    <n v="41208"/>
    <n v="41208"/>
    <n v="43012"/>
    <s v="No"/>
    <s v="Y"/>
    <m/>
    <x v="1"/>
    <m/>
    <n v="376650"/>
    <x v="50"/>
    <s v="Rahimah"/>
    <s v="Mahmood"/>
    <x v="625"/>
    <d v="2008-07-03T00:00:00"/>
    <n v="15.137577002053389"/>
    <n v="10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Severe LD"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0"/>
    <n v="1"/>
    <n v="41208"/>
    <n v="41208"/>
    <n v="43012"/>
    <s v="No"/>
    <s v="Y"/>
    <m/>
    <x v="1"/>
    <m/>
    <n v="389561"/>
    <x v="50"/>
    <s v="Ryan"/>
    <s v="Little"/>
    <x v="626"/>
    <d v="2009-10-24T00:00:00"/>
    <n v="13.828884325804244"/>
    <n v="8"/>
    <n v="872"/>
    <n v="872"/>
    <d v="2023-04-01T00:00:00"/>
    <n v="1"/>
    <d v="2023-05-10T00:00:00"/>
    <n v="16"/>
    <n v="16"/>
    <n v="8.3333333333333329E-2"/>
    <s v="open"/>
    <n v="30"/>
    <m/>
    <m/>
    <x v="0"/>
    <x v="0"/>
    <x v="0"/>
    <s v="NO"/>
    <s v="NO"/>
    <s v="NO"/>
    <s v="NO"/>
    <m/>
    <n v="8183.0999999999985"/>
    <s v="SLD"/>
    <n v="1"/>
    <n v="8.3333333333333329E-2"/>
    <n v="681.92499999999984"/>
    <n v="681.92499999999984"/>
    <n v="681.92499999999984"/>
    <n v="8183.0999999999985"/>
    <n v="8183.0999999999985"/>
    <m/>
    <m/>
    <e v="#N/A"/>
    <e v="#N/A"/>
    <e v="#N/A"/>
    <m/>
    <m/>
    <n v="-7501.1749999999984"/>
    <n v="681.92499999999984"/>
    <s v=""/>
    <m/>
    <m/>
    <m/>
    <m/>
    <m/>
    <m/>
    <m/>
    <m/>
    <m/>
    <m/>
    <m/>
    <n v="681.92499999999984"/>
    <m/>
    <m/>
    <m/>
    <m/>
    <m/>
    <m/>
    <m/>
    <n v="681.92499999999984"/>
    <m/>
    <n v="0"/>
    <n v="-7501.1749999999984"/>
    <m/>
    <n v="681.92499999999984"/>
    <n v="0"/>
    <m/>
  </r>
  <r>
    <x v="1"/>
    <n v="1"/>
    <n v="41208"/>
    <n v="41208"/>
    <n v="43012"/>
    <s v="No"/>
    <s v="Y"/>
    <m/>
    <x v="1"/>
    <m/>
    <n v="389561"/>
    <x v="50"/>
    <s v="Ryan"/>
    <s v="Little"/>
    <x v="626"/>
    <d v="2009-10-24T00:00:00"/>
    <n v="13.828884325804244"/>
    <n v="8"/>
    <n v="872"/>
    <n v="872"/>
    <d v="2023-05-11T00:00:00"/>
    <n v="18"/>
    <d v="2024-03-31T00:00:00"/>
    <n v="192"/>
    <n v="175"/>
    <n v="0.91145833333333337"/>
    <s v="open"/>
    <n v="7106.7"/>
    <m/>
    <m/>
    <x v="0"/>
    <x v="1"/>
    <x v="1"/>
    <s v="NO"/>
    <s v="NO"/>
    <s v="NO"/>
    <s v="NO"/>
    <m/>
    <n v="7106.7"/>
    <s v="SLD"/>
    <n v="1"/>
    <n v="1"/>
    <n v="7106.7"/>
    <n v="7106.7"/>
    <n v="7106.7"/>
    <n v="0"/>
    <n v="0"/>
    <m/>
    <m/>
    <m/>
    <m/>
    <m/>
    <m/>
    <m/>
    <n v="7106.7"/>
    <n v="7106.7"/>
    <m/>
    <m/>
    <m/>
    <m/>
    <m/>
    <m/>
    <m/>
    <m/>
    <m/>
    <m/>
    <m/>
    <m/>
    <n v="7106.7"/>
    <m/>
    <m/>
    <m/>
    <m/>
    <m/>
    <m/>
    <m/>
    <n v="7106.7"/>
    <m/>
    <n v="0"/>
    <n v="7106.7"/>
    <m/>
    <n v="7106.7"/>
    <n v="0"/>
    <m/>
  </r>
  <r>
    <x v="0"/>
    <n v="1"/>
    <n v="41208"/>
    <n v="41208"/>
    <n v="43012"/>
    <s v="No"/>
    <s v="Y"/>
    <m/>
    <x v="1"/>
    <m/>
    <n v="392700"/>
    <x v="50"/>
    <s v="Ryan"/>
    <s v="Parker-Wood"/>
    <x v="627"/>
    <d v="2011-08-05T00:00:00"/>
    <n v="12.049281314168377"/>
    <n v="7"/>
    <n v="872"/>
    <n v="872"/>
    <d v="2023-04-01T00:00:00"/>
    <n v="1"/>
    <d v="2024-03-31T00:00:00"/>
    <n v="192"/>
    <n v="192"/>
    <n v="1"/>
    <s v="open"/>
    <n v="26"/>
    <m/>
    <m/>
    <x v="0"/>
    <x v="0"/>
    <x v="0"/>
    <s v="NO"/>
    <s v="NO"/>
    <s v="NO"/>
    <s v="NO"/>
    <m/>
    <n v="6292.02"/>
    <s v="SEMH"/>
    <n v="1"/>
    <n v="1"/>
    <n v="6292.02"/>
    <n v="6292.02"/>
    <n v="6292.02"/>
    <n v="6292.02"/>
    <n v="6292.02"/>
    <m/>
    <m/>
    <e v="#N/A"/>
    <e v="#N/A"/>
    <e v="#N/A"/>
    <m/>
    <m/>
    <n v="0"/>
    <n v="6292.02"/>
    <s v=""/>
    <m/>
    <m/>
    <m/>
    <m/>
    <m/>
    <m/>
    <m/>
    <m/>
    <m/>
    <m/>
    <m/>
    <n v="6292.02"/>
    <m/>
    <m/>
    <m/>
    <m/>
    <m/>
    <m/>
    <m/>
    <n v="6292.02"/>
    <m/>
    <n v="0"/>
    <n v="0"/>
    <m/>
    <n v="6292.02"/>
    <n v="0"/>
    <m/>
  </r>
  <r>
    <x v="0"/>
    <n v="1"/>
    <n v="41208"/>
    <n v="41208"/>
    <n v="43012"/>
    <s v="No"/>
    <s v="Y"/>
    <m/>
    <x v="1"/>
    <m/>
    <n v="378917"/>
    <x v="50"/>
    <s v="Samuel"/>
    <s v="Dolecki"/>
    <x v="628"/>
    <d v="2008-11-12T00:00:00"/>
    <n v="14.776180698151951"/>
    <n v="9"/>
    <n v="872"/>
    <n v="872"/>
    <d v="2023-04-01T00:00:00"/>
    <n v="1"/>
    <d v="2024-03-31T00:00:00"/>
    <n v="192"/>
    <n v="192"/>
    <n v="1"/>
    <s v="open"/>
    <n v="6403"/>
    <m/>
    <m/>
    <x v="0"/>
    <x v="1"/>
    <x v="1"/>
    <s v="NO"/>
    <s v="NO"/>
    <s v="NO"/>
    <s v="NO"/>
    <m/>
    <n v="6403"/>
    <s v="SEMH"/>
    <n v="1"/>
    <n v="1"/>
    <n v="6403"/>
    <n v="6403"/>
    <n v="6403"/>
    <n v="0"/>
    <n v="6403"/>
    <m/>
    <m/>
    <e v="#N/A"/>
    <e v="#N/A"/>
    <e v="#N/A"/>
    <m/>
    <m/>
    <n v="0"/>
    <n v="6403"/>
    <s v=""/>
    <m/>
    <m/>
    <m/>
    <m/>
    <m/>
    <m/>
    <m/>
    <m/>
    <m/>
    <m/>
    <m/>
    <n v="6403"/>
    <m/>
    <m/>
    <m/>
    <m/>
    <m/>
    <m/>
    <m/>
    <n v="6403"/>
    <m/>
    <n v="0"/>
    <n v="6403"/>
    <m/>
    <n v="6403"/>
    <n v="0"/>
    <m/>
  </r>
  <r>
    <x v="0"/>
    <n v="1"/>
    <n v="41208"/>
    <n v="41208"/>
    <n v="43012"/>
    <s v="No"/>
    <s v="Y"/>
    <m/>
    <x v="1"/>
    <m/>
    <n v="379006"/>
    <x v="50"/>
    <s v="Stevie"/>
    <s v="Coulthard"/>
    <x v="629"/>
    <d v="2008-11-10T00:00:00"/>
    <n v="14.781656399726215"/>
    <n v="9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SEMH"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1"/>
    <n v="1"/>
    <n v="41208"/>
    <n v="41208"/>
    <n v="43012"/>
    <s v="No"/>
    <s v="Y"/>
    <m/>
    <x v="1"/>
    <m/>
    <n v="379006"/>
    <x v="50"/>
    <s v="Stevie"/>
    <s v="Coulthard"/>
    <x v="629"/>
    <d v="2008-11-10T00:00:00"/>
    <n v="14.781656399726215"/>
    <n v="9"/>
    <n v="872"/>
    <n v="872"/>
    <d v="2023-04-01T00:00:00"/>
    <n v="1"/>
    <d v="2023-04-01T00:00:00"/>
    <n v="0"/>
    <n v="0"/>
    <n v="1"/>
    <s v="closed"/>
    <n v="17130"/>
    <m/>
    <m/>
    <x v="0"/>
    <x v="1"/>
    <x v="1"/>
    <s v="NO"/>
    <s v="NO"/>
    <s v="NO"/>
    <s v="NO"/>
    <m/>
    <n v="17130"/>
    <s v="SEMH"/>
    <n v="1"/>
    <n v="1"/>
    <n v="17130"/>
    <n v="17130"/>
    <n v="17130"/>
    <n v="0"/>
    <m/>
    <m/>
    <m/>
    <m/>
    <m/>
    <m/>
    <m/>
    <m/>
    <n v="17130"/>
    <n v="17130"/>
    <s v=""/>
    <m/>
    <m/>
    <m/>
    <m/>
    <m/>
    <m/>
    <m/>
    <m/>
    <m/>
    <m/>
    <m/>
    <n v="17130"/>
    <m/>
    <m/>
    <m/>
    <m/>
    <m/>
    <m/>
    <m/>
    <n v="17130"/>
    <m/>
    <n v="0"/>
    <n v="17130"/>
    <m/>
    <n v="17130"/>
    <n v="0"/>
    <m/>
  </r>
  <r>
    <x v="0"/>
    <n v="1"/>
    <n v="41208"/>
    <n v="41208"/>
    <n v="43012"/>
    <s v="No"/>
    <s v="Y"/>
    <m/>
    <x v="1"/>
    <m/>
    <n v="370002"/>
    <x v="50"/>
    <s v="Tyler"/>
    <s v="Savory"/>
    <x v="630"/>
    <d v="2007-07-31T00:00:00"/>
    <n v="16.062970568104038"/>
    <n v="11"/>
    <n v="872"/>
    <n v="872"/>
    <d v="2023-04-01T00:00:00"/>
    <n v="1"/>
    <d v="2023-07-21T00:00:00"/>
    <n v="63"/>
    <n v="63"/>
    <n v="0.328125"/>
    <s v="Yr 11"/>
    <n v="23"/>
    <m/>
    <m/>
    <x v="1"/>
    <x v="1"/>
    <x v="0"/>
    <s v="NO"/>
    <s v="NO"/>
    <s v="NO"/>
    <s v="NO"/>
    <m/>
    <n v="4873.7099999999991"/>
    <s v="SLCD"/>
    <n v="1"/>
    <n v="0.328125"/>
    <n v="1599.1860937499996"/>
    <n v="1599.1860937499996"/>
    <n v="1599.1860937499996"/>
    <n v="1599.1860937499996"/>
    <n v="1599.1860937499996"/>
    <m/>
    <m/>
    <e v="#N/A"/>
    <e v="#N/A"/>
    <s v="Reading coll"/>
    <s v="Y"/>
    <n v="3249.1399999999994"/>
    <n v="0"/>
    <n v="1599.1860937499996"/>
    <s v="Reading college"/>
    <s v="COLL"/>
    <m/>
    <m/>
    <m/>
    <s v="Reading College"/>
    <m/>
    <m/>
    <m/>
    <m/>
    <s v="Y"/>
    <m/>
    <n v="1599.1860937499996"/>
    <s v="COLL"/>
    <m/>
    <m/>
    <m/>
    <m/>
    <m/>
    <m/>
    <n v="1599.1860937499996"/>
    <m/>
    <n v="0"/>
    <n v="0"/>
    <m/>
    <n v="1599.1860937499996"/>
    <n v="0"/>
    <m/>
  </r>
  <r>
    <x v="0"/>
    <n v="1"/>
    <n v="41208"/>
    <n v="41208"/>
    <n v="43012"/>
    <s v="No"/>
    <s v="Y"/>
    <m/>
    <x v="1"/>
    <m/>
    <n v="423502"/>
    <x v="50"/>
    <s v="Zixun"/>
    <s v="Zhu"/>
    <x v="631"/>
    <d v="2011-08-03T00:00:00"/>
    <n v="12.054757015742641"/>
    <n v="7"/>
    <n v="872"/>
    <n v="872"/>
    <d v="2023-04-01T00:00:00"/>
    <n v="1"/>
    <d v="2023-04-01T00:00:00"/>
    <n v="0"/>
    <n v="0"/>
    <n v="0"/>
    <s v="open"/>
    <n v="30"/>
    <m/>
    <m/>
    <x v="0"/>
    <x v="0"/>
    <x v="0"/>
    <s v="NO"/>
    <s v="NO"/>
    <s v="NO"/>
    <s v="NO"/>
    <m/>
    <n v="8183.0999999999985"/>
    <s v="SEMH"/>
    <n v="1"/>
    <n v="0"/>
    <n v="0"/>
    <n v="0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n v="43601"/>
    <s v="CW"/>
    <m/>
    <m/>
    <m/>
    <n v="0"/>
    <s v="moved Feb23! Late Capita update"/>
    <n v="-8183.0999999999985"/>
    <n v="-8183.0999999999985"/>
    <m/>
    <n v="0"/>
    <n v="0"/>
    <m/>
  </r>
  <r>
    <x v="1"/>
    <n v="1"/>
    <n v="41208"/>
    <n v="41208"/>
    <n v="43012"/>
    <s v="No"/>
    <s v="Y"/>
    <m/>
    <x v="1"/>
    <s v="AD"/>
    <n v="423502"/>
    <x v="50"/>
    <s v="Zixun"/>
    <s v="Zhu"/>
    <x v="631"/>
    <d v="2011-08-03T00:00:00"/>
    <n v="12.054757015742641"/>
    <n v="7"/>
    <n v="872"/>
    <n v="872"/>
    <d v="2023-04-01T00:00:00"/>
    <n v="1"/>
    <d v="2023-04-01T00:00:00"/>
    <n v="0"/>
    <n v="0"/>
    <n v="0"/>
    <s v="open"/>
    <s v="CWAW"/>
    <s v="CWAW"/>
    <m/>
    <x v="0"/>
    <x v="1"/>
    <x v="1"/>
    <s v="NO"/>
    <s v="NO"/>
    <s v="NO"/>
    <s v="NO"/>
    <m/>
    <n v="53057"/>
    <s v="SEMH"/>
    <n v="1"/>
    <n v="0"/>
    <n v="0"/>
    <n v="0"/>
    <n v="53057"/>
    <n v="53057"/>
    <n v="53057"/>
    <m/>
    <m/>
    <e v="#N/A"/>
    <e v="#N/A"/>
    <e v="#N/A"/>
    <m/>
    <m/>
    <n v="0"/>
    <n v="53057"/>
    <s v=""/>
    <m/>
    <m/>
    <m/>
    <m/>
    <m/>
    <m/>
    <m/>
    <m/>
    <m/>
    <m/>
    <m/>
    <n v="53057"/>
    <m/>
    <m/>
    <n v="43601"/>
    <s v="CW"/>
    <m/>
    <m/>
    <m/>
    <n v="0"/>
    <s v="moved Feb23! Late Capita update"/>
    <n v="-53057"/>
    <n v="-53057"/>
    <m/>
    <n v="0"/>
    <n v="0"/>
    <m/>
  </r>
  <r>
    <x v="0"/>
    <n v="1"/>
    <n v="41139"/>
    <n v="41139"/>
    <n v="43011"/>
    <s v="No"/>
    <m/>
    <m/>
    <x v="0"/>
    <m/>
    <n v="434882"/>
    <x v="52"/>
    <s v="Abhiram"/>
    <s v="Acharya"/>
    <x v="632"/>
    <d v="2017-06-25T00:00:00"/>
    <n v="6.1601642710472282"/>
    <n v="1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SLCD"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0"/>
    <n v="1"/>
    <n v="41139"/>
    <n v="41139"/>
    <n v="43011"/>
    <s v="No"/>
    <m/>
    <m/>
    <x v="0"/>
    <m/>
    <n v="405752"/>
    <x v="52"/>
    <s v="Anthony"/>
    <s v="Adly"/>
    <x v="633"/>
    <d v="2013-11-27T00:00:00"/>
    <n v="9.7357973990417523"/>
    <n v="4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m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0"/>
    <n v="1"/>
    <n v="41139"/>
    <n v="41139"/>
    <n v="43011"/>
    <s v="No"/>
    <m/>
    <m/>
    <x v="0"/>
    <m/>
    <n v="434437"/>
    <x v="52"/>
    <s v="Anay"/>
    <s v="Lakhotia"/>
    <x v="634"/>
    <d v="2016-12-17T00:00:00"/>
    <n v="6.6803559206023273"/>
    <n v="1"/>
    <n v="872"/>
    <n v="872"/>
    <d v="2023-04-01T00:00:00"/>
    <n v="1"/>
    <d v="2024-03-31T00:00:00"/>
    <n v="192"/>
    <n v="192"/>
    <n v="1"/>
    <s v="open"/>
    <s v="TOP 31.75"/>
    <m/>
    <m/>
    <x v="0"/>
    <x v="1"/>
    <x v="1"/>
    <s v="NO"/>
    <s v="NO"/>
    <s v="NO"/>
    <s v="NO"/>
    <m/>
    <n v="9010.4475000000002"/>
    <s v="ASD"/>
    <n v="1"/>
    <n v="1"/>
    <n v="9010.4475000000002"/>
    <n v="9010.4475000000002"/>
    <n v="9010.4475000000002"/>
    <n v="9010.4475000000002"/>
    <n v="9010.4475000000002"/>
    <m/>
    <m/>
    <e v="#N/A"/>
    <e v="#N/A"/>
    <e v="#N/A"/>
    <m/>
    <m/>
    <n v="0"/>
    <n v="9010.4475000000002"/>
    <s v=""/>
    <m/>
    <m/>
    <m/>
    <m/>
    <m/>
    <m/>
    <m/>
    <m/>
    <m/>
    <m/>
    <m/>
    <n v="9010.4475000000002"/>
    <m/>
    <m/>
    <m/>
    <m/>
    <m/>
    <m/>
    <m/>
    <n v="9010.4475000000002"/>
    <m/>
    <n v="0"/>
    <n v="0"/>
    <m/>
    <n v="9010.4475000000002"/>
    <n v="0"/>
    <m/>
  </r>
  <r>
    <x v="0"/>
    <n v="1"/>
    <n v="41139"/>
    <n v="41139"/>
    <n v="43011"/>
    <s v="No"/>
    <m/>
    <m/>
    <x v="0"/>
    <m/>
    <n v="430009"/>
    <x v="52"/>
    <s v="Charlie"/>
    <s v="Soscia"/>
    <x v="635"/>
    <d v="2016-07-26T00:00:00"/>
    <n v="7.0746064339493495"/>
    <n v="2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SLCD"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0"/>
    <n v="1"/>
    <n v="41139"/>
    <n v="41139"/>
    <n v="43011"/>
    <s v="No"/>
    <m/>
    <m/>
    <x v="0"/>
    <m/>
    <n v="406158"/>
    <x v="52"/>
    <s v="Dawud"/>
    <s v="Muhammad"/>
    <x v="636"/>
    <d v="2013-05-18T00:00:00"/>
    <n v="10.264202600958248"/>
    <n v="5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ASD"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0"/>
    <n v="1"/>
    <n v="41139"/>
    <n v="41139"/>
    <n v="43011"/>
    <s v="No"/>
    <m/>
    <m/>
    <x v="0"/>
    <m/>
    <n v="441883"/>
    <x v="52"/>
    <s v="Faryal"/>
    <s v="Matyal"/>
    <x v="637"/>
    <d v="2017-10-30T00:00:00"/>
    <n v="5.8124572210814511"/>
    <n v="0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m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0"/>
    <n v="1"/>
    <n v="41139"/>
    <n v="41139"/>
    <n v="43011"/>
    <s v="No"/>
    <m/>
    <m/>
    <x v="0"/>
    <m/>
    <n v="414249"/>
    <x v="52"/>
    <s v="Hassan"/>
    <s v="Njie"/>
    <x v="638"/>
    <d v="2014-11-26T00:00:00"/>
    <n v="8.7392197125256672"/>
    <n v="3"/>
    <n v="872"/>
    <n v="872"/>
    <d v="2023-04-01T00:00:00"/>
    <n v="1"/>
    <d v="2024-03-31T00:00:00"/>
    <n v="192"/>
    <n v="192"/>
    <n v="1"/>
    <s v="open"/>
    <n v="22"/>
    <m/>
    <m/>
    <x v="1"/>
    <x v="1"/>
    <x v="0"/>
    <s v="NO"/>
    <s v="NO"/>
    <s v="NO"/>
    <s v="NO"/>
    <m/>
    <n v="4400.9399999999987"/>
    <s v="SLCD"/>
    <n v="1"/>
    <n v="1"/>
    <n v="4400.9399999999987"/>
    <n v="4400.9399999999987"/>
    <n v="4400.9399999999987"/>
    <n v="4400.9399999999987"/>
    <n v="4400.9399999999987"/>
    <m/>
    <m/>
    <e v="#N/A"/>
    <e v="#N/A"/>
    <e v="#N/A"/>
    <m/>
    <m/>
    <n v="0"/>
    <n v="4400.9399999999987"/>
    <s v=""/>
    <m/>
    <m/>
    <m/>
    <m/>
    <m/>
    <m/>
    <m/>
    <m/>
    <m/>
    <m/>
    <m/>
    <n v="4400.9399999999987"/>
    <m/>
    <m/>
    <m/>
    <m/>
    <m/>
    <m/>
    <m/>
    <n v="4400.9399999999987"/>
    <m/>
    <n v="0"/>
    <n v="0"/>
    <m/>
    <n v="4400.9399999999987"/>
    <n v="0"/>
    <m/>
  </r>
  <r>
    <x v="0"/>
    <n v="1"/>
    <n v="41139"/>
    <n v="41139"/>
    <n v="43011"/>
    <s v="No"/>
    <m/>
    <m/>
    <x v="0"/>
    <m/>
    <n v="414250"/>
    <x v="52"/>
    <s v="Hussain"/>
    <s v="Njie"/>
    <x v="639"/>
    <d v="2014-11-26T00:00:00"/>
    <n v="8.7392197125256672"/>
    <n v="3"/>
    <n v="872"/>
    <n v="872"/>
    <d v="2023-04-01T00:00:00"/>
    <n v="1"/>
    <d v="2024-03-31T00:00:00"/>
    <n v="192"/>
    <n v="192"/>
    <n v="1"/>
    <s v="open"/>
    <n v="23"/>
    <m/>
    <m/>
    <x v="1"/>
    <x v="1"/>
    <x v="0"/>
    <s v="NO"/>
    <s v="NO"/>
    <s v="NO"/>
    <s v="NO"/>
    <m/>
    <n v="4873.7099999999991"/>
    <s v="SLCD"/>
    <n v="1"/>
    <n v="1"/>
    <n v="4873.7099999999991"/>
    <n v="4873.7099999999991"/>
    <n v="4873.7099999999991"/>
    <n v="4873.7099999999991"/>
    <n v="4873.7099999999991"/>
    <m/>
    <m/>
    <e v="#N/A"/>
    <e v="#N/A"/>
    <e v="#N/A"/>
    <m/>
    <m/>
    <n v="0"/>
    <n v="4873.7099999999991"/>
    <s v=""/>
    <m/>
    <m/>
    <m/>
    <m/>
    <m/>
    <m/>
    <m/>
    <m/>
    <m/>
    <m/>
    <m/>
    <n v="4873.7099999999991"/>
    <m/>
    <m/>
    <m/>
    <m/>
    <m/>
    <m/>
    <m/>
    <n v="4873.7099999999991"/>
    <m/>
    <n v="0"/>
    <n v="0"/>
    <m/>
    <n v="4873.7099999999991"/>
    <n v="0"/>
    <m/>
  </r>
  <r>
    <x v="0"/>
    <n v="1"/>
    <n v="41139"/>
    <n v="41139"/>
    <n v="43011"/>
    <s v="No"/>
    <m/>
    <m/>
    <x v="0"/>
    <m/>
    <n v="435152"/>
    <x v="52"/>
    <s v="Leo"/>
    <s v="Saunders"/>
    <x v="640"/>
    <d v="2017-03-11T00:00:00"/>
    <n v="6.4503764544832309"/>
    <n v="1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SLCD"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0"/>
    <n v="1"/>
    <n v="41139"/>
    <n v="41139"/>
    <n v="43011"/>
    <s v="No"/>
    <m/>
    <m/>
    <x v="0"/>
    <m/>
    <n v="442277"/>
    <x v="52"/>
    <s v="Linda"/>
    <s v="Sirova"/>
    <x v="641"/>
    <d v="2018-04-16T00:00:00"/>
    <n v="5.3524982888432584"/>
    <n v="0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m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1"/>
    <n v="1"/>
    <n v="41139"/>
    <n v="41139"/>
    <n v="43011"/>
    <s v="No"/>
    <m/>
    <m/>
    <x v="0"/>
    <m/>
    <n v="442277"/>
    <x v="52"/>
    <s v="Linda"/>
    <s v="Sirova"/>
    <x v="641"/>
    <d v="2018-04-16T00:00:00"/>
    <n v="5.3524982888432584"/>
    <n v="0"/>
    <n v="872"/>
    <n v="872"/>
    <d v="2023-07-03T00:00:00"/>
    <n v="49"/>
    <d v="2023-07-10T00:00:00"/>
    <n v="54"/>
    <n v="6"/>
    <n v="3.125E-2"/>
    <s v="open"/>
    <n v="3420"/>
    <m/>
    <m/>
    <x v="2"/>
    <x v="1"/>
    <x v="2"/>
    <s v="NO"/>
    <s v="NO"/>
    <s v="NO"/>
    <s v="NO"/>
    <m/>
    <n v="3420"/>
    <m/>
    <n v="1"/>
    <n v="1"/>
    <n v="3420"/>
    <n v="3420"/>
    <n v="0"/>
    <n v="0"/>
    <n v="0"/>
    <m/>
    <m/>
    <e v="#N/A"/>
    <e v="#N/A"/>
    <e v="#N/A"/>
    <m/>
    <m/>
    <n v="0"/>
    <n v="0"/>
    <m/>
    <m/>
    <m/>
    <m/>
    <m/>
    <m/>
    <m/>
    <m/>
    <m/>
    <m/>
    <m/>
    <m/>
    <n v="0"/>
    <m/>
    <m/>
    <m/>
    <m/>
    <m/>
    <m/>
    <m/>
    <n v="3420"/>
    <s v="new additional provision"/>
    <n v="3420"/>
    <n v="3420"/>
    <m/>
    <n v="3420"/>
    <n v="0"/>
    <m/>
  </r>
  <r>
    <x v="0"/>
    <n v="1"/>
    <n v="41139"/>
    <n v="41139"/>
    <n v="43011"/>
    <s v="No"/>
    <m/>
    <m/>
    <x v="0"/>
    <m/>
    <n v="435362"/>
    <x v="52"/>
    <s v="Mohammad"/>
    <s v="Nazeer"/>
    <x v="642"/>
    <d v="2017-04-20T00:00:00"/>
    <n v="6.3408624229979464"/>
    <n v="1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m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0"/>
    <n v="1"/>
    <n v="41139"/>
    <n v="41139"/>
    <n v="43011"/>
    <s v="No"/>
    <m/>
    <m/>
    <x v="0"/>
    <m/>
    <n v="414239"/>
    <x v="52"/>
    <s v="Raed"/>
    <s v="Waseem"/>
    <x v="643"/>
    <d v="2014-02-16T00:00:00"/>
    <n v="9.5140314852840522"/>
    <n v="4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ASD"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0"/>
    <n v="1"/>
    <n v="41139"/>
    <n v="41139"/>
    <n v="43011"/>
    <s v="No"/>
    <m/>
    <m/>
    <x v="0"/>
    <m/>
    <n v="415120"/>
    <x v="52"/>
    <s v="Robert"/>
    <s v="King"/>
    <x v="644"/>
    <d v="2014-02-12T00:00:00"/>
    <n v="9.5249828884325805"/>
    <n v="4"/>
    <n v="872"/>
    <n v="872"/>
    <d v="2023-04-01T00:00:00"/>
    <n v="1"/>
    <d v="2024-03-31T00:00:00"/>
    <n v="192"/>
    <n v="192"/>
    <n v="1"/>
    <s v="open"/>
    <n v="22"/>
    <m/>
    <m/>
    <x v="1"/>
    <x v="1"/>
    <x v="0"/>
    <s v="NO"/>
    <s v="NO"/>
    <s v="NO"/>
    <s v="NO"/>
    <m/>
    <n v="4400.9399999999987"/>
    <s v="SEMH"/>
    <n v="1"/>
    <n v="1"/>
    <n v="4400.9399999999987"/>
    <n v="4400.9399999999987"/>
    <n v="4400.9399999999987"/>
    <n v="4400.9399999999987"/>
    <n v="4400.9399999999987"/>
    <m/>
    <m/>
    <e v="#N/A"/>
    <e v="#N/A"/>
    <e v="#N/A"/>
    <m/>
    <m/>
    <n v="0"/>
    <n v="4400.9399999999987"/>
    <s v=""/>
    <m/>
    <m/>
    <m/>
    <m/>
    <m/>
    <m/>
    <m/>
    <m/>
    <m/>
    <m/>
    <m/>
    <n v="4400.9399999999987"/>
    <m/>
    <m/>
    <m/>
    <m/>
    <m/>
    <m/>
    <m/>
    <n v="4400.9399999999987"/>
    <m/>
    <n v="0"/>
    <n v="0"/>
    <m/>
    <n v="4400.9399999999987"/>
    <n v="0"/>
    <m/>
  </r>
  <r>
    <x v="0"/>
    <n v="1"/>
    <n v="41139"/>
    <n v="41139"/>
    <n v="43011"/>
    <s v="No"/>
    <m/>
    <m/>
    <x v="0"/>
    <m/>
    <n v="433156"/>
    <x v="52"/>
    <s v="Theo"/>
    <s v="Smith"/>
    <x v="645"/>
    <d v="2017-01-19T00:00:00"/>
    <n v="6.5900068446269682"/>
    <n v="1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ASD"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0"/>
    <n v="1"/>
    <n v="41139"/>
    <n v="41139"/>
    <n v="43011"/>
    <s v="No"/>
    <m/>
    <m/>
    <x v="0"/>
    <m/>
    <n v="437165"/>
    <x v="52"/>
    <s v="Teddy"/>
    <s v="Brown"/>
    <x v="646"/>
    <d v="2017-10-12T00:00:00"/>
    <n v="5.8617385352498292"/>
    <n v="0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m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0"/>
    <n v="1"/>
    <n v="41139"/>
    <n v="41139"/>
    <n v="43011"/>
    <s v="No"/>
    <m/>
    <m/>
    <x v="0"/>
    <m/>
    <n v="428292"/>
    <x v="52"/>
    <s v="Yusuf"/>
    <s v="Okuducu"/>
    <x v="647"/>
    <d v="2016-08-29T00:00:00"/>
    <n v="6.9815195071868583"/>
    <n v="1"/>
    <n v="872"/>
    <n v="872"/>
    <d v="2023-04-01T00:00:00"/>
    <n v="1"/>
    <d v="2024-03-31T00:00:00"/>
    <n v="192"/>
    <n v="192"/>
    <n v="1"/>
    <s v="open"/>
    <n v="24.25"/>
    <m/>
    <m/>
    <x v="1"/>
    <x v="1"/>
    <x v="0"/>
    <s v="NO"/>
    <s v="NO"/>
    <s v="NO"/>
    <s v="NO"/>
    <m/>
    <n v="5464.6724999999988"/>
    <m/>
    <n v="1"/>
    <n v="1"/>
    <n v="5464.6724999999988"/>
    <n v="5464.6724999999988"/>
    <n v="5464.6724999999988"/>
    <n v="5464.6724999999988"/>
    <n v="5464.6724999999988"/>
    <m/>
    <m/>
    <e v="#N/A"/>
    <e v="#N/A"/>
    <e v="#N/A"/>
    <m/>
    <m/>
    <n v="0"/>
    <n v="5464.6724999999988"/>
    <s v=""/>
    <m/>
    <m/>
    <m/>
    <m/>
    <m/>
    <m/>
    <m/>
    <m/>
    <m/>
    <m/>
    <m/>
    <n v="5464.6724999999988"/>
    <m/>
    <m/>
    <m/>
    <m/>
    <m/>
    <m/>
    <m/>
    <n v="5464.6724999999988"/>
    <m/>
    <n v="0"/>
    <n v="0"/>
    <m/>
    <n v="5464.6724999999988"/>
    <n v="0"/>
    <m/>
  </r>
  <r>
    <x v="0"/>
    <n v="1"/>
    <n v="41140"/>
    <n v="41140"/>
    <n v="43012"/>
    <s v="No"/>
    <s v="Y"/>
    <m/>
    <x v="0"/>
    <m/>
    <n v="437533"/>
    <x v="53"/>
    <s v="Kellan"/>
    <s v="Lazard-Shapland"/>
    <x v="648"/>
    <d v="2017-09-14T00:00:00"/>
    <n v="5.938398357289528"/>
    <n v="0"/>
    <n v="872"/>
    <n v="872"/>
    <d v="2023-04-01T00:00:00"/>
    <n v="1"/>
    <d v="2024-03-31T00:00:00"/>
    <n v="192"/>
    <n v="192"/>
    <n v="1"/>
    <s v="open"/>
    <n v="40"/>
    <m/>
    <m/>
    <x v="0"/>
    <x v="1"/>
    <x v="1"/>
    <s v="NO"/>
    <s v="NO"/>
    <s v="NO"/>
    <s v="NO"/>
    <m/>
    <n v="12910.8"/>
    <s v="ASD"/>
    <n v="1"/>
    <n v="1"/>
    <n v="12910.8"/>
    <n v="12910.8"/>
    <n v="12910.8"/>
    <n v="12910.8"/>
    <n v="12910.8"/>
    <m/>
    <m/>
    <e v="#N/A"/>
    <e v="#N/A"/>
    <e v="#N/A"/>
    <m/>
    <m/>
    <n v="0"/>
    <n v="12910.8"/>
    <s v=""/>
    <m/>
    <m/>
    <m/>
    <m/>
    <m/>
    <m/>
    <m/>
    <m/>
    <m/>
    <m/>
    <m/>
    <n v="12910.8"/>
    <m/>
    <m/>
    <m/>
    <m/>
    <m/>
    <m/>
    <m/>
    <n v="12910.8"/>
    <m/>
    <n v="0"/>
    <n v="0"/>
    <m/>
    <n v="12910.8"/>
    <n v="0"/>
    <m/>
  </r>
  <r>
    <x v="0"/>
    <n v="1"/>
    <n v="41141"/>
    <n v="41141"/>
    <n v="43011"/>
    <s v="No"/>
    <m/>
    <m/>
    <x v="0"/>
    <m/>
    <n v="409747"/>
    <x v="54"/>
    <s v="Freya"/>
    <s v="Moore"/>
    <x v="649"/>
    <d v="2013-06-13T00:00:00"/>
    <n v="10.193018480492814"/>
    <n v="5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m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0"/>
    <n v="1"/>
    <n v="41141"/>
    <n v="41141"/>
    <n v="43011"/>
    <s v="No"/>
    <m/>
    <m/>
    <x v="0"/>
    <m/>
    <n v="418152"/>
    <x v="54"/>
    <s v="Mason"/>
    <s v="Lilley"/>
    <x v="650"/>
    <d v="2014-07-22T00:00:00"/>
    <n v="9.0869267624914443"/>
    <n v="4"/>
    <n v="872"/>
    <n v="872"/>
    <d v="2023-04-01T00:00:00"/>
    <n v="1"/>
    <d v="2024-03-31T00:00:00"/>
    <n v="192"/>
    <n v="192"/>
    <n v="1"/>
    <s v="open"/>
    <n v="27"/>
    <m/>
    <m/>
    <x v="0"/>
    <x v="0"/>
    <x v="0"/>
    <s v="NO"/>
    <s v="NO"/>
    <s v="NO"/>
    <s v="NO"/>
    <m/>
    <n v="6764.7899999999991"/>
    <s v="SEN Supp"/>
    <n v="1"/>
    <n v="1"/>
    <n v="6764.7899999999991"/>
    <n v="6764.7899999999991"/>
    <n v="6764.7899999999991"/>
    <n v="6764.7899999999991"/>
    <n v="6764.7899999999991"/>
    <m/>
    <m/>
    <e v="#N/A"/>
    <e v="#N/A"/>
    <e v="#N/A"/>
    <m/>
    <m/>
    <n v="0"/>
    <n v="6764.7899999999991"/>
    <s v=""/>
    <m/>
    <m/>
    <m/>
    <m/>
    <m/>
    <m/>
    <m/>
    <m/>
    <m/>
    <m/>
    <m/>
    <n v="6764.7899999999991"/>
    <m/>
    <m/>
    <m/>
    <m/>
    <m/>
    <m/>
    <m/>
    <n v="6764.7899999999991"/>
    <m/>
    <n v="0"/>
    <n v="0"/>
    <m/>
    <n v="6764.7899999999991"/>
    <n v="0"/>
    <m/>
  </r>
  <r>
    <x v="0"/>
    <n v="1"/>
    <n v="41143"/>
    <n v="41143"/>
    <n v="43012"/>
    <s v="No"/>
    <s v="Y"/>
    <m/>
    <x v="0"/>
    <m/>
    <n v="438894"/>
    <x v="55"/>
    <s v="Natalia"/>
    <s v="Glowacka"/>
    <x v="651"/>
    <d v="2018-01-26T00:00:00"/>
    <n v="5.5715263518138265"/>
    <n v="0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SLCD"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0"/>
    <n v="1"/>
    <n v="41143"/>
    <n v="41143"/>
    <n v="43012"/>
    <s v="No"/>
    <s v="Y"/>
    <m/>
    <x v="0"/>
    <m/>
    <n v="421867"/>
    <x v="55"/>
    <s v="George"/>
    <s v="Ivil"/>
    <x v="652"/>
    <d v="2015-06-26T00:00:00"/>
    <n v="8.1587953456536617"/>
    <n v="3"/>
    <n v="872"/>
    <n v="872"/>
    <d v="2023-04-01T00:00:00"/>
    <n v="1"/>
    <d v="2024-03-31T00:00:00"/>
    <n v="192"/>
    <n v="192"/>
    <n v="1"/>
    <s v="open"/>
    <n v="28"/>
    <m/>
    <m/>
    <x v="0"/>
    <x v="0"/>
    <x v="0"/>
    <s v="NO"/>
    <s v="NO"/>
    <s v="NO"/>
    <s v="NO"/>
    <m/>
    <n v="7237.5599999999995"/>
    <m/>
    <n v="1"/>
    <n v="1"/>
    <n v="7237.5599999999995"/>
    <n v="7237.5599999999995"/>
    <n v="7237.5599999999995"/>
    <n v="0"/>
    <n v="0"/>
    <m/>
    <m/>
    <m/>
    <m/>
    <m/>
    <m/>
    <m/>
    <n v="7237.5599999999995"/>
    <n v="7237.5599999999995"/>
    <s v=""/>
    <m/>
    <m/>
    <m/>
    <m/>
    <m/>
    <m/>
    <m/>
    <m/>
    <m/>
    <m/>
    <m/>
    <n v="7237.5599999999995"/>
    <m/>
    <m/>
    <m/>
    <m/>
    <m/>
    <m/>
    <m/>
    <n v="7237.5599999999995"/>
    <m/>
    <n v="0"/>
    <n v="7237.5599999999995"/>
    <m/>
    <n v="7237.5599999999995"/>
    <n v="0"/>
    <m/>
  </r>
  <r>
    <x v="0"/>
    <n v="1"/>
    <n v="41142"/>
    <n v="41142"/>
    <n v="43012"/>
    <s v="No"/>
    <s v="Y"/>
    <m/>
    <x v="0"/>
    <m/>
    <n v="402116"/>
    <x v="56"/>
    <s v="Felix"/>
    <s v="Cash"/>
    <x v="653"/>
    <d v="2013-03-07T00:00:00"/>
    <n v="10.461327857631758"/>
    <n v="5"/>
    <n v="872"/>
    <n v="872"/>
    <d v="2023-04-01T00:00:00"/>
    <n v="1"/>
    <d v="2024-03-31T00:00:00"/>
    <n v="192"/>
    <n v="192"/>
    <n v="1"/>
    <s v="open"/>
    <n v="26"/>
    <m/>
    <m/>
    <x v="0"/>
    <x v="0"/>
    <x v="0"/>
    <s v="NO"/>
    <s v="NO"/>
    <s v="NO"/>
    <s v="NO"/>
    <m/>
    <n v="6292.02"/>
    <s v="Other Dif"/>
    <n v="1"/>
    <n v="1"/>
    <n v="6292.02"/>
    <n v="6292.02"/>
    <n v="6292.02"/>
    <n v="6292.02"/>
    <n v="6292.02"/>
    <m/>
    <m/>
    <e v="#N/A"/>
    <e v="#N/A"/>
    <e v="#N/A"/>
    <m/>
    <m/>
    <n v="0"/>
    <n v="6292.02"/>
    <s v=""/>
    <m/>
    <m/>
    <m/>
    <m/>
    <m/>
    <m/>
    <m/>
    <m/>
    <m/>
    <m/>
    <m/>
    <n v="6292.02"/>
    <m/>
    <m/>
    <m/>
    <m/>
    <m/>
    <m/>
    <m/>
    <n v="6292.02"/>
    <m/>
    <n v="0"/>
    <n v="0"/>
    <m/>
    <n v="6292.02"/>
    <n v="0"/>
    <m/>
  </r>
  <r>
    <x v="0"/>
    <n v="1"/>
    <n v="41142"/>
    <n v="41142"/>
    <n v="43012"/>
    <s v="No"/>
    <s v="Y"/>
    <m/>
    <x v="0"/>
    <m/>
    <n v="433726"/>
    <x v="56"/>
    <s v="Jake"/>
    <s v="Charkham"/>
    <x v="654"/>
    <d v="2015-10-23T00:00:00"/>
    <n v="7.8329911019849421"/>
    <n v="2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PD"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0"/>
    <n v="1"/>
    <n v="41209"/>
    <n v="41209"/>
    <n v="43012"/>
    <s v="No"/>
    <s v="Y"/>
    <m/>
    <x v="1"/>
    <m/>
    <n v="383920"/>
    <x v="57"/>
    <s v="Abbie"/>
    <s v="Johnson"/>
    <x v="655"/>
    <d v="2009-06-12T00:00:00"/>
    <n v="14.195756331279945"/>
    <n v="9"/>
    <n v="872"/>
    <n v="872"/>
    <d v="2023-04-01T00:00:00"/>
    <n v="1"/>
    <d v="2024-03-31T00:00:00"/>
    <n v="192"/>
    <n v="192"/>
    <n v="1"/>
    <s v="open"/>
    <n v="28"/>
    <m/>
    <m/>
    <x v="0"/>
    <x v="0"/>
    <x v="0"/>
    <s v="NO"/>
    <s v="NO"/>
    <s v="NO"/>
    <s v="NO"/>
    <m/>
    <n v="7237.5599999999995"/>
    <s v="SEMH"/>
    <n v="1"/>
    <n v="1"/>
    <n v="7237.5599999999995"/>
    <n v="7237.5599999999995"/>
    <n v="7237.5599999999995"/>
    <n v="7237.5599999999995"/>
    <n v="7237.5599999999995"/>
    <m/>
    <m/>
    <e v="#N/A"/>
    <e v="#N/A"/>
    <e v="#N/A"/>
    <m/>
    <m/>
    <n v="0"/>
    <n v="7237.5599999999995"/>
    <s v=""/>
    <m/>
    <m/>
    <m/>
    <m/>
    <m/>
    <m/>
    <m/>
    <m/>
    <m/>
    <m/>
    <m/>
    <n v="7237.5599999999995"/>
    <m/>
    <m/>
    <m/>
    <m/>
    <m/>
    <m/>
    <m/>
    <n v="7237.5599999999995"/>
    <m/>
    <n v="0"/>
    <n v="0"/>
    <m/>
    <n v="7237.5599999999995"/>
    <n v="0"/>
    <m/>
  </r>
  <r>
    <x v="0"/>
    <n v="1"/>
    <n v="41209"/>
    <n v="41209"/>
    <n v="43012"/>
    <s v="No"/>
    <s v="Y"/>
    <m/>
    <x v="1"/>
    <m/>
    <n v="397980"/>
    <x v="57"/>
    <s v="Alfie"/>
    <s v="Geary"/>
    <x v="656"/>
    <d v="2011-05-21T00:00:00"/>
    <n v="12.257357973990418"/>
    <n v="7"/>
    <n v="872"/>
    <n v="872"/>
    <d v="2023-04-01T00:00:00"/>
    <n v="1"/>
    <d v="2024-03-31T00:00:00"/>
    <n v="192"/>
    <n v="192"/>
    <n v="1"/>
    <s v="open"/>
    <n v="23"/>
    <m/>
    <m/>
    <x v="1"/>
    <x v="1"/>
    <x v="0"/>
    <s v="NO"/>
    <s v="NO"/>
    <s v="NO"/>
    <s v="NO"/>
    <m/>
    <n v="4873.7099999999991"/>
    <s v="SEN Supp"/>
    <n v="1"/>
    <n v="1"/>
    <n v="4873.7099999999991"/>
    <n v="4873.7099999999991"/>
    <n v="4873.7099999999991"/>
    <n v="4873.7099999999991"/>
    <n v="4873.7099999999991"/>
    <m/>
    <m/>
    <e v="#N/A"/>
    <e v="#N/A"/>
    <e v="#N/A"/>
    <m/>
    <m/>
    <n v="0"/>
    <n v="4873.7099999999991"/>
    <s v=""/>
    <m/>
    <m/>
    <m/>
    <m/>
    <m/>
    <m/>
    <m/>
    <m/>
    <m/>
    <m/>
    <m/>
    <n v="4873.7099999999991"/>
    <m/>
    <m/>
    <m/>
    <m/>
    <m/>
    <m/>
    <m/>
    <n v="4873.7099999999991"/>
    <m/>
    <n v="0"/>
    <n v="0"/>
    <m/>
    <n v="4873.7099999999991"/>
    <n v="0"/>
    <m/>
  </r>
  <r>
    <x v="0"/>
    <n v="1"/>
    <n v="41209"/>
    <n v="41209"/>
    <n v="43012"/>
    <s v="No"/>
    <s v="Y"/>
    <m/>
    <x v="1"/>
    <m/>
    <n v="383947"/>
    <x v="57"/>
    <s v="Alfie"/>
    <s v="Webb"/>
    <x v="657"/>
    <d v="2009-04-28T00:00:00"/>
    <n v="14.318959616700889"/>
    <n v="9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SEMH"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0"/>
    <n v="1"/>
    <n v="41209"/>
    <n v="41209"/>
    <n v="43012"/>
    <s v="No"/>
    <s v="Y"/>
    <m/>
    <x v="1"/>
    <m/>
    <n v="369082"/>
    <x v="57"/>
    <s v="Cameron"/>
    <s v="Simpson"/>
    <x v="658"/>
    <d v="2007-03-03T00:00:00"/>
    <n v="16.473648186173854"/>
    <n v="11"/>
    <n v="872"/>
    <n v="872"/>
    <d v="2023-04-01T00:00:00"/>
    <n v="1"/>
    <d v="2023-07-21T00:00:00"/>
    <n v="63"/>
    <n v="63"/>
    <n v="0.328125"/>
    <s v="Yr 11"/>
    <n v="25"/>
    <m/>
    <m/>
    <x v="1"/>
    <x v="1"/>
    <x v="0"/>
    <s v="NO"/>
    <s v="NO"/>
    <s v="NO"/>
    <s v="NO"/>
    <m/>
    <n v="5819.25"/>
    <s v="OD"/>
    <n v="1"/>
    <n v="0.328125"/>
    <n v="1909.44140625"/>
    <n v="1909.44140625"/>
    <n v="1909.44140625"/>
    <n v="1909.44140625"/>
    <n v="1909.44140625"/>
    <m/>
    <m/>
    <e v="#N/A"/>
    <e v="#N/A"/>
    <s v="Reading coll"/>
    <s v="Y"/>
    <n v="3879.5"/>
    <n v="0"/>
    <n v="1909.44140625"/>
    <s v="???"/>
    <m/>
    <m/>
    <m/>
    <m/>
    <m/>
    <n v="25"/>
    <n v="5819.25"/>
    <m/>
    <m/>
    <m/>
    <n v="3849.19140625"/>
    <n v="5758.6328125"/>
    <m/>
    <m/>
    <m/>
    <m/>
    <m/>
    <m/>
    <m/>
    <n v="5758.6328125"/>
    <m/>
    <n v="0"/>
    <n v="3849.19140625"/>
    <m/>
    <n v="5758.6328125"/>
    <n v="0"/>
    <m/>
  </r>
  <r>
    <x v="0"/>
    <n v="1"/>
    <n v="41209"/>
    <n v="41209"/>
    <n v="43012"/>
    <s v="No"/>
    <s v="Y"/>
    <m/>
    <x v="1"/>
    <m/>
    <n v="383955"/>
    <x v="57"/>
    <s v="Cole"/>
    <s v="Pearce"/>
    <x v="659"/>
    <d v="2008-09-28T00:00:00"/>
    <n v="14.899383983572895"/>
    <n v="9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PD"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0"/>
    <n v="1"/>
    <n v="41209"/>
    <n v="41209"/>
    <n v="43012"/>
    <s v="No"/>
    <s v="Y"/>
    <m/>
    <x v="1"/>
    <m/>
    <n v="379178"/>
    <x v="57"/>
    <s v="Elena"/>
    <s v="Cowley-Castell"/>
    <x v="660"/>
    <d v="2008-12-23T00:00:00"/>
    <n v="14.663928815879535"/>
    <n v="9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OD"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0"/>
    <n v="1"/>
    <n v="41209"/>
    <n v="41209"/>
    <n v="43012"/>
    <s v="No"/>
    <s v="Y"/>
    <m/>
    <x v="1"/>
    <m/>
    <n v="370288"/>
    <x v="57"/>
    <s v="Ella"/>
    <s v="Williams"/>
    <x v="661"/>
    <d v="2007-08-08T00:00:00"/>
    <n v="16.041067761806982"/>
    <n v="11"/>
    <n v="872"/>
    <n v="872"/>
    <d v="2023-04-01T00:00:00"/>
    <n v="1"/>
    <d v="2023-07-21T00:00:00"/>
    <n v="63"/>
    <n v="63"/>
    <n v="0.328125"/>
    <s v="Yr 11"/>
    <n v="20941.2"/>
    <m/>
    <m/>
    <x v="0"/>
    <x v="1"/>
    <x v="1"/>
    <s v="NO"/>
    <s v="NO"/>
    <s v="NO"/>
    <s v="NO"/>
    <m/>
    <n v="20941.2"/>
    <s v="MLD"/>
    <n v="1"/>
    <n v="0.328125"/>
    <n v="6871.3312500000002"/>
    <n v="6871.3312500000002"/>
    <n v="6871.3312500000002"/>
    <n v="6871.3312500000002"/>
    <n v="6871.3312500000002"/>
    <m/>
    <m/>
    <e v="#N/A"/>
    <e v="#N/A"/>
    <s v="JAC"/>
    <s v="Y"/>
    <n v="13960.800000000001"/>
    <n v="0"/>
    <n v="6871.3312500000002"/>
    <s v="JAC's"/>
    <s v="INMSS"/>
    <m/>
    <m/>
    <m/>
    <s v="JAC's"/>
    <m/>
    <m/>
    <m/>
    <m/>
    <s v="Y"/>
    <m/>
    <n v="6871.3312500000002"/>
    <s v="COLL"/>
    <m/>
    <m/>
    <m/>
    <m/>
    <m/>
    <m/>
    <n v="6871.3312500000002"/>
    <m/>
    <n v="0"/>
    <n v="0"/>
    <m/>
    <n v="6871.3312500000002"/>
    <n v="0"/>
    <m/>
  </r>
  <r>
    <x v="0"/>
    <n v="1"/>
    <n v="41209"/>
    <n v="41209"/>
    <n v="43012"/>
    <s v="No"/>
    <s v="Y"/>
    <m/>
    <x v="1"/>
    <m/>
    <n v="387854"/>
    <x v="57"/>
    <s v="George"/>
    <s v="Newmarch"/>
    <x v="662"/>
    <d v="2010-03-31T00:00:00"/>
    <n v="13.396303901437372"/>
    <n v="8"/>
    <n v="872"/>
    <n v="872"/>
    <d v="2023-04-01T00:00:00"/>
    <n v="1"/>
    <d v="2024-03-31T00:00:00"/>
    <n v="192"/>
    <n v="192"/>
    <n v="1"/>
    <s v="open"/>
    <n v="21"/>
    <m/>
    <m/>
    <x v="1"/>
    <x v="1"/>
    <x v="0"/>
    <s v="NO"/>
    <s v="NO"/>
    <s v="NO"/>
    <s v="NO"/>
    <m/>
    <n v="3928.17"/>
    <s v="ASD"/>
    <n v="1"/>
    <n v="1"/>
    <n v="3928.17"/>
    <n v="3928.17"/>
    <n v="3928.17"/>
    <n v="3928.17"/>
    <n v="3928.17"/>
    <m/>
    <m/>
    <e v="#N/A"/>
    <e v="#N/A"/>
    <e v="#N/A"/>
    <m/>
    <m/>
    <n v="0"/>
    <n v="3928.17"/>
    <s v=""/>
    <m/>
    <m/>
    <m/>
    <m/>
    <m/>
    <m/>
    <m/>
    <m/>
    <m/>
    <m/>
    <m/>
    <n v="3928.17"/>
    <m/>
    <m/>
    <m/>
    <m/>
    <m/>
    <m/>
    <m/>
    <n v="3928.17"/>
    <m/>
    <n v="0"/>
    <n v="0"/>
    <m/>
    <n v="3928.17"/>
    <n v="0"/>
    <m/>
  </r>
  <r>
    <x v="0"/>
    <n v="1"/>
    <n v="41209"/>
    <n v="41209"/>
    <n v="43012"/>
    <s v="No"/>
    <s v="Y"/>
    <m/>
    <x v="1"/>
    <m/>
    <n v="384471"/>
    <x v="57"/>
    <s v="Hana"/>
    <s v="Rexhepi"/>
    <x v="663"/>
    <d v="2009-01-16T00:00:00"/>
    <n v="14.598220396988363"/>
    <n v="9"/>
    <n v="872"/>
    <n v="872"/>
    <d v="2023-04-01T00:00:00"/>
    <n v="1"/>
    <d v="2024-03-31T00:00:00"/>
    <n v="192"/>
    <n v="192"/>
    <n v="1"/>
    <s v="open"/>
    <n v="26"/>
    <m/>
    <m/>
    <x v="0"/>
    <x v="0"/>
    <x v="0"/>
    <s v="NO"/>
    <s v="NO"/>
    <s v="NO"/>
    <s v="NO"/>
    <m/>
    <n v="6292.02"/>
    <s v="ASD"/>
    <n v="1"/>
    <n v="1"/>
    <n v="6292.02"/>
    <n v="6292.02"/>
    <n v="6292.02"/>
    <n v="6292.02"/>
    <n v="6292.02"/>
    <m/>
    <m/>
    <e v="#N/A"/>
    <e v="#N/A"/>
    <e v="#N/A"/>
    <m/>
    <m/>
    <n v="0"/>
    <n v="6292.02"/>
    <s v=""/>
    <m/>
    <m/>
    <m/>
    <m/>
    <m/>
    <m/>
    <m/>
    <m/>
    <m/>
    <m/>
    <m/>
    <n v="6292.02"/>
    <m/>
    <m/>
    <m/>
    <m/>
    <m/>
    <m/>
    <m/>
    <n v="6292.02"/>
    <m/>
    <n v="0"/>
    <n v="0"/>
    <m/>
    <n v="6292.02"/>
    <n v="0"/>
    <m/>
  </r>
  <r>
    <x v="0"/>
    <n v="1"/>
    <n v="41209"/>
    <n v="41209"/>
    <n v="43012"/>
    <s v="No"/>
    <s v="Y"/>
    <m/>
    <x v="1"/>
    <m/>
    <n v="375988"/>
    <x v="57"/>
    <s v="Harper"/>
    <s v="Close"/>
    <x v="664"/>
    <d v="2008-04-14T00:00:00"/>
    <n v="15.356605065023956"/>
    <n v="10"/>
    <n v="872"/>
    <n v="872"/>
    <d v="2023-04-01T00:00:00"/>
    <n v="1"/>
    <d v="2024-03-31T00:00:00"/>
    <n v="192"/>
    <n v="192"/>
    <n v="1"/>
    <s v="open"/>
    <n v="27"/>
    <m/>
    <m/>
    <x v="0"/>
    <x v="0"/>
    <x v="0"/>
    <s v="NO"/>
    <s v="NO"/>
    <s v="NO"/>
    <s v="NO"/>
    <m/>
    <n v="6764.7899999999991"/>
    <s v="ASD"/>
    <n v="1"/>
    <n v="1"/>
    <n v="6764.7899999999991"/>
    <n v="6764.7899999999991"/>
    <n v="6764.7899999999991"/>
    <n v="6764.7899999999991"/>
    <n v="6764.7899999999991"/>
    <m/>
    <m/>
    <e v="#N/A"/>
    <e v="#N/A"/>
    <e v="#N/A"/>
    <m/>
    <m/>
    <n v="0"/>
    <n v="6764.7899999999991"/>
    <s v=""/>
    <m/>
    <m/>
    <m/>
    <m/>
    <m/>
    <m/>
    <m/>
    <m/>
    <m/>
    <m/>
    <m/>
    <n v="6764.7899999999991"/>
    <m/>
    <m/>
    <m/>
    <m/>
    <m/>
    <m/>
    <m/>
    <n v="6764.7899999999991"/>
    <m/>
    <n v="0"/>
    <n v="0"/>
    <m/>
    <n v="6764.7899999999991"/>
    <n v="0"/>
    <m/>
  </r>
  <r>
    <x v="0"/>
    <n v="1"/>
    <n v="41209"/>
    <n v="41209"/>
    <n v="43012"/>
    <s v="No"/>
    <s v="Y"/>
    <m/>
    <x v="1"/>
    <m/>
    <n v="402888"/>
    <x v="57"/>
    <s v="Harry"/>
    <s v="Matthews"/>
    <x v="665"/>
    <d v="2012-06-22T00:00:00"/>
    <n v="11.167693360711841"/>
    <n v="6"/>
    <n v="872"/>
    <n v="872"/>
    <d v="2023-09-01T00:00:00"/>
    <m/>
    <m/>
    <m/>
    <m/>
    <m/>
    <s v="open"/>
    <n v="23"/>
    <m/>
    <m/>
    <x v="1"/>
    <x v="1"/>
    <x v="0"/>
    <s v="NO"/>
    <s v="NO"/>
    <s v="NO"/>
    <s v="NO"/>
    <m/>
    <n v="4873.70999999999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873.71"/>
    <n v="4873.71"/>
    <s v="new provision"/>
  </r>
  <r>
    <x v="0"/>
    <n v="1"/>
    <n v="41209"/>
    <n v="41209"/>
    <n v="43012"/>
    <s v="No"/>
    <s v="Y"/>
    <m/>
    <x v="1"/>
    <m/>
    <n v="376703"/>
    <x v="57"/>
    <s v="Jayden"/>
    <s v="Paice"/>
    <x v="666"/>
    <d v="2008-06-11T00:00:00"/>
    <n v="15.197809719370294"/>
    <n v="10"/>
    <n v="872"/>
    <n v="872"/>
    <d v="2023-04-01T00:00:00"/>
    <n v="1"/>
    <d v="2024-03-31T00:00:00"/>
    <n v="192"/>
    <n v="192"/>
    <n v="1"/>
    <s v="open"/>
    <n v="22"/>
    <m/>
    <m/>
    <x v="1"/>
    <x v="1"/>
    <x v="0"/>
    <s v="NO"/>
    <s v="NO"/>
    <s v="NO"/>
    <s v="NO"/>
    <m/>
    <n v="4400.9399999999987"/>
    <s v="OD"/>
    <n v="1"/>
    <n v="1"/>
    <n v="4400.9399999999987"/>
    <n v="4400.9399999999987"/>
    <n v="4400.9399999999987"/>
    <n v="4400.9399999999987"/>
    <n v="4400.9399999999987"/>
    <m/>
    <m/>
    <e v="#N/A"/>
    <e v="#N/A"/>
    <e v="#N/A"/>
    <m/>
    <m/>
    <n v="0"/>
    <n v="4400.9399999999987"/>
    <s v=""/>
    <m/>
    <m/>
    <m/>
    <m/>
    <m/>
    <m/>
    <m/>
    <m/>
    <m/>
    <m/>
    <m/>
    <n v="4400.9399999999987"/>
    <m/>
    <m/>
    <m/>
    <m/>
    <m/>
    <m/>
    <m/>
    <n v="4400.9399999999987"/>
    <m/>
    <n v="0"/>
    <n v="0"/>
    <m/>
    <n v="4400.9399999999987"/>
    <n v="0"/>
    <m/>
  </r>
  <r>
    <x v="0"/>
    <n v="1"/>
    <n v="41209"/>
    <n v="41209"/>
    <n v="43012"/>
    <s v="No"/>
    <s v="Y"/>
    <m/>
    <x v="1"/>
    <m/>
    <n v="387741"/>
    <x v="57"/>
    <s v="Justin"/>
    <s v="Radomski"/>
    <x v="667"/>
    <d v="2010-01-19T00:00:00"/>
    <n v="13.59069130732375"/>
    <n v="8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MLD"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0"/>
    <n v="1"/>
    <n v="41209"/>
    <n v="41209"/>
    <n v="43012"/>
    <s v="No"/>
    <s v="Y"/>
    <m/>
    <x v="1"/>
    <m/>
    <n v="373783"/>
    <x v="57"/>
    <s v="Lexie"/>
    <s v="Donovan"/>
    <x v="668"/>
    <d v="2007-11-29T00:00:00"/>
    <n v="15.731690622861054"/>
    <n v="10"/>
    <n v="872"/>
    <n v="872"/>
    <d v="2023-04-01T00:00:00"/>
    <n v="1"/>
    <d v="2023-07-31T00:00:00"/>
    <n v="63"/>
    <n v="63"/>
    <n v="0.328125"/>
    <d v="2023-07-31T00:00:00"/>
    <n v="21"/>
    <m/>
    <m/>
    <x v="1"/>
    <x v="1"/>
    <x v="0"/>
    <s v="NO"/>
    <s v="NO"/>
    <s v="NO"/>
    <s v="NO"/>
    <m/>
    <n v="3928.17"/>
    <s v="ASD"/>
    <n v="1"/>
    <n v="0.328125"/>
    <n v="1288.9307812500001"/>
    <n v="1288.9307812500001"/>
    <n v="1288.9307812500001"/>
    <n v="1288.9307812500001"/>
    <n v="1288.9307812500001"/>
    <s v="The Piggott"/>
    <n v="16449.5"/>
    <e v="#N/A"/>
    <e v="#N/A"/>
    <e v="#N/A"/>
    <m/>
    <m/>
    <n v="0"/>
    <n v="1288.9307812500001"/>
    <s v=""/>
    <m/>
    <m/>
    <m/>
    <m/>
    <m/>
    <n v="21"/>
    <n v="3928.17"/>
    <m/>
    <m/>
    <m/>
    <n v="2598.32078125"/>
    <n v="3887.2515625000001"/>
    <m/>
    <m/>
    <m/>
    <m/>
    <m/>
    <m/>
    <m/>
    <n v="3887.2515625000001"/>
    <m/>
    <n v="0"/>
    <n v="2598.32078125"/>
    <m/>
    <n v="3887.2515625000001"/>
    <n v="0"/>
    <m/>
  </r>
  <r>
    <x v="0"/>
    <n v="1"/>
    <n v="41209"/>
    <n v="41209"/>
    <n v="43012"/>
    <s v="No"/>
    <s v="Y"/>
    <m/>
    <x v="1"/>
    <m/>
    <n v="372320"/>
    <x v="57"/>
    <s v="Leonardo"/>
    <s v="Pereira"/>
    <x v="669"/>
    <d v="2007-09-05T00:00:00"/>
    <n v="15.964407939767282"/>
    <n v="10"/>
    <n v="872"/>
    <n v="872"/>
    <d v="2023-04-01T00:00:00"/>
    <n v="1"/>
    <d v="2024-03-31T00:00:00"/>
    <n v="192"/>
    <n v="192"/>
    <n v="1"/>
    <s v="open"/>
    <n v="24"/>
    <m/>
    <m/>
    <x v="1"/>
    <x v="1"/>
    <x v="0"/>
    <s v="NO"/>
    <s v="NO"/>
    <s v="NO"/>
    <s v="NO"/>
    <m/>
    <n v="5346.48"/>
    <s v="SLCD"/>
    <n v="1"/>
    <n v="1"/>
    <n v="5346.48"/>
    <n v="5346.48"/>
    <n v="5346.48"/>
    <n v="5346.48"/>
    <n v="5346.48"/>
    <m/>
    <m/>
    <e v="#N/A"/>
    <e v="#N/A"/>
    <e v="#N/A"/>
    <m/>
    <m/>
    <n v="0"/>
    <n v="5346.48"/>
    <s v=""/>
    <m/>
    <m/>
    <m/>
    <m/>
    <m/>
    <m/>
    <m/>
    <m/>
    <m/>
    <m/>
    <m/>
    <n v="5346.48"/>
    <m/>
    <m/>
    <m/>
    <m/>
    <m/>
    <m/>
    <m/>
    <n v="5346.48"/>
    <m/>
    <n v="0"/>
    <n v="0"/>
    <m/>
    <n v="5346.48"/>
    <n v="0"/>
    <m/>
  </r>
  <r>
    <x v="0"/>
    <n v="1"/>
    <n v="41209"/>
    <n v="41209"/>
    <n v="43012"/>
    <s v="No"/>
    <s v="Y"/>
    <m/>
    <x v="2"/>
    <m/>
    <n v="357674"/>
    <x v="57"/>
    <s v="Liam "/>
    <s v="Somerville"/>
    <x v="670"/>
    <d v="2005-01-31T00:00:00"/>
    <n v="18.557152635181382"/>
    <n v="13"/>
    <n v="872"/>
    <n v="872"/>
    <d v="2023-04-01T00:00:00"/>
    <n v="1"/>
    <d v="2023-07-21T00:00:00"/>
    <n v="63"/>
    <n v="63"/>
    <n v="0.328125"/>
    <s v="16+"/>
    <n v="30"/>
    <m/>
    <m/>
    <x v="0"/>
    <x v="0"/>
    <x v="0"/>
    <s v="NO"/>
    <s v="NO"/>
    <s v="NO"/>
    <s v="NO"/>
    <m/>
    <n v="8183.0999999999985"/>
    <m/>
    <n v="1"/>
    <n v="0.328125"/>
    <n v="2685.0796874999996"/>
    <n v="2685.0796874999996"/>
    <n v="2685.0796874999996"/>
    <n v="2685.0796874999996"/>
    <n v="2685.0796874999996"/>
    <m/>
    <m/>
    <e v="#N/A"/>
    <e v="#N/A"/>
    <e v="#N/A"/>
    <m/>
    <m/>
    <n v="0"/>
    <n v="2685.0796874999996"/>
    <s v="???"/>
    <m/>
    <m/>
    <m/>
    <m/>
    <m/>
    <n v="30"/>
    <n v="8183.0999999999985"/>
    <m/>
    <m/>
    <m/>
    <n v="5412.7796874999985"/>
    <n v="8097.8593749999982"/>
    <m/>
    <m/>
    <m/>
    <m/>
    <m/>
    <m/>
    <m/>
    <n v="8097.8593749999982"/>
    <m/>
    <n v="0"/>
    <n v="5412.7796874999985"/>
    <m/>
    <n v="8097.8593749999982"/>
    <n v="0"/>
    <m/>
  </r>
  <r>
    <x v="0"/>
    <n v="1"/>
    <n v="41209"/>
    <n v="41209"/>
    <n v="43012"/>
    <s v="No"/>
    <s v="Y"/>
    <m/>
    <x v="1"/>
    <m/>
    <n v="380269"/>
    <x v="57"/>
    <s v="Marco"/>
    <s v="Gattuso"/>
    <x v="671"/>
    <d v="2009-03-13T00:00:00"/>
    <n v="14.444900752908966"/>
    <n v="9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MLD"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0"/>
    <n v="1"/>
    <n v="41209"/>
    <n v="41209"/>
    <n v="43012"/>
    <s v="No"/>
    <s v="Y"/>
    <m/>
    <x v="1"/>
    <m/>
    <n v="442717"/>
    <x v="57"/>
    <s v="Michelle"/>
    <s v="Maher"/>
    <x v="672"/>
    <d v="2011-07-12T00:00:00"/>
    <n v="12.114989733059549"/>
    <n v="6"/>
    <n v="872"/>
    <n v="872"/>
    <d v="2023-09-04T00:00:00"/>
    <m/>
    <m/>
    <m/>
    <m/>
    <m/>
    <m/>
    <m/>
    <m/>
    <m/>
    <x v="3"/>
    <x v="2"/>
    <x v="3"/>
    <s v="NO"/>
    <s v="NO"/>
    <s v="NO"/>
    <s v="NO"/>
    <m/>
    <n v="0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183.1"/>
    <n v="8183.1"/>
    <m/>
  </r>
  <r>
    <x v="0"/>
    <n v="1"/>
    <n v="41209"/>
    <n v="41209"/>
    <n v="43012"/>
    <s v="No"/>
    <s v="Y"/>
    <m/>
    <x v="1"/>
    <m/>
    <n v="392619"/>
    <x v="57"/>
    <s v="Reuben"/>
    <s v="Fisher"/>
    <x v="673"/>
    <d v="2010-12-22T00:00:00"/>
    <n v="12.668035592060233"/>
    <n v="7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SEMH"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0"/>
    <n v="1"/>
    <n v="41209"/>
    <n v="41209"/>
    <n v="43012"/>
    <s v="No"/>
    <s v="Y"/>
    <m/>
    <x v="1"/>
    <m/>
    <n v="380270"/>
    <x v="57"/>
    <s v="Rosario"/>
    <s v="Gattuso"/>
    <x v="674"/>
    <d v="2009-03-13T00:00:00"/>
    <n v="14.444900752908966"/>
    <n v="9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ASD"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0"/>
    <n v="1"/>
    <n v="41209"/>
    <n v="41209"/>
    <n v="43012"/>
    <s v="No"/>
    <s v="Y"/>
    <m/>
    <x v="1"/>
    <m/>
    <n v="379123"/>
    <x v="57"/>
    <s v="Skye-Rose"/>
    <s v="Lock"/>
    <x v="675"/>
    <d v="2008-10-08T00:00:00"/>
    <n v="14.872005475701574"/>
    <n v="9"/>
    <n v="872"/>
    <n v="872"/>
    <d v="2023-05-24T00:00:00"/>
    <n v="27"/>
    <d v="2024-03-31T00:00:00"/>
    <n v="192"/>
    <n v="166"/>
    <n v="0.86458333333333337"/>
    <s v="open"/>
    <n v="25"/>
    <m/>
    <m/>
    <x v="1"/>
    <x v="1"/>
    <x v="0"/>
    <s v="NO"/>
    <s v="NO"/>
    <s v="NO"/>
    <s v="NO"/>
    <m/>
    <n v="5819.25"/>
    <s v="SEMH"/>
    <n v="1"/>
    <n v="0.86458333333333337"/>
    <n v="5031.2265625"/>
    <n v="5031.2265625"/>
    <n v="5031.2265625"/>
    <n v="0"/>
    <n v="0"/>
    <m/>
    <m/>
    <m/>
    <m/>
    <m/>
    <m/>
    <m/>
    <n v="5031.2265625"/>
    <n v="5031.2265625"/>
    <s v=""/>
    <m/>
    <m/>
    <m/>
    <m/>
    <m/>
    <m/>
    <m/>
    <m/>
    <m/>
    <m/>
    <m/>
    <n v="5031.2265625"/>
    <m/>
    <m/>
    <m/>
    <m/>
    <m/>
    <m/>
    <m/>
    <n v="5031.2265625"/>
    <m/>
    <n v="0"/>
    <n v="5031.2265625"/>
    <m/>
    <n v="5031.2265625"/>
    <n v="0"/>
    <m/>
  </r>
  <r>
    <x v="0"/>
    <n v="1"/>
    <n v="41209"/>
    <n v="41209"/>
    <n v="43012"/>
    <s v="No"/>
    <s v="Y"/>
    <m/>
    <x v="1"/>
    <m/>
    <n v="367538"/>
    <x v="57"/>
    <s v="Tatenda"/>
    <s v="Gore"/>
    <x v="676"/>
    <d v="2006-09-27T00:00:00"/>
    <n v="16.903490759753595"/>
    <n v="11"/>
    <n v="872"/>
    <n v="872"/>
    <d v="2023-04-01T00:00:00"/>
    <n v="1"/>
    <d v="2023-07-21T00:00:00"/>
    <n v="63"/>
    <n v="63"/>
    <n v="0.328125"/>
    <s v="Yr 11"/>
    <n v="25"/>
    <m/>
    <m/>
    <x v="1"/>
    <x v="1"/>
    <x v="0"/>
    <s v="NO"/>
    <s v="NO"/>
    <s v="NO"/>
    <s v="NO"/>
    <m/>
    <n v="5819.25"/>
    <s v="MLD"/>
    <n v="1"/>
    <n v="0.328125"/>
    <n v="1909.44140625"/>
    <n v="1909.44140625"/>
    <n v="1909.44140625"/>
    <n v="1909.44140625"/>
    <n v="1909.44140625"/>
    <m/>
    <m/>
    <e v="#N/A"/>
    <e v="#N/A"/>
    <s v="Reading coll"/>
    <s v="Y"/>
    <n v="3879.5"/>
    <n v="0"/>
    <n v="1909.44140625"/>
    <s v="Reading College"/>
    <s v="COLL"/>
    <m/>
    <m/>
    <m/>
    <s v="Reading College"/>
    <m/>
    <m/>
    <m/>
    <m/>
    <s v="Y"/>
    <m/>
    <n v="1909.44140625"/>
    <s v="COLL"/>
    <m/>
    <m/>
    <m/>
    <m/>
    <m/>
    <m/>
    <n v="1909.44140625"/>
    <m/>
    <n v="0"/>
    <n v="0"/>
    <m/>
    <n v="1909.44140625"/>
    <n v="0"/>
    <m/>
  </r>
  <r>
    <x v="0"/>
    <n v="1"/>
    <n v="41209"/>
    <n v="41209"/>
    <n v="43012"/>
    <s v="No"/>
    <s v="Y"/>
    <m/>
    <x v="1"/>
    <m/>
    <n v="396105"/>
    <x v="57"/>
    <s v="Theo"/>
    <s v="Smillie"/>
    <x v="677"/>
    <d v="2011-07-08T00:00:00"/>
    <n v="12.125941136208077"/>
    <n v="7"/>
    <n v="872"/>
    <n v="872"/>
    <d v="2023-04-01T00:00:00"/>
    <n v="1"/>
    <d v="2024-03-31T00:00:00"/>
    <n v="192"/>
    <n v="192"/>
    <n v="1"/>
    <s v="open"/>
    <n v="22"/>
    <m/>
    <m/>
    <x v="1"/>
    <x v="1"/>
    <x v="0"/>
    <s v="NO"/>
    <s v="NO"/>
    <s v="NO"/>
    <s v="NO"/>
    <m/>
    <n v="4400.9399999999987"/>
    <s v="SEMH"/>
    <n v="1"/>
    <n v="1"/>
    <n v="4400.9399999999987"/>
    <n v="4400.9399999999987"/>
    <n v="4400.9399999999987"/>
    <n v="4400.9399999999987"/>
    <n v="4400.9399999999987"/>
    <m/>
    <m/>
    <e v="#N/A"/>
    <e v="#N/A"/>
    <e v="#N/A"/>
    <m/>
    <m/>
    <n v="0"/>
    <n v="4400.9399999999987"/>
    <s v=""/>
    <m/>
    <m/>
    <m/>
    <m/>
    <m/>
    <m/>
    <m/>
    <m/>
    <m/>
    <m/>
    <m/>
    <n v="4400.9399999999987"/>
    <m/>
    <m/>
    <m/>
    <m/>
    <m/>
    <m/>
    <m/>
    <n v="4400.9399999999987"/>
    <m/>
    <n v="0"/>
    <n v="0"/>
    <m/>
    <n v="4400.9399999999987"/>
    <n v="0"/>
    <m/>
  </r>
  <r>
    <x v="1"/>
    <n v="1"/>
    <n v="41209"/>
    <n v="41209"/>
    <n v="43012"/>
    <s v="No"/>
    <s v="Y"/>
    <m/>
    <x v="2"/>
    <m/>
    <n v="359238"/>
    <x v="57"/>
    <s v="Umar"/>
    <s v="Mehmood"/>
    <x v="678"/>
    <d v="2005-04-22T00:00:00"/>
    <n v="18.335386721423681"/>
    <n v="13"/>
    <n v="872"/>
    <n v="872"/>
    <d v="2023-04-01T00:00:00"/>
    <n v="1"/>
    <d v="2023-04-01T00:00:00"/>
    <n v="0"/>
    <n v="0"/>
    <n v="0"/>
    <s v="16+"/>
    <n v="30"/>
    <m/>
    <m/>
    <x v="0"/>
    <x v="0"/>
    <x v="0"/>
    <s v="NO"/>
    <s v="NO"/>
    <s v="NO"/>
    <s v="NO"/>
    <m/>
    <n v="8183.0999999999985"/>
    <s v="SLCD"/>
    <n v="1"/>
    <n v="0"/>
    <n v="0"/>
    <n v="0"/>
    <n v="0"/>
    <n v="2685.0796874999996"/>
    <n v="0"/>
    <m/>
    <m/>
    <e v="#N/A"/>
    <e v="#N/A"/>
    <e v="#N/A"/>
    <m/>
    <m/>
    <n v="0"/>
    <n v="0"/>
    <s v="???"/>
    <m/>
    <m/>
    <m/>
    <m/>
    <m/>
    <m/>
    <m/>
    <m/>
    <m/>
    <m/>
    <m/>
    <n v="0"/>
    <m/>
    <m/>
    <m/>
    <m/>
    <m/>
    <m/>
    <m/>
    <n v="0"/>
    <m/>
    <n v="0"/>
    <n v="-2685.0796874999996"/>
    <m/>
    <n v="0"/>
    <n v="0"/>
    <m/>
  </r>
  <r>
    <x v="0"/>
    <n v="1"/>
    <n v="41144"/>
    <n v="41144"/>
    <n v="43011"/>
    <s v="Yes"/>
    <m/>
    <m/>
    <x v="0"/>
    <m/>
    <n v="427958"/>
    <x v="58"/>
    <s v="Asim "/>
    <s v="Mohammad"/>
    <x v="679"/>
    <d v="2016-08-17T00:00:00"/>
    <n v="7.0143737166324431"/>
    <n v="2"/>
    <n v="872"/>
    <n v="872"/>
    <d v="2023-04-01T00:00:00"/>
    <n v="1"/>
    <d v="2023-07-21T00:00:00"/>
    <n v="63"/>
    <n v="63"/>
    <n v="0.328125"/>
    <s v="Yr 2 Infant"/>
    <n v="30"/>
    <m/>
    <m/>
    <x v="0"/>
    <x v="0"/>
    <x v="0"/>
    <s v="NO"/>
    <s v="NO"/>
    <s v="NO"/>
    <s v="NO"/>
    <m/>
    <n v="8183.0999999999985"/>
    <m/>
    <n v="1"/>
    <n v="0.328125"/>
    <n v="2685.0796874999996"/>
    <n v="2685.0796874999996"/>
    <n v="2685.0796874999996"/>
    <n v="2685.0796874999996"/>
    <n v="2685.0796874999996"/>
    <m/>
    <m/>
    <e v="#N/A"/>
    <e v="#N/A"/>
    <e v="#N/A"/>
    <m/>
    <m/>
    <n v="0"/>
    <n v="2685.0796874999996"/>
    <s v="???"/>
    <m/>
    <m/>
    <m/>
    <m/>
    <m/>
    <n v="30"/>
    <n v="8183.0999999999985"/>
    <m/>
    <m/>
    <m/>
    <n v="5412.7796874999985"/>
    <n v="8097.8593749999982"/>
    <m/>
    <m/>
    <s v="?"/>
    <s v="?"/>
    <m/>
    <m/>
    <m/>
    <n v="8097.8593749999982"/>
    <m/>
    <n v="0"/>
    <n v="5412.7796874999985"/>
    <m/>
    <n v="8097.8593749999982"/>
    <n v="0"/>
    <m/>
  </r>
  <r>
    <x v="0"/>
    <n v="1"/>
    <n v="41144"/>
    <n v="41144"/>
    <n v="43011"/>
    <s v="Yes"/>
    <m/>
    <m/>
    <x v="0"/>
    <m/>
    <n v="432880"/>
    <x v="58"/>
    <s v="Chloe"/>
    <s v="Edwards"/>
    <x v="680"/>
    <d v="2017-02-24T00:00:00"/>
    <n v="6.491444216290212"/>
    <n v="1"/>
    <n v="872"/>
    <n v="872"/>
    <d v="2023-04-01T00:00:00"/>
    <n v="1"/>
    <d v="2024-03-31T00:00:00"/>
    <n v="192"/>
    <n v="192"/>
    <n v="1"/>
    <s v="open"/>
    <n v="23"/>
    <m/>
    <m/>
    <x v="1"/>
    <x v="1"/>
    <x v="0"/>
    <s v="NO"/>
    <s v="NO"/>
    <s v="NO"/>
    <s v="NO"/>
    <m/>
    <n v="4873.7099999999991"/>
    <s v="SLCD"/>
    <n v="1"/>
    <n v="1"/>
    <n v="4873.7099999999991"/>
    <n v="4873.7099999999991"/>
    <n v="4873.7099999999991"/>
    <n v="4873.7099999999991"/>
    <n v="4873.7099999999991"/>
    <m/>
    <m/>
    <e v="#N/A"/>
    <e v="#N/A"/>
    <e v="#N/A"/>
    <m/>
    <m/>
    <n v="0"/>
    <n v="4873.7099999999991"/>
    <s v=""/>
    <m/>
    <m/>
    <m/>
    <m/>
    <m/>
    <m/>
    <m/>
    <m/>
    <m/>
    <m/>
    <m/>
    <n v="4873.7099999999991"/>
    <m/>
    <m/>
    <m/>
    <m/>
    <m/>
    <m/>
    <m/>
    <n v="4873.7099999999991"/>
    <m/>
    <n v="0"/>
    <n v="0"/>
    <m/>
    <n v="4873.7099999999991"/>
    <n v="0"/>
    <m/>
  </r>
  <r>
    <x v="0"/>
    <n v="1"/>
    <n v="41144"/>
    <n v="41144"/>
    <n v="43011"/>
    <s v="Yes"/>
    <m/>
    <m/>
    <x v="0"/>
    <m/>
    <n v="434639"/>
    <x v="58"/>
    <s v="Frederick"/>
    <s v="Denyer"/>
    <x v="681"/>
    <d v="2017-04-01T00:00:00"/>
    <n v="6.3928815879534566"/>
    <n v="1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SLCD"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0"/>
    <n v="1"/>
    <n v="41144"/>
    <n v="41144"/>
    <n v="43011"/>
    <s v="Yes"/>
    <m/>
    <m/>
    <x v="0"/>
    <m/>
    <n v="434322"/>
    <x v="58"/>
    <s v="Jidenna"/>
    <s v="Collins"/>
    <x v="682"/>
    <d v="2017-06-02T00:00:00"/>
    <n v="6.2231348391512666"/>
    <n v="1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SLCD"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0"/>
    <n v="1"/>
    <n v="41144"/>
    <n v="41144"/>
    <n v="43011"/>
    <s v="Yes"/>
    <m/>
    <m/>
    <x v="0"/>
    <m/>
    <n v="441621"/>
    <x v="58"/>
    <s v="Olivia"/>
    <s v="Morton-Visekruna"/>
    <x v="683"/>
    <d v="2018-04-16T00:00:00"/>
    <n v="5.3524982888432584"/>
    <n v="0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SLCD"/>
    <n v="1"/>
    <n v="1"/>
    <n v="5819.25"/>
    <n v="5819.25"/>
    <n v="0"/>
    <n v="0"/>
    <n v="0"/>
    <m/>
    <m/>
    <e v="#N/A"/>
    <e v="#N/A"/>
    <e v="#N/A"/>
    <m/>
    <m/>
    <n v="0"/>
    <n v="0"/>
    <m/>
    <m/>
    <m/>
    <m/>
    <m/>
    <m/>
    <m/>
    <m/>
    <m/>
    <m/>
    <m/>
    <m/>
    <n v="0"/>
    <m/>
    <m/>
    <m/>
    <m/>
    <m/>
    <m/>
    <m/>
    <n v="5819.25"/>
    <s v="new provision/newly added"/>
    <n v="5819.25"/>
    <n v="5819.25"/>
    <m/>
    <n v="5819.25"/>
    <n v="0"/>
    <m/>
  </r>
  <r>
    <x v="0"/>
    <n v="1"/>
    <n v="41144"/>
    <n v="41144"/>
    <n v="43011"/>
    <s v="Yes"/>
    <m/>
    <m/>
    <x v="0"/>
    <m/>
    <n v="434305"/>
    <x v="58"/>
    <s v="Ronnie"/>
    <s v="Howe"/>
    <x v="684"/>
    <d v="2017-01-19T00:00:00"/>
    <n v="6.5900068446269682"/>
    <n v="0"/>
    <n v="872"/>
    <n v="872"/>
    <d v="2023-04-01T00:00:00"/>
    <n v="1"/>
    <d v="2024-03-31T00:00:00"/>
    <n v="192"/>
    <n v="192"/>
    <n v="1"/>
    <s v="open"/>
    <n v="32.5"/>
    <m/>
    <m/>
    <x v="0"/>
    <x v="1"/>
    <x v="1"/>
    <s v="NO"/>
    <s v="NO"/>
    <s v="NO"/>
    <s v="NO"/>
    <m/>
    <n v="9365.0249999999996"/>
    <s v="SEMH"/>
    <n v="1"/>
    <n v="1"/>
    <n v="9365.0249999999996"/>
    <n v="9365.0249999999996"/>
    <n v="9365.0249999999996"/>
    <n v="9365.0249999999996"/>
    <n v="9365.0249999999996"/>
    <m/>
    <m/>
    <e v="#N/A"/>
    <e v="#N/A"/>
    <e v="#N/A"/>
    <m/>
    <m/>
    <n v="0"/>
    <n v="9365.0249999999996"/>
    <s v=""/>
    <m/>
    <m/>
    <m/>
    <m/>
    <m/>
    <m/>
    <m/>
    <m/>
    <m/>
    <m/>
    <m/>
    <n v="9365.0249999999996"/>
    <m/>
    <m/>
    <m/>
    <m/>
    <m/>
    <m/>
    <m/>
    <n v="9365.0249999999996"/>
    <m/>
    <n v="0"/>
    <n v="0"/>
    <m/>
    <n v="9365.0249999999996"/>
    <n v="0"/>
    <m/>
  </r>
  <r>
    <x v="0"/>
    <n v="1"/>
    <n v="41145"/>
    <n v="41145"/>
    <n v="43015"/>
    <s v="Yes"/>
    <s v="Y"/>
    <s v="Y"/>
    <x v="0"/>
    <m/>
    <n v="439190"/>
    <x v="59"/>
    <s v="Aaron"/>
    <s v="Dhillon"/>
    <x v="685"/>
    <d v="2017-08-09T00:00:00"/>
    <n v="6.0369609856262834"/>
    <n v="1"/>
    <n v="872"/>
    <n v="872"/>
    <d v="2023-04-01T00:00:00"/>
    <n v="1"/>
    <d v="2024-03-31T00:00:00"/>
    <n v="192"/>
    <n v="192"/>
    <n v="1"/>
    <s v="open"/>
    <s v="WCR_Band 6"/>
    <s v="WCR_Band 6"/>
    <s v="BAND6"/>
    <x v="0"/>
    <x v="1"/>
    <x v="1"/>
    <s v="NO"/>
    <s v="NO"/>
    <s v="NO"/>
    <s v="YES"/>
    <n v="22008"/>
    <n v="22008"/>
    <m/>
    <n v="1"/>
    <n v="1"/>
    <n v="22008"/>
    <n v="22008"/>
    <n v="22008"/>
    <n v="22008"/>
    <n v="22008"/>
    <m/>
    <m/>
    <e v="#N/A"/>
    <e v="#N/A"/>
    <e v="#N/A"/>
    <m/>
    <m/>
    <n v="0"/>
    <n v="22008"/>
    <s v=""/>
    <m/>
    <m/>
    <m/>
    <m/>
    <m/>
    <m/>
    <m/>
    <m/>
    <m/>
    <m/>
    <m/>
    <n v="22008"/>
    <m/>
    <m/>
    <m/>
    <m/>
    <m/>
    <m/>
    <m/>
    <n v="22008"/>
    <m/>
    <n v="0"/>
    <n v="0"/>
    <m/>
    <n v="22008"/>
    <n v="0"/>
    <m/>
  </r>
  <r>
    <x v="1"/>
    <n v="1"/>
    <n v="41145"/>
    <n v="41145"/>
    <n v="43015"/>
    <s v="Yes"/>
    <s v="Y"/>
    <s v="Y"/>
    <x v="0"/>
    <s v="AD"/>
    <n v="439190"/>
    <x v="59"/>
    <s v="Aaron"/>
    <s v="Dhillon"/>
    <x v="685"/>
    <d v="2017-08-09T00:00:00"/>
    <n v="6.0369609856262834"/>
    <n v="1"/>
    <n v="872"/>
    <n v="872"/>
    <d v="2023-04-01T00:00:00"/>
    <n v="1"/>
    <d v="2024-03-31T00:00:00"/>
    <n v="192"/>
    <n v="192"/>
    <n v="1"/>
    <s v="open"/>
    <m/>
    <s v="WCR_Band 6"/>
    <m/>
    <x v="0"/>
    <x v="1"/>
    <x v="0"/>
    <s v="NO"/>
    <s v="NO"/>
    <s v="NO"/>
    <s v="NO"/>
    <n v="472.33"/>
    <n v="472.33"/>
    <m/>
    <n v="1"/>
    <n v="1"/>
    <n v="472.33"/>
    <n v="472.33"/>
    <n v="472.33"/>
    <n v="472.33"/>
    <n v="472.33"/>
    <m/>
    <m/>
    <e v="#N/A"/>
    <e v="#N/A"/>
    <e v="#N/A"/>
    <m/>
    <m/>
    <n v="0"/>
    <n v="472.33"/>
    <s v=""/>
    <m/>
    <m/>
    <m/>
    <m/>
    <m/>
    <m/>
    <m/>
    <m/>
    <m/>
    <m/>
    <m/>
    <n v="472.33"/>
    <m/>
    <m/>
    <m/>
    <m/>
    <m/>
    <m/>
    <m/>
    <n v="472.33"/>
    <m/>
    <n v="0"/>
    <n v="0"/>
    <m/>
    <n v="472.33"/>
    <n v="0"/>
    <m/>
  </r>
  <r>
    <x v="1"/>
    <n v="1"/>
    <n v="41145"/>
    <n v="41145"/>
    <n v="43015"/>
    <s v="Yes"/>
    <s v="Y"/>
    <s v="Y"/>
    <x v="0"/>
    <s v="AD"/>
    <n v="439190"/>
    <x v="59"/>
    <s v="Aaron"/>
    <s v="Dhillon"/>
    <x v="685"/>
    <d v="2017-08-09T00:00:00"/>
    <n v="6.0369609856262834"/>
    <n v="1"/>
    <n v="872"/>
    <n v="872"/>
    <d v="2023-04-01T00:00:00"/>
    <n v="1"/>
    <d v="2024-03-31T00:00:00"/>
    <n v="192"/>
    <n v="192"/>
    <n v="1"/>
    <s v="open"/>
    <m/>
    <s v="WCR_Band 6"/>
    <m/>
    <x v="0"/>
    <x v="1"/>
    <x v="0"/>
    <s v="NO"/>
    <s v="NO"/>
    <s v="NO"/>
    <s v="NO"/>
    <n v="2752.5"/>
    <n v="2752.5"/>
    <m/>
    <n v="1"/>
    <n v="1"/>
    <n v="2752.5"/>
    <n v="2752.5"/>
    <n v="2752.5"/>
    <n v="2752.5"/>
    <n v="2752.5"/>
    <m/>
    <m/>
    <e v="#N/A"/>
    <e v="#N/A"/>
    <e v="#N/A"/>
    <m/>
    <m/>
    <n v="0"/>
    <n v="2752.5"/>
    <s v=""/>
    <m/>
    <m/>
    <m/>
    <m/>
    <m/>
    <m/>
    <m/>
    <m/>
    <m/>
    <m/>
    <m/>
    <n v="2752.5"/>
    <m/>
    <m/>
    <m/>
    <m/>
    <m/>
    <m/>
    <m/>
    <n v="2752.5"/>
    <m/>
    <n v="0"/>
    <n v="0"/>
    <m/>
    <n v="2752.5"/>
    <n v="0"/>
    <m/>
  </r>
  <r>
    <x v="0"/>
    <n v="1"/>
    <n v="41145"/>
    <n v="41145"/>
    <n v="43015"/>
    <s v="Yes"/>
    <s v="Y"/>
    <s v="Y"/>
    <x v="0"/>
    <m/>
    <n v="431119"/>
    <x v="59"/>
    <s v="Charlotte"/>
    <s v="Hatfield"/>
    <x v="686"/>
    <d v="2016-12-20T00:00:00"/>
    <n v="6.6721423682409311"/>
    <n v="1"/>
    <n v="872"/>
    <n v="872"/>
    <d v="2023-04-01T00:00:00"/>
    <n v="1"/>
    <d v="2024-03-31T00:00:00"/>
    <n v="192"/>
    <n v="192"/>
    <n v="1"/>
    <s v="open"/>
    <s v="WCR_Band 6"/>
    <s v="WCR_Band 6"/>
    <s v="BAND6"/>
    <x v="0"/>
    <x v="1"/>
    <x v="1"/>
    <s v="NO"/>
    <s v="NO"/>
    <s v="NO"/>
    <s v="YES"/>
    <n v="22008"/>
    <n v="22008"/>
    <m/>
    <n v="1"/>
    <n v="1"/>
    <n v="22008"/>
    <n v="22008"/>
    <n v="22008"/>
    <n v="22008"/>
    <n v="22008"/>
    <m/>
    <m/>
    <e v="#N/A"/>
    <e v="#N/A"/>
    <e v="#N/A"/>
    <m/>
    <m/>
    <n v="0"/>
    <n v="22008"/>
    <s v=""/>
    <m/>
    <m/>
    <m/>
    <m/>
    <m/>
    <m/>
    <m/>
    <m/>
    <m/>
    <m/>
    <m/>
    <n v="22008"/>
    <m/>
    <m/>
    <m/>
    <m/>
    <m/>
    <m/>
    <m/>
    <n v="22008"/>
    <m/>
    <n v="0"/>
    <n v="0"/>
    <m/>
    <n v="22008"/>
    <n v="0"/>
    <m/>
  </r>
  <r>
    <x v="1"/>
    <n v="1"/>
    <n v="41145"/>
    <n v="41145"/>
    <n v="43015"/>
    <s v="Yes"/>
    <s v="Y"/>
    <s v="Y"/>
    <x v="0"/>
    <s v="AD"/>
    <n v="431119"/>
    <x v="59"/>
    <s v="Charlotte"/>
    <s v="Hatfield"/>
    <x v="686"/>
    <d v="2016-12-20T00:00:00"/>
    <n v="6.6721423682409311"/>
    <n v="1"/>
    <n v="872"/>
    <n v="872"/>
    <d v="2023-04-01T00:00:00"/>
    <n v="1"/>
    <d v="2024-03-31T00:00:00"/>
    <n v="192"/>
    <n v="192"/>
    <n v="1"/>
    <s v="open"/>
    <m/>
    <s v="WCR_Band 6"/>
    <m/>
    <x v="0"/>
    <x v="1"/>
    <x v="0"/>
    <s v="NO"/>
    <s v="NO"/>
    <s v="NO"/>
    <s v="NO"/>
    <n v="472.33"/>
    <n v="472.33"/>
    <m/>
    <n v="1"/>
    <n v="1"/>
    <n v="472.33"/>
    <n v="472.33"/>
    <n v="472.33"/>
    <n v="472.33"/>
    <n v="472.33"/>
    <m/>
    <m/>
    <e v="#N/A"/>
    <e v="#N/A"/>
    <e v="#N/A"/>
    <m/>
    <m/>
    <n v="0"/>
    <n v="472.33"/>
    <s v=""/>
    <m/>
    <m/>
    <m/>
    <m/>
    <m/>
    <m/>
    <m/>
    <m/>
    <m/>
    <m/>
    <m/>
    <n v="472.33"/>
    <m/>
    <m/>
    <m/>
    <m/>
    <m/>
    <m/>
    <m/>
    <n v="472.33"/>
    <m/>
    <n v="0"/>
    <n v="0"/>
    <m/>
    <n v="472.33"/>
    <n v="0"/>
    <m/>
  </r>
  <r>
    <x v="1"/>
    <n v="1"/>
    <n v="41145"/>
    <n v="41145"/>
    <n v="43015"/>
    <s v="Yes"/>
    <s v="Y"/>
    <s v="Y"/>
    <x v="0"/>
    <s v="AD"/>
    <n v="431119"/>
    <x v="59"/>
    <s v="Charlotte"/>
    <s v="Hatfield"/>
    <x v="686"/>
    <d v="2016-12-20T00:00:00"/>
    <n v="6.6721423682409311"/>
    <n v="1"/>
    <n v="872"/>
    <n v="872"/>
    <d v="2023-04-01T00:00:00"/>
    <n v="1"/>
    <d v="2024-03-31T00:00:00"/>
    <n v="192"/>
    <n v="192"/>
    <n v="1"/>
    <s v="open"/>
    <m/>
    <s v="WCR_Band 6"/>
    <m/>
    <x v="0"/>
    <x v="1"/>
    <x v="0"/>
    <s v="NO"/>
    <s v="NO"/>
    <s v="NO"/>
    <s v="NO"/>
    <n v="2752.5"/>
    <n v="2752.5"/>
    <m/>
    <n v="1"/>
    <n v="1"/>
    <n v="2752.5"/>
    <n v="2752.5"/>
    <n v="2752.5"/>
    <n v="2752.5"/>
    <n v="2752.5"/>
    <m/>
    <m/>
    <e v="#N/A"/>
    <e v="#N/A"/>
    <e v="#N/A"/>
    <m/>
    <m/>
    <n v="0"/>
    <n v="2752.5"/>
    <s v=""/>
    <m/>
    <m/>
    <m/>
    <m/>
    <m/>
    <m/>
    <m/>
    <m/>
    <m/>
    <m/>
    <m/>
    <n v="2752.5"/>
    <m/>
    <m/>
    <m/>
    <m/>
    <m/>
    <m/>
    <m/>
    <n v="2752.5"/>
    <m/>
    <n v="0"/>
    <n v="0"/>
    <m/>
    <n v="2752.5"/>
    <n v="0"/>
    <m/>
  </r>
  <r>
    <x v="1"/>
    <n v="1"/>
    <n v="41145"/>
    <n v="41145"/>
    <n v="43015"/>
    <s v="Yes"/>
    <s v="Y"/>
    <s v="Y"/>
    <x v="0"/>
    <s v="AP"/>
    <n v="431119"/>
    <x v="59"/>
    <s v="Charlotte"/>
    <s v="Hatfield"/>
    <x v="686"/>
    <d v="2016-12-20T00:00:00"/>
    <n v="6.6721423682409311"/>
    <n v="1"/>
    <n v="872"/>
    <n v="872"/>
    <d v="2023-04-24T00:00:00"/>
    <n v="6"/>
    <d v="2023-07-19T00:00:00"/>
    <n v="61"/>
    <n v="56"/>
    <n v="1"/>
    <d v="2023-07-19T00:00:00"/>
    <m/>
    <s v="WCR_Band 6"/>
    <m/>
    <x v="0"/>
    <x v="1"/>
    <x v="0"/>
    <s v="NO"/>
    <s v="NO"/>
    <s v="NO"/>
    <s v="NO"/>
    <m/>
    <n v="4950"/>
    <m/>
    <n v="1"/>
    <n v="1"/>
    <n v="4950"/>
    <n v="4950"/>
    <n v="4950"/>
    <n v="0"/>
    <n v="4950"/>
    <m/>
    <m/>
    <e v="#N/A"/>
    <e v="#N/A"/>
    <e v="#N/A"/>
    <m/>
    <m/>
    <n v="0"/>
    <n v="4950"/>
    <s v=""/>
    <m/>
    <m/>
    <m/>
    <m/>
    <m/>
    <n v="0"/>
    <n v="4950"/>
    <m/>
    <m/>
    <m/>
    <n v="3274.21875"/>
    <n v="8224.21875"/>
    <m/>
    <m/>
    <m/>
    <m/>
    <m/>
    <m/>
    <m/>
    <n v="8224.21875"/>
    <m/>
    <n v="0"/>
    <n v="8224.21875"/>
    <m/>
    <n v="8224.21875"/>
    <n v="0"/>
    <m/>
  </r>
  <r>
    <x v="0"/>
    <n v="1"/>
    <n v="41145"/>
    <n v="41145"/>
    <n v="43015"/>
    <s v="Yes"/>
    <s v="Y"/>
    <s v="Y"/>
    <x v="0"/>
    <m/>
    <n v="439013"/>
    <x v="59"/>
    <s v="Isobel"/>
    <s v="Boulton"/>
    <x v="687"/>
    <d v="2018-07-02T00:00:00"/>
    <n v="5.1416837782340865"/>
    <n v="0"/>
    <n v="872"/>
    <n v="872"/>
    <d v="2023-04-01T00:00:00"/>
    <n v="1"/>
    <d v="2024-03-31T00:00:00"/>
    <n v="192"/>
    <n v="192"/>
    <n v="1"/>
    <s v="open"/>
    <s v="WCR_Band 6"/>
    <s v="WCR_Band 6"/>
    <s v="BAND6"/>
    <x v="0"/>
    <x v="1"/>
    <x v="1"/>
    <s v="NO"/>
    <s v="NO"/>
    <s v="NO"/>
    <s v="YES"/>
    <n v="22008"/>
    <n v="22008"/>
    <m/>
    <n v="1"/>
    <n v="1"/>
    <n v="22008"/>
    <n v="22008"/>
    <n v="22008"/>
    <n v="22008"/>
    <n v="22008"/>
    <m/>
    <m/>
    <e v="#N/A"/>
    <e v="#N/A"/>
    <e v="#N/A"/>
    <m/>
    <m/>
    <n v="0"/>
    <n v="22008"/>
    <s v=""/>
    <m/>
    <m/>
    <m/>
    <m/>
    <m/>
    <m/>
    <m/>
    <m/>
    <m/>
    <m/>
    <m/>
    <n v="22008"/>
    <m/>
    <m/>
    <m/>
    <m/>
    <m/>
    <m/>
    <m/>
    <n v="22008"/>
    <m/>
    <n v="0"/>
    <n v="0"/>
    <m/>
    <n v="22008"/>
    <n v="0"/>
    <m/>
  </r>
  <r>
    <x v="1"/>
    <n v="1"/>
    <n v="41145"/>
    <n v="41145"/>
    <n v="43015"/>
    <s v="Yes"/>
    <s v="Y"/>
    <s v="Y"/>
    <x v="0"/>
    <s v="AD"/>
    <n v="439013"/>
    <x v="59"/>
    <s v="Isobel"/>
    <s v="Boulton"/>
    <x v="687"/>
    <d v="2018-07-02T00:00:00"/>
    <n v="5.1416837782340865"/>
    <n v="0"/>
    <n v="872"/>
    <n v="872"/>
    <d v="2023-04-01T00:00:00"/>
    <n v="1"/>
    <d v="2024-03-31T00:00:00"/>
    <n v="192"/>
    <n v="192"/>
    <n v="1"/>
    <s v="open"/>
    <m/>
    <s v="WCR_Band 6"/>
    <m/>
    <x v="0"/>
    <x v="1"/>
    <x v="0"/>
    <s v="NO"/>
    <s v="NO"/>
    <s v="NO"/>
    <s v="NO"/>
    <n v="472.33"/>
    <n v="472.33"/>
    <m/>
    <n v="1"/>
    <n v="1"/>
    <n v="472.33"/>
    <n v="472.33"/>
    <n v="472.33"/>
    <n v="472.33"/>
    <n v="472.33"/>
    <m/>
    <m/>
    <e v="#N/A"/>
    <e v="#N/A"/>
    <e v="#N/A"/>
    <m/>
    <m/>
    <n v="0"/>
    <n v="472.33"/>
    <s v=""/>
    <m/>
    <m/>
    <m/>
    <m/>
    <m/>
    <m/>
    <m/>
    <m/>
    <m/>
    <m/>
    <m/>
    <n v="472.33"/>
    <m/>
    <m/>
    <m/>
    <m/>
    <m/>
    <m/>
    <m/>
    <n v="472.33"/>
    <m/>
    <n v="0"/>
    <n v="0"/>
    <m/>
    <n v="472.33"/>
    <n v="0"/>
    <m/>
  </r>
  <r>
    <x v="1"/>
    <n v="1"/>
    <n v="41145"/>
    <n v="41145"/>
    <n v="43015"/>
    <s v="Yes"/>
    <s v="Y"/>
    <s v="Y"/>
    <x v="0"/>
    <s v="AD"/>
    <n v="439013"/>
    <x v="59"/>
    <s v="Isobel"/>
    <s v="Boulton"/>
    <x v="687"/>
    <d v="2018-07-02T00:00:00"/>
    <n v="5.1416837782340865"/>
    <n v="0"/>
    <n v="872"/>
    <n v="872"/>
    <d v="2023-04-01T00:00:00"/>
    <n v="1"/>
    <d v="2024-03-31T00:00:00"/>
    <n v="192"/>
    <n v="192"/>
    <n v="1"/>
    <s v="open"/>
    <m/>
    <s v="WCR_Band 6"/>
    <m/>
    <x v="0"/>
    <x v="1"/>
    <x v="0"/>
    <s v="NO"/>
    <s v="NO"/>
    <s v="NO"/>
    <s v="NO"/>
    <n v="2752.5"/>
    <n v="2752.5"/>
    <m/>
    <n v="1"/>
    <n v="1"/>
    <n v="2752.5"/>
    <n v="2752.5"/>
    <n v="2752.5"/>
    <n v="2752.5"/>
    <n v="2752.5"/>
    <m/>
    <m/>
    <e v="#N/A"/>
    <e v="#N/A"/>
    <e v="#N/A"/>
    <m/>
    <m/>
    <n v="0"/>
    <n v="2752.5"/>
    <s v=""/>
    <m/>
    <m/>
    <m/>
    <m/>
    <m/>
    <m/>
    <m/>
    <m/>
    <m/>
    <m/>
    <m/>
    <n v="2752.5"/>
    <m/>
    <m/>
    <m/>
    <m/>
    <m/>
    <m/>
    <m/>
    <n v="2752.5"/>
    <m/>
    <n v="0"/>
    <n v="0"/>
    <m/>
    <n v="2752.5"/>
    <n v="0"/>
    <m/>
  </r>
  <r>
    <x v="0"/>
    <n v="1"/>
    <n v="41145"/>
    <n v="41145"/>
    <n v="43015"/>
    <s v="Yes"/>
    <s v="Y"/>
    <s v="Y"/>
    <x v="0"/>
    <m/>
    <n v="442706"/>
    <x v="59"/>
    <s v="Joey"/>
    <s v="Lambden"/>
    <x v="688"/>
    <d v="2017-04-25T00:00:00"/>
    <n v="6.3271731690622861"/>
    <n v="0"/>
    <n v="872"/>
    <n v="872"/>
    <d v="2023-04-01T00:00:00"/>
    <n v="1"/>
    <d v="2024-03-31T00:00:00"/>
    <n v="192"/>
    <n v="192"/>
    <n v="1"/>
    <s v="open"/>
    <s v="WCR_Band 6"/>
    <s v="WCR_Band 6"/>
    <s v="BAND6"/>
    <x v="0"/>
    <x v="1"/>
    <x v="1"/>
    <s v="NO"/>
    <s v="NO"/>
    <s v="NO"/>
    <s v="YES"/>
    <n v="22008"/>
    <n v="22008"/>
    <m/>
    <n v="1"/>
    <n v="1"/>
    <n v="22008"/>
    <n v="22008"/>
    <n v="22008"/>
    <n v="22008"/>
    <n v="22008"/>
    <m/>
    <m/>
    <e v="#N/A"/>
    <e v="#N/A"/>
    <e v="#N/A"/>
    <m/>
    <m/>
    <n v="0"/>
    <n v="22008"/>
    <s v=""/>
    <m/>
    <m/>
    <m/>
    <m/>
    <m/>
    <m/>
    <m/>
    <m/>
    <m/>
    <m/>
    <m/>
    <n v="22008"/>
    <m/>
    <m/>
    <m/>
    <m/>
    <m/>
    <m/>
    <m/>
    <n v="22008"/>
    <m/>
    <n v="0"/>
    <n v="0"/>
    <m/>
    <n v="22008"/>
    <n v="0"/>
    <m/>
  </r>
  <r>
    <x v="1"/>
    <n v="1"/>
    <n v="41145"/>
    <n v="41145"/>
    <n v="43015"/>
    <s v="Yes"/>
    <s v="Y"/>
    <s v="Y"/>
    <x v="0"/>
    <s v="AD"/>
    <n v="442706"/>
    <x v="59"/>
    <s v="Joey"/>
    <s v="Lambden"/>
    <x v="688"/>
    <d v="2017-04-25T00:00:00"/>
    <n v="6.3271731690622861"/>
    <n v="0"/>
    <n v="872"/>
    <n v="872"/>
    <d v="2023-04-01T00:00:00"/>
    <n v="1"/>
    <d v="2024-03-31T00:00:00"/>
    <n v="192"/>
    <n v="192"/>
    <n v="1"/>
    <s v="open"/>
    <s v="WCR_Band 6"/>
    <s v="WCR_Band 6"/>
    <m/>
    <x v="0"/>
    <x v="1"/>
    <x v="1"/>
    <s v="NO"/>
    <s v="NO"/>
    <s v="NO"/>
    <s v="NO"/>
    <n v="3224.83"/>
    <n v="3224.83"/>
    <m/>
    <n v="1"/>
    <n v="1"/>
    <n v="3224.83"/>
    <n v="3224.83"/>
    <n v="3224.83"/>
    <n v="3224.83"/>
    <n v="3224.83"/>
    <m/>
    <m/>
    <e v="#N/A"/>
    <e v="#N/A"/>
    <e v="#N/A"/>
    <m/>
    <m/>
    <n v="0"/>
    <n v="3224.83"/>
    <s v=""/>
    <m/>
    <m/>
    <m/>
    <m/>
    <m/>
    <m/>
    <m/>
    <m/>
    <m/>
    <m/>
    <m/>
    <n v="3224.83"/>
    <m/>
    <m/>
    <m/>
    <m/>
    <m/>
    <m/>
    <m/>
    <n v="3224.83"/>
    <m/>
    <n v="0"/>
    <n v="0"/>
    <m/>
    <n v="3224.83"/>
    <n v="0"/>
    <m/>
  </r>
  <r>
    <x v="0"/>
    <n v="1"/>
    <n v="41145"/>
    <n v="41145"/>
    <n v="43015"/>
    <s v="Yes"/>
    <s v="Y"/>
    <s v="Y"/>
    <x v="0"/>
    <m/>
    <n v="444024"/>
    <x v="59"/>
    <s v="Lachlan"/>
    <s v="Conroy"/>
    <x v="689"/>
    <d v="2018-05-18T00:00:00"/>
    <n v="5.2648870636550305"/>
    <n v="0"/>
    <n v="872"/>
    <n v="872"/>
    <d v="2023-07-24T00:00:00"/>
    <n v="1"/>
    <d v="2023-03-31T00:00:00"/>
    <n v="63"/>
    <n v="63"/>
    <n v="0.328125"/>
    <s v="open"/>
    <n v="30"/>
    <m/>
    <m/>
    <x v="0"/>
    <x v="0"/>
    <x v="0"/>
    <s v="NO"/>
    <s v="NO"/>
    <s v="NO"/>
    <s v="NO"/>
    <n v="8183.1"/>
    <n v="8183.1"/>
    <m/>
    <n v="1"/>
    <n v="0.328125"/>
    <n v="2685.0796875000001"/>
    <n v="2685.0796875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85.0796875000001"/>
    <m/>
    <m/>
    <m/>
    <m/>
    <n v="2685.0796875000001"/>
    <n v="0"/>
    <s v="new provision"/>
  </r>
  <r>
    <x v="0"/>
    <n v="1"/>
    <n v="41145"/>
    <n v="41145"/>
    <n v="43015"/>
    <s v="Yes"/>
    <s v="Y"/>
    <s v="Y"/>
    <x v="0"/>
    <m/>
    <n v="450226"/>
    <x v="59"/>
    <s v="Michael"/>
    <s v="McKendrick"/>
    <x v="690"/>
    <d v="2016-06-25T00:00:00"/>
    <n v="7.1594798083504445"/>
    <n v="2"/>
    <n v="872"/>
    <n v="872"/>
    <d v="2023-04-01T00:00:00"/>
    <n v="1"/>
    <d v="2023-07-21T00:00:00"/>
    <n v="63"/>
    <n v="63"/>
    <n v="0.328125"/>
    <s v="Yr 2 Infant"/>
    <s v="WCR_Band 5"/>
    <s v="WCR_Band 5"/>
    <s v="BAND6"/>
    <x v="0"/>
    <x v="1"/>
    <x v="1"/>
    <s v="NO"/>
    <s v="NO"/>
    <s v="NO"/>
    <s v="YES"/>
    <n v="16576"/>
    <n v="16576"/>
    <m/>
    <n v="1"/>
    <n v="0.328125"/>
    <n v="5439"/>
    <n v="5439"/>
    <n v="5439"/>
    <n v="5439"/>
    <n v="5439"/>
    <m/>
    <m/>
    <s v="Westende Ju"/>
    <e v="#N/A"/>
    <e v="#N/A"/>
    <m/>
    <m/>
    <n v="0"/>
    <n v="5439"/>
    <s v="Westende Junior School RB"/>
    <s v="WBC Academy"/>
    <n v="43012"/>
    <s v="Westende Junior School RB"/>
    <m/>
    <m/>
    <s v="WCR_Band 5"/>
    <n v="16576"/>
    <s v="Y"/>
    <m/>
    <m/>
    <n v="10964.333333333332"/>
    <n v="16403.333333333332"/>
    <m/>
    <m/>
    <m/>
    <m/>
    <m/>
    <m/>
    <m/>
    <n v="16403.333333333332"/>
    <m/>
    <n v="0"/>
    <n v="10964.333333333332"/>
    <m/>
    <n v="16403.333333333332"/>
    <n v="0"/>
    <m/>
  </r>
  <r>
    <x v="1"/>
    <n v="1"/>
    <n v="41145"/>
    <n v="41145"/>
    <n v="43015"/>
    <s v="Yes"/>
    <s v="Y"/>
    <s v="Y"/>
    <x v="0"/>
    <s v="AD"/>
    <n v="450226"/>
    <x v="59"/>
    <s v="Michael"/>
    <s v="McKendrick"/>
    <x v="690"/>
    <d v="2016-06-25T00:00:00"/>
    <n v="7.1594798083504445"/>
    <n v="2"/>
    <n v="872"/>
    <n v="872"/>
    <d v="2023-04-01T00:00:00"/>
    <n v="1"/>
    <d v="2023-07-21T00:00:00"/>
    <n v="63"/>
    <n v="63"/>
    <n v="0.328125"/>
    <s v="Yr 2 Infant"/>
    <s v="WCR"/>
    <s v="WCR"/>
    <m/>
    <x v="0"/>
    <x v="1"/>
    <x v="1"/>
    <s v="NO"/>
    <s v="NO"/>
    <s v="NO"/>
    <s v="NO"/>
    <n v="9145.83"/>
    <n v="9145.83"/>
    <m/>
    <n v="1"/>
    <n v="0.328125"/>
    <n v="3000.9754687499999"/>
    <n v="3000.9754687499999"/>
    <n v="3000.9754687499999"/>
    <n v="3000.9754687499999"/>
    <n v="3000.9754687499999"/>
    <m/>
    <m/>
    <e v="#N/A"/>
    <e v="#N/A"/>
    <e v="#N/A"/>
    <m/>
    <m/>
    <n v="0"/>
    <n v="3000.9754687499999"/>
    <s v="Westende Junior School RB"/>
    <s v="WBC Academy"/>
    <n v="43012"/>
    <s v="Westende Junior School RB"/>
    <m/>
    <m/>
    <s v="WCR"/>
    <n v="9145.83"/>
    <s v="Y"/>
    <m/>
    <m/>
    <n v="6049.5854687500005"/>
    <n v="9050.5609375000004"/>
    <m/>
    <m/>
    <m/>
    <m/>
    <m/>
    <m/>
    <m/>
    <n v="9050.5609375000004"/>
    <m/>
    <n v="0"/>
    <n v="6049.5854687500005"/>
    <m/>
    <n v="9050.5609375000004"/>
    <n v="0"/>
    <m/>
  </r>
  <r>
    <x v="0"/>
    <n v="1"/>
    <n v="41145"/>
    <n v="41145"/>
    <n v="43015"/>
    <s v="Yes"/>
    <s v="Y"/>
    <s v="Y"/>
    <x v="0"/>
    <m/>
    <n v="435014"/>
    <x v="59"/>
    <s v="Ronald"/>
    <s v="Stone"/>
    <x v="691"/>
    <d v="2017-04-25T00:00:00"/>
    <n v="6.3271731690622861"/>
    <n v="1"/>
    <n v="872"/>
    <n v="872"/>
    <d v="2023-04-01T00:00:00"/>
    <n v="1"/>
    <d v="2024-03-31T00:00:00"/>
    <n v="192"/>
    <n v="192"/>
    <n v="1"/>
    <s v="open"/>
    <s v="WCR_Band 6"/>
    <s v="WCR_Band 6"/>
    <s v="BAND6"/>
    <x v="0"/>
    <x v="1"/>
    <x v="1"/>
    <s v="NO"/>
    <s v="NO"/>
    <s v="NO"/>
    <s v="YES"/>
    <n v="22008"/>
    <n v="22008"/>
    <m/>
    <n v="1"/>
    <n v="1"/>
    <n v="22008"/>
    <n v="22008"/>
    <n v="22008"/>
    <n v="22008"/>
    <n v="22008"/>
    <m/>
    <m/>
    <e v="#N/A"/>
    <e v="#N/A"/>
    <e v="#N/A"/>
    <m/>
    <m/>
    <n v="0"/>
    <n v="22008"/>
    <s v=""/>
    <m/>
    <m/>
    <m/>
    <m/>
    <m/>
    <m/>
    <m/>
    <m/>
    <m/>
    <m/>
    <m/>
    <n v="22008"/>
    <m/>
    <m/>
    <m/>
    <m/>
    <m/>
    <m/>
    <m/>
    <n v="22008"/>
    <m/>
    <n v="0"/>
    <n v="0"/>
    <m/>
    <n v="22008"/>
    <n v="0"/>
    <m/>
  </r>
  <r>
    <x v="1"/>
    <n v="1"/>
    <n v="41145"/>
    <n v="41145"/>
    <n v="43015"/>
    <s v="Yes"/>
    <s v="Y"/>
    <s v="Y"/>
    <x v="0"/>
    <s v="AD"/>
    <n v="435014"/>
    <x v="59"/>
    <s v="Ronald"/>
    <s v="Stone"/>
    <x v="691"/>
    <d v="2017-04-25T00:00:00"/>
    <n v="6.3271731690622861"/>
    <n v="1"/>
    <n v="872"/>
    <n v="872"/>
    <d v="2023-04-01T00:00:00"/>
    <n v="1"/>
    <d v="2024-03-31T00:00:00"/>
    <n v="192"/>
    <n v="192"/>
    <n v="1"/>
    <s v="open"/>
    <s v="WCR_Band 6"/>
    <s v="WCR_Band 6"/>
    <m/>
    <x v="0"/>
    <x v="1"/>
    <x v="1"/>
    <s v="NO"/>
    <s v="NO"/>
    <s v="NO"/>
    <s v="NO"/>
    <n v="3224.83"/>
    <n v="3224.83"/>
    <m/>
    <n v="1"/>
    <n v="1"/>
    <n v="3224.83"/>
    <n v="3224.83"/>
    <n v="3224.83"/>
    <n v="3224.83"/>
    <n v="3224.83"/>
    <m/>
    <m/>
    <e v="#N/A"/>
    <e v="#N/A"/>
    <e v="#N/A"/>
    <m/>
    <m/>
    <n v="0"/>
    <n v="3224.83"/>
    <s v=""/>
    <m/>
    <m/>
    <m/>
    <m/>
    <m/>
    <m/>
    <m/>
    <m/>
    <m/>
    <m/>
    <m/>
    <n v="3224.83"/>
    <m/>
    <m/>
    <m/>
    <m/>
    <m/>
    <m/>
    <m/>
    <n v="3224.83"/>
    <m/>
    <n v="0"/>
    <n v="0"/>
    <m/>
    <n v="3224.83"/>
    <n v="0"/>
    <m/>
  </r>
  <r>
    <x v="0"/>
    <n v="1"/>
    <n v="41145"/>
    <n v="41145"/>
    <n v="43015"/>
    <s v="Yes"/>
    <s v="Y"/>
    <s v="Y"/>
    <x v="0"/>
    <m/>
    <n v="444414"/>
    <x v="59"/>
    <s v="Stanley"/>
    <s v="Childs"/>
    <x v="692"/>
    <d v="2018-03-11T00:00:00"/>
    <n v="5.4510609171800137"/>
    <n v="0"/>
    <n v="872"/>
    <n v="872"/>
    <d v="2023-04-01T00:00:00"/>
    <n v="1"/>
    <d v="2024-03-31T00:00:00"/>
    <n v="192"/>
    <n v="192"/>
    <n v="1"/>
    <s v="open"/>
    <s v="WCR_Band 6"/>
    <s v="WCR_Band 6"/>
    <s v="BAND6"/>
    <x v="0"/>
    <x v="1"/>
    <x v="1"/>
    <s v="NO"/>
    <s v="NO"/>
    <s v="NO"/>
    <s v="YES"/>
    <n v="22008"/>
    <n v="22008"/>
    <m/>
    <n v="1"/>
    <n v="1"/>
    <n v="22008"/>
    <n v="22008"/>
    <n v="22008"/>
    <n v="22008"/>
    <n v="22008"/>
    <m/>
    <m/>
    <e v="#N/A"/>
    <e v="#N/A"/>
    <e v="#N/A"/>
    <m/>
    <m/>
    <n v="0"/>
    <n v="22008"/>
    <s v=""/>
    <m/>
    <m/>
    <m/>
    <m/>
    <m/>
    <m/>
    <m/>
    <m/>
    <m/>
    <m/>
    <m/>
    <n v="22008"/>
    <m/>
    <m/>
    <m/>
    <m/>
    <m/>
    <m/>
    <m/>
    <n v="22008"/>
    <m/>
    <n v="0"/>
    <n v="0"/>
    <m/>
    <n v="22008"/>
    <n v="0"/>
    <m/>
  </r>
  <r>
    <x v="1"/>
    <n v="1"/>
    <n v="41145"/>
    <n v="41145"/>
    <n v="43015"/>
    <s v="Yes"/>
    <s v="Y"/>
    <s v="Y"/>
    <x v="0"/>
    <s v="AD"/>
    <n v="444414"/>
    <x v="59"/>
    <s v="Stanley"/>
    <s v="Childs"/>
    <x v="692"/>
    <d v="2018-03-11T00:00:00"/>
    <n v="5.4510609171800137"/>
    <n v="0"/>
    <n v="872"/>
    <n v="872"/>
    <d v="2023-04-01T00:00:00"/>
    <n v="1"/>
    <d v="2024-03-31T00:00:00"/>
    <n v="192"/>
    <n v="192"/>
    <n v="1"/>
    <s v="open"/>
    <s v="WCR_Band 6"/>
    <s v="WCR_Band 6"/>
    <m/>
    <x v="0"/>
    <x v="1"/>
    <x v="1"/>
    <s v="NO"/>
    <s v="NO"/>
    <s v="NO"/>
    <s v="NO"/>
    <n v="472.33"/>
    <n v="472.33"/>
    <m/>
    <n v="1"/>
    <n v="1"/>
    <n v="472.33"/>
    <n v="472.33"/>
    <n v="472.33"/>
    <n v="472.33"/>
    <n v="472.33"/>
    <m/>
    <m/>
    <e v="#N/A"/>
    <e v="#N/A"/>
    <e v="#N/A"/>
    <m/>
    <m/>
    <n v="0"/>
    <n v="472.33"/>
    <s v=""/>
    <m/>
    <m/>
    <m/>
    <m/>
    <m/>
    <m/>
    <m/>
    <m/>
    <m/>
    <m/>
    <m/>
    <n v="472.33"/>
    <m/>
    <m/>
    <m/>
    <m/>
    <m/>
    <m/>
    <m/>
    <n v="472.33"/>
    <m/>
    <n v="0"/>
    <n v="0"/>
    <m/>
    <n v="472.33"/>
    <n v="0"/>
    <m/>
  </r>
  <r>
    <x v="1"/>
    <n v="1"/>
    <n v="41145"/>
    <n v="41145"/>
    <n v="43015"/>
    <s v="Yes"/>
    <s v="Y"/>
    <s v="Y"/>
    <x v="0"/>
    <s v="AD"/>
    <n v="444414"/>
    <x v="59"/>
    <s v="Stanley"/>
    <s v="Childs"/>
    <x v="692"/>
    <d v="2018-03-11T00:00:00"/>
    <n v="5.4510609171800137"/>
    <n v="0"/>
    <n v="872"/>
    <n v="872"/>
    <d v="2023-04-01T00:00:00"/>
    <n v="1"/>
    <d v="2024-03-31T00:00:00"/>
    <n v="192"/>
    <n v="192"/>
    <n v="1"/>
    <s v="open"/>
    <s v="WCR_Band 6"/>
    <s v="WCR_Band 6"/>
    <m/>
    <x v="0"/>
    <x v="1"/>
    <x v="1"/>
    <s v="NO"/>
    <s v="NO"/>
    <s v="NO"/>
    <s v="NO"/>
    <n v="2752.5"/>
    <n v="2752.5"/>
    <m/>
    <n v="1"/>
    <n v="1"/>
    <n v="2752.5"/>
    <n v="2752.5"/>
    <n v="2752.5"/>
    <n v="2752.5"/>
    <n v="2752.5"/>
    <m/>
    <m/>
    <e v="#N/A"/>
    <e v="#N/A"/>
    <e v="#N/A"/>
    <m/>
    <m/>
    <n v="0"/>
    <n v="2752.5"/>
    <s v=""/>
    <m/>
    <m/>
    <m/>
    <m/>
    <m/>
    <m/>
    <m/>
    <m/>
    <m/>
    <m/>
    <m/>
    <n v="2752.5"/>
    <m/>
    <m/>
    <m/>
    <m/>
    <m/>
    <m/>
    <m/>
    <n v="2752.5"/>
    <m/>
    <n v="0"/>
    <n v="0"/>
    <m/>
    <n v="2752.5"/>
    <n v="0"/>
    <m/>
  </r>
  <r>
    <x v="0"/>
    <n v="1"/>
    <n v="41145"/>
    <n v="41145"/>
    <n v="43015"/>
    <s v="Yes"/>
    <s v="Y"/>
    <s v="Y"/>
    <x v="0"/>
    <m/>
    <n v="443835"/>
    <x v="59"/>
    <s v="Usman"/>
    <s v="Haris"/>
    <x v="693"/>
    <d v="2018-05-02T00:00:00"/>
    <n v="5.3086926762491444"/>
    <n v="0"/>
    <n v="872"/>
    <n v="872"/>
    <d v="2023-04-01T00:00:00"/>
    <n v="1"/>
    <d v="2024-03-31T00:00:00"/>
    <n v="192"/>
    <n v="192"/>
    <n v="1"/>
    <s v="open"/>
    <s v="WCR_Band 6"/>
    <s v="WCR_Band 6"/>
    <s v="BAND6"/>
    <x v="0"/>
    <x v="1"/>
    <x v="1"/>
    <s v="NO"/>
    <s v="NO"/>
    <s v="NO"/>
    <s v="YES"/>
    <n v="22008"/>
    <n v="22008"/>
    <m/>
    <n v="1"/>
    <n v="1"/>
    <n v="22008"/>
    <n v="22008"/>
    <n v="22008"/>
    <n v="22008"/>
    <n v="22008"/>
    <m/>
    <m/>
    <e v="#N/A"/>
    <e v="#N/A"/>
    <e v="#N/A"/>
    <m/>
    <m/>
    <n v="0"/>
    <n v="22008"/>
    <s v=""/>
    <m/>
    <m/>
    <m/>
    <m/>
    <m/>
    <m/>
    <m/>
    <m/>
    <m/>
    <m/>
    <m/>
    <n v="22008"/>
    <m/>
    <m/>
    <m/>
    <m/>
    <m/>
    <m/>
    <m/>
    <n v="22008"/>
    <m/>
    <n v="0"/>
    <n v="0"/>
    <m/>
    <n v="22008"/>
    <n v="0"/>
    <m/>
  </r>
  <r>
    <x v="1"/>
    <n v="1"/>
    <n v="41145"/>
    <n v="41145"/>
    <n v="43015"/>
    <s v="Yes"/>
    <s v="Y"/>
    <s v="Y"/>
    <x v="0"/>
    <s v="AD"/>
    <n v="443835"/>
    <x v="59"/>
    <s v="Usman"/>
    <s v="Haris"/>
    <x v="693"/>
    <d v="2018-05-02T00:00:00"/>
    <n v="5.3086926762491444"/>
    <n v="0"/>
    <n v="872"/>
    <n v="872"/>
    <d v="2023-04-01T00:00:00"/>
    <n v="1"/>
    <d v="2024-03-31T00:00:00"/>
    <n v="192"/>
    <n v="192"/>
    <n v="1"/>
    <s v="open"/>
    <s v="WCR_Band 6"/>
    <s v="WCR_Band 6"/>
    <m/>
    <x v="0"/>
    <x v="1"/>
    <x v="1"/>
    <s v="NO"/>
    <s v="NO"/>
    <s v="NO"/>
    <s v="NO"/>
    <n v="472.33"/>
    <n v="472.33"/>
    <m/>
    <n v="1"/>
    <n v="1"/>
    <n v="472.33"/>
    <n v="472.33"/>
    <n v="472.33"/>
    <n v="472.33"/>
    <n v="472.33"/>
    <m/>
    <m/>
    <e v="#N/A"/>
    <e v="#N/A"/>
    <e v="#N/A"/>
    <m/>
    <m/>
    <n v="0"/>
    <n v="472.33"/>
    <s v=""/>
    <m/>
    <m/>
    <m/>
    <m/>
    <m/>
    <m/>
    <m/>
    <m/>
    <m/>
    <m/>
    <m/>
    <n v="472.33"/>
    <m/>
    <m/>
    <m/>
    <m/>
    <m/>
    <m/>
    <m/>
    <n v="472.33"/>
    <m/>
    <n v="0"/>
    <n v="0"/>
    <m/>
    <n v="472.33"/>
    <n v="0"/>
    <m/>
  </r>
  <r>
    <x v="1"/>
    <n v="1"/>
    <n v="41145"/>
    <n v="41145"/>
    <n v="43015"/>
    <s v="Yes"/>
    <s v="Y"/>
    <s v="Y"/>
    <x v="0"/>
    <s v="AD"/>
    <n v="443835"/>
    <x v="59"/>
    <s v="Usman"/>
    <s v="Haris"/>
    <x v="693"/>
    <d v="2018-05-02T00:00:00"/>
    <n v="5.3086926762491444"/>
    <n v="0"/>
    <n v="872"/>
    <n v="872"/>
    <d v="2023-04-01T00:00:00"/>
    <n v="1"/>
    <d v="2024-03-31T00:00:00"/>
    <n v="192"/>
    <n v="192"/>
    <n v="1"/>
    <s v="open"/>
    <s v="WCR_Band 6"/>
    <s v="WCR_Band 6"/>
    <m/>
    <x v="0"/>
    <x v="1"/>
    <x v="1"/>
    <s v="NO"/>
    <s v="NO"/>
    <s v="NO"/>
    <s v="NO"/>
    <n v="2752.5"/>
    <n v="2752.5"/>
    <m/>
    <n v="1"/>
    <n v="1"/>
    <n v="2752.5"/>
    <n v="2752.5"/>
    <n v="2752.5"/>
    <n v="2752.5"/>
    <n v="2752.5"/>
    <m/>
    <m/>
    <e v="#N/A"/>
    <e v="#N/A"/>
    <e v="#N/A"/>
    <m/>
    <m/>
    <n v="0"/>
    <n v="2752.5"/>
    <s v=""/>
    <m/>
    <m/>
    <m/>
    <m/>
    <m/>
    <m/>
    <m/>
    <m/>
    <m/>
    <m/>
    <m/>
    <n v="2752.5"/>
    <m/>
    <m/>
    <m/>
    <m/>
    <m/>
    <m/>
    <m/>
    <n v="2752.5"/>
    <m/>
    <n v="0"/>
    <n v="0"/>
    <m/>
    <n v="2752.5"/>
    <n v="0"/>
    <m/>
  </r>
  <r>
    <x v="0"/>
    <n v="1"/>
    <n v="41145"/>
    <n v="41145"/>
    <n v="43012"/>
    <s v="Yes"/>
    <s v="Y"/>
    <m/>
    <x v="0"/>
    <m/>
    <n v="423981"/>
    <x v="59"/>
    <s v="Harry"/>
    <s v="Cassells"/>
    <x v="694"/>
    <d v="2015-09-15T00:00:00"/>
    <n v="7.9370294318959616"/>
    <n v="2"/>
    <n v="872"/>
    <n v="872"/>
    <d v="2023-04-01T00:00:00"/>
    <n v="1"/>
    <d v="2023-07-21T00:00:00"/>
    <n v="63"/>
    <n v="63"/>
    <n v="0.328125"/>
    <s v="Yr 2 Infant"/>
    <n v="30"/>
    <m/>
    <m/>
    <x v="0"/>
    <x v="0"/>
    <x v="0"/>
    <s v="NO"/>
    <s v="NO"/>
    <s v="NO"/>
    <s v="NO"/>
    <m/>
    <n v="8183.0999999999985"/>
    <s v="SLCD"/>
    <n v="1"/>
    <n v="0.328125"/>
    <n v="2685.0796874999996"/>
    <n v="2685.0796874999996"/>
    <n v="2685.0796874999996"/>
    <n v="2685.0796874999996"/>
    <n v="2685.0796874999996"/>
    <m/>
    <m/>
    <s v="Westende Ju"/>
    <e v="#N/A"/>
    <e v="#N/A"/>
    <m/>
    <m/>
    <n v="0"/>
    <n v="2685.0796874999996"/>
    <s v="Westende Junior School"/>
    <s v="WBC Academy"/>
    <n v="43012"/>
    <s v="Westende Junior School"/>
    <m/>
    <m/>
    <n v="30"/>
    <n v="8183.0999999999985"/>
    <s v="Y"/>
    <m/>
    <m/>
    <n v="5412.7796874999985"/>
    <n v="8097.8593749999982"/>
    <m/>
    <m/>
    <m/>
    <m/>
    <m/>
    <m/>
    <m/>
    <n v="8097.8593749999982"/>
    <m/>
    <n v="0"/>
    <n v="5412.7796874999985"/>
    <m/>
    <n v="8097.8593749999982"/>
    <n v="0"/>
    <m/>
  </r>
  <r>
    <x v="0"/>
    <n v="1"/>
    <n v="41146"/>
    <n v="41146"/>
    <n v="43015"/>
    <s v="No"/>
    <s v="Y"/>
    <s v="Y"/>
    <x v="0"/>
    <m/>
    <n v="424034"/>
    <x v="60"/>
    <s v="Aaron"/>
    <s v="Vorster"/>
    <x v="695"/>
    <d v="2013-09-09T00:00:00"/>
    <n v="9.9520876112251884"/>
    <n v="4"/>
    <n v="872"/>
    <n v="872"/>
    <d v="2023-04-01T00:00:00"/>
    <n v="1"/>
    <d v="2024-03-31T00:00:00"/>
    <n v="192"/>
    <n v="192"/>
    <n v="1"/>
    <s v="open"/>
    <s v="WESR_BAND 6"/>
    <s v="WESR_BAND 6"/>
    <s v="BAND6"/>
    <x v="0"/>
    <x v="1"/>
    <x v="1"/>
    <s v="NO"/>
    <s v="NO"/>
    <s v="NO"/>
    <s v="YES"/>
    <n v="22008"/>
    <n v="22008"/>
    <s v="ASD"/>
    <n v="1"/>
    <n v="1"/>
    <n v="22008"/>
    <n v="22008"/>
    <n v="22008"/>
    <n v="22008"/>
    <n v="22008"/>
    <m/>
    <m/>
    <e v="#N/A"/>
    <e v="#N/A"/>
    <e v="#N/A"/>
    <m/>
    <m/>
    <n v="0"/>
    <n v="22008"/>
    <s v=""/>
    <m/>
    <m/>
    <m/>
    <m/>
    <m/>
    <m/>
    <m/>
    <m/>
    <m/>
    <m/>
    <m/>
    <n v="22008"/>
    <m/>
    <m/>
    <m/>
    <m/>
    <m/>
    <m/>
    <m/>
    <n v="22008"/>
    <m/>
    <n v="0"/>
    <n v="0"/>
    <m/>
    <n v="22008"/>
    <n v="0"/>
    <m/>
  </r>
  <r>
    <x v="0"/>
    <n v="1"/>
    <n v="41146"/>
    <n v="41146"/>
    <n v="43015"/>
    <s v="No"/>
    <s v="Y"/>
    <s v="Y"/>
    <x v="0"/>
    <m/>
    <n v="415172"/>
    <x v="60"/>
    <s v="Amelia"/>
    <s v="Cumming"/>
    <x v="696"/>
    <d v="2013-10-04T00:00:00"/>
    <n v="9.8836413415468858"/>
    <n v="4"/>
    <n v="872"/>
    <n v="872"/>
    <d v="2023-04-01T00:00:00"/>
    <n v="1"/>
    <d v="2024-03-31T00:00:00"/>
    <n v="192"/>
    <n v="192"/>
    <n v="1"/>
    <s v="open"/>
    <s v="TOP"/>
    <m/>
    <s v="BAND6"/>
    <x v="0"/>
    <x v="1"/>
    <x v="1"/>
    <s v="NO"/>
    <s v="NO"/>
    <s v="NO"/>
    <s v="YES"/>
    <n v="22008"/>
    <n v="22008"/>
    <s v="SEMH"/>
    <n v="1"/>
    <n v="1"/>
    <n v="22008"/>
    <n v="22008"/>
    <n v="22008"/>
    <n v="22008"/>
    <n v="22008"/>
    <m/>
    <m/>
    <e v="#N/A"/>
    <e v="#N/A"/>
    <e v="#N/A"/>
    <m/>
    <m/>
    <n v="0"/>
    <n v="22008"/>
    <s v=""/>
    <m/>
    <m/>
    <m/>
    <m/>
    <m/>
    <m/>
    <m/>
    <m/>
    <m/>
    <m/>
    <m/>
    <n v="22008"/>
    <m/>
    <m/>
    <m/>
    <m/>
    <m/>
    <m/>
    <m/>
    <n v="22008"/>
    <m/>
    <n v="0"/>
    <n v="0"/>
    <m/>
    <n v="22008"/>
    <n v="0"/>
    <m/>
  </r>
  <r>
    <x v="0"/>
    <n v="1"/>
    <n v="41146"/>
    <n v="41146"/>
    <n v="43015"/>
    <s v="No"/>
    <s v="Y"/>
    <s v="Y"/>
    <x v="0"/>
    <m/>
    <n v="421822"/>
    <x v="60"/>
    <s v="Bobby"/>
    <s v="Loveridge"/>
    <x v="697"/>
    <d v="2015-04-22T00:00:00"/>
    <n v="8.3367556468172488"/>
    <n v="3"/>
    <n v="872"/>
    <n v="872"/>
    <d v="2023-04-01T00:00:00"/>
    <n v="1"/>
    <d v="2024-03-31T00:00:00"/>
    <n v="192"/>
    <n v="192"/>
    <n v="1"/>
    <s v="open"/>
    <s v="WESR_BAND 6"/>
    <s v="WESR_BAND 6"/>
    <s v="BAND6"/>
    <x v="0"/>
    <x v="1"/>
    <x v="1"/>
    <s v="NO"/>
    <s v="NO"/>
    <s v="NO"/>
    <s v="YES"/>
    <n v="22008"/>
    <n v="21471"/>
    <s v="MLD"/>
    <n v="1"/>
    <n v="1"/>
    <n v="21471"/>
    <n v="21471"/>
    <n v="21471"/>
    <n v="21471"/>
    <n v="21471"/>
    <m/>
    <m/>
    <e v="#N/A"/>
    <e v="#N/A"/>
    <e v="#N/A"/>
    <m/>
    <m/>
    <n v="0"/>
    <n v="21471"/>
    <s v=""/>
    <m/>
    <m/>
    <m/>
    <m/>
    <m/>
    <m/>
    <m/>
    <m/>
    <m/>
    <m/>
    <m/>
    <n v="21471"/>
    <m/>
    <m/>
    <m/>
    <m/>
    <m/>
    <m/>
    <m/>
    <n v="21471"/>
    <m/>
    <n v="0"/>
    <n v="0"/>
    <m/>
    <n v="21471"/>
    <n v="0"/>
    <m/>
  </r>
  <r>
    <x v="0"/>
    <n v="1"/>
    <n v="41146"/>
    <n v="41146"/>
    <n v="43015"/>
    <s v="No"/>
    <s v="Y"/>
    <s v="Y"/>
    <x v="0"/>
    <m/>
    <n v="407759"/>
    <x v="60"/>
    <s v="Codie"/>
    <s v="Murphy"/>
    <x v="698"/>
    <d v="2014-02-06T00:00:00"/>
    <n v="9.5414099931553729"/>
    <n v="4"/>
    <n v="872"/>
    <n v="872"/>
    <d v="2023-04-01T00:00:00"/>
    <n v="1"/>
    <d v="2024-03-31T00:00:00"/>
    <n v="192"/>
    <n v="192"/>
    <n v="1"/>
    <s v="open"/>
    <s v="WESR_BAND 6"/>
    <s v="WESR_BAND 6"/>
    <s v="BAND6"/>
    <x v="0"/>
    <x v="1"/>
    <x v="1"/>
    <s v="NO"/>
    <s v="NO"/>
    <s v="NO"/>
    <s v="YES"/>
    <n v="22008"/>
    <n v="22008"/>
    <s v="SLCD"/>
    <n v="1"/>
    <n v="1"/>
    <n v="22008"/>
    <n v="22008"/>
    <n v="22008"/>
    <n v="22008"/>
    <n v="22008"/>
    <m/>
    <m/>
    <e v="#N/A"/>
    <e v="#N/A"/>
    <e v="#N/A"/>
    <m/>
    <m/>
    <n v="0"/>
    <n v="22008"/>
    <s v=""/>
    <m/>
    <m/>
    <m/>
    <m/>
    <m/>
    <m/>
    <m/>
    <m/>
    <m/>
    <m/>
    <m/>
    <n v="22008"/>
    <m/>
    <m/>
    <m/>
    <m/>
    <m/>
    <m/>
    <m/>
    <n v="22008"/>
    <m/>
    <n v="0"/>
    <n v="0"/>
    <m/>
    <n v="22008"/>
    <n v="0"/>
    <m/>
  </r>
  <r>
    <x v="0"/>
    <n v="1"/>
    <n v="41146"/>
    <n v="41146"/>
    <n v="43015"/>
    <s v="No"/>
    <s v="Y"/>
    <s v="Y"/>
    <x v="0"/>
    <m/>
    <n v="399457"/>
    <x v="60"/>
    <s v="Jensen"/>
    <s v="Barrett"/>
    <x v="699"/>
    <d v="2011-11-23T00:00:00"/>
    <n v="11.748117727583846"/>
    <n v="6"/>
    <n v="872"/>
    <n v="872"/>
    <d v="2023-04-01T00:00:00"/>
    <n v="1"/>
    <d v="2023-07-21T00:00:00"/>
    <n v="63"/>
    <n v="63"/>
    <n v="0.328125"/>
    <s v="Yr 6"/>
    <s v="WESR_BAND 6"/>
    <s v="WESR_BAND 6"/>
    <s v="BAND6"/>
    <x v="0"/>
    <x v="1"/>
    <x v="1"/>
    <s v="NO"/>
    <s v="NO"/>
    <s v="NO"/>
    <s v="YES"/>
    <n v="22008"/>
    <n v="22008"/>
    <s v="ASD"/>
    <n v="1"/>
    <n v="0.328125"/>
    <n v="7221.375"/>
    <n v="7221.375"/>
    <n v="7221.375"/>
    <n v="7221.375"/>
    <n v="7221.375"/>
    <m/>
    <m/>
    <e v="#N/A"/>
    <s v="Oak Tree"/>
    <e v="#N/A"/>
    <s v="Y"/>
    <n v="14672"/>
    <n v="0"/>
    <n v="7221.375"/>
    <s v="Name Oak Tree "/>
    <s v="WBC Spec"/>
    <m/>
    <m/>
    <s v="Name Oak Tree "/>
    <m/>
    <s v="WESR_BAND 6"/>
    <n v="22008"/>
    <m/>
    <s v="Y"/>
    <m/>
    <n v="14557.375"/>
    <n v="21778.75"/>
    <n v="14557.375"/>
    <s v="remove"/>
    <m/>
    <m/>
    <m/>
    <m/>
    <m/>
    <n v="21778.75"/>
    <m/>
    <n v="0"/>
    <n v="14557.375"/>
    <m/>
    <n v="21778.75"/>
    <n v="0"/>
    <m/>
  </r>
  <r>
    <x v="0"/>
    <n v="1"/>
    <n v="41146"/>
    <n v="41146"/>
    <n v="43015"/>
    <s v="No"/>
    <s v="Y"/>
    <s v="Y"/>
    <x v="0"/>
    <m/>
    <n v="416232"/>
    <x v="60"/>
    <s v="Joseph"/>
    <s v="Smith"/>
    <x v="700"/>
    <d v="2014-06-02T00:00:00"/>
    <n v="9.2238193018480494"/>
    <n v="4"/>
    <n v="872"/>
    <n v="872"/>
    <d v="2023-04-01T00:00:00"/>
    <n v="1"/>
    <d v="2024-03-31T00:00:00"/>
    <n v="192"/>
    <n v="192"/>
    <n v="1"/>
    <s v="open"/>
    <m/>
    <m/>
    <m/>
    <x v="0"/>
    <x v="1"/>
    <x v="0"/>
    <s v="NO"/>
    <s v="NO"/>
    <s v="NO"/>
    <s v="NO"/>
    <n v="20645"/>
    <n v="20645"/>
    <s v="SLCD"/>
    <n v="1"/>
    <n v="1"/>
    <n v="20645"/>
    <n v="20645"/>
    <n v="20645"/>
    <n v="20645"/>
    <n v="20645"/>
    <m/>
    <m/>
    <e v="#N/A"/>
    <e v="#N/A"/>
    <e v="#N/A"/>
    <m/>
    <m/>
    <n v="0"/>
    <n v="20645"/>
    <s v=""/>
    <m/>
    <m/>
    <m/>
    <m/>
    <m/>
    <m/>
    <m/>
    <m/>
    <m/>
    <m/>
    <m/>
    <n v="20645"/>
    <m/>
    <m/>
    <m/>
    <m/>
    <m/>
    <m/>
    <m/>
    <n v="20645"/>
    <m/>
    <n v="0"/>
    <n v="0"/>
    <m/>
    <n v="20645"/>
    <n v="0"/>
    <m/>
  </r>
  <r>
    <x v="1"/>
    <n v="1"/>
    <n v="41146"/>
    <n v="41146"/>
    <n v="43015"/>
    <s v="No"/>
    <s v="Y"/>
    <s v="Y"/>
    <x v="0"/>
    <s v="AD"/>
    <n v="416232"/>
    <x v="60"/>
    <s v="Joseph"/>
    <s v="Smith"/>
    <x v="700"/>
    <d v="2014-06-02T00:00:00"/>
    <n v="9.2238193018480494"/>
    <n v="4"/>
    <n v="872"/>
    <n v="872"/>
    <d v="2023-04-01T00:00:00"/>
    <n v="1"/>
    <d v="2024-03-31T00:00:00"/>
    <n v="192"/>
    <n v="192"/>
    <n v="1"/>
    <s v="open"/>
    <n v="32.5"/>
    <m/>
    <m/>
    <x v="0"/>
    <x v="1"/>
    <x v="1"/>
    <s v="NO"/>
    <s v="NO"/>
    <s v="NO"/>
    <s v="NO"/>
    <m/>
    <n v="9365.0249999999996"/>
    <s v="SLCD"/>
    <n v="1"/>
    <n v="1"/>
    <n v="9365.0249999999996"/>
    <n v="9365.0249999999996"/>
    <n v="9365.0249999999996"/>
    <n v="9365.0249999999996"/>
    <n v="9365.0249999999996"/>
    <m/>
    <m/>
    <e v="#N/A"/>
    <e v="#N/A"/>
    <e v="#N/A"/>
    <m/>
    <m/>
    <n v="0"/>
    <n v="9365.0249999999996"/>
    <s v=""/>
    <m/>
    <m/>
    <m/>
    <m/>
    <m/>
    <m/>
    <m/>
    <m/>
    <m/>
    <m/>
    <m/>
    <n v="9365.0249999999996"/>
    <m/>
    <m/>
    <m/>
    <m/>
    <m/>
    <m/>
    <m/>
    <n v="9365.0249999999996"/>
    <m/>
    <n v="0"/>
    <n v="0"/>
    <m/>
    <n v="9365.0249999999996"/>
    <n v="0"/>
    <m/>
  </r>
  <r>
    <x v="1"/>
    <n v="1"/>
    <n v="41146"/>
    <n v="41146"/>
    <n v="43015"/>
    <s v="No"/>
    <s v="Y"/>
    <s v="Y"/>
    <x v="0"/>
    <s v="AD"/>
    <n v="416232"/>
    <x v="60"/>
    <s v="Joseph"/>
    <s v="Smith"/>
    <x v="700"/>
    <d v="2014-06-02T00:00:00"/>
    <n v="9.2238193018480494"/>
    <n v="4"/>
    <n v="872"/>
    <n v="872"/>
    <d v="2023-04-17T00:00:00"/>
    <n v="2"/>
    <d v="2023-07-20T00:00:00"/>
    <n v="62"/>
    <n v="61"/>
    <n v="1"/>
    <d v="2023-07-20T00:00:00"/>
    <s v="TOP"/>
    <m/>
    <m/>
    <x v="0"/>
    <x v="1"/>
    <x v="1"/>
    <s v="NO"/>
    <s v="NO"/>
    <s v="NO"/>
    <s v="NO"/>
    <m/>
    <n v="2310"/>
    <s v="SLCD"/>
    <n v="1"/>
    <n v="1"/>
    <n v="2310"/>
    <n v="2310"/>
    <n v="2310"/>
    <n v="0"/>
    <n v="2310"/>
    <m/>
    <m/>
    <e v="#N/A"/>
    <e v="#N/A"/>
    <e v="#N/A"/>
    <m/>
    <m/>
    <n v="0"/>
    <n v="2310"/>
    <s v=""/>
    <m/>
    <m/>
    <m/>
    <m/>
    <m/>
    <s v="TOP"/>
    <n v="2310"/>
    <m/>
    <m/>
    <m/>
    <n v="1527.96875"/>
    <n v="3837.96875"/>
    <m/>
    <m/>
    <m/>
    <m/>
    <m/>
    <m/>
    <m/>
    <n v="3837.96875"/>
    <m/>
    <n v="0"/>
    <n v="3837.96875"/>
    <m/>
    <n v="3837.96875"/>
    <n v="0"/>
    <m/>
  </r>
  <r>
    <x v="0"/>
    <n v="1"/>
    <n v="41146"/>
    <n v="41146"/>
    <n v="43015"/>
    <s v="No"/>
    <s v="Y"/>
    <s v="Y"/>
    <x v="0"/>
    <m/>
    <n v="439512"/>
    <x v="60"/>
    <s v="Joshua"/>
    <s v="Harding"/>
    <x v="701"/>
    <d v="2014-09-24T00:00:00"/>
    <n v="8.9117043121149901"/>
    <n v="3"/>
    <n v="872"/>
    <n v="872"/>
    <d v="2023-04-01T00:00:00"/>
    <n v="1"/>
    <d v="2024-03-31T00:00:00"/>
    <n v="192"/>
    <n v="192"/>
    <n v="1"/>
    <s v="open"/>
    <s v="WESR_BAND 6"/>
    <s v="WESR_BAND 6"/>
    <s v="BAND6"/>
    <x v="0"/>
    <x v="1"/>
    <x v="1"/>
    <s v="NO"/>
    <s v="NO"/>
    <s v="NO"/>
    <s v="YES"/>
    <n v="22008"/>
    <n v="22008"/>
    <m/>
    <n v="1"/>
    <n v="1"/>
    <n v="22008"/>
    <n v="22008"/>
    <n v="22008"/>
    <n v="22008"/>
    <n v="22008"/>
    <m/>
    <m/>
    <e v="#N/A"/>
    <e v="#N/A"/>
    <e v="#N/A"/>
    <m/>
    <m/>
    <n v="0"/>
    <n v="22008"/>
    <s v=""/>
    <m/>
    <m/>
    <m/>
    <m/>
    <m/>
    <m/>
    <m/>
    <m/>
    <m/>
    <m/>
    <m/>
    <n v="22008"/>
    <m/>
    <m/>
    <m/>
    <m/>
    <m/>
    <m/>
    <m/>
    <n v="22008"/>
    <m/>
    <n v="0"/>
    <n v="0"/>
    <m/>
    <n v="22008"/>
    <n v="0"/>
    <m/>
  </r>
  <r>
    <x v="0"/>
    <n v="1"/>
    <n v="41146"/>
    <n v="41146"/>
    <n v="43015"/>
    <s v="No"/>
    <s v="Y"/>
    <s v="Y"/>
    <x v="0"/>
    <m/>
    <n v="407050"/>
    <x v="60"/>
    <s v="Naylor"/>
    <s v="Hughes"/>
    <x v="702"/>
    <d v="2012-11-02T00:00:00"/>
    <n v="10.803559206023271"/>
    <n v="5"/>
    <n v="872"/>
    <n v="872"/>
    <d v="2023-04-01T00:00:00"/>
    <n v="1"/>
    <d v="2024-03-31T00:00:00"/>
    <n v="192"/>
    <n v="192"/>
    <n v="1"/>
    <s v="open"/>
    <s v="WESR_BAND 5"/>
    <s v="WESR_BAND 5"/>
    <s v="BAND5"/>
    <x v="0"/>
    <x v="1"/>
    <x v="1"/>
    <s v="NO"/>
    <s v="NO"/>
    <s v="YES"/>
    <s v="NO"/>
    <n v="16576"/>
    <n v="16576"/>
    <s v="ASD"/>
    <n v="1"/>
    <n v="1"/>
    <n v="16576"/>
    <n v="16576"/>
    <n v="16576"/>
    <n v="16576"/>
    <n v="16576"/>
    <m/>
    <m/>
    <e v="#N/A"/>
    <e v="#N/A"/>
    <e v="#N/A"/>
    <m/>
    <m/>
    <n v="0"/>
    <n v="16576"/>
    <s v=""/>
    <m/>
    <m/>
    <m/>
    <m/>
    <m/>
    <m/>
    <m/>
    <m/>
    <m/>
    <m/>
    <m/>
    <n v="16576"/>
    <m/>
    <m/>
    <m/>
    <m/>
    <m/>
    <m/>
    <m/>
    <n v="16576"/>
    <m/>
    <n v="0"/>
    <n v="0"/>
    <m/>
    <n v="16576"/>
    <n v="0"/>
    <m/>
  </r>
  <r>
    <x v="0"/>
    <n v="1"/>
    <n v="41146"/>
    <n v="41146"/>
    <n v="43015"/>
    <s v="No"/>
    <s v="Y"/>
    <s v="Y"/>
    <x v="0"/>
    <m/>
    <n v="430097"/>
    <x v="60"/>
    <s v="Omar"/>
    <s v="Abubakar Bhatti"/>
    <x v="703"/>
    <d v="2014-02-01T00:00:00"/>
    <n v="9.5550992470910341"/>
    <n v="4"/>
    <n v="872"/>
    <n v="872"/>
    <d v="2023-04-01T00:00:00"/>
    <n v="1"/>
    <d v="2024-03-31T00:00:00"/>
    <n v="192"/>
    <n v="192"/>
    <n v="1"/>
    <s v="open"/>
    <s v="WESR_BAND 6"/>
    <s v="WESR_BAND 6"/>
    <s v="BAND6"/>
    <x v="0"/>
    <x v="1"/>
    <x v="1"/>
    <s v="NO"/>
    <s v="NO"/>
    <s v="NO"/>
    <s v="YES"/>
    <n v="22008"/>
    <n v="22008"/>
    <s v="ASD"/>
    <n v="1"/>
    <n v="1"/>
    <n v="22008"/>
    <n v="22008"/>
    <n v="22008"/>
    <n v="22008"/>
    <n v="22008"/>
    <m/>
    <m/>
    <e v="#N/A"/>
    <e v="#N/A"/>
    <e v="#N/A"/>
    <m/>
    <m/>
    <n v="0"/>
    <n v="22008"/>
    <s v=""/>
    <m/>
    <m/>
    <m/>
    <m/>
    <m/>
    <m/>
    <m/>
    <m/>
    <m/>
    <m/>
    <m/>
    <n v="22008"/>
    <m/>
    <m/>
    <m/>
    <m/>
    <m/>
    <m/>
    <m/>
    <n v="22008"/>
    <m/>
    <n v="0"/>
    <n v="0"/>
    <m/>
    <n v="22008"/>
    <n v="0"/>
    <m/>
  </r>
  <r>
    <x v="0"/>
    <n v="1"/>
    <n v="41146"/>
    <n v="41146"/>
    <n v="43015"/>
    <s v="No"/>
    <s v="Y"/>
    <s v="Y"/>
    <x v="0"/>
    <m/>
    <n v="406314"/>
    <x v="60"/>
    <s v="Ryka"/>
    <s v="Chakraborty"/>
    <x v="704"/>
    <d v="2012-09-24T00:00:00"/>
    <n v="10.910335386721425"/>
    <n v="5"/>
    <n v="872"/>
    <n v="872"/>
    <d v="2023-04-01T00:00:00"/>
    <n v="1"/>
    <d v="2024-03-31T00:00:00"/>
    <n v="192"/>
    <n v="192"/>
    <n v="1"/>
    <s v="open"/>
    <s v="WESR_BAND5"/>
    <s v="WESR_BAND5"/>
    <s v="BAND6"/>
    <x v="0"/>
    <x v="1"/>
    <x v="1"/>
    <s v="NO"/>
    <s v="NO"/>
    <s v="NO"/>
    <s v="YES"/>
    <n v="16576"/>
    <n v="16576"/>
    <s v="ASD"/>
    <n v="1"/>
    <n v="1"/>
    <n v="16576"/>
    <n v="16576"/>
    <n v="16576"/>
    <n v="16576"/>
    <n v="16576"/>
    <m/>
    <m/>
    <e v="#N/A"/>
    <e v="#N/A"/>
    <e v="#N/A"/>
    <m/>
    <m/>
    <n v="0"/>
    <n v="16576"/>
    <s v=""/>
    <m/>
    <m/>
    <m/>
    <m/>
    <m/>
    <m/>
    <m/>
    <m/>
    <m/>
    <m/>
    <m/>
    <n v="16576"/>
    <m/>
    <m/>
    <m/>
    <m/>
    <m/>
    <m/>
    <m/>
    <n v="16576"/>
    <m/>
    <n v="0"/>
    <n v="0"/>
    <m/>
    <n v="16576"/>
    <n v="0"/>
    <m/>
  </r>
  <r>
    <x v="0"/>
    <n v="1"/>
    <n v="41146"/>
    <n v="41146"/>
    <n v="43015"/>
    <s v="No"/>
    <s v="Y"/>
    <s v="Y"/>
    <x v="0"/>
    <m/>
    <n v="429538"/>
    <x v="60"/>
    <s v="Yuanzhan"/>
    <s v="Bai"/>
    <x v="705"/>
    <d v="2013-10-10T00:00:00"/>
    <n v="9.8672142368240934"/>
    <n v="4"/>
    <n v="872"/>
    <n v="872"/>
    <d v="2023-04-01T00:00:00"/>
    <n v="1"/>
    <d v="2024-03-31T00:00:00"/>
    <n v="192"/>
    <n v="192"/>
    <n v="1"/>
    <s v="open"/>
    <s v="WESR_BAND 6"/>
    <s v="WESR_BAND 6"/>
    <s v="BAND6"/>
    <x v="0"/>
    <x v="1"/>
    <x v="1"/>
    <s v="NO"/>
    <s v="NO"/>
    <s v="NO"/>
    <s v="YES"/>
    <n v="22008"/>
    <n v="22008"/>
    <s v="ASD"/>
    <n v="1"/>
    <n v="1"/>
    <n v="22008"/>
    <n v="22008"/>
    <n v="22008"/>
    <n v="22008"/>
    <n v="22008"/>
    <m/>
    <m/>
    <e v="#N/A"/>
    <e v="#N/A"/>
    <e v="#N/A"/>
    <m/>
    <m/>
    <n v="0"/>
    <n v="22008"/>
    <s v=""/>
    <m/>
    <m/>
    <m/>
    <m/>
    <m/>
    <m/>
    <m/>
    <m/>
    <m/>
    <m/>
    <m/>
    <n v="22008"/>
    <m/>
    <m/>
    <m/>
    <m/>
    <m/>
    <m/>
    <m/>
    <n v="22008"/>
    <m/>
    <n v="0"/>
    <n v="0"/>
    <m/>
    <n v="22008"/>
    <n v="0"/>
    <m/>
  </r>
  <r>
    <x v="0"/>
    <n v="1"/>
    <n v="41146"/>
    <n v="41146"/>
    <n v="43012"/>
    <s v="No"/>
    <s v="Y"/>
    <m/>
    <x v="0"/>
    <m/>
    <n v="401928"/>
    <x v="60"/>
    <s v="Alfie"/>
    <s v="Elkes"/>
    <x v="706"/>
    <d v="2012-06-04T00:00:00"/>
    <n v="11.21697467488022"/>
    <n v="6"/>
    <n v="872"/>
    <n v="872"/>
    <d v="2023-04-01T00:00:00"/>
    <n v="1"/>
    <d v="2023-07-21T00:00:00"/>
    <n v="63"/>
    <n v="63"/>
    <n v="0.328125"/>
    <s v="Yr 6"/>
    <n v="25"/>
    <m/>
    <m/>
    <x v="1"/>
    <x v="1"/>
    <x v="0"/>
    <s v="NO"/>
    <s v="NO"/>
    <s v="NO"/>
    <s v="NO"/>
    <m/>
    <n v="5819.25"/>
    <s v="ASD"/>
    <n v="1"/>
    <n v="0.328125"/>
    <n v="1909.44140625"/>
    <n v="1909.44140625"/>
    <n v="1909.44140625"/>
    <n v="1909.44140625"/>
    <n v="1909.44140625"/>
    <m/>
    <m/>
    <e v="#N/A"/>
    <s v="Oak Tree"/>
    <e v="#N/A"/>
    <s v="Y"/>
    <n v="3879.5"/>
    <n v="0"/>
    <n v="1909.44140625"/>
    <s v="Name Oak Tree "/>
    <s v="WBC Spec"/>
    <m/>
    <m/>
    <s v="Oak Tree"/>
    <m/>
    <n v="25"/>
    <n v="5819.25"/>
    <m/>
    <s v="Y"/>
    <m/>
    <n v="3849.19140625"/>
    <n v="5758.6328125"/>
    <n v="3849.19140625"/>
    <s v="remove"/>
    <m/>
    <m/>
    <m/>
    <m/>
    <m/>
    <n v="5758.6328125"/>
    <m/>
    <n v="0"/>
    <n v="3849.19140625"/>
    <m/>
    <n v="5758.6328125"/>
    <n v="0"/>
    <m/>
  </r>
  <r>
    <x v="0"/>
    <n v="1"/>
    <n v="41146"/>
    <n v="41146"/>
    <n v="43012"/>
    <s v="No"/>
    <s v="Y"/>
    <m/>
    <x v="0"/>
    <m/>
    <n v="405847"/>
    <x v="60"/>
    <s v="Francesca"/>
    <s v="Matthews"/>
    <x v="707"/>
    <d v="2013-10-05T00:00:00"/>
    <n v="9.8809034907597528"/>
    <n v="3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m/>
    <n v="1"/>
    <n v="1"/>
    <n v="8183.0999999999985"/>
    <n v="8183.0999999999985"/>
    <n v="8183.0999999999985"/>
    <n v="0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8183.0999999999985"/>
    <m/>
    <n v="8183.0999999999985"/>
    <n v="0"/>
    <m/>
  </r>
  <r>
    <x v="1"/>
    <n v="1"/>
    <n v="41146"/>
    <n v="41146"/>
    <n v="43012"/>
    <s v="No"/>
    <s v="Y"/>
    <m/>
    <x v="0"/>
    <s v="AD"/>
    <n v="405847"/>
    <x v="60"/>
    <s v="Francesca"/>
    <s v="Matthews"/>
    <x v="707"/>
    <d v="2013-10-05T00:00:00"/>
    <n v="9.8809034907597528"/>
    <n v="3"/>
    <n v="872"/>
    <n v="872"/>
    <d v="2023-04-01T00:00:00"/>
    <n v="1"/>
    <d v="2024-03-31T00:00:00"/>
    <n v="192"/>
    <n v="192"/>
    <n v="1"/>
    <s v="open"/>
    <s v="TOP"/>
    <m/>
    <m/>
    <x v="0"/>
    <x v="1"/>
    <x v="1"/>
    <s v="NO"/>
    <s v="NO"/>
    <s v="NO"/>
    <s v="NO"/>
    <m/>
    <n v="11367.29"/>
    <m/>
    <n v="1"/>
    <n v="1"/>
    <n v="11367.29"/>
    <n v="11367.29"/>
    <n v="11367.29"/>
    <n v="0"/>
    <n v="11367.29"/>
    <m/>
    <m/>
    <e v="#N/A"/>
    <e v="#N/A"/>
    <e v="#N/A"/>
    <m/>
    <m/>
    <n v="0"/>
    <n v="11367.29"/>
    <s v=""/>
    <m/>
    <m/>
    <m/>
    <m/>
    <m/>
    <m/>
    <m/>
    <m/>
    <m/>
    <m/>
    <m/>
    <n v="11367.29"/>
    <m/>
    <m/>
    <m/>
    <m/>
    <m/>
    <m/>
    <m/>
    <n v="11367.29"/>
    <m/>
    <n v="0"/>
    <n v="11367.29"/>
    <m/>
    <n v="11367.29"/>
    <n v="0"/>
    <m/>
  </r>
  <r>
    <x v="0"/>
    <n v="1"/>
    <n v="41146"/>
    <n v="41146"/>
    <n v="43012"/>
    <s v="No"/>
    <s v="Y"/>
    <m/>
    <x v="0"/>
    <m/>
    <n v="410098"/>
    <x v="60"/>
    <s v="Grace"/>
    <s v="Barrett"/>
    <x v="708"/>
    <d v="2014-07-01T00:00:00"/>
    <n v="9.1444216290212186"/>
    <n v="4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m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0"/>
    <n v="1"/>
    <n v="41146"/>
    <n v="41146"/>
    <n v="43012"/>
    <s v="No"/>
    <s v="Y"/>
    <m/>
    <x v="0"/>
    <m/>
    <n v="410095"/>
    <x v="60"/>
    <s v="Lukas"/>
    <s v="Williams"/>
    <x v="709"/>
    <d v="2014-07-31T00:00:00"/>
    <n v="9.0622861054072548"/>
    <n v="4"/>
    <n v="872"/>
    <n v="872"/>
    <d v="2023-07-11T00:00:00"/>
    <n v="55"/>
    <d v="2024-03-31T00:00:00"/>
    <n v="192"/>
    <n v="138"/>
    <n v="0.71875"/>
    <s v="open"/>
    <n v="25"/>
    <m/>
    <m/>
    <x v="1"/>
    <x v="1"/>
    <x v="0"/>
    <s v="NO"/>
    <s v="NO"/>
    <s v="NO"/>
    <s v="NO"/>
    <m/>
    <n v="5819.25"/>
    <m/>
    <n v="1"/>
    <n v="0.71875"/>
    <n v="4182.5859375"/>
    <n v="4182.5859375"/>
    <n v="0"/>
    <n v="0"/>
    <n v="0"/>
    <m/>
    <m/>
    <e v="#N/A"/>
    <e v="#N/A"/>
    <e v="#N/A"/>
    <m/>
    <m/>
    <n v="0"/>
    <n v="0"/>
    <m/>
    <m/>
    <m/>
    <m/>
    <m/>
    <m/>
    <m/>
    <m/>
    <m/>
    <m/>
    <m/>
    <m/>
    <n v="0"/>
    <m/>
    <m/>
    <m/>
    <m/>
    <m/>
    <m/>
    <m/>
    <n v="4182.5859375"/>
    <s v="new provision"/>
    <n v="4182.5859375"/>
    <n v="4182.5859375"/>
    <m/>
    <n v="4182.5859375"/>
    <n v="0"/>
    <m/>
  </r>
  <r>
    <x v="0"/>
    <n v="1"/>
    <n v="41146"/>
    <n v="41146"/>
    <n v="43012"/>
    <s v="No"/>
    <s v="Y"/>
    <m/>
    <x v="0"/>
    <m/>
    <n v="404036"/>
    <x v="60"/>
    <s v="Macie"/>
    <s v="Streich"/>
    <x v="710"/>
    <d v="2013-08-12T00:00:00"/>
    <n v="10.028747433264886"/>
    <n v="5"/>
    <n v="872"/>
    <n v="872"/>
    <d v="2023-04-01T00:00:00"/>
    <n v="1"/>
    <d v="2024-03-31T00:00:00"/>
    <n v="192"/>
    <n v="192"/>
    <n v="1"/>
    <s v="open"/>
    <n v="29"/>
    <m/>
    <m/>
    <x v="0"/>
    <x v="0"/>
    <x v="0"/>
    <s v="NO"/>
    <s v="NO"/>
    <s v="NO"/>
    <s v="NO"/>
    <m/>
    <n v="7710.33"/>
    <s v="SEMH"/>
    <n v="1"/>
    <n v="1"/>
    <n v="7710.33"/>
    <n v="7710.33"/>
    <n v="7710.33"/>
    <n v="7710.33"/>
    <n v="7710.33"/>
    <m/>
    <m/>
    <e v="#N/A"/>
    <e v="#N/A"/>
    <e v="#N/A"/>
    <m/>
    <m/>
    <n v="0"/>
    <n v="7710.33"/>
    <s v=""/>
    <m/>
    <m/>
    <m/>
    <m/>
    <m/>
    <m/>
    <m/>
    <m/>
    <m/>
    <m/>
    <m/>
    <n v="7710.33"/>
    <m/>
    <m/>
    <m/>
    <m/>
    <m/>
    <m/>
    <m/>
    <n v="7710.33"/>
    <m/>
    <n v="0"/>
    <n v="0"/>
    <m/>
    <n v="7710.33"/>
    <n v="0"/>
    <m/>
  </r>
  <r>
    <x v="0"/>
    <n v="1"/>
    <n v="41146"/>
    <n v="41146"/>
    <n v="43012"/>
    <s v="No"/>
    <s v="Y"/>
    <m/>
    <x v="0"/>
    <m/>
    <n v="396841"/>
    <x v="60"/>
    <s v="Maisie"/>
    <s v="Bartlett"/>
    <x v="711"/>
    <d v="2012-07-08T00:00:00"/>
    <n v="11.123887748117728"/>
    <n v="6"/>
    <n v="872"/>
    <n v="872"/>
    <d v="2023-04-01T00:00:00"/>
    <n v="1"/>
    <d v="2023-07-21T00:00:00"/>
    <n v="63"/>
    <n v="63"/>
    <n v="0.328125"/>
    <s v="Yr 6"/>
    <n v="25"/>
    <m/>
    <m/>
    <x v="1"/>
    <x v="1"/>
    <x v="0"/>
    <s v="NO"/>
    <s v="NO"/>
    <s v="NO"/>
    <s v="NO"/>
    <m/>
    <n v="5819.25"/>
    <s v="SEN Supp"/>
    <n v="1"/>
    <n v="0.328125"/>
    <n v="1909.44140625"/>
    <n v="1909.44140625"/>
    <n v="1909.44140625"/>
    <n v="1909.44140625"/>
    <n v="1909.44140625"/>
    <m/>
    <m/>
    <e v="#N/A"/>
    <s v="St Crispins"/>
    <e v="#N/A"/>
    <m/>
    <m/>
    <n v="0"/>
    <n v="1909.44140625"/>
    <s v="Name St Crispins -Funding approved"/>
    <s v="WBC Academy"/>
    <n v="43012"/>
    <m/>
    <s v="Name St Crispins -Funding approved"/>
    <m/>
    <n v="25"/>
    <n v="5819.25"/>
    <m/>
    <s v="Y"/>
    <m/>
    <n v="3849.19140625"/>
    <n v="5758.6328125"/>
    <m/>
    <m/>
    <m/>
    <m/>
    <m/>
    <m/>
    <m/>
    <n v="5758.6328125"/>
    <m/>
    <n v="0"/>
    <n v="3849.19140625"/>
    <m/>
    <n v="5758.6328125"/>
    <n v="0"/>
    <m/>
  </r>
  <r>
    <x v="0"/>
    <n v="1"/>
    <n v="41146"/>
    <n v="41146"/>
    <n v="43012"/>
    <s v="No"/>
    <s v="Y"/>
    <m/>
    <x v="0"/>
    <m/>
    <n v="399644"/>
    <x v="60"/>
    <s v="Max"/>
    <s v="Connors"/>
    <x v="712"/>
    <d v="2011-09-30T00:00:00"/>
    <n v="11.89596167008898"/>
    <n v="6"/>
    <n v="872"/>
    <n v="872"/>
    <d v="2023-04-01T00:00:00"/>
    <n v="1"/>
    <d v="2023-07-21T00:00:00"/>
    <n v="63"/>
    <n v="63"/>
    <n v="0.328125"/>
    <s v="Yr 6"/>
    <n v="25"/>
    <m/>
    <m/>
    <x v="1"/>
    <x v="1"/>
    <x v="0"/>
    <s v="NO"/>
    <s v="NO"/>
    <s v="NO"/>
    <s v="NO"/>
    <m/>
    <n v="5819.25"/>
    <s v="ASD"/>
    <n v="1"/>
    <n v="0.328125"/>
    <n v="1909.44140625"/>
    <n v="1909.44140625"/>
    <n v="1909.44140625"/>
    <n v="1909.44140625"/>
    <n v="1909.44140625"/>
    <m/>
    <m/>
    <e v="#N/A"/>
    <s v="Forest schl"/>
    <e v="#N/A"/>
    <m/>
    <m/>
    <n v="0"/>
    <n v="1909.44140625"/>
    <s v="The Forest School"/>
    <s v="WBC Academy"/>
    <n v="43012"/>
    <m/>
    <s v="The Forest School"/>
    <m/>
    <n v="25"/>
    <n v="5819.25"/>
    <m/>
    <s v="Y"/>
    <m/>
    <n v="3849.19140625"/>
    <n v="5758.6328125"/>
    <m/>
    <m/>
    <m/>
    <m/>
    <m/>
    <m/>
    <m/>
    <n v="5758.6328125"/>
    <m/>
    <n v="0"/>
    <n v="3849.19140625"/>
    <m/>
    <n v="5758.6328125"/>
    <n v="0"/>
    <m/>
  </r>
  <r>
    <x v="0"/>
    <n v="1"/>
    <n v="41146"/>
    <n v="41146"/>
    <n v="43012"/>
    <s v="No"/>
    <s v="Y"/>
    <m/>
    <x v="0"/>
    <m/>
    <n v="437797"/>
    <x v="60"/>
    <s v="Timothy"/>
    <s v="Mansell"/>
    <x v="713"/>
    <d v="2013-04-19T00:00:00"/>
    <n v="10.343600273785079"/>
    <n v="5"/>
    <n v="872"/>
    <n v="872"/>
    <d v="2023-04-01T00:00:00"/>
    <n v="1"/>
    <d v="2024-03-31T00:00:00"/>
    <n v="192"/>
    <n v="192"/>
    <n v="1"/>
    <s v="open"/>
    <n v="28"/>
    <m/>
    <m/>
    <x v="0"/>
    <x v="0"/>
    <x v="0"/>
    <s v="NO"/>
    <s v="NO"/>
    <s v="NO"/>
    <s v="NO"/>
    <m/>
    <n v="7237.5599999999995"/>
    <s v="SEMH"/>
    <n v="1"/>
    <n v="1"/>
    <n v="7237.5599999999995"/>
    <n v="7237.5599999999995"/>
    <n v="7237.5599999999995"/>
    <n v="7237.5599999999995"/>
    <n v="7237.5599999999995"/>
    <m/>
    <m/>
    <e v="#N/A"/>
    <e v="#N/A"/>
    <e v="#N/A"/>
    <m/>
    <m/>
    <n v="0"/>
    <n v="7237.5599999999995"/>
    <s v=""/>
    <m/>
    <m/>
    <m/>
    <m/>
    <m/>
    <m/>
    <m/>
    <m/>
    <m/>
    <m/>
    <m/>
    <n v="7237.5599999999995"/>
    <m/>
    <m/>
    <m/>
    <m/>
    <m/>
    <m/>
    <m/>
    <n v="7237.5599999999995"/>
    <m/>
    <n v="0"/>
    <n v="0"/>
    <m/>
    <n v="7237.5599999999995"/>
    <n v="0"/>
    <m/>
  </r>
  <r>
    <x v="0"/>
    <n v="1"/>
    <n v="41146"/>
    <n v="41146"/>
    <n v="43012"/>
    <s v="No"/>
    <s v="Y"/>
    <m/>
    <x v="0"/>
    <m/>
    <n v="403603"/>
    <x v="60"/>
    <s v="Toby"/>
    <s v="Sutton"/>
    <x v="714"/>
    <d v="2012-05-20T00:00:00"/>
    <n v="11.2580424366872"/>
    <n v="6"/>
    <n v="872"/>
    <n v="872"/>
    <d v="2023-04-01T00:00:00"/>
    <n v="1"/>
    <d v="2023-07-21T00:00:00"/>
    <n v="63"/>
    <n v="63"/>
    <n v="0.328125"/>
    <s v="Yr 6"/>
    <n v="28"/>
    <m/>
    <m/>
    <x v="0"/>
    <x v="0"/>
    <x v="0"/>
    <s v="NO"/>
    <s v="NO"/>
    <s v="NO"/>
    <s v="NO"/>
    <m/>
    <n v="7237.5599999999995"/>
    <s v="ASD"/>
    <n v="1"/>
    <n v="0.328125"/>
    <n v="2374.8243749999997"/>
    <n v="2374.8243749999997"/>
    <n v="2374.8243749999997"/>
    <n v="2374.8243749999997"/>
    <n v="2374.8243749999997"/>
    <m/>
    <m/>
    <e v="#N/A"/>
    <s v="Edgebarrow"/>
    <e v="#N/A"/>
    <m/>
    <m/>
    <n v="0"/>
    <n v="2374.8243749999997"/>
    <s v="Edgbarrow School"/>
    <s v="OOBsMnstr"/>
    <n v="43013"/>
    <m/>
    <s v="Edgbarrow School"/>
    <m/>
    <n v="28"/>
    <n v="7237.5599999999995"/>
    <m/>
    <s v="Y"/>
    <m/>
    <n v="4787.3443749999997"/>
    <n v="7162.1687499999989"/>
    <m/>
    <m/>
    <m/>
    <m/>
    <m/>
    <m/>
    <m/>
    <n v="7162.1687499999989"/>
    <m/>
    <n v="0"/>
    <n v="4787.3443749999988"/>
    <m/>
    <n v="7162.1687499999989"/>
    <n v="0"/>
    <m/>
  </r>
  <r>
    <x v="0"/>
    <n v="1"/>
    <n v="2001"/>
    <n v="2001"/>
    <n v="43012"/>
    <s v="No"/>
    <s v="Y"/>
    <m/>
    <x v="0"/>
    <m/>
    <n v="438461"/>
    <x v="61"/>
    <s v="Advik"/>
    <s v="Udayan"/>
    <x v="715"/>
    <d v="2017-09-09T00:00:00"/>
    <n v="5.9520876112251884"/>
    <n v="0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ModLD"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0"/>
    <n v="1"/>
    <n v="2001"/>
    <n v="2001"/>
    <n v="43012"/>
    <s v="No"/>
    <s v="Y"/>
    <m/>
    <x v="0"/>
    <m/>
    <n v="403887"/>
    <x v="61"/>
    <s v="Annabelle"/>
    <s v="Lucas"/>
    <x v="597"/>
    <d v="2012-07-17T00:00:00"/>
    <n v="11.099247091033538"/>
    <n v="6"/>
    <n v="872"/>
    <n v="872"/>
    <d v="2023-05-03T00:00:00"/>
    <n v="12"/>
    <d v="2023-07-21T00:00:00"/>
    <n v="63"/>
    <n v="52"/>
    <n v="0.27083333333333331"/>
    <s v="Yr 6"/>
    <n v="23"/>
    <m/>
    <m/>
    <x v="1"/>
    <x v="1"/>
    <x v="0"/>
    <s v="NO"/>
    <s v="NO"/>
    <s v="NO"/>
    <s v="NO"/>
    <m/>
    <n v="4873.7099999999991"/>
    <s v="MLD"/>
    <n v="1"/>
    <n v="0.27083333333333331"/>
    <n v="1319.9631249999998"/>
    <n v="1319.9631249999998"/>
    <n v="1319.9631249999998"/>
    <n v="0"/>
    <n v="1319.9631249999998"/>
    <m/>
    <m/>
    <e v="#N/A"/>
    <e v="#N/A"/>
    <e v="#N/A"/>
    <m/>
    <m/>
    <n v="0"/>
    <n v="1319.9631249999998"/>
    <s v="St Crispins"/>
    <s v="WBC Academy"/>
    <n v="43012"/>
    <m/>
    <m/>
    <m/>
    <n v="23"/>
    <n v="4873.7099999999991"/>
    <m/>
    <s v="Y"/>
    <m/>
    <n v="3223.7560937499993"/>
    <n v="4543.7192187499986"/>
    <m/>
    <m/>
    <m/>
    <m/>
    <m/>
    <m/>
    <m/>
    <n v="4543.7192187499986"/>
    <m/>
    <n v="0"/>
    <n v="4543.7192187499986"/>
    <m/>
    <n v="4543.7192187499986"/>
    <n v="0"/>
    <m/>
  </r>
  <r>
    <x v="1"/>
    <n v="1"/>
    <n v="2001"/>
    <n v="2001"/>
    <n v="43012"/>
    <s v="No"/>
    <s v="Y"/>
    <m/>
    <x v="0"/>
    <m/>
    <n v="444620"/>
    <x v="61"/>
    <s v="Avyaan"/>
    <s v="Kapoor"/>
    <x v="716"/>
    <d v="2018-12-12T00:00:00"/>
    <n v="4.6954140999315541"/>
    <n v="0"/>
    <n v="872"/>
    <n v="872"/>
    <d v="2023-09-04T00:00:00"/>
    <n v="65"/>
    <d v="2024-03-31T00:00:00"/>
    <n v="192"/>
    <n v="128"/>
    <n v="0.66666666666666663"/>
    <m/>
    <n v="28"/>
    <m/>
    <m/>
    <x v="0"/>
    <x v="0"/>
    <x v="0"/>
    <s v="NO"/>
    <s v="NO"/>
    <s v="NO"/>
    <s v="NO"/>
    <m/>
    <n v="7237.5599999999995"/>
    <m/>
    <n v="1"/>
    <n v="0.66666666666666663"/>
    <n v="4825.0399999999991"/>
    <n v="4825.0399999999991"/>
    <n v="4825.0399999999991"/>
    <n v="0"/>
    <n v="0"/>
    <m/>
    <m/>
    <m/>
    <m/>
    <m/>
    <m/>
    <m/>
    <n v="4825.0399999999991"/>
    <n v="4825.0399999999991"/>
    <s v=""/>
    <m/>
    <m/>
    <m/>
    <m/>
    <m/>
    <s v="summer leaver"/>
    <m/>
    <m/>
    <m/>
    <m/>
    <m/>
    <n v="4825.0399999999991"/>
    <m/>
    <m/>
    <m/>
    <m/>
    <m/>
    <m/>
    <m/>
    <n v="4825.0399999999991"/>
    <m/>
    <n v="0"/>
    <n v="4825.0399999999991"/>
    <m/>
    <n v="4825.0399999999991"/>
    <n v="0"/>
    <m/>
  </r>
  <r>
    <x v="0"/>
    <n v="1"/>
    <n v="2001"/>
    <n v="2001"/>
    <n v="43012"/>
    <s v="No"/>
    <s v="Y"/>
    <m/>
    <x v="0"/>
    <m/>
    <n v="400025"/>
    <x v="61"/>
    <s v="Bethany"/>
    <s v="Stockle"/>
    <x v="717"/>
    <d v="2011-10-04T00:00:00"/>
    <n v="11.885010266940451"/>
    <n v="6"/>
    <n v="872"/>
    <n v="872"/>
    <d v="2023-06-08T00:00:00"/>
    <n v="32"/>
    <d v="2023-07-21T00:00:00"/>
    <n v="63"/>
    <n v="32"/>
    <n v="0.16666666666666666"/>
    <s v="open"/>
    <n v="23"/>
    <m/>
    <m/>
    <x v="1"/>
    <x v="1"/>
    <x v="0"/>
    <s v="NO"/>
    <s v="NO"/>
    <s v="NO"/>
    <s v="NO"/>
    <m/>
    <n v="4873.7099999999991"/>
    <s v="SEMH"/>
    <n v="1"/>
    <n v="0.16666666666666666"/>
    <n v="812.28499999999985"/>
    <n v="812.28499999999985"/>
    <n v="812.28499999999985"/>
    <n v="0"/>
    <n v="0"/>
    <m/>
    <m/>
    <m/>
    <m/>
    <m/>
    <m/>
    <m/>
    <n v="812.28499999999985"/>
    <n v="812.28499999999985"/>
    <s v="???"/>
    <m/>
    <m/>
    <m/>
    <m/>
    <m/>
    <n v="23"/>
    <n v="4873.7099999999991"/>
    <m/>
    <m/>
    <m/>
    <n v="3223.7560937499993"/>
    <n v="4036.0410937499992"/>
    <m/>
    <m/>
    <s v="?"/>
    <s v="?"/>
    <m/>
    <m/>
    <m/>
    <n v="4036.0410937499992"/>
    <m/>
    <n v="0"/>
    <n v="4036.0410937499992"/>
    <m/>
    <n v="4036.0410937499992"/>
    <n v="0"/>
    <m/>
  </r>
  <r>
    <x v="0"/>
    <n v="1"/>
    <n v="2001"/>
    <n v="2001"/>
    <n v="43012"/>
    <s v="No"/>
    <s v="Y"/>
    <m/>
    <x v="0"/>
    <m/>
    <n v="412451"/>
    <x v="61"/>
    <s v="Daisy"/>
    <s v="Rumbold"/>
    <x v="718"/>
    <d v="2014-11-17T00:00:00"/>
    <n v="8.7638603696098567"/>
    <n v="3"/>
    <n v="872"/>
    <n v="872"/>
    <d v="2023-06-12T00:00:00"/>
    <n v="34"/>
    <d v="2024-03-31T00:00:00"/>
    <n v="192"/>
    <n v="159"/>
    <n v="0.828125"/>
    <s v="open"/>
    <n v="22"/>
    <m/>
    <m/>
    <x v="1"/>
    <x v="1"/>
    <x v="0"/>
    <s v="NO"/>
    <s v="NO"/>
    <s v="NO"/>
    <s v="NO"/>
    <m/>
    <n v="4400.9399999999987"/>
    <s v="SEMH"/>
    <n v="1"/>
    <n v="0.828125"/>
    <n v="3644.5284374999987"/>
    <n v="3644.5284374999987"/>
    <n v="3644.5284374999987"/>
    <n v="0"/>
    <n v="0"/>
    <m/>
    <m/>
    <m/>
    <m/>
    <m/>
    <m/>
    <m/>
    <n v="3644.5284374999987"/>
    <n v="3644.5284374999987"/>
    <s v=""/>
    <m/>
    <m/>
    <m/>
    <m/>
    <m/>
    <m/>
    <m/>
    <m/>
    <m/>
    <m/>
    <m/>
    <n v="3644.5284374999987"/>
    <m/>
    <m/>
    <m/>
    <m/>
    <m/>
    <m/>
    <m/>
    <n v="3644.5284374999987"/>
    <m/>
    <n v="0"/>
    <n v="3644.5284374999987"/>
    <m/>
    <n v="3644.5284374999987"/>
    <n v="0"/>
    <m/>
  </r>
  <r>
    <x v="0"/>
    <n v="1"/>
    <n v="2001"/>
    <n v="2001"/>
    <n v="43012"/>
    <s v="No"/>
    <s v="Y"/>
    <m/>
    <x v="0"/>
    <m/>
    <n v="431650"/>
    <x v="61"/>
    <s v="Joseph"/>
    <s v="Wyeth"/>
    <x v="719"/>
    <d v="2016-10-14T00:00:00"/>
    <n v="6.8555783709787814"/>
    <n v="1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SLCD"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0"/>
    <n v="1"/>
    <n v="41147"/>
    <n v="41147"/>
    <n v="43012"/>
    <s v="No"/>
    <s v="Y"/>
    <m/>
    <x v="0"/>
    <m/>
    <n v="422460"/>
    <x v="62"/>
    <s v="Jack"/>
    <s v="Travis"/>
    <x v="720"/>
    <d v="2016-02-10T00:00:00"/>
    <n v="7.5318275154004111"/>
    <n v="2"/>
    <n v="872"/>
    <n v="872"/>
    <d v="2023-05-12T00:00:00"/>
    <n v="19"/>
    <d v="2024-03-31T00:00:00"/>
    <n v="192"/>
    <n v="174"/>
    <n v="0.90625"/>
    <s v="open"/>
    <n v="25"/>
    <m/>
    <m/>
    <x v="1"/>
    <x v="1"/>
    <x v="0"/>
    <s v="NO"/>
    <s v="NO"/>
    <s v="NO"/>
    <s v="NO"/>
    <m/>
    <n v="5819.25"/>
    <s v="HI"/>
    <n v="1"/>
    <n v="0.90625"/>
    <n v="5273.6953125"/>
    <n v="5273.6953125"/>
    <n v="5273.6953125"/>
    <n v="0"/>
    <n v="5273.6953125"/>
    <m/>
    <m/>
    <e v="#N/A"/>
    <e v="#N/A"/>
    <e v="#N/A"/>
    <m/>
    <m/>
    <n v="0"/>
    <n v="5273.6953125"/>
    <s v=""/>
    <m/>
    <m/>
    <m/>
    <m/>
    <m/>
    <m/>
    <m/>
    <m/>
    <m/>
    <m/>
    <m/>
    <n v="5273.6953125"/>
    <m/>
    <m/>
    <m/>
    <m/>
    <m/>
    <m/>
    <m/>
    <n v="5273.6953125"/>
    <m/>
    <n v="0"/>
    <n v="5273.6953125"/>
    <m/>
    <n v="5273.6953125"/>
    <n v="0"/>
    <m/>
  </r>
  <r>
    <x v="0"/>
    <n v="1"/>
    <n v="41147"/>
    <n v="41147"/>
    <n v="43012"/>
    <s v="No"/>
    <s v="Y"/>
    <m/>
    <x v="0"/>
    <m/>
    <n v="407890"/>
    <x v="62"/>
    <s v="Ruby"/>
    <s v="Memory"/>
    <x v="721"/>
    <d v="2013-01-01T00:00:00"/>
    <n v="10.639288158795345"/>
    <n v="5"/>
    <n v="872"/>
    <n v="872"/>
    <d v="2023-04-01T00:00:00"/>
    <n v="1"/>
    <d v="2023-07-21T00:00:00"/>
    <n v="63"/>
    <n v="63"/>
    <n v="0.328125"/>
    <s v="open"/>
    <n v="22"/>
    <m/>
    <m/>
    <x v="1"/>
    <x v="1"/>
    <x v="0"/>
    <s v="NO"/>
    <s v="NO"/>
    <s v="NO"/>
    <s v="NO"/>
    <m/>
    <n v="4400.9399999999987"/>
    <s v="OD"/>
    <n v="1"/>
    <n v="0.328125"/>
    <n v="1444.0584374999996"/>
    <n v="1444.0584374999996"/>
    <n v="4400.9399999999987"/>
    <n v="4400.9399999999987"/>
    <n v="4400.9399999999987"/>
    <m/>
    <m/>
    <e v="#N/A"/>
    <e v="#N/A"/>
    <e v="#N/A"/>
    <m/>
    <m/>
    <n v="0"/>
    <n v="4400.9399999999987"/>
    <s v=""/>
    <m/>
    <m/>
    <m/>
    <m/>
    <m/>
    <m/>
    <m/>
    <m/>
    <m/>
    <m/>
    <m/>
    <n v="4400.9399999999987"/>
    <m/>
    <m/>
    <s v="INMSS"/>
    <s v="HighClose"/>
    <m/>
    <s v="CCF19/07/23_£55K"/>
    <m/>
    <n v="1444.0584374999996"/>
    <m/>
    <n v="-2956.8815624999988"/>
    <n v="-2956.8815624999988"/>
    <s v="mover to INMSS"/>
    <n v="-1512.8231249999992"/>
    <n v="-2956.8815624999988"/>
    <m/>
  </r>
  <r>
    <x v="0"/>
    <n v="1"/>
    <n v="41149"/>
    <n v="41149"/>
    <n v="43011"/>
    <s v="Yes"/>
    <m/>
    <m/>
    <x v="0"/>
    <m/>
    <n v="428817"/>
    <x v="63"/>
    <s v="Aubree"/>
    <s v="Hughman"/>
    <x v="722"/>
    <d v="2016-06-15T00:00:00"/>
    <n v="7.1868583162217661"/>
    <n v="2"/>
    <n v="872"/>
    <n v="872"/>
    <d v="2023-04-01T00:00:00"/>
    <n v="1"/>
    <d v="2023-07-21T00:00:00"/>
    <n v="63"/>
    <n v="63"/>
    <n v="0.328125"/>
    <s v="Yr 2 Infant"/>
    <n v="25"/>
    <m/>
    <m/>
    <x v="1"/>
    <x v="1"/>
    <x v="0"/>
    <s v="NO"/>
    <s v="NO"/>
    <s v="NO"/>
    <s v="NO"/>
    <m/>
    <n v="5819.25"/>
    <s v="SLCD"/>
    <n v="1"/>
    <n v="0.328125"/>
    <n v="1909.44140625"/>
    <n v="1909.44140625"/>
    <n v="1909.44140625"/>
    <n v="1909.44140625"/>
    <n v="1909.44140625"/>
    <m/>
    <m/>
    <s v="Willow Bank Junior School"/>
    <e v="#N/A"/>
    <e v="#N/A"/>
    <m/>
    <m/>
    <n v="0"/>
    <n v="1909.44140625"/>
    <s v="Willow Bank Junior School"/>
    <s v="WBC Mnstr"/>
    <n v="43011"/>
    <s v="Willow Bank Junior School"/>
    <m/>
    <m/>
    <n v="25"/>
    <n v="5819.25"/>
    <s v="Y"/>
    <m/>
    <m/>
    <n v="3849.19140625"/>
    <n v="5758.6328125"/>
    <m/>
    <m/>
    <m/>
    <m/>
    <m/>
    <m/>
    <m/>
    <n v="5758.6328125"/>
    <m/>
    <n v="0"/>
    <n v="3849.19140625"/>
    <m/>
    <n v="5758.6328125"/>
    <n v="0"/>
    <m/>
  </r>
  <r>
    <x v="0"/>
    <n v="1"/>
    <n v="41149"/>
    <n v="41149"/>
    <n v="43011"/>
    <s v="Yes"/>
    <m/>
    <m/>
    <x v="0"/>
    <m/>
    <n v="446243"/>
    <x v="63"/>
    <s v="Catherine"/>
    <s v="Hillyard"/>
    <x v="723"/>
    <s v="08/01/25019"/>
    <e v="#VALUE!"/>
    <n v="-1"/>
    <n v="872"/>
    <n v="872"/>
    <d v="2023-09-04T00:00:00"/>
    <n v="65"/>
    <m/>
    <n v="192"/>
    <n v="128"/>
    <n v="0.66666666666666663"/>
    <s v="open"/>
    <n v="28"/>
    <m/>
    <m/>
    <x v="0"/>
    <x v="0"/>
    <x v="0"/>
    <s v="NO"/>
    <s v="NO"/>
    <s v="NO"/>
    <s v="NO"/>
    <m/>
    <n v="6785.81"/>
    <s v="Speech, Lang"/>
    <n v="1"/>
    <n v="0.66666666666666663"/>
    <n v="4523.8733333333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523.873333333333"/>
    <n v="4523.873333333333"/>
    <n v="4523.873333333333"/>
    <s v="starting 4/9/23"/>
  </r>
  <r>
    <x v="0"/>
    <n v="1"/>
    <n v="41149"/>
    <n v="41149"/>
    <n v="43011"/>
    <s v="Yes"/>
    <m/>
    <m/>
    <x v="0"/>
    <m/>
    <n v="424688"/>
    <x v="63"/>
    <s v="Evelyn"/>
    <s v="Ward"/>
    <x v="724"/>
    <d v="2015-12-04T00:00:00"/>
    <n v="7.7180013689253935"/>
    <n v="2"/>
    <n v="872"/>
    <n v="872"/>
    <d v="2023-04-01T00:00:00"/>
    <n v="1"/>
    <d v="2023-07-21T00:00:00"/>
    <n v="63"/>
    <n v="63"/>
    <n v="0.328125"/>
    <s v="Yr 2 Infant"/>
    <n v="30"/>
    <m/>
    <m/>
    <x v="0"/>
    <x v="0"/>
    <x v="0"/>
    <s v="NO"/>
    <s v="NO"/>
    <s v="NO"/>
    <s v="NO"/>
    <m/>
    <n v="8183.0999999999985"/>
    <s v="SEMH"/>
    <n v="1"/>
    <n v="0.328125"/>
    <n v="2685.0796874999996"/>
    <n v="2685.0796874999996"/>
    <n v="2685.0796874999996"/>
    <n v="2685.0796874999996"/>
    <n v="2685.0796874999996"/>
    <m/>
    <m/>
    <s v="Willow Bank Junior School"/>
    <e v="#N/A"/>
    <e v="#N/A"/>
    <m/>
    <m/>
    <n v="0"/>
    <n v="2685.0796874999996"/>
    <s v="Willow Bank Junior School"/>
    <s v="WBC Mnstr"/>
    <n v="43011"/>
    <s v="Willow Bank Junior School"/>
    <m/>
    <m/>
    <n v="30"/>
    <n v="8183.0999999999985"/>
    <s v="Y"/>
    <m/>
    <m/>
    <n v="5412.7796874999985"/>
    <n v="8097.8593749999982"/>
    <m/>
    <m/>
    <m/>
    <m/>
    <m/>
    <m/>
    <m/>
    <n v="8097.8593749999982"/>
    <m/>
    <n v="0"/>
    <n v="5412.7796874999985"/>
    <m/>
    <n v="8097.8593749999982"/>
    <n v="0"/>
    <m/>
  </r>
  <r>
    <x v="0"/>
    <n v="1"/>
    <n v="41149"/>
    <n v="41149"/>
    <n v="43011"/>
    <s v="Yes"/>
    <m/>
    <m/>
    <x v="0"/>
    <m/>
    <n v="429235"/>
    <x v="63"/>
    <s v="Jack"/>
    <s v="Coles"/>
    <x v="725"/>
    <d v="2016-07-17T00:00:00"/>
    <n v="7.099247091033539"/>
    <n v="2"/>
    <n v="872"/>
    <n v="872"/>
    <d v="2023-05-04T00:00:00"/>
    <n v="13"/>
    <d v="2023-07-21T00:00:00"/>
    <n v="63"/>
    <n v="51"/>
    <n v="0.265625"/>
    <s v="Yr 2 Infant"/>
    <n v="28"/>
    <m/>
    <m/>
    <x v="0"/>
    <x v="0"/>
    <x v="0"/>
    <s v="NO"/>
    <s v="NO"/>
    <s v="NO"/>
    <s v="NO"/>
    <m/>
    <n v="7237.5599999999995"/>
    <s v="SEMH"/>
    <n v="1"/>
    <n v="0.265625"/>
    <n v="1922.4768749999998"/>
    <n v="1922.4768749999998"/>
    <n v="1922.4768749999998"/>
    <n v="0"/>
    <n v="1922.4768749999998"/>
    <m/>
    <m/>
    <s v="Willow Bank Junior School"/>
    <e v="#N/A"/>
    <e v="#N/A"/>
    <m/>
    <m/>
    <n v="0"/>
    <n v="1922.4768749999998"/>
    <s v="Willow Bank Junior School"/>
    <s v="WBC Mnstr"/>
    <n v="43011"/>
    <s v="Willow Bank Junior School"/>
    <m/>
    <m/>
    <n v="28"/>
    <n v="7237.5599999999995"/>
    <s v="Y"/>
    <m/>
    <m/>
    <n v="4787.3443749999997"/>
    <n v="6709.8212499999991"/>
    <m/>
    <m/>
    <m/>
    <m/>
    <m/>
    <m/>
    <m/>
    <n v="6709.8212499999991"/>
    <m/>
    <n v="0"/>
    <n v="6709.8212499999991"/>
    <m/>
    <n v="6709.8212499999991"/>
    <n v="0"/>
    <m/>
  </r>
  <r>
    <x v="0"/>
    <n v="1"/>
    <n v="41149"/>
    <n v="41149"/>
    <n v="43011"/>
    <s v="Yes"/>
    <m/>
    <m/>
    <x v="0"/>
    <m/>
    <n v="425001"/>
    <x v="63"/>
    <s v="Logan"/>
    <s v="Hallett"/>
    <x v="726"/>
    <d v="2016-01-10T00:00:00"/>
    <n v="7.6167008898015061"/>
    <n v="2"/>
    <n v="872"/>
    <n v="872"/>
    <d v="2023-04-01T00:00:00"/>
    <n v="1"/>
    <d v="2023-07-21T00:00:00"/>
    <n v="63"/>
    <n v="63"/>
    <n v="0.328125"/>
    <s v="Yr 2 Infant"/>
    <n v="30"/>
    <m/>
    <m/>
    <x v="0"/>
    <x v="0"/>
    <x v="0"/>
    <s v="NO"/>
    <s v="NO"/>
    <s v="NO"/>
    <s v="NO"/>
    <m/>
    <n v="8183.0999999999985"/>
    <s v="SEMH"/>
    <n v="1"/>
    <n v="0.328125"/>
    <n v="2685.0796874999996"/>
    <n v="2685.0796874999996"/>
    <n v="2685.0796874999996"/>
    <n v="2685.0796874999996"/>
    <n v="2685.0796874999996"/>
    <m/>
    <m/>
    <s v="Willow Bank Junior School"/>
    <e v="#N/A"/>
    <e v="#N/A"/>
    <m/>
    <m/>
    <n v="0"/>
    <n v="2685.0796874999996"/>
    <s v="Willow Bank Junior school"/>
    <s v="WBC Mnstr"/>
    <n v="43011"/>
    <s v="Willow Bank Junior School"/>
    <m/>
    <m/>
    <n v="30"/>
    <n v="8183.0999999999985"/>
    <s v="Y"/>
    <m/>
    <m/>
    <n v="5412.7796874999985"/>
    <n v="8097.8593749999982"/>
    <m/>
    <m/>
    <m/>
    <m/>
    <m/>
    <m/>
    <m/>
    <n v="8097.8593749999982"/>
    <m/>
    <n v="0"/>
    <n v="5412.7796874999985"/>
    <m/>
    <n v="8097.8593749999982"/>
    <n v="0"/>
    <m/>
  </r>
  <r>
    <x v="1"/>
    <n v="1"/>
    <n v="41149"/>
    <n v="41149"/>
    <n v="43011"/>
    <s v="Yes"/>
    <m/>
    <m/>
    <x v="0"/>
    <m/>
    <n v="428660"/>
    <x v="63"/>
    <s v="Maya"/>
    <s v="Khokhar"/>
    <x v="727"/>
    <d v="2016-04-09T00:00:00"/>
    <n v="7.3702943189596164"/>
    <n v="2"/>
    <n v="872"/>
    <n v="872"/>
    <d v="2023-04-01T00:00:00"/>
    <n v="1"/>
    <d v="2023-04-01T00:00:00"/>
    <n v="0"/>
    <n v="0"/>
    <n v="0"/>
    <s v="Yr 2 Infant"/>
    <n v="0"/>
    <m/>
    <m/>
    <x v="0"/>
    <x v="1"/>
    <x v="0"/>
    <s v="NO"/>
    <s v="NO"/>
    <s v="NO"/>
    <s v="NO"/>
    <m/>
    <n v="0"/>
    <s v="SLD"/>
    <n v="1"/>
    <n v="0"/>
    <n v="0"/>
    <n v="0"/>
    <n v="0"/>
    <n v="-1968.75"/>
    <n v="0"/>
    <m/>
    <m/>
    <s v="Willow Bank Junior School"/>
    <e v="#N/A"/>
    <e v="#N/A"/>
    <m/>
    <m/>
    <n v="0"/>
    <n v="0"/>
    <s v="Willow Bank Junior School"/>
    <s v="WBC Mnstr"/>
    <n v="43011"/>
    <s v="Willow Bank Junior School"/>
    <m/>
    <m/>
    <m/>
    <m/>
    <m/>
    <m/>
    <m/>
    <m/>
    <n v="0"/>
    <m/>
    <m/>
    <m/>
    <m/>
    <m/>
    <m/>
    <m/>
    <n v="0"/>
    <m/>
    <n v="0"/>
    <n v="1968.75"/>
    <m/>
    <n v="0"/>
    <n v="0"/>
    <m/>
  </r>
  <r>
    <x v="0"/>
    <n v="1"/>
    <n v="41149"/>
    <n v="41149"/>
    <n v="43011"/>
    <s v="Yes"/>
    <m/>
    <m/>
    <x v="0"/>
    <m/>
    <n v="428660"/>
    <x v="63"/>
    <s v="Maya"/>
    <s v="Khokhar"/>
    <x v="727"/>
    <d v="2016-04-09T00:00:00"/>
    <n v="7.3702943189596164"/>
    <n v="2"/>
    <n v="872"/>
    <n v="872"/>
    <d v="2023-04-01T00:00:00"/>
    <n v="1"/>
    <d v="2024-03-31T00:00:00"/>
    <n v="192"/>
    <n v="192"/>
    <n v="1"/>
    <s v="Yr 2 Infant"/>
    <n v="3257.88"/>
    <m/>
    <m/>
    <x v="0"/>
    <x v="1"/>
    <x v="1"/>
    <s v="NO"/>
    <s v="NO"/>
    <s v="NO"/>
    <s v="NO"/>
    <m/>
    <n v="3257.88"/>
    <s v="SLD"/>
    <n v="1"/>
    <n v="1"/>
    <n v="3257.88"/>
    <n v="3257.88"/>
    <n v="3257.88"/>
    <n v="0"/>
    <n v="0"/>
    <m/>
    <m/>
    <m/>
    <m/>
    <m/>
    <m/>
    <m/>
    <n v="3257.88"/>
    <n v="3257.88"/>
    <s v="Willow Bank Junior School"/>
    <s v="WBC Mnstr"/>
    <n v="43011"/>
    <s v="Willow Bank Junior School"/>
    <m/>
    <m/>
    <m/>
    <n v="3257.88"/>
    <m/>
    <m/>
    <m/>
    <n v="2171.92"/>
    <n v="5429.8"/>
    <m/>
    <m/>
    <m/>
    <m/>
    <m/>
    <m/>
    <m/>
    <n v="5429.8"/>
    <m/>
    <n v="0"/>
    <n v="5429.8"/>
    <m/>
    <n v="5429.8"/>
    <n v="0"/>
    <m/>
  </r>
  <r>
    <x v="0"/>
    <n v="1"/>
    <n v="41149"/>
    <n v="41149"/>
    <n v="43011"/>
    <s v="Yes"/>
    <m/>
    <m/>
    <x v="0"/>
    <m/>
    <n v="429227"/>
    <x v="63"/>
    <s v="Thalia"/>
    <s v="Bunce"/>
    <x v="728"/>
    <d v="2017-05-26T00:00:00"/>
    <n v="6.2422997946611911"/>
    <n v="1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SLCD"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0"/>
    <n v="1"/>
    <n v="41149"/>
    <n v="41149"/>
    <n v="43011"/>
    <s v="Yes"/>
    <m/>
    <m/>
    <x v="0"/>
    <m/>
    <n v="429957"/>
    <x v="63"/>
    <s v="Ruby"/>
    <s v="Wheal"/>
    <x v="729"/>
    <d v="2015-09-13T00:00:00"/>
    <n v="7.9425051334702257"/>
    <n v="2"/>
    <n v="872"/>
    <n v="872"/>
    <d v="2023-04-01T00:00:00"/>
    <n v="1"/>
    <d v="2023-07-21T00:00:00"/>
    <n v="63"/>
    <n v="63"/>
    <n v="0.328125"/>
    <s v="Yr 2 Infant"/>
    <n v="27"/>
    <m/>
    <m/>
    <x v="0"/>
    <x v="0"/>
    <x v="0"/>
    <s v="NO"/>
    <s v="NO"/>
    <s v="NO"/>
    <s v="NO"/>
    <m/>
    <n v="6764.7899999999991"/>
    <s v="SEMH"/>
    <n v="1"/>
    <n v="0.328125"/>
    <n v="2219.6967187499995"/>
    <n v="2219.6967187499995"/>
    <n v="2219.6967187499995"/>
    <n v="2219.6967187499995"/>
    <n v="2219.6967187499995"/>
    <m/>
    <m/>
    <s v="Willow Bank Junior School"/>
    <e v="#N/A"/>
    <e v="#N/A"/>
    <m/>
    <m/>
    <n v="0"/>
    <n v="2219.6967187499995"/>
    <s v="Willow Bank Junior School"/>
    <s v="WBC Mnstr"/>
    <n v="43011"/>
    <s v="Willow Bank Junior School"/>
    <m/>
    <m/>
    <n v="27"/>
    <n v="6764.7899999999991"/>
    <s v="Y"/>
    <m/>
    <m/>
    <n v="4474.6267187499998"/>
    <n v="6694.3234374999993"/>
    <m/>
    <m/>
    <m/>
    <m/>
    <m/>
    <m/>
    <m/>
    <n v="6694.3234374999993"/>
    <m/>
    <n v="0"/>
    <n v="4474.6267187499998"/>
    <m/>
    <n v="6694.3234374999993"/>
    <n v="0"/>
    <m/>
  </r>
  <r>
    <x v="0"/>
    <n v="1"/>
    <n v="41149"/>
    <n v="41149"/>
    <n v="43011"/>
    <s v="Yes"/>
    <m/>
    <m/>
    <x v="0"/>
    <m/>
    <n v="440418"/>
    <x v="63"/>
    <s v="Ruby"/>
    <s v="Stoney-Channon"/>
    <x v="730"/>
    <d v="2016-12-28T00:00:00"/>
    <n v="6.6502395619438737"/>
    <n v="1"/>
    <n v="872"/>
    <n v="872"/>
    <d v="2023-04-01T00:00:00"/>
    <n v="1"/>
    <d v="2024-03-31T00:00:00"/>
    <n v="192"/>
    <n v="192"/>
    <n v="1"/>
    <s v="open"/>
    <n v="32.5"/>
    <m/>
    <m/>
    <x v="0"/>
    <x v="1"/>
    <x v="1"/>
    <s v="NO"/>
    <s v="NO"/>
    <s v="NO"/>
    <s v="NO"/>
    <m/>
    <n v="9365.0249999999996"/>
    <s v="SLCD"/>
    <n v="1"/>
    <n v="1"/>
    <n v="9365.0249999999996"/>
    <n v="9365.0249999999996"/>
    <n v="9365.0249999999996"/>
    <n v="9365.0249999999996"/>
    <n v="9365.0249999999996"/>
    <m/>
    <m/>
    <e v="#N/A"/>
    <e v="#N/A"/>
    <e v="#N/A"/>
    <m/>
    <m/>
    <n v="0"/>
    <n v="9365.0249999999996"/>
    <s v=""/>
    <m/>
    <m/>
    <m/>
    <m/>
    <m/>
    <m/>
    <m/>
    <m/>
    <m/>
    <m/>
    <m/>
    <n v="9365.0249999999996"/>
    <m/>
    <m/>
    <m/>
    <m/>
    <m/>
    <m/>
    <m/>
    <n v="9365.0249999999996"/>
    <m/>
    <n v="0"/>
    <n v="0"/>
    <m/>
    <n v="9365.0249999999996"/>
    <n v="0"/>
    <m/>
  </r>
  <r>
    <x v="0"/>
    <n v="1"/>
    <n v="41149"/>
    <n v="41149"/>
    <n v="43011"/>
    <s v="Yes"/>
    <m/>
    <m/>
    <x v="0"/>
    <m/>
    <n v="429161"/>
    <x v="63"/>
    <s v="Skyla"/>
    <s v="Holland"/>
    <x v="731"/>
    <d v="2016-11-13T00:00:00"/>
    <n v="6.7734428473648185"/>
    <n v="1"/>
    <n v="872"/>
    <n v="872"/>
    <d v="2023-07-12T00:00:00"/>
    <n v="56"/>
    <d v="2024-03-31T00:00:00"/>
    <n v="192"/>
    <n v="137"/>
    <n v="0.71354166666666663"/>
    <s v="open"/>
    <n v="30"/>
    <m/>
    <m/>
    <x v="0"/>
    <x v="0"/>
    <x v="0"/>
    <s v="NO"/>
    <s v="NO"/>
    <s v="NO"/>
    <s v="NO"/>
    <m/>
    <n v="8183.0999999999985"/>
    <s v="SLCD"/>
    <n v="1"/>
    <n v="0.71354166666666663"/>
    <n v="5838.9828124999985"/>
    <n v="5838.9828124999985"/>
    <n v="0"/>
    <n v="0"/>
    <n v="0"/>
    <m/>
    <m/>
    <e v="#N/A"/>
    <e v="#N/A"/>
    <e v="#N/A"/>
    <m/>
    <m/>
    <n v="0"/>
    <n v="0"/>
    <m/>
    <m/>
    <m/>
    <m/>
    <m/>
    <m/>
    <m/>
    <m/>
    <m/>
    <m/>
    <m/>
    <m/>
    <n v="0"/>
    <m/>
    <m/>
    <m/>
    <m/>
    <m/>
    <m/>
    <m/>
    <n v="5838.9828124999985"/>
    <s v="new provision"/>
    <n v="5838.9828124999985"/>
    <n v="5838.9828124999985"/>
    <m/>
    <n v="5838.9828124999985"/>
    <n v="0"/>
    <m/>
  </r>
  <r>
    <x v="0"/>
    <n v="1"/>
    <n v="41150"/>
    <n v="41150"/>
    <n v="43011"/>
    <s v="No"/>
    <m/>
    <m/>
    <x v="0"/>
    <m/>
    <n v="400111"/>
    <x v="64"/>
    <s v="Amaya"/>
    <s v="Farrell"/>
    <x v="732"/>
    <d v="2012-05-07T00:00:00"/>
    <n v="11.293634496919918"/>
    <n v="5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ASD"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0"/>
    <n v="1"/>
    <n v="41150"/>
    <n v="41150"/>
    <n v="43011"/>
    <s v="No"/>
    <m/>
    <m/>
    <x v="0"/>
    <m/>
    <n v="408765"/>
    <x v="64"/>
    <s v="Callum"/>
    <s v="Hislop"/>
    <x v="733"/>
    <d v="2013-05-23T00:00:00"/>
    <n v="10.250513347022586"/>
    <n v="5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SEMH"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0"/>
    <n v="1"/>
    <n v="41150"/>
    <n v="41150"/>
    <n v="43011"/>
    <s v="No"/>
    <m/>
    <m/>
    <x v="0"/>
    <m/>
    <n v="419916"/>
    <x v="64"/>
    <s v="Chase"/>
    <s v="Etchels"/>
    <x v="734"/>
    <d v="2015-01-14T00:00:00"/>
    <n v="8.605065023956195"/>
    <n v="3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SEMH"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0"/>
    <n v="1"/>
    <n v="41150"/>
    <n v="41150"/>
    <n v="43011"/>
    <s v="No"/>
    <m/>
    <m/>
    <x v="0"/>
    <m/>
    <n v="403871"/>
    <x v="64"/>
    <s v="Cora"/>
    <s v="Morris"/>
    <x v="735"/>
    <d v="2012-06-24T00:00:00"/>
    <n v="11.162217659137577"/>
    <n v="6"/>
    <n v="872"/>
    <n v="872"/>
    <d v="2023-04-01T00:00:00"/>
    <n v="1"/>
    <d v="2023-07-21T00:00:00"/>
    <n v="63"/>
    <n v="63"/>
    <n v="0.328125"/>
    <s v="Yr 6"/>
    <n v="27"/>
    <m/>
    <m/>
    <x v="0"/>
    <x v="0"/>
    <x v="0"/>
    <s v="NO"/>
    <s v="NO"/>
    <s v="NO"/>
    <s v="NO"/>
    <m/>
    <n v="6764.7899999999991"/>
    <s v="SEMH"/>
    <n v="1"/>
    <n v="0.328125"/>
    <n v="2219.6967187499995"/>
    <n v="2219.6967187499995"/>
    <n v="2219.6967187499995"/>
    <n v="2219.6967187499995"/>
    <n v="2219.6967187499995"/>
    <m/>
    <m/>
    <e v="#N/A"/>
    <e v="#N/A"/>
    <e v="#N/A"/>
    <m/>
    <m/>
    <n v="0"/>
    <n v="2219.6967187499995"/>
    <s v="???"/>
    <m/>
    <m/>
    <m/>
    <m/>
    <m/>
    <n v="27"/>
    <n v="6764.7899999999991"/>
    <m/>
    <m/>
    <m/>
    <n v="4474.6267187499998"/>
    <n v="6694.3234374999993"/>
    <m/>
    <m/>
    <s v="?"/>
    <s v="?"/>
    <m/>
    <m/>
    <m/>
    <n v="6694.3234374999993"/>
    <m/>
    <n v="0"/>
    <n v="4474.6267187499998"/>
    <m/>
    <n v="4545.0932812499996"/>
    <n v="-2149.2301562499997"/>
    <s v="moving to Wiangels 1/9"/>
  </r>
  <r>
    <x v="0"/>
    <n v="1"/>
    <n v="41150"/>
    <n v="41150"/>
    <n v="43011"/>
    <s v="No"/>
    <m/>
    <m/>
    <x v="0"/>
    <m/>
    <n v="421228"/>
    <x v="64"/>
    <s v="Daniel"/>
    <s v="Webb"/>
    <x v="736"/>
    <d v="2014-09-05T00:00:00"/>
    <n v="8.9637234770705003"/>
    <n v="3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m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0"/>
    <n v="1"/>
    <n v="41150"/>
    <n v="41150"/>
    <n v="43011"/>
    <s v="No"/>
    <m/>
    <m/>
    <x v="0"/>
    <m/>
    <n v="412281"/>
    <x v="64"/>
    <s v="Jak"/>
    <s v="Pengraeve"/>
    <x v="737"/>
    <d v="2012-01-03T00:00:00"/>
    <n v="11.635865845311431"/>
    <n v="6"/>
    <n v="872"/>
    <n v="872"/>
    <d v="2023-04-01T00:00:00"/>
    <n v="1"/>
    <d v="2023-07-21T00:00:00"/>
    <n v="63"/>
    <n v="63"/>
    <n v="0.328125"/>
    <s v="Yr 6"/>
    <n v="30"/>
    <m/>
    <m/>
    <x v="0"/>
    <x v="0"/>
    <x v="0"/>
    <s v="NO"/>
    <s v="NO"/>
    <s v="NO"/>
    <s v="NO"/>
    <m/>
    <n v="8183.0999999999985"/>
    <s v="SEMH"/>
    <n v="1"/>
    <n v="0.328125"/>
    <n v="2685.0796874999996"/>
    <n v="2685.0796874999996"/>
    <n v="2685.0796874999996"/>
    <n v="2685.0796874999996"/>
    <n v="2685.0796874999996"/>
    <m/>
    <m/>
    <e v="#N/A"/>
    <s v="Oak Tree"/>
    <e v="#N/A"/>
    <s v="Y"/>
    <n v="5455.3999999999987"/>
    <n v="0"/>
    <n v="2685.0796874999996"/>
    <s v="Name Oak Tree "/>
    <s v="WBC Spec"/>
    <n v="43012"/>
    <m/>
    <s v="Name Oak Tree "/>
    <m/>
    <n v="30"/>
    <n v="8183.0999999999985"/>
    <m/>
    <s v="Y"/>
    <m/>
    <n v="5412.7796874999985"/>
    <n v="8097.8593749999982"/>
    <n v="5412.7796874999985"/>
    <s v="remove"/>
    <m/>
    <m/>
    <m/>
    <m/>
    <m/>
    <n v="8097.8593749999982"/>
    <m/>
    <n v="0"/>
    <n v="5412.7796874999985"/>
    <m/>
    <n v="8097.8593749999982"/>
    <n v="0"/>
    <m/>
  </r>
  <r>
    <x v="0"/>
    <n v="1"/>
    <n v="41150"/>
    <n v="41150"/>
    <n v="43011"/>
    <s v="No"/>
    <m/>
    <m/>
    <x v="0"/>
    <m/>
    <n v="412763"/>
    <x v="64"/>
    <s v="Lucas"/>
    <s v="Wicks"/>
    <x v="738"/>
    <d v="2013-07-05T00:00:00"/>
    <n v="10.132785763175907"/>
    <n v="5"/>
    <n v="872"/>
    <n v="872"/>
    <d v="2023-04-01T00:00:00"/>
    <n v="1"/>
    <d v="2023-07-21T00:00:00"/>
    <n v="63"/>
    <n v="63"/>
    <n v="0.328125"/>
    <s v="open"/>
    <n v="28"/>
    <m/>
    <m/>
    <x v="0"/>
    <x v="0"/>
    <x v="0"/>
    <s v="NO"/>
    <s v="NO"/>
    <s v="NO"/>
    <s v="NO"/>
    <m/>
    <n v="7237.5599999999995"/>
    <m/>
    <n v="1"/>
    <n v="0.328125"/>
    <n v="2374.8243749999997"/>
    <n v="2374.8243749999997"/>
    <n v="2374.8243749999997"/>
    <n v="7237.5599999999995"/>
    <n v="7237.5599999999995"/>
    <m/>
    <m/>
    <e v="#N/A"/>
    <e v="#N/A"/>
    <e v="#N/A"/>
    <m/>
    <m/>
    <n v="-4862.7356249999993"/>
    <n v="2374.8243749999997"/>
    <s v=""/>
    <m/>
    <m/>
    <m/>
    <m/>
    <m/>
    <m/>
    <m/>
    <m/>
    <m/>
    <m/>
    <m/>
    <n v="2374.8243749999997"/>
    <m/>
    <m/>
    <m/>
    <m/>
    <m/>
    <m/>
    <m/>
    <n v="2374.8243749999997"/>
    <m/>
    <n v="0"/>
    <n v="-4862.7356249999993"/>
    <m/>
    <n v="2374.8243749999997"/>
    <n v="0"/>
    <m/>
  </r>
  <r>
    <x v="1"/>
    <n v="1"/>
    <n v="41150"/>
    <n v="41150"/>
    <n v="43011"/>
    <s v="No"/>
    <m/>
    <m/>
    <x v="0"/>
    <m/>
    <n v="412763"/>
    <x v="64"/>
    <s v="Lucas"/>
    <s v="Wicks"/>
    <x v="738"/>
    <d v="2013-07-05T00:00:00"/>
    <n v="10.132785763175907"/>
    <n v="5"/>
    <n v="872"/>
    <n v="872"/>
    <d v="2023-09-01T00:00:00"/>
    <m/>
    <d v="2024-03-31T00:00:00"/>
    <n v="192"/>
    <n v="193"/>
    <n v="1.0052083333333333"/>
    <m/>
    <n v="17491.400000000001"/>
    <m/>
    <m/>
    <x v="0"/>
    <x v="1"/>
    <x v="1"/>
    <s v="NO"/>
    <s v="NO"/>
    <s v="NO"/>
    <s v="NO"/>
    <m/>
    <n v="17491.400000000001"/>
    <m/>
    <n v="1"/>
    <n v="1"/>
    <n v="17491.400000000001"/>
    <n v="17491.400000000001"/>
    <n v="17491.400000000001"/>
    <n v="0"/>
    <n v="0"/>
    <m/>
    <m/>
    <m/>
    <m/>
    <m/>
    <m/>
    <m/>
    <n v="17491.400000000001"/>
    <n v="17491.400000000001"/>
    <m/>
    <m/>
    <m/>
    <m/>
    <m/>
    <m/>
    <m/>
    <m/>
    <m/>
    <m/>
    <m/>
    <m/>
    <n v="17491.400000000001"/>
    <m/>
    <m/>
    <m/>
    <m/>
    <m/>
    <m/>
    <m/>
    <n v="17491.400000000001"/>
    <m/>
    <n v="0"/>
    <n v="17491.400000000001"/>
    <m/>
    <n v="17491.400000000001"/>
    <n v="0"/>
    <m/>
  </r>
  <r>
    <x v="0"/>
    <n v="1"/>
    <n v="41150"/>
    <n v="41150"/>
    <n v="43011"/>
    <s v="No"/>
    <m/>
    <m/>
    <x v="0"/>
    <m/>
    <n v="409441"/>
    <x v="64"/>
    <s v="Millie"/>
    <s v="Baughan"/>
    <x v="739"/>
    <d v="2013-07-20T00:00:00"/>
    <n v="10.091718001368925"/>
    <n v="5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ASD"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0"/>
    <n v="1"/>
    <n v="41150"/>
    <n v="41150"/>
    <n v="43011"/>
    <s v="No"/>
    <m/>
    <m/>
    <x v="0"/>
    <m/>
    <n v="399503"/>
    <x v="64"/>
    <s v="Nicholas"/>
    <s v="Jones"/>
    <x v="740"/>
    <d v="2011-09-22T00:00:00"/>
    <n v="11.917864476386036"/>
    <n v="6"/>
    <n v="872"/>
    <n v="872"/>
    <d v="2023-04-01T00:00:00"/>
    <n v="1"/>
    <d v="2023-07-21T00:00:00"/>
    <n v="63"/>
    <n v="63"/>
    <n v="0.328125"/>
    <s v="Yr 6"/>
    <n v="30"/>
    <m/>
    <m/>
    <x v="0"/>
    <x v="0"/>
    <x v="0"/>
    <s v="NO"/>
    <s v="NO"/>
    <s v="NO"/>
    <s v="NO"/>
    <m/>
    <n v="8183.0999999999985"/>
    <s v="SEMH"/>
    <n v="1"/>
    <n v="0.328125"/>
    <n v="2685.0796874999996"/>
    <n v="2685.0796874999996"/>
    <n v="2685.0796874999996"/>
    <n v="2685.0796874999996"/>
    <n v="2685.0796874999996"/>
    <m/>
    <m/>
    <e v="#N/A"/>
    <s v="Waingels Coll"/>
    <e v="#N/A"/>
    <m/>
    <m/>
    <n v="0"/>
    <n v="2685.0796874999996"/>
    <s v="Waingels College"/>
    <s v="WBC Academy"/>
    <n v="43012"/>
    <m/>
    <s v="Waingels College"/>
    <m/>
    <n v="30"/>
    <n v="8183.0999999999985"/>
    <m/>
    <s v="Y"/>
    <m/>
    <n v="5412.7796874999985"/>
    <n v="8097.8593749999982"/>
    <m/>
    <m/>
    <m/>
    <m/>
    <m/>
    <m/>
    <m/>
    <n v="8097.8593749999982"/>
    <m/>
    <n v="0"/>
    <n v="5412.7796874999985"/>
    <m/>
    <n v="5498.0203124999989"/>
    <n v="-2599.8390624999993"/>
    <m/>
  </r>
  <r>
    <x v="0"/>
    <n v="1"/>
    <n v="41150"/>
    <n v="41150"/>
    <n v="43011"/>
    <s v="No"/>
    <m/>
    <m/>
    <x v="0"/>
    <m/>
    <n v="400054"/>
    <x v="64"/>
    <s v="Noah"/>
    <s v="Armson"/>
    <x v="741"/>
    <d v="2011-10-22T00:00:00"/>
    <n v="11.835728952772074"/>
    <n v="6"/>
    <n v="872"/>
    <n v="872"/>
    <d v="2023-04-01T00:00:00"/>
    <n v="1"/>
    <d v="2023-07-21T00:00:00"/>
    <n v="63"/>
    <n v="63"/>
    <n v="0.328125"/>
    <s v="Yr 6"/>
    <n v="25"/>
    <m/>
    <m/>
    <x v="1"/>
    <x v="1"/>
    <x v="0"/>
    <s v="NO"/>
    <s v="NO"/>
    <s v="NO"/>
    <s v="NO"/>
    <m/>
    <n v="5819.25"/>
    <s v="ASD"/>
    <n v="1"/>
    <n v="0.328125"/>
    <n v="1909.44140625"/>
    <n v="1909.44140625"/>
    <n v="1909.44140625"/>
    <n v="1909.44140625"/>
    <n v="1909.44140625"/>
    <m/>
    <m/>
    <e v="#N/A"/>
    <s v="Waingels Coll"/>
    <e v="#N/A"/>
    <m/>
    <m/>
    <n v="0"/>
    <n v="1909.44140625"/>
    <s v="Waingels College"/>
    <s v="WBC Academy"/>
    <n v="43012"/>
    <m/>
    <s v="Waingels College"/>
    <m/>
    <n v="25"/>
    <n v="5819.25"/>
    <m/>
    <s v="Y"/>
    <m/>
    <n v="3849.19140625"/>
    <n v="5758.6328125"/>
    <m/>
    <m/>
    <m/>
    <m/>
    <m/>
    <m/>
    <m/>
    <n v="5758.6328125"/>
    <m/>
    <n v="0"/>
    <n v="3849.19140625"/>
    <m/>
    <n v="5758.6328125"/>
    <n v="0"/>
    <m/>
  </r>
  <r>
    <x v="0"/>
    <n v="1"/>
    <n v="41150"/>
    <n v="41150"/>
    <n v="43011"/>
    <s v="No"/>
    <m/>
    <m/>
    <x v="0"/>
    <m/>
    <n v="410391"/>
    <x v="64"/>
    <s v="Theo "/>
    <s v="Hall"/>
    <x v="742"/>
    <d v="2013-04-18T00:00:00"/>
    <n v="10.346338124572211"/>
    <n v="4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m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0"/>
    <n v="1"/>
    <n v="2000"/>
    <n v="2000"/>
    <n v="43012"/>
    <s v="No"/>
    <s v="Y"/>
    <m/>
    <x v="0"/>
    <m/>
    <n v="435863"/>
    <x v="65"/>
    <s v="Andrew"/>
    <s v="Gray"/>
    <x v="743"/>
    <d v="2017-07-28T00:00:00"/>
    <n v="6.0698151950718682"/>
    <n v="1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MLD"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0"/>
    <n v="1"/>
    <n v="2000"/>
    <n v="2000"/>
    <n v="43012"/>
    <s v="No"/>
    <s v="Y"/>
    <m/>
    <x v="0"/>
    <m/>
    <n v="410023"/>
    <x v="65"/>
    <s v="Charlotte"/>
    <s v="Queenan"/>
    <x v="744"/>
    <d v="2013-04-09T00:00:00"/>
    <n v="10.370978781656399"/>
    <n v="5"/>
    <n v="872"/>
    <n v="872"/>
    <d v="2023-04-01T00:00:00"/>
    <n v="1"/>
    <d v="2024-03-31T00:00:00"/>
    <n v="192"/>
    <n v="192"/>
    <n v="1"/>
    <s v="open"/>
    <n v="24"/>
    <m/>
    <m/>
    <x v="1"/>
    <x v="1"/>
    <x v="0"/>
    <s v="NO"/>
    <s v="NO"/>
    <s v="NO"/>
    <s v="NO"/>
    <m/>
    <n v="5346.48"/>
    <s v="ASD"/>
    <n v="1"/>
    <n v="1"/>
    <n v="5346.48"/>
    <n v="5346.48"/>
    <n v="5346.48"/>
    <n v="5346.48"/>
    <n v="5346.48"/>
    <m/>
    <m/>
    <e v="#N/A"/>
    <e v="#N/A"/>
    <e v="#N/A"/>
    <m/>
    <m/>
    <n v="0"/>
    <n v="5346.48"/>
    <s v=""/>
    <m/>
    <m/>
    <m/>
    <m/>
    <m/>
    <m/>
    <m/>
    <m/>
    <m/>
    <m/>
    <m/>
    <n v="5346.48"/>
    <m/>
    <m/>
    <m/>
    <m/>
    <m/>
    <m/>
    <m/>
    <n v="5346.48"/>
    <m/>
    <n v="0"/>
    <n v="0"/>
    <m/>
    <n v="5346.48"/>
    <n v="0"/>
    <m/>
  </r>
  <r>
    <x v="0"/>
    <n v="1"/>
    <n v="2000"/>
    <n v="2000"/>
    <n v="43012"/>
    <s v="No"/>
    <s v="Y"/>
    <m/>
    <x v="0"/>
    <m/>
    <n v="401843"/>
    <x v="65"/>
    <s v="Daisy"/>
    <s v="Bazely"/>
    <x v="745"/>
    <d v="2012-08-11T00:00:00"/>
    <n v="11.030800821355236"/>
    <n v="6"/>
    <n v="872"/>
    <n v="872"/>
    <d v="2023-04-01T00:00:00"/>
    <n v="1"/>
    <d v="2023-07-21T00:00:00"/>
    <n v="63"/>
    <n v="63"/>
    <n v="0.328125"/>
    <s v="Yr 6"/>
    <n v="25"/>
    <m/>
    <m/>
    <x v="1"/>
    <x v="1"/>
    <x v="0"/>
    <s v="NO"/>
    <s v="NO"/>
    <s v="NO"/>
    <s v="NO"/>
    <m/>
    <n v="5819.25"/>
    <s v="SEMH"/>
    <n v="1"/>
    <n v="0.328125"/>
    <n v="1909.44140625"/>
    <n v="1909.44140625"/>
    <n v="1909.44140625"/>
    <n v="1909.44140625"/>
    <n v="1909.44140625"/>
    <m/>
    <m/>
    <e v="#N/A"/>
    <s v="Emmbrook"/>
    <e v="#N/A"/>
    <m/>
    <m/>
    <n v="0"/>
    <n v="1909.44140625"/>
    <s v="The Emmbrook - Funding Approved"/>
    <s v="WBC Academy"/>
    <n v="43012"/>
    <m/>
    <s v="The Emmbrook - Funding Approved"/>
    <m/>
    <n v="25"/>
    <n v="5819.25"/>
    <m/>
    <s v="Y"/>
    <m/>
    <n v="3849.19140625"/>
    <n v="5758.6328125"/>
    <m/>
    <m/>
    <m/>
    <m/>
    <m/>
    <m/>
    <m/>
    <n v="5758.6328125"/>
    <m/>
    <n v="0"/>
    <n v="3849.19140625"/>
    <m/>
    <n v="5758.6328125"/>
    <n v="0"/>
    <m/>
  </r>
  <r>
    <x v="0"/>
    <n v="1"/>
    <n v="2000"/>
    <n v="2000"/>
    <n v="43012"/>
    <s v="No"/>
    <s v="Y"/>
    <m/>
    <x v="0"/>
    <m/>
    <n v="401858"/>
    <x v="65"/>
    <s v="Evie-Scarlett"/>
    <s v="Haanstra"/>
    <x v="746"/>
    <d v="2012-11-21T00:00:00"/>
    <n v="10.751540041067761"/>
    <n v="5"/>
    <n v="872"/>
    <n v="872"/>
    <d v="2023-04-28T00:00:00"/>
    <n v="11"/>
    <d v="2024-03-31T00:00:00"/>
    <n v="192"/>
    <n v="182"/>
    <n v="0.94791666666666663"/>
    <s v="open"/>
    <n v="28"/>
    <m/>
    <m/>
    <x v="0"/>
    <x v="0"/>
    <x v="0"/>
    <s v="NO"/>
    <s v="NO"/>
    <s v="NO"/>
    <s v="NO"/>
    <m/>
    <n v="7237.5599999999995"/>
    <s v="SLCD"/>
    <n v="1"/>
    <n v="0.94791666666666663"/>
    <n v="6860.6037499999993"/>
    <n v="6860.6037499999993"/>
    <n v="6860.6037499999993"/>
    <n v="0"/>
    <n v="6860.6037499999993"/>
    <m/>
    <m/>
    <e v="#N/A"/>
    <e v="#N/A"/>
    <e v="#N/A"/>
    <m/>
    <m/>
    <n v="0"/>
    <n v="6860.6037499999993"/>
    <s v=""/>
    <m/>
    <m/>
    <m/>
    <m/>
    <m/>
    <m/>
    <m/>
    <m/>
    <m/>
    <m/>
    <m/>
    <n v="6860.6037499999993"/>
    <m/>
    <m/>
    <m/>
    <m/>
    <m/>
    <m/>
    <m/>
    <n v="6860.6037499999993"/>
    <m/>
    <n v="0"/>
    <n v="6860.6037499999993"/>
    <m/>
    <n v="6860.6037499999993"/>
    <n v="0"/>
    <m/>
  </r>
  <r>
    <x v="0"/>
    <n v="1"/>
    <n v="2000"/>
    <n v="2000"/>
    <n v="43012"/>
    <s v="No"/>
    <s v="Y"/>
    <m/>
    <x v="0"/>
    <m/>
    <n v="424946"/>
    <x v="65"/>
    <s v="Hadassah"/>
    <s v="Kaze"/>
    <x v="747"/>
    <d v="2015-12-08T00:00:00"/>
    <n v="7.7070499657768652"/>
    <n v="2"/>
    <n v="872"/>
    <n v="872"/>
    <d v="2023-04-01T00:00:00"/>
    <n v="1"/>
    <d v="2024-03-31T00:00:00"/>
    <n v="192"/>
    <n v="192"/>
    <n v="1"/>
    <s v="open"/>
    <n v="23"/>
    <m/>
    <m/>
    <x v="1"/>
    <x v="1"/>
    <x v="0"/>
    <s v="NO"/>
    <s v="NO"/>
    <s v="NO"/>
    <s v="NO"/>
    <m/>
    <n v="4873.7099999999991"/>
    <s v="SLCD"/>
    <n v="1"/>
    <n v="1"/>
    <n v="4873.7099999999991"/>
    <n v="4873.7099999999991"/>
    <n v="4873.7099999999991"/>
    <n v="4873.7099999999991"/>
    <n v="4873.7099999999991"/>
    <m/>
    <m/>
    <e v="#N/A"/>
    <e v="#N/A"/>
    <e v="#N/A"/>
    <m/>
    <m/>
    <n v="0"/>
    <n v="4873.7099999999991"/>
    <s v=""/>
    <m/>
    <m/>
    <m/>
    <m/>
    <m/>
    <m/>
    <m/>
    <m/>
    <m/>
    <m/>
    <m/>
    <n v="4873.7099999999991"/>
    <m/>
    <m/>
    <m/>
    <m/>
    <m/>
    <m/>
    <m/>
    <n v="4873.7099999999991"/>
    <m/>
    <n v="0"/>
    <n v="0"/>
    <m/>
    <n v="4873.7099999999991"/>
    <n v="0"/>
    <m/>
  </r>
  <r>
    <x v="0"/>
    <n v="1"/>
    <n v="2000"/>
    <n v="2000"/>
    <n v="43012"/>
    <s v="No"/>
    <s v="Y"/>
    <m/>
    <x v="0"/>
    <m/>
    <n v="415608"/>
    <x v="65"/>
    <s v="Isobella-Mae"/>
    <s v="Budd-Hawkins"/>
    <x v="748"/>
    <d v="2015-06-18T00:00:00"/>
    <n v="8.1806981519507183"/>
    <n v="3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MLD"/>
    <n v="1"/>
    <n v="1"/>
    <n v="5819.25"/>
    <n v="5819.25"/>
    <n v="5819.25"/>
    <n v="0"/>
    <n v="0"/>
    <m/>
    <m/>
    <m/>
    <m/>
    <m/>
    <m/>
    <m/>
    <n v="5819.25"/>
    <n v="5819.25"/>
    <s v=""/>
    <m/>
    <m/>
    <m/>
    <m/>
    <m/>
    <m/>
    <m/>
    <m/>
    <m/>
    <m/>
    <m/>
    <n v="5819.25"/>
    <m/>
    <m/>
    <m/>
    <m/>
    <m/>
    <m/>
    <m/>
    <n v="5819.25"/>
    <m/>
    <n v="0"/>
    <n v="5819.25"/>
    <m/>
    <n v="5819.25"/>
    <n v="0"/>
    <m/>
  </r>
  <r>
    <x v="0"/>
    <n v="1"/>
    <n v="2000"/>
    <n v="2000"/>
    <n v="43012"/>
    <s v="No"/>
    <s v="Y"/>
    <m/>
    <x v="0"/>
    <m/>
    <n v="428823"/>
    <x v="65"/>
    <s v="Jacob"/>
    <s v="Larkwood"/>
    <x v="749"/>
    <d v="2017-07-06T00:00:00"/>
    <n v="6.1300479123887746"/>
    <n v="1"/>
    <n v="872"/>
    <n v="872"/>
    <d v="2023-04-01T00:00:00"/>
    <n v="1"/>
    <d v="2024-03-31T00:00:00"/>
    <n v="192"/>
    <n v="192"/>
    <n v="1"/>
    <s v="open"/>
    <n v="28"/>
    <m/>
    <m/>
    <x v="0"/>
    <x v="0"/>
    <x v="0"/>
    <s v="NO"/>
    <s v="NO"/>
    <s v="NO"/>
    <s v="NO"/>
    <m/>
    <n v="7237.5599999999995"/>
    <m/>
    <n v="1"/>
    <n v="1"/>
    <n v="7237.5599999999995"/>
    <n v="7237.5599999999995"/>
    <n v="7237.5599999999995"/>
    <n v="7237.5599999999995"/>
    <n v="7237.5599999999995"/>
    <m/>
    <m/>
    <e v="#N/A"/>
    <e v="#N/A"/>
    <e v="#N/A"/>
    <m/>
    <m/>
    <n v="0"/>
    <n v="7237.5599999999995"/>
    <s v=""/>
    <m/>
    <m/>
    <m/>
    <m/>
    <m/>
    <m/>
    <m/>
    <m/>
    <m/>
    <m/>
    <m/>
    <n v="7237.5599999999995"/>
    <m/>
    <m/>
    <m/>
    <m/>
    <m/>
    <m/>
    <m/>
    <n v="7237.5599999999995"/>
    <m/>
    <n v="0"/>
    <n v="0"/>
    <m/>
    <n v="7237.5599999999995"/>
    <n v="0"/>
    <m/>
  </r>
  <r>
    <x v="0"/>
    <n v="1"/>
    <n v="2000"/>
    <n v="2000"/>
    <n v="43012"/>
    <s v="No"/>
    <s v="Y"/>
    <m/>
    <x v="0"/>
    <m/>
    <n v="436862"/>
    <x v="65"/>
    <s v="Joyce"/>
    <s v="Ajiboye"/>
    <x v="750"/>
    <d v="2017-06-22T00:00:00"/>
    <n v="6.1683778234086244"/>
    <n v="1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SLCD"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0"/>
    <n v="1"/>
    <n v="2000"/>
    <n v="2000"/>
    <n v="43012"/>
    <s v="No"/>
    <s v="Y"/>
    <m/>
    <x v="0"/>
    <m/>
    <n v="422268"/>
    <x v="65"/>
    <s v="Kimberly"/>
    <s v="Egwuagu"/>
    <x v="751"/>
    <d v="2015-07-31T00:00:00"/>
    <n v="8.0629705681040384"/>
    <n v="3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SLCD"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0"/>
    <n v="1"/>
    <n v="2000"/>
    <n v="2000"/>
    <n v="43012"/>
    <s v="No"/>
    <s v="Y"/>
    <m/>
    <x v="0"/>
    <m/>
    <n v="437508"/>
    <x v="65"/>
    <s v="Marco"/>
    <s v="Martin"/>
    <x v="752"/>
    <d v="2017-10-09T00:00:00"/>
    <n v="5.8699520876112254"/>
    <n v="0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ASD"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0"/>
    <n v="1"/>
    <n v="2000"/>
    <n v="2000"/>
    <n v="43012"/>
    <s v="No"/>
    <s v="Y"/>
    <m/>
    <x v="0"/>
    <m/>
    <n v="442716"/>
    <x v="65"/>
    <s v="Ridit"/>
    <s v="Sharma"/>
    <x v="753"/>
    <d v="2015-10-01T00:00:00"/>
    <n v="7.8932238193018485"/>
    <n v="2"/>
    <n v="872"/>
    <n v="872"/>
    <d v="2023-04-01T00:00:00"/>
    <n v="1"/>
    <d v="2024-03-31T00:00:00"/>
    <n v="192"/>
    <n v="192"/>
    <n v="1"/>
    <s v="open"/>
    <n v="35"/>
    <m/>
    <m/>
    <x v="0"/>
    <x v="1"/>
    <x v="1"/>
    <s v="NO"/>
    <s v="NO"/>
    <s v="NO"/>
    <s v="NO"/>
    <m/>
    <n v="10546.95"/>
    <s v="PD"/>
    <n v="1"/>
    <n v="1"/>
    <n v="10546.95"/>
    <n v="10546.95"/>
    <n v="10546.95"/>
    <n v="10546.95"/>
    <n v="10546.95"/>
    <m/>
    <m/>
    <e v="#N/A"/>
    <e v="#N/A"/>
    <e v="#N/A"/>
    <m/>
    <m/>
    <n v="0"/>
    <n v="10546.95"/>
    <s v=""/>
    <m/>
    <m/>
    <m/>
    <m/>
    <m/>
    <m/>
    <m/>
    <m/>
    <m/>
    <m/>
    <m/>
    <n v="10546.95"/>
    <m/>
    <m/>
    <m/>
    <m/>
    <m/>
    <m/>
    <m/>
    <n v="10546.95"/>
    <m/>
    <n v="0"/>
    <n v="0"/>
    <m/>
    <n v="10546.95"/>
    <n v="0"/>
    <m/>
  </r>
  <r>
    <x v="0"/>
    <n v="1"/>
    <n v="41151"/>
    <n v="41151"/>
    <n v="43011"/>
    <s v="No"/>
    <m/>
    <m/>
    <x v="0"/>
    <m/>
    <n v="434593"/>
    <x v="66"/>
    <s v="Charlie"/>
    <s v="Monaghan"/>
    <x v="754"/>
    <d v="2017-07-24T00:00:00"/>
    <n v="6.0807665982203973"/>
    <n v="1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SLCD"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0"/>
    <n v="1"/>
    <n v="41151"/>
    <n v="41151"/>
    <n v="43011"/>
    <s v="No"/>
    <m/>
    <m/>
    <x v="0"/>
    <m/>
    <n v="403948"/>
    <x v="66"/>
    <s v="Frankie-Dean"/>
    <s v="Smith"/>
    <x v="755"/>
    <d v="2012-01-17T00:00:00"/>
    <n v="11.597535934291582"/>
    <n v="6"/>
    <n v="872"/>
    <n v="872"/>
    <d v="2023-04-01T00:00:00"/>
    <n v="1"/>
    <d v="2023-07-21T00:00:00"/>
    <n v="63"/>
    <n v="63"/>
    <n v="0.328125"/>
    <s v="Yr 6"/>
    <n v="30"/>
    <m/>
    <m/>
    <x v="0"/>
    <x v="0"/>
    <x v="0"/>
    <s v="NO"/>
    <s v="NO"/>
    <s v="NO"/>
    <s v="NO"/>
    <m/>
    <n v="8183.0999999999985"/>
    <s v="SEMH"/>
    <n v="1"/>
    <n v="0.328125"/>
    <n v="2685.0796874999996"/>
    <n v="2685.0796874999996"/>
    <n v="2685.0796874999996"/>
    <n v="2685.0796874999996"/>
    <n v="2685.0796874999996"/>
    <m/>
    <m/>
    <e v="#N/A"/>
    <s v="special"/>
    <e v="#N/A"/>
    <s v="Y"/>
    <n v="5455.3999999999987"/>
    <n v="0"/>
    <n v="2685.0796874999996"/>
    <s v="Name on Type "/>
    <m/>
    <m/>
    <m/>
    <s v="Name on Type "/>
    <m/>
    <n v="30"/>
    <n v="8183.0999999999985"/>
    <m/>
    <s v="Y"/>
    <m/>
    <n v="5412.7796874999985"/>
    <n v="8097.8593749999982"/>
    <n v="5412.7796874999985"/>
    <s v="remove"/>
    <n v="43009"/>
    <s v="Hamilton_MAT"/>
    <m/>
    <s v="CCF 19/07/2023  £20,700"/>
    <m/>
    <n v="2685.0796874999996"/>
    <s v="estimate removed as mover to Hamilton"/>
    <n v="-5412.7796874999985"/>
    <n v="0"/>
    <m/>
    <n v="2685.0796874999996"/>
    <n v="0"/>
    <m/>
  </r>
  <r>
    <x v="0"/>
    <n v="1"/>
    <n v="41151"/>
    <n v="41151"/>
    <n v="43011"/>
    <s v="No"/>
    <m/>
    <m/>
    <x v="0"/>
    <m/>
    <n v="399856"/>
    <x v="66"/>
    <s v="Gabriel"/>
    <s v="Jones"/>
    <x v="756"/>
    <d v="2012-11-12T00:00:00"/>
    <n v="10.776180698151951"/>
    <n v="5"/>
    <n v="872"/>
    <n v="872"/>
    <d v="2023-04-01T00:00:00"/>
    <n v="1"/>
    <d v="2024-03-31T00:00:00"/>
    <n v="192"/>
    <n v="192"/>
    <n v="1"/>
    <s v="open"/>
    <n v="27"/>
    <m/>
    <m/>
    <x v="0"/>
    <x v="0"/>
    <x v="0"/>
    <s v="NO"/>
    <s v="NO"/>
    <s v="NO"/>
    <s v="NO"/>
    <m/>
    <n v="6764.7899999999991"/>
    <s v="SEMH"/>
    <n v="1"/>
    <n v="1"/>
    <n v="6764.7899999999991"/>
    <n v="6764.7899999999991"/>
    <n v="6764.7899999999991"/>
    <n v="6764.7899999999991"/>
    <n v="6764.7899999999991"/>
    <m/>
    <m/>
    <e v="#N/A"/>
    <e v="#N/A"/>
    <e v="#N/A"/>
    <m/>
    <m/>
    <n v="0"/>
    <n v="6764.7899999999991"/>
    <s v=""/>
    <m/>
    <m/>
    <m/>
    <m/>
    <m/>
    <m/>
    <m/>
    <m/>
    <m/>
    <m/>
    <m/>
    <n v="6764.7899999999991"/>
    <m/>
    <m/>
    <m/>
    <m/>
    <m/>
    <m/>
    <m/>
    <n v="6764.7899999999991"/>
    <m/>
    <n v="0"/>
    <n v="0"/>
    <m/>
    <n v="6764.7899999999991"/>
    <n v="0"/>
    <m/>
  </r>
  <r>
    <x v="0"/>
    <n v="1"/>
    <n v="41151"/>
    <n v="41151"/>
    <n v="43011"/>
    <s v="No"/>
    <m/>
    <m/>
    <x v="0"/>
    <m/>
    <n v="433406"/>
    <x v="66"/>
    <s v="Hafsa"/>
    <s v="Ahmed"/>
    <x v="757"/>
    <d v="2017-04-04T00:00:00"/>
    <n v="6.3846680355920604"/>
    <n v="1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SLCD"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0"/>
    <n v="1"/>
    <n v="41151"/>
    <n v="41151"/>
    <n v="43011"/>
    <s v="No"/>
    <m/>
    <m/>
    <x v="0"/>
    <m/>
    <n v="399974"/>
    <x v="66"/>
    <s v="Maisie"/>
    <s v="Lamb"/>
    <x v="758"/>
    <d v="2011-10-06T00:00:00"/>
    <n v="11.879534565366187"/>
    <n v="6"/>
    <n v="872"/>
    <n v="872"/>
    <d v="2023-04-01T00:00:00"/>
    <n v="1"/>
    <d v="2023-07-21T00:00:00"/>
    <n v="63"/>
    <n v="63"/>
    <n v="0.328125"/>
    <s v="Yr 6"/>
    <n v="30"/>
    <m/>
    <m/>
    <x v="0"/>
    <x v="0"/>
    <x v="0"/>
    <s v="NO"/>
    <s v="NO"/>
    <s v="NO"/>
    <s v="NO"/>
    <m/>
    <n v="8183.0999999999985"/>
    <s v="SLCD"/>
    <n v="1"/>
    <n v="0.328125"/>
    <n v="2685.0796874999996"/>
    <n v="2685.0796874999996"/>
    <n v="2685.0796874999996"/>
    <n v="2685.0796874999996"/>
    <n v="2685.0796874999996"/>
    <m/>
    <m/>
    <e v="#N/A"/>
    <s v="Oak Tree"/>
    <e v="#N/A"/>
    <s v="Y"/>
    <n v="5455.3999999999987"/>
    <n v="0"/>
    <n v="2685.0796874999996"/>
    <s v="Name Oak Tree "/>
    <s v="WBC Spec"/>
    <m/>
    <m/>
    <s v="Name Oak Tree "/>
    <m/>
    <n v="30"/>
    <n v="8183.0999999999985"/>
    <m/>
    <s v="Y"/>
    <m/>
    <n v="5412.7796874999985"/>
    <n v="8097.8593749999982"/>
    <n v="5412.7796874999985"/>
    <s v="remove"/>
    <m/>
    <m/>
    <m/>
    <m/>
    <m/>
    <n v="8097.8593749999982"/>
    <m/>
    <n v="0"/>
    <n v="5412.7796874999985"/>
    <m/>
    <n v="8097.8593749999982"/>
    <n v="0"/>
    <m/>
  </r>
  <r>
    <x v="1"/>
    <n v="1"/>
    <n v="41151"/>
    <n v="41151"/>
    <n v="43011"/>
    <s v="No"/>
    <m/>
    <m/>
    <x v="0"/>
    <m/>
    <n v="450079"/>
    <x v="66"/>
    <s v="Mohammad"/>
    <s v="Ahmed"/>
    <x v="759"/>
    <d v="2019-05-29T00:00:00"/>
    <n v="4.2354551676933605"/>
    <n v="0"/>
    <n v="872"/>
    <n v="872"/>
    <d v="2023-09-04T00:00:00"/>
    <n v="66"/>
    <d v="2024-03-31T00:00:00"/>
    <n v="192"/>
    <n v="127"/>
    <n v="0.66145833333333337"/>
    <m/>
    <n v="30"/>
    <m/>
    <m/>
    <x v="0"/>
    <x v="0"/>
    <x v="0"/>
    <s v="NO"/>
    <s v="NO"/>
    <s v="NO"/>
    <s v="NO"/>
    <m/>
    <n v="8183.0999999999985"/>
    <m/>
    <n v="1"/>
    <n v="0.66145833333333337"/>
    <n v="5412.7796874999995"/>
    <n v="5412.7796874999995"/>
    <n v="5412.7796874999995"/>
    <n v="0"/>
    <n v="0"/>
    <m/>
    <m/>
    <m/>
    <m/>
    <m/>
    <m/>
    <m/>
    <n v="5412.7796874999995"/>
    <n v="5412.7796874999995"/>
    <s v="Greenwood Nursery"/>
    <m/>
    <m/>
    <m/>
    <m/>
    <m/>
    <m/>
    <m/>
    <m/>
    <m/>
    <m/>
    <m/>
    <n v="5412.7796874999995"/>
    <m/>
    <m/>
    <m/>
    <m/>
    <m/>
    <m/>
    <m/>
    <n v="5412.7796874999995"/>
    <m/>
    <n v="0"/>
    <n v="5412.7796874999995"/>
    <m/>
    <n v="5412.7796874999995"/>
    <n v="0"/>
    <m/>
  </r>
  <r>
    <x v="0"/>
    <n v="1"/>
    <n v="41151"/>
    <n v="41151"/>
    <n v="43011"/>
    <s v="No"/>
    <m/>
    <m/>
    <x v="0"/>
    <m/>
    <n v="402893"/>
    <x v="66"/>
    <s v="Ruby"/>
    <s v="Miller"/>
    <x v="760"/>
    <d v="2012-02-01T00:00:00"/>
    <n v="11.5564681724846"/>
    <n v="6"/>
    <n v="872"/>
    <n v="872"/>
    <d v="2023-04-01T00:00:00"/>
    <n v="1"/>
    <d v="2023-07-21T00:00:00"/>
    <n v="63"/>
    <n v="63"/>
    <n v="0.328125"/>
    <s v="Yr 6"/>
    <n v="25"/>
    <m/>
    <m/>
    <x v="1"/>
    <x v="1"/>
    <x v="0"/>
    <s v="NO"/>
    <s v="NO"/>
    <s v="NO"/>
    <s v="NO"/>
    <m/>
    <n v="5819.25"/>
    <s v="ASD"/>
    <n v="1"/>
    <n v="0.328125"/>
    <n v="1909.44140625"/>
    <n v="1909.44140625"/>
    <n v="1909.44140625"/>
    <n v="1909.44140625"/>
    <n v="1909.44140625"/>
    <m/>
    <m/>
    <e v="#N/A"/>
    <s v="special"/>
    <e v="#N/A"/>
    <s v="Y"/>
    <n v="3879.5"/>
    <n v="0"/>
    <n v="1909.44140625"/>
    <s v="special"/>
    <s v="special"/>
    <m/>
    <m/>
    <s v=" Name on Type"/>
    <m/>
    <n v="25"/>
    <n v="5819.25"/>
    <m/>
    <s v="Y"/>
    <m/>
    <n v="3849.19140625"/>
    <n v="5758.6328125"/>
    <n v="3849.19140625"/>
    <s v="remove"/>
    <m/>
    <m/>
    <m/>
    <m/>
    <m/>
    <n v="5758.6328125"/>
    <m/>
    <n v="0"/>
    <n v="3849.19140625"/>
    <m/>
    <n v="5758.6328125"/>
    <n v="0"/>
    <m/>
  </r>
  <r>
    <x v="0"/>
    <n v="1"/>
    <n v="41151"/>
    <n v="41151"/>
    <n v="43011"/>
    <s v="No"/>
    <m/>
    <m/>
    <x v="0"/>
    <m/>
    <n v="424019"/>
    <x v="66"/>
    <s v="Theo"/>
    <s v="Sedgman"/>
    <x v="761"/>
    <d v="2012-03-16T00:00:00"/>
    <n v="11.436002737850787"/>
    <n v="6"/>
    <n v="872"/>
    <n v="872"/>
    <d v="2023-04-01T00:00:00"/>
    <n v="1"/>
    <d v="2023-07-21T00:00:00"/>
    <n v="63"/>
    <n v="63"/>
    <n v="0.328125"/>
    <s v="Yr 6"/>
    <n v="25"/>
    <m/>
    <m/>
    <x v="1"/>
    <x v="1"/>
    <x v="0"/>
    <s v="NO"/>
    <s v="NO"/>
    <s v="NO"/>
    <s v="NO"/>
    <m/>
    <n v="5819.25"/>
    <s v="ASD"/>
    <n v="1"/>
    <n v="0.328125"/>
    <n v="1909.44140625"/>
    <n v="1909.44140625"/>
    <n v="1909.44140625"/>
    <n v="1909.44140625"/>
    <n v="1909.44140625"/>
    <m/>
    <m/>
    <e v="#N/A"/>
    <s v="The Embrook"/>
    <e v="#N/A"/>
    <m/>
    <m/>
    <n v="0"/>
    <n v="1909.44140625"/>
    <s v="The Emmbrook School"/>
    <s v="WBC Academy"/>
    <n v="43012"/>
    <m/>
    <s v="The Emmbrook School"/>
    <m/>
    <n v="25"/>
    <n v="5819.25"/>
    <m/>
    <s v="Y"/>
    <m/>
    <n v="3849.19140625"/>
    <n v="5758.6328125"/>
    <m/>
    <m/>
    <m/>
    <m/>
    <m/>
    <m/>
    <m/>
    <n v="5758.6328125"/>
    <m/>
    <n v="0"/>
    <n v="3849.19140625"/>
    <m/>
    <n v="5758.6328125"/>
    <n v="0"/>
    <m/>
  </r>
  <r>
    <x v="0"/>
    <n v="1"/>
    <n v="41152"/>
    <n v="41152"/>
    <n v="43011"/>
    <s v="No"/>
    <m/>
    <m/>
    <x v="0"/>
    <m/>
    <n v="410020"/>
    <x v="67"/>
    <s v="Albert"/>
    <s v="Smith"/>
    <x v="762"/>
    <d v="2013-08-11T00:00:00"/>
    <n v="10.031485284052019"/>
    <n v="5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ASD"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0"/>
    <n v="1"/>
    <n v="41152"/>
    <n v="41152"/>
    <n v="43011"/>
    <s v="No"/>
    <m/>
    <m/>
    <x v="0"/>
    <m/>
    <n v="423020"/>
    <x v="67"/>
    <s v="Alexander"/>
    <s v="Carpenter"/>
    <x v="763"/>
    <d v="2012-01-24T00:00:00"/>
    <n v="11.578370978781656"/>
    <n v="6"/>
    <n v="872"/>
    <n v="872"/>
    <d v="2023-04-01T00:00:00"/>
    <n v="1"/>
    <d v="2023-07-21T00:00:00"/>
    <n v="63"/>
    <n v="63"/>
    <n v="0.328125"/>
    <s v="Yr 6"/>
    <n v="30"/>
    <m/>
    <m/>
    <x v="0"/>
    <x v="0"/>
    <x v="0"/>
    <s v="NO"/>
    <s v="NO"/>
    <s v="NO"/>
    <s v="NO"/>
    <m/>
    <n v="8183.0999999999985"/>
    <s v="ASD"/>
    <n v="1"/>
    <n v="0.328125"/>
    <n v="2685.0796874999996"/>
    <n v="2685.0796874999996"/>
    <n v="2685.0796874999996"/>
    <n v="2685.0796874999996"/>
    <n v="2685.0796874999996"/>
    <m/>
    <m/>
    <e v="#N/A"/>
    <s v="Ther Piggott"/>
    <e v="#N/A"/>
    <m/>
    <m/>
    <n v="0"/>
    <n v="2685.0796874999996"/>
    <s v="The Piggott School"/>
    <s v="WBC Academy"/>
    <n v="43012"/>
    <m/>
    <s v="The Piggott School"/>
    <m/>
    <n v="30"/>
    <n v="8183.0999999999985"/>
    <m/>
    <s v="Y"/>
    <m/>
    <n v="5412.7796874999985"/>
    <n v="8097.8593749999982"/>
    <m/>
    <m/>
    <m/>
    <m/>
    <m/>
    <m/>
    <m/>
    <n v="8097.8593749999982"/>
    <m/>
    <n v="0"/>
    <n v="5412.7796874999985"/>
    <m/>
    <n v="8097.8593749999982"/>
    <n v="0"/>
    <m/>
  </r>
  <r>
    <x v="0"/>
    <n v="1"/>
    <n v="41152"/>
    <n v="41152"/>
    <n v="43011"/>
    <s v="No"/>
    <m/>
    <m/>
    <x v="0"/>
    <m/>
    <n v="438335"/>
    <x v="67"/>
    <s v="Archie"/>
    <s v="Butler"/>
    <x v="764"/>
    <d v="2015-12-05T00:00:00"/>
    <n v="7.7152635181382614"/>
    <n v="2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SEMH"/>
    <n v="1"/>
    <n v="1"/>
    <n v="8183.0999999999985"/>
    <n v="8183.0999999999985"/>
    <n v="8183.0999999999985"/>
    <n v="8183.0999999999985"/>
    <n v="8183.1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0"/>
    <n v="1"/>
    <n v="41152"/>
    <n v="41152"/>
    <n v="43011"/>
    <s v="No"/>
    <m/>
    <m/>
    <x v="0"/>
    <m/>
    <n v="407649"/>
    <x v="67"/>
    <s v="Bella"/>
    <s v="Cannon"/>
    <x v="765"/>
    <d v="2013-12-24T00:00:00"/>
    <n v="9.6618754277891856"/>
    <n v="5"/>
    <n v="872"/>
    <n v="872"/>
    <d v="2023-07-06T00:00:00"/>
    <n v="52"/>
    <d v="2024-03-31T00:00:00"/>
    <n v="192"/>
    <n v="141"/>
    <n v="0.734375"/>
    <s v="open"/>
    <n v="25"/>
    <m/>
    <m/>
    <x v="1"/>
    <x v="1"/>
    <x v="0"/>
    <s v="NO"/>
    <s v="NO"/>
    <s v="NO"/>
    <s v="NO"/>
    <m/>
    <n v="5819.25"/>
    <s v="MLD"/>
    <n v="1"/>
    <n v="0.734375"/>
    <n v="4273.51171875"/>
    <n v="4273.51171875"/>
    <n v="0"/>
    <n v="0"/>
    <n v="0"/>
    <m/>
    <m/>
    <e v="#N/A"/>
    <e v="#N/A"/>
    <e v="#N/A"/>
    <m/>
    <m/>
    <n v="0"/>
    <n v="0"/>
    <m/>
    <m/>
    <m/>
    <m/>
    <m/>
    <m/>
    <m/>
    <m/>
    <m/>
    <m/>
    <m/>
    <m/>
    <n v="0"/>
    <m/>
    <m/>
    <m/>
    <m/>
    <m/>
    <m/>
    <m/>
    <n v="4273.51171875"/>
    <m/>
    <n v="4273.51171875"/>
    <n v="4273.51171875"/>
    <m/>
    <n v="4273.51171875"/>
    <n v="0"/>
    <m/>
  </r>
  <r>
    <x v="0"/>
    <n v="1"/>
    <n v="41152"/>
    <n v="41152"/>
    <n v="43011"/>
    <s v="No"/>
    <m/>
    <m/>
    <x v="0"/>
    <m/>
    <n v="425088"/>
    <x v="67"/>
    <s v="Dylan"/>
    <s v="Green"/>
    <x v="766"/>
    <d v="2016-01-25T00:00:00"/>
    <n v="7.5756331279945242"/>
    <n v="2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OD"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0"/>
    <n v="1"/>
    <n v="41152"/>
    <n v="41152"/>
    <n v="43011"/>
    <s v="No"/>
    <m/>
    <m/>
    <x v="0"/>
    <m/>
    <n v="419603"/>
    <x v="67"/>
    <s v="Harley"/>
    <s v="Taylor"/>
    <x v="767"/>
    <d v="2015-01-21T00:00:00"/>
    <n v="8.5859000684462696"/>
    <n v="3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SLCD"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0"/>
    <n v="1"/>
    <n v="41152"/>
    <n v="41152"/>
    <n v="43011"/>
    <s v="No"/>
    <m/>
    <m/>
    <x v="0"/>
    <m/>
    <n v="403346"/>
    <x v="67"/>
    <s v="Harry"/>
    <s v="Goff"/>
    <x v="768"/>
    <d v="2012-10-28T00:00:00"/>
    <n v="10.817248459958932"/>
    <n v="5"/>
    <n v="872"/>
    <n v="872"/>
    <d v="2023-04-04T00:00:00"/>
    <n v="1"/>
    <d v="2024-03-31T00:00:00"/>
    <n v="192"/>
    <n v="192"/>
    <n v="1"/>
    <s v="open"/>
    <n v="27"/>
    <m/>
    <m/>
    <x v="0"/>
    <x v="0"/>
    <x v="0"/>
    <s v="NO"/>
    <s v="NO"/>
    <s v="NO"/>
    <s v="NO"/>
    <m/>
    <n v="6764.7899999999991"/>
    <s v="OD"/>
    <n v="1"/>
    <n v="1"/>
    <n v="6764.7899999999991"/>
    <n v="6764.7899999999991"/>
    <n v="6764.7899999999991"/>
    <n v="0"/>
    <n v="6764.7899999999991"/>
    <m/>
    <m/>
    <e v="#N/A"/>
    <e v="#N/A"/>
    <e v="#N/A"/>
    <m/>
    <m/>
    <n v="0"/>
    <n v="6764.7899999999991"/>
    <s v=""/>
    <m/>
    <m/>
    <m/>
    <m/>
    <m/>
    <m/>
    <m/>
    <m/>
    <m/>
    <m/>
    <m/>
    <n v="6764.7899999999991"/>
    <m/>
    <m/>
    <m/>
    <m/>
    <m/>
    <m/>
    <m/>
    <n v="6764.7899999999991"/>
    <m/>
    <n v="0"/>
    <n v="6764.7899999999991"/>
    <m/>
    <n v="6764.7899999999991"/>
    <n v="0"/>
    <m/>
  </r>
  <r>
    <x v="0"/>
    <n v="1"/>
    <n v="41152"/>
    <n v="41152"/>
    <n v="43011"/>
    <s v="No"/>
    <m/>
    <m/>
    <x v="0"/>
    <m/>
    <n v="420836"/>
    <x v="67"/>
    <s v="Jay Curtiss"/>
    <s v="Trussler"/>
    <x v="769"/>
    <d v="2011-09-16T00:00:00"/>
    <n v="11.93429158110883"/>
    <n v="6"/>
    <n v="872"/>
    <n v="872"/>
    <d v="2023-04-01T00:00:00"/>
    <n v="1"/>
    <d v="2023-07-21T00:00:00"/>
    <n v="63"/>
    <n v="63"/>
    <n v="0.328125"/>
    <s v="Yr 6"/>
    <n v="30"/>
    <m/>
    <m/>
    <x v="0"/>
    <x v="0"/>
    <x v="0"/>
    <s v="NO"/>
    <s v="NO"/>
    <s v="NO"/>
    <s v="NO"/>
    <m/>
    <n v="8183.0999999999985"/>
    <s v="SLCD"/>
    <n v="1"/>
    <n v="0.328125"/>
    <n v="2685.0796874999996"/>
    <n v="2685.0796874999996"/>
    <n v="2685.0796874999996"/>
    <n v="2685.0796874999996"/>
    <n v="2685.0796874999996"/>
    <m/>
    <m/>
    <e v="#N/A"/>
    <s v="Addington"/>
    <e v="#N/A"/>
    <m/>
    <m/>
    <n v="0"/>
    <n v="2685.0796874999996"/>
    <s v="Name Addington -Issue 15th Feb"/>
    <s v="WBC Spec"/>
    <m/>
    <m/>
    <s v="Name Addington -Issue 15th Feb"/>
    <m/>
    <m/>
    <m/>
    <m/>
    <s v="Y"/>
    <m/>
    <m/>
    <n v="2685.0796874999996"/>
    <m/>
    <m/>
    <m/>
    <m/>
    <m/>
    <m/>
    <m/>
    <n v="2685.0796874999996"/>
    <m/>
    <n v="0"/>
    <n v="0"/>
    <m/>
    <n v="2685.0796874999996"/>
    <n v="0"/>
    <m/>
  </r>
  <r>
    <x v="0"/>
    <n v="1"/>
    <n v="41152"/>
    <n v="41152"/>
    <n v="43011"/>
    <s v="No"/>
    <m/>
    <m/>
    <x v="0"/>
    <m/>
    <n v="415101"/>
    <x v="67"/>
    <s v="Kieron"/>
    <s v="Radomski"/>
    <x v="770"/>
    <d v="2014-06-03T00:00:00"/>
    <n v="9.2210814510609165"/>
    <n v="4"/>
    <n v="872"/>
    <n v="872"/>
    <d v="2023-04-01T00:00:00"/>
    <n v="1"/>
    <d v="2024-03-31T00:00:00"/>
    <n v="192"/>
    <n v="192"/>
    <n v="1"/>
    <s v="open"/>
    <n v="25"/>
    <m/>
    <m/>
    <x v="1"/>
    <x v="1"/>
    <x v="0"/>
    <s v="NO"/>
    <s v="NO"/>
    <s v="NO"/>
    <s v="NO"/>
    <m/>
    <n v="5819.25"/>
    <s v="SLCD"/>
    <n v="1"/>
    <n v="1"/>
    <n v="5819.25"/>
    <n v="5819.25"/>
    <n v="5819.25"/>
    <n v="5819.25"/>
    <n v="5819.25"/>
    <m/>
    <m/>
    <e v="#N/A"/>
    <e v="#N/A"/>
    <e v="#N/A"/>
    <m/>
    <m/>
    <n v="0"/>
    <n v="5819.25"/>
    <s v=""/>
    <m/>
    <m/>
    <m/>
    <m/>
    <m/>
    <m/>
    <m/>
    <m/>
    <m/>
    <m/>
    <m/>
    <n v="5819.25"/>
    <m/>
    <m/>
    <m/>
    <m/>
    <m/>
    <m/>
    <m/>
    <n v="5819.25"/>
    <m/>
    <n v="0"/>
    <n v="0"/>
    <m/>
    <n v="5819.25"/>
    <n v="0"/>
    <m/>
  </r>
  <r>
    <x v="0"/>
    <n v="1"/>
    <n v="41152"/>
    <n v="41152"/>
    <n v="43011"/>
    <s v="No"/>
    <m/>
    <m/>
    <x v="0"/>
    <m/>
    <n v="425005"/>
    <x v="67"/>
    <s v="Lewis"/>
    <s v="O'Brien-Noakes"/>
    <x v="771"/>
    <d v="2015-10-28T00:00:00"/>
    <n v="7.8193018480492817"/>
    <n v="2"/>
    <n v="872"/>
    <n v="872"/>
    <d v="2023-04-01T00:00:00"/>
    <n v="1"/>
    <d v="2024-03-31T00:00:00"/>
    <n v="192"/>
    <n v="192"/>
    <n v="1"/>
    <s v="open"/>
    <n v="30"/>
    <m/>
    <m/>
    <x v="0"/>
    <x v="0"/>
    <x v="0"/>
    <s v="NO"/>
    <s v="NO"/>
    <s v="NO"/>
    <s v="NO"/>
    <m/>
    <n v="8183.0999999999985"/>
    <s v="SLCD"/>
    <n v="1"/>
    <n v="1"/>
    <n v="8183.0999999999985"/>
    <n v="8183.0999999999985"/>
    <n v="8183.0999999999985"/>
    <n v="8183.0999999999985"/>
    <n v="8183.0999999999985"/>
    <m/>
    <m/>
    <e v="#N/A"/>
    <e v="#N/A"/>
    <e v="#N/A"/>
    <m/>
    <m/>
    <n v="0"/>
    <n v="8183.0999999999985"/>
    <s v=""/>
    <m/>
    <m/>
    <m/>
    <m/>
    <m/>
    <m/>
    <m/>
    <m/>
    <m/>
    <m/>
    <m/>
    <n v="8183.0999999999985"/>
    <m/>
    <m/>
    <m/>
    <m/>
    <m/>
    <m/>
    <m/>
    <n v="8183.0999999999985"/>
    <m/>
    <n v="0"/>
    <n v="0"/>
    <m/>
    <n v="8183.0999999999985"/>
    <n v="0"/>
    <m/>
  </r>
  <r>
    <x v="3"/>
    <s v="current"/>
    <m/>
    <m/>
    <m/>
    <m/>
    <m/>
    <m/>
    <x v="3"/>
    <m/>
    <m/>
    <x v="68"/>
    <m/>
    <m/>
    <x v="381"/>
    <m/>
    <m/>
    <m/>
    <m/>
    <m/>
    <m/>
    <m/>
    <m/>
    <m/>
    <m/>
    <m/>
    <m/>
    <m/>
    <m/>
    <m/>
    <x v="4"/>
    <x v="3"/>
    <x v="4"/>
    <m/>
    <m/>
    <m/>
    <m/>
    <m/>
    <n v="7932476.4546847874"/>
    <m/>
    <m/>
    <m/>
    <n v="5982204.1986986641"/>
    <n v="5963269.2960143695"/>
    <n v="5953654.3875528304"/>
    <n v="4731161.7094278382"/>
    <n v="5744400.0377090806"/>
    <n v="0"/>
    <n v="23996"/>
    <m/>
    <m/>
    <m/>
    <n v="0"/>
    <n v="340653.90645654674"/>
    <n v="196658.54984374999"/>
    <n v="5922964.6875528311"/>
    <m/>
    <m/>
    <m/>
    <m/>
    <m/>
    <m/>
    <m/>
    <n v="1224035.5796848205"/>
    <n v="0"/>
    <n v="0"/>
    <n v="0"/>
    <n v="805816.31119777099"/>
    <n v="6727181.8126568412"/>
    <n v="121122.16197902156"/>
    <n v="0"/>
    <m/>
    <m/>
    <n v="0"/>
    <m/>
    <m/>
    <n v="6760987.74783713"/>
    <n v="0"/>
    <n v="31120.855492788454"/>
    <n v="2027140.9587218117"/>
    <m/>
    <n v="6748435.7718074815"/>
    <n v="-12551.976029648446"/>
    <m/>
  </r>
  <r>
    <x v="4"/>
    <s v="all"/>
    <m/>
    <m/>
    <m/>
    <m/>
    <m/>
    <m/>
    <x v="3"/>
    <m/>
    <m/>
    <x v="68"/>
    <m/>
    <m/>
    <x v="381"/>
    <m/>
    <m/>
    <m/>
    <m/>
    <m/>
    <m/>
    <m/>
    <m/>
    <m/>
    <m/>
    <m/>
    <m/>
    <m/>
    <m/>
    <m/>
    <x v="4"/>
    <x v="3"/>
    <x v="4"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m/>
    <m/>
    <m/>
    <m/>
    <m/>
    <m/>
    <m/>
    <x v="3"/>
    <m/>
    <m/>
    <x v="68"/>
    <m/>
    <m/>
    <x v="381"/>
    <m/>
    <m/>
    <m/>
    <m/>
    <m/>
    <m/>
    <m/>
    <m/>
    <m/>
    <m/>
    <m/>
    <m/>
    <m/>
    <m/>
    <m/>
    <x v="4"/>
    <x v="3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m/>
    <m/>
    <m/>
    <m/>
    <m/>
    <m/>
    <m/>
    <x v="3"/>
    <m/>
    <m/>
    <x v="68"/>
    <m/>
    <m/>
    <x v="381"/>
    <m/>
    <m/>
    <m/>
    <m/>
    <m/>
    <m/>
    <m/>
    <m/>
    <m/>
    <m/>
    <m/>
    <m/>
    <m/>
    <m/>
    <m/>
    <x v="4"/>
    <x v="3"/>
    <x v="4"/>
    <m/>
    <m/>
    <m/>
    <m/>
    <m/>
    <m/>
    <m/>
    <m/>
    <m/>
    <m/>
    <m/>
    <n v="5953654.3875528304"/>
    <n v="4731161.71"/>
    <n v="5744400.0377090806"/>
    <m/>
    <m/>
    <m/>
    <m/>
    <m/>
    <m/>
    <m/>
    <m/>
    <n v="5914781.5875528306"/>
    <m/>
    <m/>
    <m/>
    <m/>
    <m/>
    <m/>
    <m/>
    <m/>
    <m/>
    <m/>
    <m/>
    <m/>
    <n v="6677148.5812505921"/>
    <m/>
    <m/>
    <m/>
    <m/>
    <m/>
    <m/>
    <m/>
    <m/>
    <m/>
    <m/>
    <m/>
    <m/>
    <m/>
    <m/>
    <m/>
  </r>
  <r>
    <x v="2"/>
    <m/>
    <m/>
    <m/>
    <m/>
    <m/>
    <m/>
    <m/>
    <x v="3"/>
    <m/>
    <m/>
    <x v="69"/>
    <m/>
    <m/>
    <x v="772"/>
    <m/>
    <m/>
    <m/>
    <m/>
    <m/>
    <m/>
    <m/>
    <m/>
    <m/>
    <m/>
    <m/>
    <m/>
    <m/>
    <m/>
    <m/>
    <x v="4"/>
    <x v="3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m/>
    <m/>
    <m/>
    <m/>
    <m/>
    <m/>
    <m/>
    <x v="3"/>
    <m/>
    <m/>
    <x v="70"/>
    <m/>
    <m/>
    <x v="773"/>
    <m/>
    <m/>
    <m/>
    <m/>
    <m/>
    <m/>
    <m/>
    <m/>
    <m/>
    <m/>
    <m/>
    <m/>
    <m/>
    <m/>
    <m/>
    <x v="4"/>
    <x v="3"/>
    <x v="4"/>
    <m/>
    <m/>
    <m/>
    <m/>
    <m/>
    <m/>
    <m/>
    <m/>
    <m/>
    <m/>
    <m/>
    <n v="0"/>
    <m/>
    <m/>
    <m/>
    <m/>
    <m/>
    <m/>
    <m/>
    <m/>
    <m/>
    <m/>
    <n v="-8183.1000000005588"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m/>
    <m/>
    <m/>
    <m/>
    <m/>
    <m/>
    <m/>
    <x v="3"/>
    <m/>
    <m/>
    <x v="71"/>
    <m/>
    <m/>
    <x v="774"/>
    <m/>
    <m/>
    <m/>
    <m/>
    <m/>
    <m/>
    <m/>
    <m/>
    <m/>
    <m/>
    <m/>
    <m/>
    <m/>
    <m/>
    <m/>
    <x v="4"/>
    <x v="3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m/>
    <m/>
    <m/>
    <m/>
    <m/>
    <m/>
    <m/>
    <x v="3"/>
    <m/>
    <m/>
    <x v="72"/>
    <m/>
    <m/>
    <x v="775"/>
    <m/>
    <m/>
    <m/>
    <m/>
    <m/>
    <m/>
    <m/>
    <m/>
    <m/>
    <m/>
    <m/>
    <m/>
    <m/>
    <m/>
    <m/>
    <x v="4"/>
    <x v="3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m/>
    <m/>
    <m/>
    <m/>
    <m/>
    <m/>
    <m/>
    <x v="3"/>
    <m/>
    <m/>
    <x v="73"/>
    <m/>
    <m/>
    <x v="776"/>
    <m/>
    <m/>
    <m/>
    <m/>
    <m/>
    <m/>
    <m/>
    <m/>
    <m/>
    <m/>
    <m/>
    <m/>
    <m/>
    <m/>
    <m/>
    <x v="4"/>
    <x v="3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m/>
    <m/>
    <m/>
    <m/>
    <m/>
    <m/>
    <m/>
    <x v="3"/>
    <m/>
    <m/>
    <x v="68"/>
    <m/>
    <m/>
    <x v="381"/>
    <m/>
    <m/>
    <m/>
    <m/>
    <m/>
    <m/>
    <m/>
    <m/>
    <m/>
    <m/>
    <m/>
    <m/>
    <m/>
    <m/>
    <m/>
    <x v="4"/>
    <x v="3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m/>
    <m/>
    <m/>
    <m/>
    <m/>
    <m/>
    <m/>
    <x v="3"/>
    <m/>
    <m/>
    <x v="74"/>
    <m/>
    <m/>
    <x v="777"/>
    <s v="new rate"/>
    <m/>
    <m/>
    <m/>
    <m/>
    <m/>
    <m/>
    <m/>
    <m/>
    <m/>
    <m/>
    <m/>
    <m/>
    <m/>
    <m/>
    <x v="4"/>
    <x v="3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m/>
    <m/>
    <m/>
    <m/>
    <m/>
    <m/>
    <m/>
    <x v="3"/>
    <m/>
    <m/>
    <x v="68"/>
    <m/>
    <m/>
    <x v="381"/>
    <m/>
    <m/>
    <m/>
    <m/>
    <m/>
    <m/>
    <m/>
    <m/>
    <m/>
    <m/>
    <m/>
    <m/>
    <m/>
    <m/>
    <m/>
    <x v="4"/>
    <x v="3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m/>
    <m/>
    <m/>
    <m/>
    <m/>
    <m/>
    <m/>
    <x v="3"/>
    <m/>
    <m/>
    <x v="68"/>
    <m/>
    <m/>
    <x v="381"/>
    <m/>
    <m/>
    <m/>
    <m/>
    <m/>
    <m/>
    <m/>
    <m/>
    <m/>
    <m/>
    <m/>
    <m/>
    <m/>
    <m/>
    <m/>
    <x v="4"/>
    <x v="3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m/>
    <m/>
    <m/>
    <m/>
    <m/>
    <m/>
    <m/>
    <x v="3"/>
    <m/>
    <m/>
    <x v="68"/>
    <m/>
    <m/>
    <x v="381"/>
    <m/>
    <m/>
    <m/>
    <m/>
    <m/>
    <m/>
    <m/>
    <m/>
    <m/>
    <m/>
    <m/>
    <m/>
    <m/>
    <m/>
    <m/>
    <x v="4"/>
    <x v="3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m/>
    <m/>
    <m/>
    <m/>
    <m/>
    <m/>
    <m/>
    <x v="3"/>
    <m/>
    <m/>
    <x v="68"/>
    <m/>
    <m/>
    <x v="381"/>
    <m/>
    <m/>
    <m/>
    <m/>
    <m/>
    <m/>
    <m/>
    <m/>
    <m/>
    <m/>
    <m/>
    <m/>
    <m/>
    <m/>
    <m/>
    <x v="4"/>
    <x v="3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m/>
    <m/>
    <m/>
    <m/>
    <m/>
    <m/>
    <m/>
    <x v="3"/>
    <m/>
    <m/>
    <x v="68"/>
    <m/>
    <m/>
    <x v="381"/>
    <m/>
    <m/>
    <m/>
    <m/>
    <m/>
    <m/>
    <m/>
    <m/>
    <m/>
    <m/>
    <m/>
    <m/>
    <m/>
    <m/>
    <m/>
    <x v="4"/>
    <x v="3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m/>
    <m/>
    <m/>
    <m/>
    <m/>
    <m/>
    <m/>
    <x v="3"/>
    <m/>
    <m/>
    <x v="68"/>
    <m/>
    <s v="INFANT"/>
    <x v="381"/>
    <m/>
    <m/>
    <m/>
    <m/>
    <m/>
    <m/>
    <m/>
    <m/>
    <m/>
    <m/>
    <m/>
    <m/>
    <m/>
    <m/>
    <m/>
    <x v="4"/>
    <x v="3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m/>
    <m/>
    <m/>
    <m/>
    <m/>
    <m/>
    <m/>
    <x v="3"/>
    <m/>
    <m/>
    <x v="1"/>
    <m/>
    <s v="No"/>
    <x v="778"/>
    <m/>
    <m/>
    <m/>
    <m/>
    <m/>
    <m/>
    <m/>
    <m/>
    <m/>
    <m/>
    <m/>
    <m/>
    <m/>
    <m/>
    <m/>
    <x v="4"/>
    <x v="3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m/>
    <m/>
    <m/>
    <m/>
    <m/>
    <m/>
    <m/>
    <x v="3"/>
    <m/>
    <m/>
    <x v="75"/>
    <m/>
    <s v="No"/>
    <x v="779"/>
    <m/>
    <m/>
    <m/>
    <m/>
    <m/>
    <m/>
    <m/>
    <m/>
    <m/>
    <m/>
    <m/>
    <m/>
    <m/>
    <m/>
    <m/>
    <x v="4"/>
    <x v="3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m/>
    <m/>
    <m/>
    <m/>
    <m/>
    <m/>
    <m/>
    <x v="3"/>
    <m/>
    <m/>
    <x v="2"/>
    <m/>
    <s v="No"/>
    <x v="780"/>
    <m/>
    <m/>
    <m/>
    <m/>
    <m/>
    <m/>
    <m/>
    <m/>
    <m/>
    <m/>
    <m/>
    <m/>
    <m/>
    <m/>
    <m/>
    <x v="4"/>
    <x v="3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m/>
    <m/>
    <m/>
    <m/>
    <m/>
    <m/>
    <m/>
    <x v="3"/>
    <m/>
    <m/>
    <x v="3"/>
    <m/>
    <s v="No"/>
    <x v="781"/>
    <m/>
    <m/>
    <s v="No"/>
    <m/>
    <m/>
    <m/>
    <m/>
    <m/>
    <m/>
    <m/>
    <m/>
    <m/>
    <m/>
    <m/>
    <m/>
    <x v="4"/>
    <x v="3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m/>
    <m/>
    <m/>
    <m/>
    <m/>
    <m/>
    <m/>
    <x v="3"/>
    <m/>
    <m/>
    <x v="4"/>
    <m/>
    <s v="No"/>
    <x v="782"/>
    <m/>
    <m/>
    <s v="No"/>
    <m/>
    <m/>
    <m/>
    <m/>
    <m/>
    <m/>
    <m/>
    <m/>
    <m/>
    <m/>
    <m/>
    <m/>
    <x v="4"/>
    <x v="3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m/>
    <m/>
    <m/>
    <m/>
    <m/>
    <m/>
    <m/>
    <x v="3"/>
    <m/>
    <m/>
    <x v="8"/>
    <m/>
    <s v="No"/>
    <x v="783"/>
    <m/>
    <m/>
    <s v="No"/>
    <m/>
    <m/>
    <m/>
    <m/>
    <m/>
    <m/>
    <m/>
    <m/>
    <m/>
    <m/>
    <m/>
    <m/>
    <x v="4"/>
    <x v="3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m/>
    <m/>
    <m/>
    <m/>
    <m/>
    <m/>
    <m/>
    <x v="3"/>
    <m/>
    <m/>
    <x v="9"/>
    <m/>
    <s v="No"/>
    <x v="784"/>
    <m/>
    <m/>
    <s v="No"/>
    <m/>
    <m/>
    <m/>
    <m/>
    <m/>
    <m/>
    <m/>
    <m/>
    <m/>
    <m/>
    <m/>
    <m/>
    <x v="4"/>
    <x v="3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m/>
    <m/>
    <m/>
    <m/>
    <m/>
    <m/>
    <m/>
    <x v="3"/>
    <m/>
    <m/>
    <x v="10"/>
    <m/>
    <s v="No"/>
    <x v="785"/>
    <m/>
    <m/>
    <s v="No"/>
    <m/>
    <m/>
    <m/>
    <m/>
    <m/>
    <m/>
    <m/>
    <m/>
    <m/>
    <m/>
    <m/>
    <m/>
    <x v="4"/>
    <x v="3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m/>
    <m/>
    <m/>
    <m/>
    <m/>
    <m/>
    <m/>
    <x v="3"/>
    <m/>
    <m/>
    <x v="11"/>
    <m/>
    <s v="No"/>
    <x v="786"/>
    <m/>
    <m/>
    <s v="No"/>
    <m/>
    <m/>
    <m/>
    <m/>
    <m/>
    <m/>
    <m/>
    <m/>
    <m/>
    <m/>
    <m/>
    <m/>
    <x v="4"/>
    <x v="3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m/>
    <m/>
    <m/>
    <m/>
    <m/>
    <m/>
    <m/>
    <x v="3"/>
    <m/>
    <m/>
    <x v="13"/>
    <m/>
    <s v="Yes"/>
    <x v="787"/>
    <m/>
    <m/>
    <s v="No"/>
    <m/>
    <m/>
    <m/>
    <m/>
    <m/>
    <m/>
    <m/>
    <m/>
    <m/>
    <m/>
    <m/>
    <m/>
    <x v="4"/>
    <x v="3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m/>
    <m/>
    <m/>
    <m/>
    <m/>
    <m/>
    <m/>
    <x v="3"/>
    <m/>
    <m/>
    <x v="12"/>
    <m/>
    <s v="No"/>
    <x v="788"/>
    <m/>
    <m/>
    <s v="No"/>
    <m/>
    <m/>
    <m/>
    <m/>
    <m/>
    <m/>
    <m/>
    <m/>
    <m/>
    <m/>
    <m/>
    <m/>
    <x v="4"/>
    <x v="3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m/>
    <m/>
    <m/>
    <m/>
    <m/>
    <m/>
    <m/>
    <x v="3"/>
    <m/>
    <m/>
    <x v="14"/>
    <m/>
    <s v="No"/>
    <x v="789"/>
    <m/>
    <m/>
    <s v="Yes"/>
    <m/>
    <m/>
    <m/>
    <m/>
    <m/>
    <m/>
    <m/>
    <m/>
    <m/>
    <m/>
    <m/>
    <m/>
    <x v="4"/>
    <x v="3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m/>
    <m/>
    <m/>
    <m/>
    <m/>
    <m/>
    <m/>
    <x v="3"/>
    <m/>
    <m/>
    <x v="17"/>
    <m/>
    <s v="No"/>
    <x v="790"/>
    <m/>
    <m/>
    <s v="No"/>
    <m/>
    <m/>
    <m/>
    <m/>
    <m/>
    <m/>
    <m/>
    <m/>
    <m/>
    <m/>
    <m/>
    <m/>
    <x v="4"/>
    <x v="3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m/>
    <m/>
    <m/>
    <m/>
    <m/>
    <m/>
    <m/>
    <x v="3"/>
    <m/>
    <m/>
    <x v="18"/>
    <m/>
    <s v="No"/>
    <x v="791"/>
    <m/>
    <m/>
    <s v="No"/>
    <m/>
    <m/>
    <m/>
    <m/>
    <m/>
    <m/>
    <m/>
    <m/>
    <m/>
    <m/>
    <m/>
    <m/>
    <x v="4"/>
    <x v="3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m/>
    <m/>
    <m/>
    <m/>
    <m/>
    <m/>
    <m/>
    <x v="3"/>
    <m/>
    <m/>
    <x v="19"/>
    <m/>
    <s v="No"/>
    <x v="792"/>
    <m/>
    <m/>
    <s v="No"/>
    <m/>
    <m/>
    <m/>
    <m/>
    <m/>
    <m/>
    <m/>
    <m/>
    <m/>
    <m/>
    <m/>
    <m/>
    <x v="4"/>
    <x v="3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m/>
    <m/>
    <m/>
    <m/>
    <m/>
    <m/>
    <m/>
    <x v="3"/>
    <m/>
    <m/>
    <x v="20"/>
    <m/>
    <s v="No"/>
    <x v="793"/>
    <m/>
    <m/>
    <s v="No"/>
    <m/>
    <m/>
    <m/>
    <m/>
    <m/>
    <m/>
    <m/>
    <m/>
    <m/>
    <m/>
    <m/>
    <m/>
    <x v="4"/>
    <x v="3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m/>
    <m/>
    <m/>
    <m/>
    <m/>
    <m/>
    <m/>
    <x v="3"/>
    <m/>
    <m/>
    <x v="22"/>
    <m/>
    <s v="Yes"/>
    <x v="794"/>
    <m/>
    <m/>
    <s v="No"/>
    <m/>
    <m/>
    <m/>
    <m/>
    <m/>
    <m/>
    <m/>
    <m/>
    <m/>
    <m/>
    <m/>
    <m/>
    <x v="4"/>
    <x v="3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m/>
    <m/>
    <m/>
    <m/>
    <m/>
    <m/>
    <m/>
    <x v="3"/>
    <m/>
    <m/>
    <x v="23"/>
    <m/>
    <s v="No"/>
    <x v="795"/>
    <m/>
    <m/>
    <s v="No"/>
    <m/>
    <m/>
    <m/>
    <m/>
    <m/>
    <m/>
    <m/>
    <m/>
    <m/>
    <m/>
    <m/>
    <m/>
    <x v="4"/>
    <x v="3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m/>
    <m/>
    <m/>
    <m/>
    <m/>
    <m/>
    <m/>
    <x v="3"/>
    <m/>
    <m/>
    <x v="24"/>
    <m/>
    <s v="No"/>
    <x v="796"/>
    <m/>
    <m/>
    <s v="Yes"/>
    <m/>
    <m/>
    <m/>
    <m/>
    <m/>
    <m/>
    <m/>
    <m/>
    <m/>
    <m/>
    <m/>
    <m/>
    <x v="4"/>
    <x v="3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m/>
    <m/>
    <m/>
    <m/>
    <m/>
    <m/>
    <m/>
    <x v="3"/>
    <m/>
    <m/>
    <x v="25"/>
    <m/>
    <s v="No"/>
    <x v="797"/>
    <m/>
    <m/>
    <s v="No"/>
    <m/>
    <m/>
    <m/>
    <m/>
    <m/>
    <m/>
    <m/>
    <m/>
    <m/>
    <m/>
    <m/>
    <m/>
    <x v="4"/>
    <x v="3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m/>
    <m/>
    <m/>
    <m/>
    <m/>
    <m/>
    <m/>
    <x v="3"/>
    <m/>
    <m/>
    <x v="26"/>
    <m/>
    <s v="No"/>
    <x v="798"/>
    <m/>
    <m/>
    <s v="No"/>
    <m/>
    <m/>
    <m/>
    <m/>
    <m/>
    <m/>
    <m/>
    <m/>
    <m/>
    <m/>
    <m/>
    <m/>
    <x v="4"/>
    <x v="3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m/>
    <m/>
    <m/>
    <m/>
    <m/>
    <m/>
    <m/>
    <x v="3"/>
    <m/>
    <m/>
    <x v="27"/>
    <m/>
    <s v="No"/>
    <x v="799"/>
    <m/>
    <m/>
    <s v="No"/>
    <m/>
    <m/>
    <m/>
    <m/>
    <m/>
    <m/>
    <m/>
    <m/>
    <m/>
    <m/>
    <m/>
    <m/>
    <x v="4"/>
    <x v="3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m/>
    <m/>
    <m/>
    <m/>
    <m/>
    <m/>
    <m/>
    <x v="3"/>
    <m/>
    <m/>
    <x v="28"/>
    <m/>
    <s v="No"/>
    <x v="800"/>
    <m/>
    <m/>
    <s v="No"/>
    <m/>
    <m/>
    <m/>
    <m/>
    <m/>
    <m/>
    <m/>
    <m/>
    <m/>
    <m/>
    <m/>
    <m/>
    <x v="4"/>
    <x v="3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m/>
    <m/>
    <m/>
    <m/>
    <m/>
    <m/>
    <m/>
    <x v="3"/>
    <m/>
    <m/>
    <x v="29"/>
    <m/>
    <s v="No"/>
    <x v="801"/>
    <m/>
    <m/>
    <s v="No"/>
    <m/>
    <m/>
    <m/>
    <m/>
    <m/>
    <m/>
    <m/>
    <m/>
    <m/>
    <m/>
    <m/>
    <m/>
    <x v="4"/>
    <x v="3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m/>
    <m/>
    <m/>
    <m/>
    <m/>
    <m/>
    <m/>
    <x v="3"/>
    <m/>
    <m/>
    <x v="31"/>
    <m/>
    <s v="No"/>
    <x v="802"/>
    <m/>
    <m/>
    <s v="No"/>
    <m/>
    <m/>
    <m/>
    <m/>
    <m/>
    <m/>
    <m/>
    <m/>
    <m/>
    <m/>
    <m/>
    <m/>
    <x v="4"/>
    <x v="3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m/>
    <m/>
    <m/>
    <m/>
    <m/>
    <m/>
    <m/>
    <x v="3"/>
    <m/>
    <m/>
    <x v="32"/>
    <m/>
    <s v="No"/>
    <x v="803"/>
    <m/>
    <m/>
    <s v="No"/>
    <m/>
    <m/>
    <m/>
    <m/>
    <m/>
    <m/>
    <m/>
    <m/>
    <m/>
    <m/>
    <m/>
    <m/>
    <x v="4"/>
    <x v="3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m/>
    <m/>
    <m/>
    <m/>
    <m/>
    <m/>
    <m/>
    <x v="3"/>
    <m/>
    <m/>
    <x v="35"/>
    <m/>
    <s v="No"/>
    <x v="804"/>
    <m/>
    <m/>
    <s v="No"/>
    <m/>
    <m/>
    <m/>
    <m/>
    <m/>
    <m/>
    <m/>
    <m/>
    <m/>
    <m/>
    <m/>
    <m/>
    <x v="4"/>
    <x v="3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m/>
    <m/>
    <m/>
    <m/>
    <m/>
    <m/>
    <m/>
    <x v="3"/>
    <m/>
    <m/>
    <x v="37"/>
    <m/>
    <s v="Yes"/>
    <x v="805"/>
    <m/>
    <m/>
    <s v="No"/>
    <m/>
    <m/>
    <m/>
    <m/>
    <m/>
    <m/>
    <m/>
    <m/>
    <m/>
    <m/>
    <m/>
    <m/>
    <x v="4"/>
    <x v="3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m/>
    <m/>
    <m/>
    <m/>
    <m/>
    <m/>
    <m/>
    <x v="3"/>
    <m/>
    <m/>
    <x v="38"/>
    <m/>
    <s v="No"/>
    <x v="806"/>
    <m/>
    <m/>
    <s v="No"/>
    <m/>
    <m/>
    <m/>
    <m/>
    <m/>
    <m/>
    <m/>
    <m/>
    <m/>
    <m/>
    <m/>
    <m/>
    <x v="4"/>
    <x v="3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m/>
    <m/>
    <m/>
    <m/>
    <m/>
    <m/>
    <m/>
    <x v="3"/>
    <m/>
    <m/>
    <x v="40"/>
    <m/>
    <s v="Yes"/>
    <x v="807"/>
    <m/>
    <m/>
    <s v="Yes"/>
    <m/>
    <m/>
    <m/>
    <m/>
    <m/>
    <m/>
    <m/>
    <m/>
    <m/>
    <m/>
    <m/>
    <m/>
    <x v="4"/>
    <x v="3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m/>
    <m/>
    <m/>
    <m/>
    <m/>
    <m/>
    <m/>
    <x v="3"/>
    <m/>
    <m/>
    <x v="41"/>
    <m/>
    <s v="No"/>
    <x v="808"/>
    <m/>
    <m/>
    <s v="No"/>
    <m/>
    <m/>
    <m/>
    <m/>
    <m/>
    <m/>
    <m/>
    <m/>
    <m/>
    <m/>
    <m/>
    <m/>
    <x v="4"/>
    <x v="3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m/>
    <m/>
    <m/>
    <m/>
    <m/>
    <m/>
    <m/>
    <x v="3"/>
    <m/>
    <m/>
    <x v="42"/>
    <m/>
    <s v="No"/>
    <x v="809"/>
    <m/>
    <m/>
    <s v="No"/>
    <m/>
    <m/>
    <m/>
    <m/>
    <m/>
    <m/>
    <m/>
    <m/>
    <m/>
    <m/>
    <m/>
    <m/>
    <x v="4"/>
    <x v="3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m/>
    <m/>
    <m/>
    <m/>
    <m/>
    <m/>
    <m/>
    <x v="3"/>
    <m/>
    <m/>
    <x v="43"/>
    <m/>
    <s v="No"/>
    <x v="810"/>
    <m/>
    <m/>
    <s v="Yes"/>
    <m/>
    <m/>
    <m/>
    <m/>
    <m/>
    <m/>
    <m/>
    <m/>
    <m/>
    <m/>
    <m/>
    <m/>
    <x v="4"/>
    <x v="3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m/>
    <m/>
    <m/>
    <m/>
    <m/>
    <m/>
    <m/>
    <x v="3"/>
    <m/>
    <m/>
    <x v="44"/>
    <m/>
    <s v="Yes"/>
    <x v="811"/>
    <m/>
    <m/>
    <s v="No"/>
    <m/>
    <m/>
    <m/>
    <m/>
    <m/>
    <m/>
    <m/>
    <m/>
    <m/>
    <m/>
    <m/>
    <m/>
    <x v="4"/>
    <x v="3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m/>
    <m/>
    <m/>
    <m/>
    <m/>
    <m/>
    <m/>
    <x v="3"/>
    <m/>
    <m/>
    <x v="45"/>
    <m/>
    <s v="No"/>
    <x v="812"/>
    <m/>
    <m/>
    <s v="No"/>
    <m/>
    <m/>
    <m/>
    <m/>
    <m/>
    <m/>
    <m/>
    <m/>
    <m/>
    <m/>
    <m/>
    <m/>
    <x v="4"/>
    <x v="3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m/>
    <m/>
    <m/>
    <m/>
    <m/>
    <m/>
    <m/>
    <x v="3"/>
    <m/>
    <m/>
    <x v="46"/>
    <m/>
    <s v="Yes"/>
    <x v="813"/>
    <m/>
    <m/>
    <s v="No"/>
    <m/>
    <m/>
    <m/>
    <m/>
    <m/>
    <m/>
    <m/>
    <m/>
    <m/>
    <m/>
    <m/>
    <m/>
    <x v="4"/>
    <x v="3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m/>
    <m/>
    <m/>
    <m/>
    <m/>
    <m/>
    <m/>
    <x v="3"/>
    <m/>
    <m/>
    <x v="47"/>
    <m/>
    <s v="No"/>
    <x v="814"/>
    <m/>
    <m/>
    <s v="Yes"/>
    <m/>
    <m/>
    <m/>
    <m/>
    <m/>
    <m/>
    <m/>
    <m/>
    <m/>
    <m/>
    <m/>
    <m/>
    <x v="4"/>
    <x v="3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m/>
    <m/>
    <m/>
    <m/>
    <m/>
    <m/>
    <m/>
    <x v="3"/>
    <m/>
    <m/>
    <x v="48"/>
    <m/>
    <s v="No"/>
    <x v="815"/>
    <m/>
    <m/>
    <s v="No"/>
    <m/>
    <m/>
    <m/>
    <m/>
    <m/>
    <m/>
    <m/>
    <m/>
    <m/>
    <m/>
    <m/>
    <m/>
    <x v="4"/>
    <x v="3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m/>
    <m/>
    <m/>
    <m/>
    <m/>
    <m/>
    <m/>
    <x v="3"/>
    <m/>
    <m/>
    <x v="49"/>
    <m/>
    <s v="No"/>
    <x v="816"/>
    <m/>
    <m/>
    <s v="Yes"/>
    <m/>
    <m/>
    <m/>
    <m/>
    <m/>
    <m/>
    <m/>
    <m/>
    <m/>
    <m/>
    <m/>
    <m/>
    <x v="4"/>
    <x v="3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m/>
    <m/>
    <m/>
    <m/>
    <m/>
    <m/>
    <m/>
    <x v="3"/>
    <m/>
    <m/>
    <x v="52"/>
    <m/>
    <s v="No"/>
    <x v="817"/>
    <m/>
    <m/>
    <s v="No"/>
    <m/>
    <m/>
    <m/>
    <m/>
    <m/>
    <m/>
    <m/>
    <m/>
    <m/>
    <m/>
    <m/>
    <m/>
    <x v="4"/>
    <x v="3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m/>
    <m/>
    <m/>
    <m/>
    <m/>
    <m/>
    <m/>
    <x v="3"/>
    <m/>
    <m/>
    <x v="53"/>
    <m/>
    <s v="No"/>
    <x v="818"/>
    <m/>
    <m/>
    <s v="No"/>
    <m/>
    <m/>
    <m/>
    <m/>
    <m/>
    <m/>
    <m/>
    <m/>
    <m/>
    <m/>
    <m/>
    <m/>
    <x v="4"/>
    <x v="3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m/>
    <m/>
    <m/>
    <m/>
    <m/>
    <m/>
    <m/>
    <x v="3"/>
    <m/>
    <m/>
    <x v="54"/>
    <m/>
    <s v="No"/>
    <x v="819"/>
    <m/>
    <m/>
    <s v="No"/>
    <m/>
    <m/>
    <m/>
    <m/>
    <m/>
    <m/>
    <m/>
    <m/>
    <m/>
    <m/>
    <m/>
    <m/>
    <x v="4"/>
    <x v="3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m/>
    <m/>
    <m/>
    <m/>
    <m/>
    <m/>
    <m/>
    <x v="3"/>
    <m/>
    <m/>
    <x v="56"/>
    <m/>
    <s v="No"/>
    <x v="820"/>
    <m/>
    <m/>
    <s v="No"/>
    <m/>
    <m/>
    <m/>
    <m/>
    <m/>
    <m/>
    <m/>
    <m/>
    <m/>
    <m/>
    <m/>
    <m/>
    <x v="4"/>
    <x v="3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m/>
    <m/>
    <m/>
    <m/>
    <m/>
    <m/>
    <m/>
    <x v="3"/>
    <m/>
    <m/>
    <x v="55"/>
    <m/>
    <s v="No"/>
    <x v="821"/>
    <m/>
    <m/>
    <s v="No"/>
    <m/>
    <m/>
    <m/>
    <m/>
    <m/>
    <m/>
    <m/>
    <m/>
    <m/>
    <m/>
    <m/>
    <m/>
    <x v="4"/>
    <x v="3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m/>
    <m/>
    <m/>
    <m/>
    <m/>
    <m/>
    <m/>
    <x v="3"/>
    <m/>
    <m/>
    <x v="58"/>
    <m/>
    <s v="Yes"/>
    <x v="822"/>
    <m/>
    <m/>
    <s v="No"/>
    <m/>
    <m/>
    <m/>
    <m/>
    <m/>
    <m/>
    <m/>
    <m/>
    <m/>
    <m/>
    <m/>
    <m/>
    <x v="4"/>
    <x v="3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m/>
    <m/>
    <m/>
    <m/>
    <m/>
    <m/>
    <m/>
    <x v="3"/>
    <m/>
    <m/>
    <x v="59"/>
    <m/>
    <s v="Yes"/>
    <x v="823"/>
    <m/>
    <m/>
    <s v="No"/>
    <m/>
    <m/>
    <m/>
    <m/>
    <m/>
    <m/>
    <m/>
    <m/>
    <m/>
    <m/>
    <m/>
    <m/>
    <x v="4"/>
    <x v="3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m/>
    <m/>
    <m/>
    <m/>
    <m/>
    <m/>
    <m/>
    <x v="3"/>
    <m/>
    <m/>
    <x v="60"/>
    <m/>
    <s v="No"/>
    <x v="824"/>
    <m/>
    <m/>
    <s v="No"/>
    <m/>
    <m/>
    <m/>
    <m/>
    <m/>
    <m/>
    <m/>
    <m/>
    <m/>
    <m/>
    <m/>
    <m/>
    <x v="4"/>
    <x v="3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m/>
    <m/>
    <m/>
    <m/>
    <m/>
    <m/>
    <m/>
    <x v="3"/>
    <m/>
    <m/>
    <x v="61"/>
    <m/>
    <s v="No"/>
    <x v="825"/>
    <m/>
    <m/>
    <s v="Yes"/>
    <m/>
    <m/>
    <m/>
    <m/>
    <m/>
    <m/>
    <m/>
    <m/>
    <m/>
    <m/>
    <m/>
    <m/>
    <x v="4"/>
    <x v="3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m/>
    <m/>
    <m/>
    <m/>
    <m/>
    <m/>
    <m/>
    <x v="3"/>
    <m/>
    <m/>
    <x v="62"/>
    <m/>
    <s v="No"/>
    <x v="826"/>
    <m/>
    <m/>
    <s v="Yes"/>
    <m/>
    <m/>
    <m/>
    <m/>
    <m/>
    <m/>
    <m/>
    <m/>
    <m/>
    <m/>
    <m/>
    <m/>
    <x v="4"/>
    <x v="3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m/>
    <m/>
    <m/>
    <m/>
    <m/>
    <m/>
    <m/>
    <x v="3"/>
    <m/>
    <m/>
    <x v="63"/>
    <m/>
    <s v="Yes"/>
    <x v="827"/>
    <m/>
    <m/>
    <s v="No"/>
    <m/>
    <m/>
    <m/>
    <m/>
    <m/>
    <m/>
    <m/>
    <m/>
    <m/>
    <m/>
    <m/>
    <m/>
    <x v="4"/>
    <x v="3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m/>
    <m/>
    <m/>
    <m/>
    <m/>
    <m/>
    <m/>
    <x v="3"/>
    <m/>
    <m/>
    <x v="64"/>
    <m/>
    <s v="No"/>
    <x v="828"/>
    <m/>
    <m/>
    <s v="No"/>
    <m/>
    <m/>
    <m/>
    <m/>
    <m/>
    <m/>
    <m/>
    <m/>
    <m/>
    <m/>
    <m/>
    <m/>
    <x v="4"/>
    <x v="3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m/>
    <m/>
    <m/>
    <m/>
    <m/>
    <m/>
    <m/>
    <x v="3"/>
    <m/>
    <m/>
    <x v="65"/>
    <m/>
    <s v="No"/>
    <x v="829"/>
    <m/>
    <m/>
    <s v="No"/>
    <m/>
    <m/>
    <m/>
    <m/>
    <m/>
    <m/>
    <m/>
    <m/>
    <m/>
    <m/>
    <m/>
    <m/>
    <x v="4"/>
    <x v="3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m/>
    <m/>
    <m/>
    <m/>
    <m/>
    <m/>
    <m/>
    <x v="3"/>
    <m/>
    <m/>
    <x v="66"/>
    <m/>
    <s v="No"/>
    <x v="830"/>
    <m/>
    <m/>
    <s v="No"/>
    <m/>
    <m/>
    <m/>
    <m/>
    <m/>
    <m/>
    <m/>
    <m/>
    <m/>
    <m/>
    <m/>
    <m/>
    <x v="4"/>
    <x v="3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m/>
    <m/>
    <m/>
    <m/>
    <m/>
    <m/>
    <m/>
    <x v="3"/>
    <m/>
    <m/>
    <x v="67"/>
    <m/>
    <s v="No"/>
    <x v="831"/>
    <m/>
    <m/>
    <s v="Yes"/>
    <m/>
    <m/>
    <m/>
    <m/>
    <m/>
    <m/>
    <m/>
    <m/>
    <m/>
    <m/>
    <m/>
    <m/>
    <x v="4"/>
    <x v="3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m/>
    <m/>
    <m/>
    <m/>
    <m/>
    <m/>
    <m/>
    <x v="3"/>
    <m/>
    <m/>
    <x v="33"/>
    <m/>
    <s v="No"/>
    <x v="832"/>
    <m/>
    <m/>
    <s v="No"/>
    <m/>
    <m/>
    <m/>
    <m/>
    <m/>
    <m/>
    <m/>
    <m/>
    <m/>
    <m/>
    <m/>
    <m/>
    <x v="4"/>
    <x v="3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m/>
    <m/>
    <m/>
    <m/>
    <m/>
    <m/>
    <m/>
    <x v="3"/>
    <m/>
    <m/>
    <x v="76"/>
    <m/>
    <m/>
    <x v="381"/>
    <m/>
    <m/>
    <s v="No"/>
    <m/>
    <m/>
    <m/>
    <m/>
    <m/>
    <m/>
    <m/>
    <m/>
    <m/>
    <m/>
    <m/>
    <m/>
    <x v="4"/>
    <x v="3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m/>
    <m/>
    <m/>
    <m/>
    <m/>
    <m/>
    <m/>
    <x v="3"/>
    <m/>
    <m/>
    <x v="5"/>
    <m/>
    <s v="No"/>
    <x v="833"/>
    <m/>
    <m/>
    <s v="No"/>
    <m/>
    <m/>
    <m/>
    <m/>
    <m/>
    <m/>
    <m/>
    <m/>
    <m/>
    <m/>
    <m/>
    <m/>
    <x v="4"/>
    <x v="3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m/>
    <m/>
    <m/>
    <m/>
    <m/>
    <m/>
    <m/>
    <x v="3"/>
    <m/>
    <m/>
    <x v="7"/>
    <m/>
    <s v="No"/>
    <x v="834"/>
    <m/>
    <m/>
    <s v="No"/>
    <m/>
    <m/>
    <m/>
    <m/>
    <m/>
    <m/>
    <m/>
    <m/>
    <m/>
    <m/>
    <m/>
    <m/>
    <x v="4"/>
    <x v="3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m/>
    <m/>
    <m/>
    <m/>
    <m/>
    <m/>
    <m/>
    <x v="3"/>
    <m/>
    <m/>
    <x v="16"/>
    <m/>
    <s v="No"/>
    <x v="835"/>
    <m/>
    <m/>
    <s v="No"/>
    <m/>
    <m/>
    <m/>
    <m/>
    <m/>
    <m/>
    <m/>
    <m/>
    <m/>
    <m/>
    <m/>
    <m/>
    <x v="4"/>
    <x v="3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m/>
    <m/>
    <m/>
    <m/>
    <m/>
    <m/>
    <m/>
    <x v="3"/>
    <m/>
    <m/>
    <x v="21"/>
    <m/>
    <s v="No"/>
    <x v="836"/>
    <m/>
    <m/>
    <m/>
    <m/>
    <m/>
    <m/>
    <m/>
    <m/>
    <m/>
    <m/>
    <m/>
    <m/>
    <m/>
    <m/>
    <m/>
    <x v="4"/>
    <x v="3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m/>
    <m/>
    <m/>
    <m/>
    <m/>
    <m/>
    <m/>
    <x v="3"/>
    <m/>
    <m/>
    <x v="30"/>
    <m/>
    <s v="No"/>
    <x v="837"/>
    <m/>
    <m/>
    <s v="No"/>
    <m/>
    <m/>
    <m/>
    <m/>
    <m/>
    <m/>
    <m/>
    <m/>
    <m/>
    <m/>
    <m/>
    <m/>
    <x v="4"/>
    <x v="3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m/>
    <m/>
    <m/>
    <m/>
    <m/>
    <m/>
    <m/>
    <x v="3"/>
    <m/>
    <m/>
    <x v="34"/>
    <m/>
    <s v="No"/>
    <x v="838"/>
    <m/>
    <m/>
    <s v="No"/>
    <m/>
    <m/>
    <m/>
    <m/>
    <m/>
    <m/>
    <m/>
    <m/>
    <m/>
    <m/>
    <m/>
    <m/>
    <x v="4"/>
    <x v="3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m/>
    <m/>
    <m/>
    <m/>
    <m/>
    <m/>
    <m/>
    <x v="3"/>
    <m/>
    <m/>
    <x v="36"/>
    <m/>
    <s v="No"/>
    <x v="839"/>
    <m/>
    <m/>
    <s v="No"/>
    <m/>
    <m/>
    <m/>
    <m/>
    <m/>
    <m/>
    <m/>
    <m/>
    <m/>
    <m/>
    <m/>
    <m/>
    <x v="4"/>
    <x v="3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m/>
    <m/>
    <m/>
    <m/>
    <m/>
    <m/>
    <m/>
    <x v="3"/>
    <m/>
    <m/>
    <x v="39"/>
    <m/>
    <s v="No"/>
    <x v="840"/>
    <m/>
    <m/>
    <s v="No"/>
    <m/>
    <m/>
    <m/>
    <m/>
    <m/>
    <m/>
    <m/>
    <m/>
    <m/>
    <m/>
    <m/>
    <m/>
    <x v="4"/>
    <x v="3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m/>
    <m/>
    <m/>
    <m/>
    <m/>
    <m/>
    <m/>
    <x v="3"/>
    <m/>
    <m/>
    <x v="50"/>
    <m/>
    <s v="No"/>
    <x v="841"/>
    <m/>
    <m/>
    <s v="No"/>
    <m/>
    <m/>
    <m/>
    <m/>
    <m/>
    <m/>
    <m/>
    <m/>
    <m/>
    <m/>
    <m/>
    <m/>
    <x v="4"/>
    <x v="3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m/>
    <m/>
    <m/>
    <m/>
    <m/>
    <m/>
    <m/>
    <x v="3"/>
    <m/>
    <m/>
    <x v="57"/>
    <m/>
    <s v="No"/>
    <x v="842"/>
    <m/>
    <m/>
    <s v="No"/>
    <m/>
    <m/>
    <m/>
    <m/>
    <m/>
    <m/>
    <m/>
    <m/>
    <m/>
    <m/>
    <m/>
    <m/>
    <x v="4"/>
    <x v="3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m/>
    <m/>
    <m/>
    <m/>
    <m/>
    <m/>
    <m/>
    <x v="3"/>
    <m/>
    <m/>
    <x v="36"/>
    <m/>
    <m/>
    <x v="839"/>
    <m/>
    <m/>
    <s v="No"/>
    <m/>
    <m/>
    <m/>
    <m/>
    <m/>
    <m/>
    <m/>
    <m/>
    <m/>
    <m/>
    <m/>
    <m/>
    <x v="4"/>
    <x v="3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m/>
    <m/>
    <m/>
    <m/>
    <m/>
    <m/>
    <m/>
    <x v="3"/>
    <m/>
    <m/>
    <x v="39"/>
    <m/>
    <m/>
    <x v="840"/>
    <n v="4505"/>
    <m/>
    <s v="No"/>
    <m/>
    <m/>
    <m/>
    <m/>
    <m/>
    <m/>
    <m/>
    <m/>
    <m/>
    <m/>
    <m/>
    <m/>
    <x v="4"/>
    <x v="3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m/>
    <m/>
    <m/>
    <m/>
    <m/>
    <m/>
    <m/>
    <x v="3"/>
    <m/>
    <m/>
    <x v="50"/>
    <m/>
    <m/>
    <x v="841"/>
    <n v="4048"/>
    <m/>
    <s v="No"/>
    <m/>
    <m/>
    <m/>
    <m/>
    <m/>
    <m/>
    <m/>
    <m/>
    <m/>
    <m/>
    <m/>
    <m/>
    <x v="4"/>
    <x v="3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m/>
    <m/>
    <m/>
    <m/>
    <m/>
    <m/>
    <m/>
    <x v="3"/>
    <m/>
    <m/>
    <x v="57"/>
    <m/>
    <m/>
    <x v="842"/>
    <n v="4060"/>
    <m/>
    <s v="No"/>
    <m/>
    <m/>
    <m/>
    <m/>
    <m/>
    <m/>
    <m/>
    <m/>
    <m/>
    <m/>
    <m/>
    <m/>
    <x v="4"/>
    <x v="3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m/>
    <m/>
    <m/>
    <m/>
    <m/>
    <m/>
    <m/>
    <x v="3"/>
    <m/>
    <m/>
    <x v="68"/>
    <m/>
    <m/>
    <x v="381"/>
    <m/>
    <m/>
    <m/>
    <m/>
    <m/>
    <m/>
    <m/>
    <m/>
    <m/>
    <m/>
    <m/>
    <m/>
    <m/>
    <m/>
    <m/>
    <x v="4"/>
    <x v="3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733846.7891153181"/>
    <s v="ctrl"/>
    <m/>
    <n v="4731161.7094278382"/>
    <s v="IB Allocations"/>
    <m/>
    <m/>
    <m/>
  </r>
  <r>
    <x v="2"/>
    <m/>
    <m/>
    <m/>
    <m/>
    <m/>
    <m/>
    <m/>
    <x v="3"/>
    <m/>
    <m/>
    <x v="68"/>
    <m/>
    <m/>
    <x v="381"/>
    <m/>
    <m/>
    <m/>
    <m/>
    <m/>
    <m/>
    <m/>
    <m/>
    <m/>
    <m/>
    <m/>
    <m/>
    <m/>
    <m/>
    <m/>
    <x v="4"/>
    <x v="3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758302.6681496501"/>
    <m/>
    <m/>
    <m/>
    <m/>
  </r>
  <r>
    <x v="2"/>
    <m/>
    <m/>
    <m/>
    <m/>
    <m/>
    <m/>
    <m/>
    <x v="3"/>
    <m/>
    <m/>
    <x v="68"/>
    <m/>
    <m/>
    <x v="381"/>
    <m/>
    <m/>
    <m/>
    <m/>
    <m/>
    <m/>
    <m/>
    <m/>
    <m/>
    <m/>
    <m/>
    <m/>
    <m/>
    <m/>
    <m/>
    <x v="4"/>
    <x v="3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85.0796874798834"/>
    <s v="ctrl"/>
    <m/>
    <m/>
    <m/>
  </r>
  <r>
    <x v="2"/>
    <m/>
    <m/>
    <m/>
    <m/>
    <m/>
    <m/>
    <m/>
    <x v="3"/>
    <m/>
    <m/>
    <x v="68"/>
    <m/>
    <m/>
    <x v="381"/>
    <m/>
    <m/>
    <m/>
    <m/>
    <m/>
    <m/>
    <m/>
    <m/>
    <m/>
    <m/>
    <m/>
    <m/>
    <m/>
    <m/>
    <m/>
    <x v="4"/>
    <x v="3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A06AA07-6343-4F63-BE84-7FF9DD1AFD3B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C81" firstHeaderRow="0" firstDataRow="1" firstDataCol="1"/>
  <pivotFields count="84">
    <pivotField showAll="0">
      <items count="6">
        <item x="1"/>
        <item x="0"/>
        <item x="3"/>
        <item x="4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78">
        <item x="0"/>
        <item x="1"/>
        <item x="2"/>
        <item x="75"/>
        <item x="3"/>
        <item x="4"/>
        <item x="5"/>
        <item x="6"/>
        <item x="7"/>
        <item x="70"/>
        <item x="8"/>
        <item x="9"/>
        <item x="10"/>
        <item x="71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74"/>
        <item x="31"/>
        <item x="32"/>
        <item x="33"/>
        <item x="34"/>
        <item x="35"/>
        <item x="36"/>
        <item x="37"/>
        <item x="38"/>
        <item x="73"/>
        <item x="39"/>
        <item x="40"/>
        <item x="41"/>
        <item x="72"/>
        <item x="69"/>
        <item x="42"/>
        <item x="43"/>
        <item x="44"/>
        <item x="45"/>
        <item x="76"/>
        <item x="46"/>
        <item x="47"/>
        <item x="48"/>
        <item x="49"/>
        <item x="50"/>
        <item x="51"/>
        <item x="52"/>
        <item x="53"/>
        <item x="54"/>
        <item x="56"/>
        <item x="55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t="default"/>
      </items>
    </pivotField>
    <pivotField showAll="0"/>
    <pivotField showAll="0"/>
    <pivotField dataField="1" showAll="0">
      <items count="844">
        <item x="777"/>
        <item x="829"/>
        <item x="825"/>
        <item x="790"/>
        <item x="793"/>
        <item x="780"/>
        <item x="839"/>
        <item x="833"/>
        <item x="778"/>
        <item x="781"/>
        <item x="782"/>
        <item x="783"/>
        <item x="785"/>
        <item x="786"/>
        <item x="787"/>
        <item x="789"/>
        <item x="791"/>
        <item x="792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6"/>
        <item x="827"/>
        <item x="828"/>
        <item x="830"/>
        <item x="831"/>
        <item x="832"/>
        <item x="779"/>
        <item x="784"/>
        <item x="834"/>
        <item x="835"/>
        <item x="836"/>
        <item x="837"/>
        <item x="838"/>
        <item x="840"/>
        <item x="841"/>
        <item x="842"/>
        <item x="788"/>
        <item x="594"/>
        <item x="124"/>
        <item x="382"/>
        <item x="566"/>
        <item x="383"/>
        <item x="685"/>
        <item x="695"/>
        <item x="655"/>
        <item x="268"/>
        <item x="467"/>
        <item x="224"/>
        <item x="632"/>
        <item x="384"/>
        <item x="385"/>
        <item x="3"/>
        <item x="715"/>
        <item x="439"/>
        <item x="445"/>
        <item x="305"/>
        <item x="238"/>
        <item x="499"/>
        <item x="386"/>
        <item x="545"/>
        <item x="387"/>
        <item x="510"/>
        <item x="511"/>
        <item x="762"/>
        <item x="500"/>
        <item x="595"/>
        <item x="4"/>
        <item x="763"/>
        <item x="306"/>
        <item x="44"/>
        <item x="45"/>
        <item x="495"/>
        <item x="567"/>
        <item x="6"/>
        <item x="533"/>
        <item x="75"/>
        <item x="239"/>
        <item x="388"/>
        <item x="29"/>
        <item x="468"/>
        <item x="706"/>
        <item x="656"/>
        <item x="462"/>
        <item x="318"/>
        <item x="657"/>
        <item x="357"/>
        <item x="19"/>
        <item x="248"/>
        <item x="269"/>
        <item x="557"/>
        <item x="5"/>
        <item x="33"/>
        <item x="161"/>
        <item x="1"/>
        <item x="358"/>
        <item x="732"/>
        <item x="389"/>
        <item x="46"/>
        <item x="159"/>
        <item x="374"/>
        <item x="696"/>
        <item x="263"/>
        <item x="76"/>
        <item x="469"/>
        <item x="100"/>
        <item x="634"/>
        <item x="283"/>
        <item x="743"/>
        <item x="160"/>
        <item x="596"/>
        <item x="270"/>
        <item x="259"/>
        <item x="597"/>
        <item x="598"/>
        <item x="329"/>
        <item x="633"/>
        <item x="337"/>
        <item x="375"/>
        <item x="764"/>
        <item x="568"/>
        <item x="162"/>
        <item x="2"/>
        <item x="390"/>
        <item x="540"/>
        <item x="47"/>
        <item x="546"/>
        <item x="582"/>
        <item x="679"/>
        <item x="338"/>
        <item x="163"/>
        <item x="722"/>
        <item x="48"/>
        <item x="77"/>
        <item x="716"/>
        <item x="339"/>
        <item x="512"/>
        <item x="526"/>
        <item x="340"/>
        <item x="541"/>
        <item x="164"/>
        <item x="354"/>
        <item x="765"/>
        <item x="197"/>
        <item x="50"/>
        <item x="470"/>
        <item x="294"/>
        <item x="534"/>
        <item x="392"/>
        <item x="391"/>
        <item x="471"/>
        <item x="717"/>
        <item x="295"/>
        <item x="284"/>
        <item x="570"/>
        <item x="569"/>
        <item x="101"/>
        <item x="697"/>
        <item x="513"/>
        <item x="599"/>
        <item x="165"/>
        <item x="102"/>
        <item x="773"/>
        <item x="111"/>
        <item x="166"/>
        <item x="393"/>
        <item x="733"/>
        <item x="219"/>
        <item x="78"/>
        <item x="440"/>
        <item x="658"/>
        <item x="394"/>
        <item x="79"/>
        <item x="220"/>
        <item x="600"/>
        <item x="723"/>
        <item x="601"/>
        <item x="341"/>
        <item x="547"/>
        <item x="472"/>
        <item x="473"/>
        <item x="260"/>
        <item x="460"/>
        <item x="359"/>
        <item x="602"/>
        <item x="754"/>
        <item x="558"/>
        <item x="635"/>
        <item x="167"/>
        <item x="686"/>
        <item x="271"/>
        <item x="744"/>
        <item x="168"/>
        <item x="548"/>
        <item x="734"/>
        <item x="603"/>
        <item x="20"/>
        <item x="198"/>
        <item x="680"/>
        <item x="395"/>
        <item x="49"/>
        <item x="542"/>
        <item x="474"/>
        <item x="698"/>
        <item x="659"/>
        <item x="396"/>
        <item x="112"/>
        <item x="501"/>
        <item x="446"/>
        <item x="735"/>
        <item x="604"/>
        <item x="225"/>
        <item x="605"/>
        <item x="447"/>
        <item x="745"/>
        <item x="397"/>
        <item x="355"/>
        <item x="718"/>
        <item x="527"/>
        <item x="398"/>
        <item x="169"/>
        <item x="264"/>
        <item x="399"/>
        <item x="441"/>
        <item x="51"/>
        <item x="606"/>
        <item x="736"/>
        <item x="80"/>
        <item x="81"/>
        <item x="52"/>
        <item x="170"/>
        <item x="356"/>
        <item x="636"/>
        <item x="53"/>
        <item x="774"/>
        <item x="559"/>
        <item x="549"/>
        <item x="400"/>
        <item x="226"/>
        <item x="766"/>
        <item x="583"/>
        <item x="562"/>
        <item x="199"/>
        <item x="171"/>
        <item x="200"/>
        <item x="528"/>
        <item x="296"/>
        <item x="113"/>
        <item x="660"/>
        <item x="502"/>
        <item x="503"/>
        <item x="297"/>
        <item x="661"/>
        <item x="227"/>
        <item x="401"/>
        <item x="7"/>
        <item x="330"/>
        <item x="550"/>
        <item x="114"/>
        <item x="560"/>
        <item x="584"/>
        <item x="607"/>
        <item x="201"/>
        <item x="202"/>
        <item x="54"/>
        <item x="55"/>
        <item x="172"/>
        <item x="203"/>
        <item x="402"/>
        <item x="571"/>
        <item x="56"/>
        <item x="204"/>
        <item x="307"/>
        <item x="8"/>
        <item x="724"/>
        <item x="342"/>
        <item x="746"/>
        <item x="319"/>
        <item x="475"/>
        <item x="608"/>
        <item x="772"/>
        <item x="637"/>
        <item x="133"/>
        <item x="653"/>
        <item x="57"/>
        <item x="136"/>
        <item x="461"/>
        <item x="34"/>
        <item x="173"/>
        <item x="35"/>
        <item x="143"/>
        <item x="285"/>
        <item x="265"/>
        <item x="331"/>
        <item x="707"/>
        <item x="360"/>
        <item x="755"/>
        <item x="58"/>
        <item x="240"/>
        <item x="403"/>
        <item x="681"/>
        <item x="286"/>
        <item x="448"/>
        <item x="649"/>
        <item x="449"/>
        <item x="442"/>
        <item x="496"/>
        <item x="756"/>
        <item x="103"/>
        <item x="174"/>
        <item x="241"/>
        <item x="652"/>
        <item x="662"/>
        <item x="585"/>
        <item x="563"/>
        <item x="175"/>
        <item x="708"/>
        <item x="476"/>
        <item x="63"/>
        <item x="30"/>
        <item x="366"/>
        <item x="747"/>
        <item x="21"/>
        <item x="497"/>
        <item x="757"/>
        <item x="308"/>
        <item x="663"/>
        <item x="404"/>
        <item x="561"/>
        <item x="767"/>
        <item x="367"/>
        <item x="664"/>
        <item x="610"/>
        <item x="535"/>
        <item x="477"/>
        <item x="768"/>
        <item x="694"/>
        <item x="82"/>
        <item x="609"/>
        <item x="205"/>
        <item x="463"/>
        <item x="36"/>
        <item x="665"/>
        <item x="144"/>
        <item x="272"/>
        <item x="443"/>
        <item x="115"/>
        <item x="572"/>
        <item x="145"/>
        <item x="121"/>
        <item x="611"/>
        <item x="638"/>
        <item x="612"/>
        <item x="504"/>
        <item x="361"/>
        <item x="514"/>
        <item x="536"/>
        <item x="104"/>
        <item x="450"/>
        <item x="478"/>
        <item x="9"/>
        <item x="529"/>
        <item x="573"/>
        <item x="228"/>
        <item x="639"/>
        <item x="515"/>
        <item x="574"/>
        <item x="37"/>
        <item x="266"/>
        <item x="273"/>
        <item x="405"/>
        <item x="320"/>
        <item x="479"/>
        <item x="38"/>
        <item x="105"/>
        <item x="252"/>
        <item x="530"/>
        <item x="274"/>
        <item x="309"/>
        <item x="206"/>
        <item x="687"/>
        <item x="748"/>
        <item x="613"/>
        <item x="267"/>
        <item x="207"/>
        <item x="221"/>
        <item x="725"/>
        <item x="538"/>
        <item x="480"/>
        <item x="321"/>
        <item x="208"/>
        <item x="720"/>
        <item x="362"/>
        <item x="343"/>
        <item x="368"/>
        <item x="210"/>
        <item x="537"/>
        <item x="749"/>
        <item x="614"/>
        <item x="146"/>
        <item x="369"/>
        <item x="516"/>
        <item x="229"/>
        <item x="125"/>
        <item x="242"/>
        <item x="253"/>
        <item x="654"/>
        <item x="106"/>
        <item x="481"/>
        <item x="737"/>
        <item x="243"/>
        <item x="176"/>
        <item x="406"/>
        <item x="370"/>
        <item x="147"/>
        <item x="177"/>
        <item x="11"/>
        <item x="363"/>
        <item x="209"/>
        <item x="575"/>
        <item x="407"/>
        <item x="344"/>
        <item x="482"/>
        <item x="211"/>
        <item x="178"/>
        <item x="275"/>
        <item x="464"/>
        <item x="769"/>
        <item x="179"/>
        <item x="666"/>
        <item x="345"/>
        <item x="615"/>
        <item x="10"/>
        <item x="346"/>
        <item x="298"/>
        <item x="126"/>
        <item x="699"/>
        <item x="451"/>
        <item x="452"/>
        <item x="332"/>
        <item x="276"/>
        <item x="453"/>
        <item x="682"/>
        <item x="483"/>
        <item x="688"/>
        <item x="261"/>
        <item x="408"/>
        <item x="409"/>
        <item x="299"/>
        <item x="287"/>
        <item x="222"/>
        <item x="700"/>
        <item x="719"/>
        <item x="212"/>
        <item x="180"/>
        <item x="586"/>
        <item x="505"/>
        <item x="701"/>
        <item x="371"/>
        <item x="587"/>
        <item x="454"/>
        <item x="506"/>
        <item x="750"/>
        <item x="137"/>
        <item x="148"/>
        <item x="410"/>
        <item x="667"/>
        <item x="83"/>
        <item x="230"/>
        <item x="300"/>
        <item x="411"/>
        <item x="181"/>
        <item x="84"/>
        <item x="59"/>
        <item x="412"/>
        <item x="249"/>
        <item x="310"/>
        <item x="616"/>
        <item x="182"/>
        <item x="347"/>
        <item x="116"/>
        <item x="85"/>
        <item x="183"/>
        <item x="288"/>
        <item x="648"/>
        <item x="413"/>
        <item x="414"/>
        <item x="415"/>
        <item x="551"/>
        <item x="531"/>
        <item x="244"/>
        <item x="86"/>
        <item x="770"/>
        <item x="751"/>
        <item x="149"/>
        <item x="312"/>
        <item x="12"/>
        <item x="322"/>
        <item x="60"/>
        <item x="122"/>
        <item x="455"/>
        <item x="254"/>
        <item x="416"/>
        <item x="255"/>
        <item x="87"/>
        <item x="88"/>
        <item x="689"/>
        <item x="348"/>
        <item x="138"/>
        <item x="417"/>
        <item x="107"/>
        <item x="184"/>
        <item x="552"/>
        <item x="89"/>
        <item x="61"/>
        <item x="62"/>
        <item x="617"/>
        <item x="669"/>
        <item x="619"/>
        <item x="618"/>
        <item x="640"/>
        <item x="289"/>
        <item x="771"/>
        <item x="465"/>
        <item x="498"/>
        <item x="620"/>
        <item x="484"/>
        <item x="668"/>
        <item x="323"/>
        <item x="670"/>
        <item x="313"/>
        <item x="349"/>
        <item x="621"/>
        <item x="185"/>
        <item x="22"/>
        <item x="262"/>
        <item x="376"/>
        <item x="333"/>
        <item x="231"/>
        <item x="641"/>
        <item x="364"/>
        <item x="23"/>
        <item x="726"/>
        <item x="232"/>
        <item x="117"/>
        <item x="186"/>
        <item x="24"/>
        <item x="576"/>
        <item x="213"/>
        <item x="588"/>
        <item x="139"/>
        <item x="25"/>
        <item x="738"/>
        <item x="0"/>
        <item x="372"/>
        <item x="250"/>
        <item x="709"/>
        <item x="350"/>
        <item x="553"/>
        <item x="214"/>
        <item x="710"/>
        <item x="277"/>
        <item x="187"/>
        <item x="711"/>
        <item x="758"/>
        <item x="90"/>
        <item x="91"/>
        <item x="671"/>
        <item x="752"/>
        <item x="134"/>
        <item x="456"/>
        <item x="151"/>
        <item x="324"/>
        <item x="40"/>
        <item x="507"/>
        <item x="577"/>
        <item x="650"/>
        <item x="564"/>
        <item x="377"/>
        <item x="485"/>
        <item x="64"/>
        <item x="256"/>
        <item x="712"/>
        <item x="517"/>
        <item x="108"/>
        <item x="578"/>
        <item x="278"/>
        <item x="290"/>
        <item x="727"/>
        <item x="279"/>
        <item x="518"/>
        <item x="622"/>
        <item x="690"/>
        <item x="418"/>
        <item x="334"/>
        <item x="672"/>
        <item x="419"/>
        <item x="739"/>
        <item x="39"/>
        <item x="759"/>
        <item x="486"/>
        <item x="642"/>
        <item x="233"/>
        <item x="554"/>
        <item x="420"/>
        <item x="127"/>
        <item x="245"/>
        <item x="152"/>
        <item x="519"/>
        <item x="92"/>
        <item x="421"/>
        <item x="651"/>
        <item x="41"/>
        <item x="251"/>
        <item x="280"/>
        <item x="579"/>
        <item x="702"/>
        <item x="65"/>
        <item x="740"/>
        <item x="520"/>
        <item x="521"/>
        <item x="140"/>
        <item x="741"/>
        <item x="188"/>
        <item x="153"/>
        <item x="508"/>
        <item x="422"/>
        <item x="555"/>
        <item x="424"/>
        <item x="93"/>
        <item x="66"/>
        <item x="118"/>
        <item x="128"/>
        <item x="522"/>
        <item x="423"/>
        <item x="155"/>
        <item x="457"/>
        <item x="156"/>
        <item x="26"/>
        <item x="683"/>
        <item x="154"/>
        <item x="623"/>
        <item x="378"/>
        <item x="703"/>
        <item x="487"/>
        <item x="425"/>
        <item x="351"/>
        <item x="589"/>
        <item x="488"/>
        <item x="135"/>
        <item x="223"/>
        <item x="590"/>
        <item x="523"/>
        <item x="291"/>
        <item x="311"/>
        <item x="776"/>
        <item x="123"/>
        <item x="189"/>
        <item x="42"/>
        <item x="150"/>
        <item x="234"/>
        <item x="257"/>
        <item x="624"/>
        <item x="67"/>
        <item x="775"/>
        <item x="643"/>
        <item x="426"/>
        <item x="625"/>
        <item x="119"/>
        <item x="427"/>
        <item x="68"/>
        <item x="69"/>
        <item x="489"/>
        <item x="235"/>
        <item x="94"/>
        <item x="673"/>
        <item x="428"/>
        <item x="380"/>
        <item x="458"/>
        <item x="31"/>
        <item x="325"/>
        <item x="753"/>
        <item x="556"/>
        <item x="591"/>
        <item x="109"/>
        <item x="459"/>
        <item x="43"/>
        <item x="644"/>
        <item x="379"/>
        <item x="525"/>
        <item x="691"/>
        <item x="684"/>
        <item x="314"/>
        <item x="674"/>
        <item x="335"/>
        <item x="258"/>
        <item x="490"/>
        <item x="429"/>
        <item x="721"/>
        <item x="760"/>
        <item x="730"/>
        <item x="729"/>
        <item x="524"/>
        <item x="580"/>
        <item x="190"/>
        <item x="292"/>
        <item x="191"/>
        <item x="626"/>
        <item x="281"/>
        <item x="627"/>
        <item x="315"/>
        <item x="704"/>
        <item x="27"/>
        <item x="365"/>
        <item x="17"/>
        <item x="32"/>
        <item x="13"/>
        <item x="592"/>
        <item x="628"/>
        <item x="352"/>
        <item x="491"/>
        <item x="430"/>
        <item x="539"/>
        <item x="215"/>
        <item x="95"/>
        <item x="96"/>
        <item x="431"/>
        <item x="192"/>
        <item x="141"/>
        <item x="110"/>
        <item x="70"/>
        <item x="216"/>
        <item x="14"/>
        <item x="15"/>
        <item x="301"/>
        <item x="326"/>
        <item x="193"/>
        <item x="492"/>
        <item x="675"/>
        <item x="731"/>
        <item x="282"/>
        <item x="444"/>
        <item x="327"/>
        <item x="28"/>
        <item x="71"/>
        <item x="432"/>
        <item x="433"/>
        <item x="692"/>
        <item x="629"/>
        <item x="328"/>
        <item x="97"/>
        <item x="434"/>
        <item x="676"/>
        <item x="646"/>
        <item x="98"/>
        <item x="728"/>
        <item x="742"/>
        <item x="466"/>
        <item x="761"/>
        <item x="677"/>
        <item x="645"/>
        <item x="293"/>
        <item x="247"/>
        <item x="246"/>
        <item x="593"/>
        <item x="72"/>
        <item x="157"/>
        <item x="194"/>
        <item x="302"/>
        <item x="99"/>
        <item x="713"/>
        <item x="129"/>
        <item x="493"/>
        <item x="714"/>
        <item x="142"/>
        <item x="435"/>
        <item x="237"/>
        <item x="436"/>
        <item x="303"/>
        <item x="195"/>
        <item x="196"/>
        <item x="581"/>
        <item x="16"/>
        <item x="236"/>
        <item x="630"/>
        <item x="678"/>
        <item x="693"/>
        <item x="73"/>
        <item x="437"/>
        <item x="494"/>
        <item x="18"/>
        <item x="565"/>
        <item x="217"/>
        <item x="543"/>
        <item x="316"/>
        <item x="509"/>
        <item x="218"/>
        <item x="130"/>
        <item x="532"/>
        <item x="120"/>
        <item x="438"/>
        <item x="158"/>
        <item x="353"/>
        <item x="705"/>
        <item x="647"/>
        <item x="544"/>
        <item x="304"/>
        <item x="373"/>
        <item x="132"/>
        <item x="317"/>
        <item x="131"/>
        <item x="631"/>
        <item x="336"/>
        <item x="74"/>
        <item x="38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1"/>
  </rowFields>
  <rowItems count="7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Annual Value 23-24" fld="38" baseField="0" baseItem="0" numFmtId="173"/>
    <dataField name="Count of Name" fld="14" subtotal="count" baseField="0" baseItem="0"/>
  </dataFields>
  <formats count="2">
    <format dxfId="3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2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650B15F-2DEC-4DC5-B4AC-9AD79009E55F}" name="PivotTable2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G3:I81" firstHeaderRow="0" firstDataRow="1" firstDataCol="1"/>
  <pivotFields count="84">
    <pivotField showAll="0">
      <items count="6">
        <item x="1"/>
        <item x="0"/>
        <item x="3"/>
        <item x="4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78">
        <item x="0"/>
        <item x="1"/>
        <item x="2"/>
        <item x="75"/>
        <item x="3"/>
        <item x="4"/>
        <item x="5"/>
        <item x="6"/>
        <item x="7"/>
        <item x="70"/>
        <item x="8"/>
        <item x="9"/>
        <item x="10"/>
        <item x="71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74"/>
        <item x="31"/>
        <item x="32"/>
        <item x="33"/>
        <item x="34"/>
        <item x="35"/>
        <item x="36"/>
        <item x="37"/>
        <item x="38"/>
        <item x="73"/>
        <item x="39"/>
        <item x="40"/>
        <item x="41"/>
        <item x="72"/>
        <item x="69"/>
        <item x="42"/>
        <item x="43"/>
        <item x="44"/>
        <item x="45"/>
        <item x="76"/>
        <item x="46"/>
        <item x="47"/>
        <item x="48"/>
        <item x="49"/>
        <item x="50"/>
        <item x="51"/>
        <item x="52"/>
        <item x="53"/>
        <item x="54"/>
        <item x="56"/>
        <item x="55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t="default"/>
      </items>
    </pivotField>
    <pivotField showAll="0"/>
    <pivotField showAll="0"/>
    <pivotField dataField="1" showAll="0">
      <items count="844">
        <item x="777"/>
        <item x="829"/>
        <item x="825"/>
        <item x="790"/>
        <item x="793"/>
        <item x="780"/>
        <item x="839"/>
        <item x="833"/>
        <item x="778"/>
        <item x="781"/>
        <item x="782"/>
        <item x="783"/>
        <item x="785"/>
        <item x="786"/>
        <item x="787"/>
        <item x="789"/>
        <item x="791"/>
        <item x="792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6"/>
        <item x="827"/>
        <item x="828"/>
        <item x="830"/>
        <item x="831"/>
        <item x="832"/>
        <item x="779"/>
        <item x="784"/>
        <item x="834"/>
        <item x="835"/>
        <item x="836"/>
        <item x="837"/>
        <item x="838"/>
        <item x="840"/>
        <item x="841"/>
        <item x="842"/>
        <item x="788"/>
        <item x="594"/>
        <item x="124"/>
        <item x="382"/>
        <item x="566"/>
        <item x="383"/>
        <item x="685"/>
        <item x="695"/>
        <item x="655"/>
        <item x="268"/>
        <item x="467"/>
        <item x="224"/>
        <item x="632"/>
        <item x="384"/>
        <item x="385"/>
        <item x="3"/>
        <item x="715"/>
        <item x="439"/>
        <item x="445"/>
        <item x="305"/>
        <item x="238"/>
        <item x="499"/>
        <item x="386"/>
        <item x="545"/>
        <item x="387"/>
        <item x="510"/>
        <item x="511"/>
        <item x="762"/>
        <item x="500"/>
        <item x="595"/>
        <item x="4"/>
        <item x="763"/>
        <item x="306"/>
        <item x="44"/>
        <item x="45"/>
        <item x="495"/>
        <item x="567"/>
        <item x="6"/>
        <item x="533"/>
        <item x="75"/>
        <item x="239"/>
        <item x="388"/>
        <item x="29"/>
        <item x="468"/>
        <item x="706"/>
        <item x="656"/>
        <item x="462"/>
        <item x="318"/>
        <item x="657"/>
        <item x="357"/>
        <item x="19"/>
        <item x="248"/>
        <item x="269"/>
        <item x="557"/>
        <item x="5"/>
        <item x="33"/>
        <item x="161"/>
        <item x="1"/>
        <item x="358"/>
        <item x="732"/>
        <item x="389"/>
        <item x="46"/>
        <item x="159"/>
        <item x="374"/>
        <item x="696"/>
        <item x="263"/>
        <item x="76"/>
        <item x="469"/>
        <item x="100"/>
        <item x="634"/>
        <item x="283"/>
        <item x="743"/>
        <item x="160"/>
        <item x="596"/>
        <item x="270"/>
        <item x="259"/>
        <item x="597"/>
        <item x="598"/>
        <item x="329"/>
        <item x="633"/>
        <item x="337"/>
        <item x="375"/>
        <item x="764"/>
        <item x="568"/>
        <item x="162"/>
        <item x="2"/>
        <item x="390"/>
        <item x="540"/>
        <item x="47"/>
        <item x="546"/>
        <item x="582"/>
        <item x="679"/>
        <item x="338"/>
        <item x="163"/>
        <item x="722"/>
        <item x="48"/>
        <item x="77"/>
        <item x="716"/>
        <item x="339"/>
        <item x="512"/>
        <item x="526"/>
        <item x="340"/>
        <item x="541"/>
        <item x="164"/>
        <item x="354"/>
        <item x="765"/>
        <item x="197"/>
        <item x="50"/>
        <item x="470"/>
        <item x="294"/>
        <item x="534"/>
        <item x="392"/>
        <item x="391"/>
        <item x="471"/>
        <item x="717"/>
        <item x="295"/>
        <item x="284"/>
        <item x="570"/>
        <item x="569"/>
        <item x="101"/>
        <item x="697"/>
        <item x="513"/>
        <item x="599"/>
        <item x="165"/>
        <item x="102"/>
        <item x="773"/>
        <item x="111"/>
        <item x="166"/>
        <item x="393"/>
        <item x="733"/>
        <item x="219"/>
        <item x="78"/>
        <item x="440"/>
        <item x="658"/>
        <item x="394"/>
        <item x="79"/>
        <item x="220"/>
        <item x="600"/>
        <item x="723"/>
        <item x="601"/>
        <item x="341"/>
        <item x="547"/>
        <item x="472"/>
        <item x="473"/>
        <item x="260"/>
        <item x="460"/>
        <item x="359"/>
        <item x="602"/>
        <item x="754"/>
        <item x="558"/>
        <item x="635"/>
        <item x="167"/>
        <item x="686"/>
        <item x="271"/>
        <item x="744"/>
        <item x="168"/>
        <item x="548"/>
        <item x="734"/>
        <item x="603"/>
        <item x="20"/>
        <item x="198"/>
        <item x="680"/>
        <item x="395"/>
        <item x="49"/>
        <item x="542"/>
        <item x="474"/>
        <item x="698"/>
        <item x="659"/>
        <item x="396"/>
        <item x="112"/>
        <item x="501"/>
        <item x="446"/>
        <item x="735"/>
        <item x="604"/>
        <item x="225"/>
        <item x="605"/>
        <item x="447"/>
        <item x="745"/>
        <item x="397"/>
        <item x="355"/>
        <item x="718"/>
        <item x="527"/>
        <item x="398"/>
        <item x="169"/>
        <item x="264"/>
        <item x="399"/>
        <item x="441"/>
        <item x="51"/>
        <item x="606"/>
        <item x="736"/>
        <item x="80"/>
        <item x="81"/>
        <item x="52"/>
        <item x="170"/>
        <item x="356"/>
        <item x="636"/>
        <item x="53"/>
        <item x="774"/>
        <item x="559"/>
        <item x="549"/>
        <item x="400"/>
        <item x="226"/>
        <item x="766"/>
        <item x="583"/>
        <item x="562"/>
        <item x="199"/>
        <item x="171"/>
        <item x="200"/>
        <item x="528"/>
        <item x="296"/>
        <item x="113"/>
        <item x="660"/>
        <item x="502"/>
        <item x="503"/>
        <item x="297"/>
        <item x="661"/>
        <item x="227"/>
        <item x="401"/>
        <item x="7"/>
        <item x="330"/>
        <item x="550"/>
        <item x="114"/>
        <item x="560"/>
        <item x="584"/>
        <item x="607"/>
        <item x="201"/>
        <item x="202"/>
        <item x="54"/>
        <item x="55"/>
        <item x="172"/>
        <item x="203"/>
        <item x="402"/>
        <item x="571"/>
        <item x="56"/>
        <item x="204"/>
        <item x="307"/>
        <item x="8"/>
        <item x="724"/>
        <item x="342"/>
        <item x="746"/>
        <item x="319"/>
        <item x="475"/>
        <item x="608"/>
        <item x="772"/>
        <item x="637"/>
        <item x="133"/>
        <item x="653"/>
        <item x="57"/>
        <item x="136"/>
        <item x="461"/>
        <item x="34"/>
        <item x="173"/>
        <item x="35"/>
        <item x="143"/>
        <item x="285"/>
        <item x="265"/>
        <item x="331"/>
        <item x="707"/>
        <item x="360"/>
        <item x="755"/>
        <item x="58"/>
        <item x="240"/>
        <item x="403"/>
        <item x="681"/>
        <item x="286"/>
        <item x="448"/>
        <item x="649"/>
        <item x="449"/>
        <item x="442"/>
        <item x="496"/>
        <item x="756"/>
        <item x="103"/>
        <item x="174"/>
        <item x="241"/>
        <item x="652"/>
        <item x="662"/>
        <item x="585"/>
        <item x="563"/>
        <item x="175"/>
        <item x="708"/>
        <item x="476"/>
        <item x="63"/>
        <item x="30"/>
        <item x="366"/>
        <item x="747"/>
        <item x="21"/>
        <item x="497"/>
        <item x="757"/>
        <item x="308"/>
        <item x="663"/>
        <item x="404"/>
        <item x="561"/>
        <item x="767"/>
        <item x="367"/>
        <item x="664"/>
        <item x="610"/>
        <item x="535"/>
        <item x="477"/>
        <item x="768"/>
        <item x="694"/>
        <item x="82"/>
        <item x="609"/>
        <item x="205"/>
        <item x="463"/>
        <item x="36"/>
        <item x="665"/>
        <item x="144"/>
        <item x="272"/>
        <item x="443"/>
        <item x="115"/>
        <item x="572"/>
        <item x="145"/>
        <item x="121"/>
        <item x="611"/>
        <item x="638"/>
        <item x="612"/>
        <item x="504"/>
        <item x="361"/>
        <item x="514"/>
        <item x="536"/>
        <item x="104"/>
        <item x="450"/>
        <item x="478"/>
        <item x="9"/>
        <item x="529"/>
        <item x="573"/>
        <item x="228"/>
        <item x="639"/>
        <item x="515"/>
        <item x="574"/>
        <item x="37"/>
        <item x="266"/>
        <item x="273"/>
        <item x="405"/>
        <item x="320"/>
        <item x="479"/>
        <item x="38"/>
        <item x="105"/>
        <item x="252"/>
        <item x="530"/>
        <item x="274"/>
        <item x="309"/>
        <item x="206"/>
        <item x="687"/>
        <item x="748"/>
        <item x="613"/>
        <item x="267"/>
        <item x="207"/>
        <item x="221"/>
        <item x="725"/>
        <item x="538"/>
        <item x="480"/>
        <item x="321"/>
        <item x="208"/>
        <item x="720"/>
        <item x="362"/>
        <item x="343"/>
        <item x="368"/>
        <item x="210"/>
        <item x="537"/>
        <item x="749"/>
        <item x="614"/>
        <item x="146"/>
        <item x="369"/>
        <item x="516"/>
        <item x="229"/>
        <item x="125"/>
        <item x="242"/>
        <item x="253"/>
        <item x="654"/>
        <item x="106"/>
        <item x="481"/>
        <item x="737"/>
        <item x="243"/>
        <item x="176"/>
        <item x="406"/>
        <item x="370"/>
        <item x="147"/>
        <item x="177"/>
        <item x="11"/>
        <item x="363"/>
        <item x="209"/>
        <item x="575"/>
        <item x="407"/>
        <item x="344"/>
        <item x="482"/>
        <item x="211"/>
        <item x="178"/>
        <item x="275"/>
        <item x="464"/>
        <item x="769"/>
        <item x="179"/>
        <item x="666"/>
        <item x="345"/>
        <item x="615"/>
        <item x="10"/>
        <item x="346"/>
        <item x="298"/>
        <item x="126"/>
        <item x="699"/>
        <item x="451"/>
        <item x="452"/>
        <item x="332"/>
        <item x="276"/>
        <item x="453"/>
        <item x="682"/>
        <item x="483"/>
        <item x="688"/>
        <item x="261"/>
        <item x="408"/>
        <item x="409"/>
        <item x="299"/>
        <item x="287"/>
        <item x="222"/>
        <item x="700"/>
        <item x="719"/>
        <item x="212"/>
        <item x="180"/>
        <item x="586"/>
        <item x="505"/>
        <item x="701"/>
        <item x="371"/>
        <item x="587"/>
        <item x="454"/>
        <item x="506"/>
        <item x="750"/>
        <item x="137"/>
        <item x="148"/>
        <item x="410"/>
        <item x="667"/>
        <item x="83"/>
        <item x="230"/>
        <item x="300"/>
        <item x="411"/>
        <item x="181"/>
        <item x="84"/>
        <item x="59"/>
        <item x="412"/>
        <item x="249"/>
        <item x="310"/>
        <item x="616"/>
        <item x="182"/>
        <item x="347"/>
        <item x="116"/>
        <item x="85"/>
        <item x="183"/>
        <item x="288"/>
        <item x="648"/>
        <item x="413"/>
        <item x="414"/>
        <item x="415"/>
        <item x="551"/>
        <item x="531"/>
        <item x="244"/>
        <item x="86"/>
        <item x="770"/>
        <item x="751"/>
        <item x="149"/>
        <item x="312"/>
        <item x="12"/>
        <item x="322"/>
        <item x="60"/>
        <item x="122"/>
        <item x="455"/>
        <item x="254"/>
        <item x="416"/>
        <item x="255"/>
        <item x="87"/>
        <item x="88"/>
        <item x="689"/>
        <item x="348"/>
        <item x="138"/>
        <item x="417"/>
        <item x="107"/>
        <item x="184"/>
        <item x="552"/>
        <item x="89"/>
        <item x="61"/>
        <item x="62"/>
        <item x="617"/>
        <item x="669"/>
        <item x="619"/>
        <item x="618"/>
        <item x="640"/>
        <item x="289"/>
        <item x="771"/>
        <item x="465"/>
        <item x="498"/>
        <item x="620"/>
        <item x="484"/>
        <item x="668"/>
        <item x="323"/>
        <item x="670"/>
        <item x="313"/>
        <item x="349"/>
        <item x="621"/>
        <item x="185"/>
        <item x="22"/>
        <item x="262"/>
        <item x="376"/>
        <item x="333"/>
        <item x="231"/>
        <item x="641"/>
        <item x="364"/>
        <item x="23"/>
        <item x="726"/>
        <item x="232"/>
        <item x="117"/>
        <item x="186"/>
        <item x="24"/>
        <item x="576"/>
        <item x="213"/>
        <item x="588"/>
        <item x="139"/>
        <item x="25"/>
        <item x="738"/>
        <item x="0"/>
        <item x="372"/>
        <item x="250"/>
        <item x="709"/>
        <item x="350"/>
        <item x="553"/>
        <item x="214"/>
        <item x="710"/>
        <item x="277"/>
        <item x="187"/>
        <item x="711"/>
        <item x="758"/>
        <item x="90"/>
        <item x="91"/>
        <item x="671"/>
        <item x="752"/>
        <item x="134"/>
        <item x="456"/>
        <item x="151"/>
        <item x="324"/>
        <item x="40"/>
        <item x="507"/>
        <item x="577"/>
        <item x="650"/>
        <item x="564"/>
        <item x="377"/>
        <item x="485"/>
        <item x="64"/>
        <item x="256"/>
        <item x="712"/>
        <item x="517"/>
        <item x="108"/>
        <item x="578"/>
        <item x="278"/>
        <item x="290"/>
        <item x="727"/>
        <item x="279"/>
        <item x="518"/>
        <item x="622"/>
        <item x="690"/>
        <item x="418"/>
        <item x="334"/>
        <item x="672"/>
        <item x="419"/>
        <item x="739"/>
        <item x="39"/>
        <item x="759"/>
        <item x="486"/>
        <item x="642"/>
        <item x="233"/>
        <item x="554"/>
        <item x="420"/>
        <item x="127"/>
        <item x="245"/>
        <item x="152"/>
        <item x="519"/>
        <item x="92"/>
        <item x="421"/>
        <item x="651"/>
        <item x="41"/>
        <item x="251"/>
        <item x="280"/>
        <item x="579"/>
        <item x="702"/>
        <item x="65"/>
        <item x="740"/>
        <item x="520"/>
        <item x="521"/>
        <item x="140"/>
        <item x="741"/>
        <item x="188"/>
        <item x="153"/>
        <item x="508"/>
        <item x="422"/>
        <item x="555"/>
        <item x="424"/>
        <item x="93"/>
        <item x="66"/>
        <item x="118"/>
        <item x="128"/>
        <item x="522"/>
        <item x="423"/>
        <item x="155"/>
        <item x="457"/>
        <item x="156"/>
        <item x="26"/>
        <item x="683"/>
        <item x="154"/>
        <item x="623"/>
        <item x="378"/>
        <item x="703"/>
        <item x="487"/>
        <item x="425"/>
        <item x="351"/>
        <item x="589"/>
        <item x="488"/>
        <item x="135"/>
        <item x="223"/>
        <item x="590"/>
        <item x="523"/>
        <item x="291"/>
        <item x="311"/>
        <item x="776"/>
        <item x="123"/>
        <item x="189"/>
        <item x="42"/>
        <item x="150"/>
        <item x="234"/>
        <item x="257"/>
        <item x="624"/>
        <item x="67"/>
        <item x="775"/>
        <item x="643"/>
        <item x="426"/>
        <item x="625"/>
        <item x="119"/>
        <item x="427"/>
        <item x="68"/>
        <item x="69"/>
        <item x="489"/>
        <item x="235"/>
        <item x="94"/>
        <item x="673"/>
        <item x="428"/>
        <item x="380"/>
        <item x="458"/>
        <item x="31"/>
        <item x="325"/>
        <item x="753"/>
        <item x="556"/>
        <item x="591"/>
        <item x="109"/>
        <item x="459"/>
        <item x="43"/>
        <item x="644"/>
        <item x="379"/>
        <item x="525"/>
        <item x="691"/>
        <item x="684"/>
        <item x="314"/>
        <item x="674"/>
        <item x="335"/>
        <item x="258"/>
        <item x="490"/>
        <item x="429"/>
        <item x="721"/>
        <item x="760"/>
        <item x="730"/>
        <item x="729"/>
        <item x="524"/>
        <item x="580"/>
        <item x="190"/>
        <item x="292"/>
        <item x="191"/>
        <item x="626"/>
        <item x="281"/>
        <item x="627"/>
        <item x="315"/>
        <item x="704"/>
        <item x="27"/>
        <item x="365"/>
        <item x="17"/>
        <item x="32"/>
        <item x="13"/>
        <item x="592"/>
        <item x="628"/>
        <item x="352"/>
        <item x="491"/>
        <item x="430"/>
        <item x="539"/>
        <item x="215"/>
        <item x="95"/>
        <item x="96"/>
        <item x="431"/>
        <item x="192"/>
        <item x="141"/>
        <item x="110"/>
        <item x="70"/>
        <item x="216"/>
        <item x="14"/>
        <item x="15"/>
        <item x="301"/>
        <item x="326"/>
        <item x="193"/>
        <item x="492"/>
        <item x="675"/>
        <item x="731"/>
        <item x="282"/>
        <item x="444"/>
        <item x="327"/>
        <item x="28"/>
        <item x="71"/>
        <item x="432"/>
        <item x="433"/>
        <item x="692"/>
        <item x="629"/>
        <item x="328"/>
        <item x="97"/>
        <item x="434"/>
        <item x="676"/>
        <item x="646"/>
        <item x="98"/>
        <item x="728"/>
        <item x="742"/>
        <item x="466"/>
        <item x="761"/>
        <item x="677"/>
        <item x="645"/>
        <item x="293"/>
        <item x="247"/>
        <item x="246"/>
        <item x="593"/>
        <item x="72"/>
        <item x="157"/>
        <item x="194"/>
        <item x="302"/>
        <item x="99"/>
        <item x="713"/>
        <item x="129"/>
        <item x="493"/>
        <item x="714"/>
        <item x="142"/>
        <item x="435"/>
        <item x="237"/>
        <item x="436"/>
        <item x="303"/>
        <item x="195"/>
        <item x="196"/>
        <item x="581"/>
        <item x="16"/>
        <item x="236"/>
        <item x="630"/>
        <item x="678"/>
        <item x="693"/>
        <item x="73"/>
        <item x="437"/>
        <item x="494"/>
        <item x="18"/>
        <item x="565"/>
        <item x="217"/>
        <item x="543"/>
        <item x="316"/>
        <item x="509"/>
        <item x="218"/>
        <item x="130"/>
        <item x="532"/>
        <item x="120"/>
        <item x="438"/>
        <item x="158"/>
        <item x="353"/>
        <item x="705"/>
        <item x="647"/>
        <item x="544"/>
        <item x="304"/>
        <item x="373"/>
        <item x="132"/>
        <item x="317"/>
        <item x="131"/>
        <item x="631"/>
        <item x="336"/>
        <item x="74"/>
        <item x="38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1"/>
  </rowFields>
  <rowItems count="7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Annual Value 23-24" fld="38" baseField="0" baseItem="0" numFmtId="173"/>
    <dataField name="Count of Name" fld="14" subtotal="count" baseField="0" baseItem="0"/>
  </dataFields>
  <formats count="4">
    <format dxfId="7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4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E0DFA9-9F54-43CD-ADE9-F700C407515C}">
  <dimension ref="A1:G43"/>
  <sheetViews>
    <sheetView tabSelected="1" workbookViewId="0">
      <selection activeCell="D22" sqref="D22"/>
    </sheetView>
  </sheetViews>
  <sheetFormatPr defaultRowHeight="15" x14ac:dyDescent="0.25"/>
  <cols>
    <col min="1" max="1" width="18.7109375" style="2055" customWidth="1"/>
    <col min="2" max="2" width="9.140625" style="2055"/>
    <col min="3" max="3" width="14.28515625" style="2055" customWidth="1"/>
    <col min="4" max="4" width="13.7109375" style="2055" customWidth="1"/>
    <col min="5" max="5" width="14" style="2055" customWidth="1"/>
    <col min="6" max="6" width="13" style="2055" customWidth="1"/>
    <col min="7" max="7" width="14.5703125" style="2055" customWidth="1"/>
    <col min="8" max="16384" width="9.140625" style="2055"/>
  </cols>
  <sheetData>
    <row r="1" spans="1:7" x14ac:dyDescent="0.25">
      <c r="A1" s="2054" t="s">
        <v>3924</v>
      </c>
    </row>
    <row r="2" spans="1:7" x14ac:dyDescent="0.25">
      <c r="A2" s="2056" t="s">
        <v>3925</v>
      </c>
    </row>
    <row r="3" spans="1:7" x14ac:dyDescent="0.25">
      <c r="A3" s="2056"/>
    </row>
    <row r="4" spans="1:7" x14ac:dyDescent="0.25">
      <c r="A4" s="2054" t="s">
        <v>3926</v>
      </c>
    </row>
    <row r="5" spans="1:7" x14ac:dyDescent="0.25">
      <c r="A5" s="2054" t="s">
        <v>3927</v>
      </c>
    </row>
    <row r="6" spans="1:7" x14ac:dyDescent="0.25">
      <c r="A6" s="2054" t="s">
        <v>3928</v>
      </c>
    </row>
    <row r="7" spans="1:7" x14ac:dyDescent="0.25">
      <c r="A7" s="2054" t="s">
        <v>3929</v>
      </c>
    </row>
    <row r="8" spans="1:7" ht="15.75" thickBot="1" x14ac:dyDescent="0.3">
      <c r="A8" s="2057"/>
    </row>
    <row r="9" spans="1:7" ht="15.75" thickBot="1" x14ac:dyDescent="0.3">
      <c r="A9" s="2058"/>
      <c r="B9" s="2059"/>
      <c r="C9" s="2060">
        <v>2021</v>
      </c>
      <c r="D9" s="2060">
        <v>2022</v>
      </c>
      <c r="E9" s="2060">
        <v>2023</v>
      </c>
      <c r="F9" s="2060">
        <v>2024</v>
      </c>
      <c r="G9" s="2060">
        <v>2025</v>
      </c>
    </row>
    <row r="10" spans="1:7" ht="15.75" thickBot="1" x14ac:dyDescent="0.3">
      <c r="A10" s="2061" t="s">
        <v>3930</v>
      </c>
      <c r="B10" s="2062" t="s">
        <v>185</v>
      </c>
      <c r="C10" s="2063" t="s">
        <v>2194</v>
      </c>
      <c r="D10" s="2063">
        <v>0</v>
      </c>
      <c r="E10" s="2063">
        <v>0</v>
      </c>
      <c r="F10" s="2063" t="s">
        <v>3931</v>
      </c>
      <c r="G10" s="2063" t="s">
        <v>3931</v>
      </c>
    </row>
    <row r="11" spans="1:7" ht="15.75" thickBot="1" x14ac:dyDescent="0.3">
      <c r="A11" s="2064"/>
      <c r="B11" s="2062" t="s">
        <v>56</v>
      </c>
      <c r="C11" s="2063" t="s">
        <v>2194</v>
      </c>
      <c r="D11" s="2063">
        <v>19</v>
      </c>
      <c r="E11" s="2063">
        <v>28</v>
      </c>
      <c r="F11" s="2063">
        <v>55</v>
      </c>
      <c r="G11" s="2063">
        <v>79</v>
      </c>
    </row>
    <row r="12" spans="1:7" ht="15.75" thickBot="1" x14ac:dyDescent="0.3">
      <c r="A12" s="2064"/>
      <c r="B12" s="2065"/>
      <c r="C12" s="2065"/>
      <c r="D12" s="2065"/>
      <c r="E12" s="2065"/>
      <c r="F12" s="2065"/>
      <c r="G12" s="2065"/>
    </row>
    <row r="13" spans="1:7" ht="15.75" thickBot="1" x14ac:dyDescent="0.3">
      <c r="A13" s="2061" t="s">
        <v>3932</v>
      </c>
      <c r="B13" s="2062" t="s">
        <v>185</v>
      </c>
      <c r="C13" s="2063" t="s">
        <v>2194</v>
      </c>
      <c r="D13" s="2063">
        <v>0</v>
      </c>
      <c r="E13" s="2063">
        <v>0</v>
      </c>
      <c r="F13" s="2063">
        <v>0</v>
      </c>
      <c r="G13" s="2063">
        <v>0</v>
      </c>
    </row>
    <row r="14" spans="1:7" ht="15.75" thickBot="1" x14ac:dyDescent="0.3">
      <c r="A14" s="2066"/>
      <c r="B14" s="2062" t="s">
        <v>56</v>
      </c>
      <c r="C14" s="2063" t="s">
        <v>2194</v>
      </c>
      <c r="D14" s="2063">
        <v>0</v>
      </c>
      <c r="E14" s="2063">
        <v>0</v>
      </c>
      <c r="F14" s="2063" t="s">
        <v>3931</v>
      </c>
      <c r="G14" s="2063" t="s">
        <v>3931</v>
      </c>
    </row>
    <row r="15" spans="1:7" ht="15.75" thickBot="1" x14ac:dyDescent="0.3">
      <c r="A15" s="2066"/>
      <c r="B15" s="2065"/>
      <c r="C15" s="2065"/>
      <c r="D15" s="2065"/>
      <c r="E15" s="2065"/>
      <c r="F15" s="2065"/>
      <c r="G15" s="2065"/>
    </row>
    <row r="16" spans="1:7" x14ac:dyDescent="0.25">
      <c r="A16" s="2054" t="s">
        <v>3933</v>
      </c>
    </row>
    <row r="18" spans="1:1" x14ac:dyDescent="0.25">
      <c r="A18" s="2054" t="s">
        <v>3928</v>
      </c>
    </row>
    <row r="19" spans="1:1" x14ac:dyDescent="0.25">
      <c r="A19" s="2054" t="s">
        <v>3929</v>
      </c>
    </row>
    <row r="20" spans="1:1" x14ac:dyDescent="0.25">
      <c r="A20" s="2118" t="s">
        <v>3934</v>
      </c>
    </row>
    <row r="21" spans="1:1" x14ac:dyDescent="0.25">
      <c r="A21" s="2056"/>
    </row>
    <row r="22" spans="1:1" x14ac:dyDescent="0.25">
      <c r="A22" s="2054" t="s">
        <v>3935</v>
      </c>
    </row>
    <row r="23" spans="1:1" x14ac:dyDescent="0.25">
      <c r="A23" s="2054" t="s">
        <v>3927</v>
      </c>
    </row>
    <row r="24" spans="1:1" x14ac:dyDescent="0.25">
      <c r="A24" s="2054" t="s">
        <v>3928</v>
      </c>
    </row>
    <row r="25" spans="1:1" x14ac:dyDescent="0.25">
      <c r="A25" s="2054" t="s">
        <v>3929</v>
      </c>
    </row>
    <row r="26" spans="1:1" x14ac:dyDescent="0.25">
      <c r="A26" s="2118" t="s">
        <v>3934</v>
      </c>
    </row>
    <row r="27" spans="1:1" x14ac:dyDescent="0.25">
      <c r="A27" s="2067"/>
    </row>
    <row r="28" spans="1:1" x14ac:dyDescent="0.25">
      <c r="A28" s="2054" t="s">
        <v>3936</v>
      </c>
    </row>
    <row r="29" spans="1:1" x14ac:dyDescent="0.25">
      <c r="A29" s="2054" t="s">
        <v>3937</v>
      </c>
    </row>
    <row r="30" spans="1:1" x14ac:dyDescent="0.25">
      <c r="A30" s="2054" t="s">
        <v>3938</v>
      </c>
    </row>
    <row r="31" spans="1:1" x14ac:dyDescent="0.25">
      <c r="A31" s="2054" t="s">
        <v>3939</v>
      </c>
    </row>
    <row r="32" spans="1:1" x14ac:dyDescent="0.25">
      <c r="A32" s="2056" t="s">
        <v>3948</v>
      </c>
    </row>
    <row r="33" spans="1:1" x14ac:dyDescent="0.25">
      <c r="A33" s="2056"/>
    </row>
    <row r="34" spans="1:1" x14ac:dyDescent="0.25">
      <c r="A34" s="2054" t="s">
        <v>3940</v>
      </c>
    </row>
    <row r="35" spans="1:1" x14ac:dyDescent="0.25">
      <c r="A35" s="2054" t="s">
        <v>3941</v>
      </c>
    </row>
    <row r="36" spans="1:1" x14ac:dyDescent="0.25">
      <c r="A36" s="2054" t="s">
        <v>3942</v>
      </c>
    </row>
    <row r="37" spans="1:1" x14ac:dyDescent="0.25">
      <c r="A37" s="2054" t="s">
        <v>3943</v>
      </c>
    </row>
    <row r="38" spans="1:1" x14ac:dyDescent="0.25">
      <c r="A38" s="2054" t="s">
        <v>3944</v>
      </c>
    </row>
    <row r="39" spans="1:1" x14ac:dyDescent="0.25">
      <c r="A39" s="2054" t="s">
        <v>3945</v>
      </c>
    </row>
    <row r="40" spans="1:1" x14ac:dyDescent="0.25">
      <c r="A40" s="2054" t="s">
        <v>3946</v>
      </c>
    </row>
    <row r="41" spans="1:1" x14ac:dyDescent="0.25">
      <c r="A41" s="2054" t="s">
        <v>3947</v>
      </c>
    </row>
    <row r="42" spans="1:1" x14ac:dyDescent="0.25">
      <c r="A42" s="2054" t="s">
        <v>3939</v>
      </c>
    </row>
    <row r="43" spans="1:1" x14ac:dyDescent="0.25">
      <c r="A43" s="2056" t="s">
        <v>3948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592B56-5D67-4F06-8555-712A9FFF218A}">
  <sheetPr filterMode="1">
    <tabColor rgb="FFFF0000"/>
  </sheetPr>
  <dimension ref="A1:AH299"/>
  <sheetViews>
    <sheetView workbookViewId="0">
      <pane xSplit="22" ySplit="15" topLeftCell="AE215" activePane="bottomRight" state="frozen"/>
      <selection pane="topRight" activeCell="W1" sqref="W1"/>
      <selection pane="bottomLeft" activeCell="A16" sqref="A16"/>
      <selection pane="bottomRight" activeCell="A267" sqref="A267:XFD267"/>
    </sheetView>
  </sheetViews>
  <sheetFormatPr defaultColWidth="8.85546875" defaultRowHeight="15" x14ac:dyDescent="0.25"/>
  <cols>
    <col min="1" max="2" width="8.85546875" style="1994"/>
    <col min="3" max="3" width="21" style="1994" customWidth="1"/>
    <col min="4" max="4" width="10.85546875" style="1994" bestFit="1" customWidth="1"/>
    <col min="5" max="5" width="18" style="1994" bestFit="1" customWidth="1"/>
    <col min="6" max="6" width="11.85546875" style="1994" bestFit="1" customWidth="1"/>
    <col min="7" max="11" width="11.85546875" style="1994" hidden="1" customWidth="1"/>
    <col min="12" max="13" width="11.85546875" style="1995" hidden="1" customWidth="1"/>
    <col min="14" max="14" width="17.42578125" style="1994" hidden="1" customWidth="1"/>
    <col min="15" max="15" width="15.140625" style="1996" customWidth="1"/>
    <col min="16" max="16" width="13.85546875" style="1997" customWidth="1"/>
    <col min="17" max="17" width="11.85546875" style="1997" customWidth="1"/>
    <col min="18" max="18" width="14.140625" style="1998" hidden="1" customWidth="1"/>
    <col min="19" max="19" width="14.85546875" style="1998" customWidth="1"/>
    <col min="20" max="20" width="17" style="1998" customWidth="1"/>
    <col min="21" max="21" width="16" style="1998" customWidth="1"/>
    <col min="22" max="22" width="18.85546875" style="1998" customWidth="1"/>
    <col min="23" max="23" width="12.85546875" style="1998" customWidth="1"/>
    <col min="24" max="24" width="11.140625" style="1994" bestFit="1" customWidth="1"/>
    <col min="25" max="25" width="8.85546875" style="1994"/>
    <col min="26" max="26" width="12.5703125" style="1994" customWidth="1"/>
    <col min="27" max="27" width="11.85546875" style="1995" customWidth="1"/>
    <col min="28" max="28" width="15" style="1995" customWidth="1"/>
    <col min="29" max="29" width="12.140625" style="1496" customWidth="1"/>
    <col min="30" max="30" width="15.140625" style="1995" bestFit="1" customWidth="1"/>
    <col min="31" max="31" width="10.5703125" style="1995" customWidth="1"/>
    <col min="32" max="33" width="13.5703125" style="1995" bestFit="1" customWidth="1"/>
    <col min="34" max="16384" width="8.85546875" style="1994"/>
  </cols>
  <sheetData>
    <row r="1" spans="1:34" ht="15.75" thickBot="1" x14ac:dyDescent="0.3"/>
    <row r="2" spans="1:34" ht="29.45" customHeight="1" thickBot="1" x14ac:dyDescent="0.3">
      <c r="R2" s="2113" t="s">
        <v>3567</v>
      </c>
      <c r="S2" s="2114"/>
      <c r="T2" s="2115" t="s">
        <v>3568</v>
      </c>
      <c r="U2" s="2116"/>
      <c r="V2" s="2116"/>
      <c r="W2" s="2117"/>
      <c r="X2" s="1999" t="s">
        <v>3569</v>
      </c>
    </row>
    <row r="3" spans="1:34" ht="15.75" thickBot="1" x14ac:dyDescent="0.3">
      <c r="R3" s="2000">
        <f t="shared" ref="R3:Z3" si="0">R273</f>
        <v>13153801</v>
      </c>
      <c r="S3" s="2000">
        <f t="shared" si="0"/>
        <v>12216934.466940647</v>
      </c>
      <c r="T3" s="2001">
        <f t="shared" si="0"/>
        <v>-897533.85</v>
      </c>
      <c r="U3" s="2001">
        <f t="shared" si="0"/>
        <v>6753878.1299999971</v>
      </c>
      <c r="V3" s="2001">
        <f t="shared" si="0"/>
        <v>6540628.5702739712</v>
      </c>
      <c r="W3" s="2001">
        <f t="shared" si="0"/>
        <v>12396972.850273982</v>
      </c>
      <c r="X3" s="2001">
        <f t="shared" si="0"/>
        <v>180038.38333333336</v>
      </c>
      <c r="Z3" s="2002">
        <f t="shared" si="0"/>
        <v>13294506.700273978</v>
      </c>
    </row>
    <row r="4" spans="1:34" ht="15.75" thickTop="1" x14ac:dyDescent="0.25"/>
    <row r="5" spans="1:34" s="2003" customFormat="1" ht="56.45" customHeight="1" x14ac:dyDescent="0.2">
      <c r="A5" s="2003" t="s">
        <v>3570</v>
      </c>
      <c r="B5" s="2003" t="s">
        <v>3571</v>
      </c>
      <c r="C5" s="2003" t="s">
        <v>3572</v>
      </c>
      <c r="D5" s="2003" t="s">
        <v>3573</v>
      </c>
      <c r="E5" s="2003" t="s">
        <v>11</v>
      </c>
      <c r="F5" s="2003" t="s">
        <v>2140</v>
      </c>
      <c r="G5" s="2003" t="s">
        <v>13</v>
      </c>
      <c r="H5" s="2003" t="s">
        <v>2711</v>
      </c>
      <c r="I5" s="2003" t="s">
        <v>2141</v>
      </c>
      <c r="J5" s="2004" t="s">
        <v>3574</v>
      </c>
      <c r="K5" s="2004" t="s">
        <v>3575</v>
      </c>
      <c r="L5" s="2005" t="s">
        <v>3576</v>
      </c>
      <c r="M5" s="2005" t="s">
        <v>3577</v>
      </c>
      <c r="N5" s="2003" t="s">
        <v>3578</v>
      </c>
      <c r="O5" s="2006" t="s">
        <v>3579</v>
      </c>
      <c r="P5" s="2007" t="s">
        <v>2612</v>
      </c>
      <c r="Q5" s="2007" t="s">
        <v>3580</v>
      </c>
      <c r="R5" s="2008" t="s">
        <v>3581</v>
      </c>
      <c r="S5" s="2008" t="s">
        <v>3582</v>
      </c>
      <c r="T5" s="2008" t="s">
        <v>3583</v>
      </c>
      <c r="U5" s="2008" t="s">
        <v>3584</v>
      </c>
      <c r="V5" s="2008" t="s">
        <v>3585</v>
      </c>
      <c r="W5" s="2008" t="s">
        <v>3586</v>
      </c>
      <c r="X5" s="2003" t="s">
        <v>3569</v>
      </c>
      <c r="Z5" s="2009" t="s">
        <v>3587</v>
      </c>
      <c r="AA5" s="2010" t="s">
        <v>3580</v>
      </c>
      <c r="AB5" s="2005" t="s">
        <v>2612</v>
      </c>
      <c r="AC5" s="2010" t="s">
        <v>3588</v>
      </c>
      <c r="AD5" s="2010" t="s">
        <v>2617</v>
      </c>
      <c r="AE5" s="2010" t="s">
        <v>3589</v>
      </c>
      <c r="AF5" s="2010" t="s">
        <v>2665</v>
      </c>
      <c r="AG5" s="2010" t="s">
        <v>3855</v>
      </c>
      <c r="AH5" s="2004" t="s">
        <v>3856</v>
      </c>
    </row>
    <row r="6" spans="1:34" hidden="1" x14ac:dyDescent="0.25">
      <c r="A6" s="1994">
        <v>1</v>
      </c>
      <c r="B6" s="1994">
        <v>43601</v>
      </c>
      <c r="C6" s="1994" t="s">
        <v>3590</v>
      </c>
      <c r="D6" s="1994">
        <v>315746</v>
      </c>
      <c r="E6" s="1994" t="s">
        <v>3591</v>
      </c>
      <c r="F6" s="1994" t="s">
        <v>578</v>
      </c>
      <c r="G6" s="2011">
        <v>36299</v>
      </c>
      <c r="J6" s="2011">
        <v>45017</v>
      </c>
      <c r="K6" s="2011">
        <v>45382</v>
      </c>
      <c r="N6" s="1994" t="s">
        <v>3592</v>
      </c>
      <c r="O6" s="1997">
        <f>P6</f>
        <v>108146</v>
      </c>
      <c r="P6" s="1997">
        <f>S6+Q6</f>
        <v>108146</v>
      </c>
      <c r="Q6" s="1997">
        <v>0</v>
      </c>
      <c r="R6" s="1998">
        <v>86091</v>
      </c>
      <c r="S6" s="1998">
        <v>108146</v>
      </c>
      <c r="T6" s="1998">
        <v>108146</v>
      </c>
      <c r="U6" s="1998">
        <v>0</v>
      </c>
      <c r="V6" s="1998">
        <v>0</v>
      </c>
      <c r="W6" s="1998">
        <v>108146</v>
      </c>
      <c r="X6" s="2012">
        <f t="shared" ref="X6:X74" si="1">W6-S6</f>
        <v>0</v>
      </c>
      <c r="Z6" s="2012">
        <f>U6+V6</f>
        <v>0</v>
      </c>
      <c r="AA6" s="1995">
        <v>0</v>
      </c>
      <c r="AB6" s="1995">
        <f>S6+AA6</f>
        <v>108146</v>
      </c>
      <c r="AD6" s="1995">
        <f>(AB6+AC6)</f>
        <v>108146</v>
      </c>
      <c r="AF6" s="1995">
        <f>AD6+AE6</f>
        <v>108146</v>
      </c>
    </row>
    <row r="7" spans="1:34" hidden="1" x14ac:dyDescent="0.25">
      <c r="A7" s="1994">
        <v>1</v>
      </c>
      <c r="B7" s="1994">
        <v>43601</v>
      </c>
      <c r="C7" s="1994" t="s">
        <v>3593</v>
      </c>
      <c r="D7" s="1994">
        <v>320401</v>
      </c>
      <c r="E7" s="1994" t="s">
        <v>3594</v>
      </c>
      <c r="F7" s="1994" t="s">
        <v>3595</v>
      </c>
      <c r="G7" s="2011">
        <v>37050</v>
      </c>
      <c r="H7" s="2011"/>
      <c r="I7" s="2011"/>
      <c r="J7" s="2011">
        <v>45017</v>
      </c>
      <c r="K7" s="2011">
        <v>45138</v>
      </c>
      <c r="O7" s="1997">
        <f t="shared" ref="O7:O72" si="2">P7</f>
        <v>69411.72</v>
      </c>
      <c r="P7" s="1997">
        <f t="shared" ref="P7:P72" si="3">S7+Q7</f>
        <v>69411.72</v>
      </c>
      <c r="Q7" s="1997">
        <v>0</v>
      </c>
      <c r="R7" s="1998">
        <v>69412</v>
      </c>
      <c r="S7" s="1998">
        <v>69411.72</v>
      </c>
      <c r="T7" s="1998">
        <v>0</v>
      </c>
      <c r="U7" s="1998">
        <v>23137.24</v>
      </c>
      <c r="V7" s="1998">
        <v>46274.48</v>
      </c>
      <c r="W7" s="1998">
        <v>69411.72</v>
      </c>
      <c r="X7" s="2012">
        <f t="shared" si="1"/>
        <v>0</v>
      </c>
      <c r="Z7" s="2012">
        <f t="shared" ref="Z7:Z75" si="4">U7+V7</f>
        <v>69411.72</v>
      </c>
      <c r="AA7" s="1995">
        <v>0</v>
      </c>
      <c r="AB7" s="1995">
        <f t="shared" ref="AB7:AB72" si="5">S7+AA7</f>
        <v>69411.72</v>
      </c>
      <c r="AD7" s="1995">
        <f t="shared" ref="AD7:AD72" si="6">(AB7+AC7)</f>
        <v>69411.72</v>
      </c>
      <c r="AF7" s="1995">
        <f t="shared" ref="AF7:AF70" si="7">AD7+AE7</f>
        <v>69411.72</v>
      </c>
      <c r="AG7" s="1994"/>
    </row>
    <row r="8" spans="1:34" hidden="1" x14ac:dyDescent="0.25">
      <c r="A8" s="1994">
        <v>1</v>
      </c>
      <c r="B8" s="1994">
        <v>43601</v>
      </c>
      <c r="C8" s="1994" t="s">
        <v>3596</v>
      </c>
      <c r="D8" s="1994">
        <v>321260</v>
      </c>
      <c r="E8" s="1994" t="s">
        <v>3597</v>
      </c>
      <c r="F8" s="1994" t="s">
        <v>3598</v>
      </c>
      <c r="G8" s="2011">
        <v>37310</v>
      </c>
      <c r="J8" s="2011">
        <v>45017</v>
      </c>
      <c r="K8" s="2011">
        <v>45382</v>
      </c>
      <c r="L8" s="1995">
        <v>19533.96</v>
      </c>
      <c r="N8" s="1994" t="s">
        <v>3599</v>
      </c>
      <c r="O8" s="1997">
        <f t="shared" si="2"/>
        <v>20198.91</v>
      </c>
      <c r="P8" s="1997">
        <f t="shared" si="3"/>
        <v>20198.91</v>
      </c>
      <c r="Q8" s="1997">
        <v>0</v>
      </c>
      <c r="R8" s="1998">
        <v>20199</v>
      </c>
      <c r="S8" s="1998">
        <v>20198.91</v>
      </c>
      <c r="T8" s="1998">
        <v>0</v>
      </c>
      <c r="U8" s="1998">
        <v>6732.97</v>
      </c>
      <c r="V8" s="1998">
        <v>13465.94</v>
      </c>
      <c r="W8" s="1998">
        <v>20198.91</v>
      </c>
      <c r="X8" s="2012">
        <f t="shared" si="1"/>
        <v>0</v>
      </c>
      <c r="Z8" s="2012">
        <f t="shared" si="4"/>
        <v>20198.91</v>
      </c>
      <c r="AA8" s="1995">
        <v>0</v>
      </c>
      <c r="AB8" s="1995">
        <f t="shared" si="5"/>
        <v>20198.91</v>
      </c>
      <c r="AD8" s="1995">
        <f t="shared" si="6"/>
        <v>20198.91</v>
      </c>
      <c r="AF8" s="1995">
        <f t="shared" si="7"/>
        <v>20198.91</v>
      </c>
      <c r="AG8" s="1994"/>
    </row>
    <row r="9" spans="1:34" hidden="1" x14ac:dyDescent="0.25">
      <c r="A9" s="1994">
        <v>1</v>
      </c>
      <c r="B9" s="1994">
        <v>43601</v>
      </c>
      <c r="C9" s="1994" t="s">
        <v>2239</v>
      </c>
      <c r="D9" s="1994">
        <v>324517</v>
      </c>
      <c r="E9" s="1994" t="s">
        <v>3600</v>
      </c>
      <c r="F9" s="1994" t="s">
        <v>231</v>
      </c>
      <c r="G9" s="2011">
        <v>36882</v>
      </c>
      <c r="J9" s="2011">
        <v>45017</v>
      </c>
      <c r="K9" s="2011">
        <v>45138</v>
      </c>
      <c r="L9" s="1995">
        <v>18279</v>
      </c>
      <c r="N9" s="1994" t="s">
        <v>3601</v>
      </c>
      <c r="O9" s="1997">
        <f t="shared" si="2"/>
        <v>0</v>
      </c>
      <c r="P9" s="1997">
        <f t="shared" si="3"/>
        <v>0</v>
      </c>
      <c r="Q9" s="1997">
        <v>0</v>
      </c>
      <c r="AA9" s="1995">
        <v>0</v>
      </c>
      <c r="AB9" s="1995">
        <f t="shared" si="5"/>
        <v>0</v>
      </c>
      <c r="AD9" s="1995">
        <f t="shared" si="6"/>
        <v>0</v>
      </c>
      <c r="AF9" s="1995">
        <f t="shared" si="7"/>
        <v>0</v>
      </c>
      <c r="AG9" s="1994"/>
    </row>
    <row r="10" spans="1:34" hidden="1" x14ac:dyDescent="0.25">
      <c r="A10" s="1994">
        <v>0</v>
      </c>
      <c r="B10" s="1994">
        <v>43601</v>
      </c>
      <c r="C10" s="1994" t="s">
        <v>2239</v>
      </c>
      <c r="D10" s="1994">
        <v>324517</v>
      </c>
      <c r="E10" s="1994" t="s">
        <v>3600</v>
      </c>
      <c r="F10" s="1994" t="s">
        <v>231</v>
      </c>
      <c r="G10" s="2011">
        <v>36883</v>
      </c>
      <c r="J10" s="2011">
        <v>45173</v>
      </c>
      <c r="K10" s="2011">
        <v>45382</v>
      </c>
      <c r="L10" s="1995">
        <v>38400</v>
      </c>
      <c r="N10" s="2013">
        <v>38400</v>
      </c>
      <c r="O10" s="1997">
        <f t="shared" si="2"/>
        <v>34739.5</v>
      </c>
      <c r="P10" s="1997">
        <f t="shared" si="3"/>
        <v>34739.5</v>
      </c>
      <c r="Q10" s="1997">
        <v>0</v>
      </c>
      <c r="R10" s="1998">
        <v>38400</v>
      </c>
      <c r="S10" s="1998">
        <v>34739.5</v>
      </c>
      <c r="T10" s="1998">
        <v>0</v>
      </c>
      <c r="U10" s="1998">
        <v>9139.5</v>
      </c>
      <c r="V10" s="1998">
        <v>25600</v>
      </c>
      <c r="W10" s="1998">
        <v>34739.5</v>
      </c>
      <c r="X10" s="2012">
        <f>W10-S10</f>
        <v>0</v>
      </c>
      <c r="Z10" s="2012">
        <f>U10+V10</f>
        <v>34739.5</v>
      </c>
      <c r="AA10" s="1995">
        <v>0</v>
      </c>
      <c r="AB10" s="1995">
        <f t="shared" si="5"/>
        <v>34739.5</v>
      </c>
      <c r="AD10" s="1995">
        <f t="shared" si="6"/>
        <v>34739.5</v>
      </c>
      <c r="AF10" s="1995">
        <f t="shared" si="7"/>
        <v>34739.5</v>
      </c>
      <c r="AG10" s="1994"/>
    </row>
    <row r="11" spans="1:34" hidden="1" x14ac:dyDescent="0.25">
      <c r="A11" s="1994">
        <v>1</v>
      </c>
      <c r="B11" s="1994">
        <v>43601</v>
      </c>
      <c r="C11" s="1994" t="s">
        <v>3602</v>
      </c>
      <c r="D11" s="1994">
        <v>324525</v>
      </c>
      <c r="E11" s="1994" t="s">
        <v>3603</v>
      </c>
      <c r="F11" s="1994" t="s">
        <v>3604</v>
      </c>
      <c r="G11" s="2011">
        <v>36522</v>
      </c>
      <c r="J11" s="2011">
        <v>45017</v>
      </c>
      <c r="K11" s="2011">
        <v>45138</v>
      </c>
      <c r="L11" s="1995">
        <v>80406.2</v>
      </c>
      <c r="N11" s="1994" t="s">
        <v>3605</v>
      </c>
      <c r="O11" s="1997">
        <f t="shared" si="2"/>
        <v>28159.699999999997</v>
      </c>
      <c r="P11" s="1997">
        <f t="shared" si="3"/>
        <v>28159.699999999997</v>
      </c>
      <c r="Q11" s="1997">
        <v>0</v>
      </c>
      <c r="S11" s="1998">
        <v>28159.699999999997</v>
      </c>
      <c r="T11" s="1998">
        <v>-28324</v>
      </c>
      <c r="U11" s="1998">
        <v>56483.7</v>
      </c>
      <c r="V11" s="1998">
        <v>0</v>
      </c>
      <c r="W11" s="1998">
        <v>28159.699999999997</v>
      </c>
      <c r="X11" s="2012">
        <f t="shared" si="1"/>
        <v>0</v>
      </c>
      <c r="Z11" s="2012">
        <f t="shared" si="4"/>
        <v>56483.7</v>
      </c>
      <c r="AA11" s="1995">
        <v>0</v>
      </c>
      <c r="AB11" s="1995">
        <f t="shared" si="5"/>
        <v>28159.699999999997</v>
      </c>
      <c r="AD11" s="1995">
        <f t="shared" si="6"/>
        <v>28159.699999999997</v>
      </c>
      <c r="AF11" s="1995">
        <f t="shared" si="7"/>
        <v>28159.699999999997</v>
      </c>
      <c r="AG11" s="1994"/>
    </row>
    <row r="12" spans="1:34" hidden="1" x14ac:dyDescent="0.25">
      <c r="A12" s="1994">
        <v>1</v>
      </c>
      <c r="B12" s="1994">
        <v>43601</v>
      </c>
      <c r="C12" s="1994" t="s">
        <v>3606</v>
      </c>
      <c r="D12" s="1994">
        <v>325234</v>
      </c>
      <c r="E12" s="1994" t="s">
        <v>907</v>
      </c>
      <c r="F12" s="1994" t="s">
        <v>3607</v>
      </c>
      <c r="G12" s="2011">
        <v>37197</v>
      </c>
      <c r="J12" s="2011">
        <v>45017</v>
      </c>
      <c r="K12" s="2011">
        <v>45138</v>
      </c>
      <c r="L12" s="1995">
        <v>103660.59</v>
      </c>
      <c r="N12" s="1994" t="s">
        <v>3608</v>
      </c>
      <c r="O12" s="1997">
        <f t="shared" si="2"/>
        <v>58305.69</v>
      </c>
      <c r="P12" s="1997">
        <f t="shared" si="3"/>
        <v>58305.69</v>
      </c>
      <c r="Q12" s="1997">
        <v>0</v>
      </c>
      <c r="S12" s="1998">
        <v>58305.69</v>
      </c>
      <c r="T12" s="1998">
        <v>0</v>
      </c>
      <c r="U12" s="1998">
        <v>58305.69</v>
      </c>
      <c r="V12" s="1998">
        <v>0</v>
      </c>
      <c r="W12" s="1998">
        <v>58305.69</v>
      </c>
      <c r="X12" s="2012">
        <f t="shared" si="1"/>
        <v>0</v>
      </c>
      <c r="Z12" s="2012">
        <f t="shared" si="4"/>
        <v>58305.69</v>
      </c>
      <c r="AA12" s="1995">
        <v>0</v>
      </c>
      <c r="AB12" s="1995">
        <f t="shared" si="5"/>
        <v>58305.69</v>
      </c>
      <c r="AD12" s="1995">
        <f t="shared" si="6"/>
        <v>58305.69</v>
      </c>
      <c r="AF12" s="1995">
        <f t="shared" si="7"/>
        <v>58305.69</v>
      </c>
      <c r="AG12" s="1994"/>
    </row>
    <row r="13" spans="1:34" hidden="1" x14ac:dyDescent="0.25">
      <c r="A13" s="1994">
        <v>1</v>
      </c>
      <c r="B13" s="1994">
        <v>43601</v>
      </c>
      <c r="C13" s="1994" t="s">
        <v>3606</v>
      </c>
      <c r="D13" s="1994">
        <v>329134</v>
      </c>
      <c r="E13" s="1994" t="s">
        <v>3609</v>
      </c>
      <c r="F13" s="1994" t="s">
        <v>935</v>
      </c>
      <c r="G13" s="2011">
        <v>37173</v>
      </c>
      <c r="J13" s="2011">
        <v>45017</v>
      </c>
      <c r="K13" s="2011">
        <v>45382</v>
      </c>
      <c r="L13" s="1995">
        <v>69464.600000000006</v>
      </c>
      <c r="O13" s="1997">
        <f t="shared" si="2"/>
        <v>59989.826666666668</v>
      </c>
      <c r="P13" s="1997">
        <f t="shared" si="3"/>
        <v>59989.826666666668</v>
      </c>
      <c r="Q13" s="1997">
        <v>0</v>
      </c>
      <c r="R13" s="1998">
        <v>109796</v>
      </c>
      <c r="S13" s="1998">
        <v>59989.826666666668</v>
      </c>
      <c r="T13" s="1998">
        <v>-46704.08</v>
      </c>
      <c r="U13" s="1998">
        <v>70095.240000000005</v>
      </c>
      <c r="V13" s="1998">
        <v>36598.666666666664</v>
      </c>
      <c r="W13" s="1998">
        <v>59989.826666666668</v>
      </c>
      <c r="X13" s="2012">
        <f t="shared" si="1"/>
        <v>0</v>
      </c>
      <c r="Z13" s="2012">
        <f t="shared" si="4"/>
        <v>106693.90666666668</v>
      </c>
      <c r="AA13" s="1995">
        <v>0</v>
      </c>
      <c r="AB13" s="1995">
        <f t="shared" si="5"/>
        <v>59989.826666666668</v>
      </c>
      <c r="AD13" s="1995">
        <f t="shared" si="6"/>
        <v>59989.826666666668</v>
      </c>
      <c r="AF13" s="1995">
        <f t="shared" si="7"/>
        <v>59989.826666666668</v>
      </c>
      <c r="AG13" s="1994"/>
    </row>
    <row r="14" spans="1:34" hidden="1" x14ac:dyDescent="0.25">
      <c r="A14" s="1994">
        <v>1</v>
      </c>
      <c r="B14" s="1994">
        <v>43601</v>
      </c>
      <c r="C14" s="1994" t="s">
        <v>2172</v>
      </c>
      <c r="D14" s="1994">
        <v>332767</v>
      </c>
      <c r="E14" s="1994" t="s">
        <v>2174</v>
      </c>
      <c r="F14" s="1994" t="s">
        <v>2173</v>
      </c>
      <c r="G14" s="2011">
        <v>37282</v>
      </c>
      <c r="J14" s="2011">
        <v>45170</v>
      </c>
      <c r="K14" s="2011">
        <v>45382</v>
      </c>
      <c r="L14" s="1995">
        <v>6175</v>
      </c>
      <c r="M14" s="1995">
        <v>6175</v>
      </c>
      <c r="O14" s="1997">
        <f t="shared" si="2"/>
        <v>5616.666666666667</v>
      </c>
      <c r="P14" s="1997">
        <f t="shared" si="3"/>
        <v>5616.666666666667</v>
      </c>
      <c r="Q14" s="1997">
        <v>0</v>
      </c>
      <c r="R14" s="1998">
        <v>6175</v>
      </c>
      <c r="S14" s="1998">
        <v>5616.666666666667</v>
      </c>
      <c r="T14" s="1998">
        <v>0</v>
      </c>
      <c r="U14" s="1998">
        <v>1500</v>
      </c>
      <c r="V14" s="1998">
        <v>4116.666666666667</v>
      </c>
      <c r="W14" s="1998">
        <v>5616.666666666667</v>
      </c>
      <c r="X14" s="2012">
        <f t="shared" si="1"/>
        <v>0</v>
      </c>
      <c r="Z14" s="2012">
        <f t="shared" si="4"/>
        <v>5616.666666666667</v>
      </c>
      <c r="AA14" s="1995">
        <v>0</v>
      </c>
      <c r="AB14" s="1995">
        <f t="shared" si="5"/>
        <v>5616.666666666667</v>
      </c>
      <c r="AD14" s="1995">
        <f t="shared" si="6"/>
        <v>5616.666666666667</v>
      </c>
      <c r="AF14" s="1995">
        <f t="shared" si="7"/>
        <v>5616.666666666667</v>
      </c>
      <c r="AG14" s="1994"/>
    </row>
    <row r="15" spans="1:34" hidden="1" x14ac:dyDescent="0.25">
      <c r="A15" s="1994">
        <v>1</v>
      </c>
      <c r="B15" s="1994">
        <v>43601</v>
      </c>
      <c r="C15" s="1994" t="s">
        <v>3610</v>
      </c>
      <c r="D15" s="1994">
        <v>332773</v>
      </c>
      <c r="E15" s="1994" t="s">
        <v>3611</v>
      </c>
      <c r="F15" s="1994" t="s">
        <v>1313</v>
      </c>
      <c r="G15" s="2011">
        <v>37704</v>
      </c>
      <c r="J15" s="2011">
        <v>45170</v>
      </c>
      <c r="K15" s="2011">
        <v>45382</v>
      </c>
      <c r="L15" s="1995">
        <v>68810</v>
      </c>
      <c r="O15" s="1997">
        <f t="shared" si="2"/>
        <v>82974</v>
      </c>
      <c r="P15" s="1997">
        <f t="shared" si="3"/>
        <v>82974</v>
      </c>
      <c r="Q15" s="1997">
        <v>0</v>
      </c>
      <c r="R15" s="1998">
        <v>107611</v>
      </c>
      <c r="S15" s="1998">
        <v>82974</v>
      </c>
      <c r="T15" s="1998">
        <v>0</v>
      </c>
      <c r="U15" s="1998">
        <v>52946.5</v>
      </c>
      <c r="V15" s="1998">
        <v>30027.5</v>
      </c>
      <c r="W15" s="1998">
        <v>82974</v>
      </c>
      <c r="X15" s="2012">
        <f t="shared" si="1"/>
        <v>0</v>
      </c>
      <c r="Z15" s="2012">
        <f t="shared" si="4"/>
        <v>82974</v>
      </c>
      <c r="AA15" s="1995">
        <v>0</v>
      </c>
      <c r="AB15" s="1995">
        <f t="shared" si="5"/>
        <v>82974</v>
      </c>
      <c r="AD15" s="1995">
        <f t="shared" si="6"/>
        <v>82974</v>
      </c>
      <c r="AF15" s="1995">
        <f t="shared" si="7"/>
        <v>82974</v>
      </c>
      <c r="AG15" s="1994"/>
    </row>
    <row r="16" spans="1:34" hidden="1" x14ac:dyDescent="0.25">
      <c r="A16" s="1994">
        <v>0</v>
      </c>
      <c r="B16" s="1994">
        <v>43601</v>
      </c>
      <c r="C16" s="1994" t="s">
        <v>3612</v>
      </c>
      <c r="D16" s="1994">
        <v>332773</v>
      </c>
      <c r="E16" s="1994" t="s">
        <v>3611</v>
      </c>
      <c r="F16" s="1994" t="s">
        <v>1313</v>
      </c>
      <c r="G16" s="2011">
        <v>37704</v>
      </c>
      <c r="J16" s="2011">
        <v>45017</v>
      </c>
      <c r="K16" s="2011">
        <v>45138</v>
      </c>
      <c r="L16" s="1995">
        <v>105501</v>
      </c>
      <c r="O16" s="1997">
        <f t="shared" si="2"/>
        <v>0</v>
      </c>
      <c r="P16" s="1997">
        <f t="shared" si="3"/>
        <v>0</v>
      </c>
      <c r="Q16" s="1997">
        <v>0</v>
      </c>
      <c r="X16" s="2012"/>
      <c r="Z16" s="2012"/>
      <c r="AA16" s="1995">
        <v>0</v>
      </c>
      <c r="AB16" s="1995">
        <f t="shared" si="5"/>
        <v>0</v>
      </c>
      <c r="AD16" s="1995">
        <f t="shared" si="6"/>
        <v>0</v>
      </c>
      <c r="AF16" s="1995">
        <f t="shared" si="7"/>
        <v>0</v>
      </c>
      <c r="AG16" s="1994"/>
    </row>
    <row r="17" spans="1:33" hidden="1" x14ac:dyDescent="0.25">
      <c r="A17" s="1994">
        <v>1</v>
      </c>
      <c r="B17" s="1994">
        <v>43601</v>
      </c>
      <c r="C17" s="1994" t="s">
        <v>3613</v>
      </c>
      <c r="D17" s="1994">
        <v>332791</v>
      </c>
      <c r="E17" s="1994" t="s">
        <v>2614</v>
      </c>
      <c r="F17" s="1994" t="s">
        <v>657</v>
      </c>
      <c r="G17" s="2011">
        <v>36812</v>
      </c>
      <c r="J17" s="2011">
        <v>43717</v>
      </c>
      <c r="K17" s="2011">
        <v>44773</v>
      </c>
      <c r="O17" s="1997">
        <f t="shared" si="2"/>
        <v>-756.59999999999991</v>
      </c>
      <c r="P17" s="1997">
        <f t="shared" si="3"/>
        <v>-756.59999999999991</v>
      </c>
      <c r="Q17" s="1997">
        <v>0</v>
      </c>
      <c r="S17" s="1998">
        <v>-756.59999999999991</v>
      </c>
      <c r="T17" s="1998">
        <v>-756.59999999999991</v>
      </c>
      <c r="U17" s="1998">
        <v>0</v>
      </c>
      <c r="V17" s="1998">
        <v>0</v>
      </c>
      <c r="W17" s="1998">
        <v>-756.59999999999991</v>
      </c>
      <c r="X17" s="2012">
        <f t="shared" si="1"/>
        <v>0</v>
      </c>
      <c r="Z17" s="2012">
        <f t="shared" si="4"/>
        <v>0</v>
      </c>
      <c r="AA17" s="1995">
        <v>0</v>
      </c>
      <c r="AB17" s="1995">
        <f t="shared" si="5"/>
        <v>-756.59999999999991</v>
      </c>
      <c r="AD17" s="1995">
        <f t="shared" si="6"/>
        <v>-756.59999999999991</v>
      </c>
      <c r="AF17" s="1995">
        <f t="shared" si="7"/>
        <v>-756.59999999999991</v>
      </c>
      <c r="AG17" s="1994"/>
    </row>
    <row r="18" spans="1:33" hidden="1" x14ac:dyDescent="0.25">
      <c r="A18" s="1994">
        <v>1</v>
      </c>
      <c r="B18" s="1994">
        <v>43601</v>
      </c>
      <c r="C18" s="1994" t="s">
        <v>3606</v>
      </c>
      <c r="D18" s="1994">
        <v>337029</v>
      </c>
      <c r="E18" s="1994" t="s">
        <v>478</v>
      </c>
      <c r="F18" s="1994" t="s">
        <v>177</v>
      </c>
      <c r="G18" s="2011">
        <v>45339</v>
      </c>
      <c r="H18" s="1994">
        <v>19.8</v>
      </c>
      <c r="J18" s="2011">
        <v>45017</v>
      </c>
      <c r="K18" s="2011">
        <v>45138</v>
      </c>
      <c r="L18" s="1995">
        <v>101461.28</v>
      </c>
      <c r="O18" s="1997">
        <f t="shared" si="2"/>
        <v>106116</v>
      </c>
      <c r="P18" s="1997">
        <f t="shared" si="3"/>
        <v>106116</v>
      </c>
      <c r="Q18" s="1997">
        <v>0</v>
      </c>
      <c r="R18" s="1998">
        <v>106116</v>
      </c>
      <c r="S18" s="1998">
        <v>106116</v>
      </c>
      <c r="T18" s="1998">
        <v>0</v>
      </c>
      <c r="U18" s="1998">
        <v>134688.25</v>
      </c>
      <c r="V18" s="1998">
        <v>73114</v>
      </c>
      <c r="W18" s="1998">
        <v>207802.25</v>
      </c>
      <c r="X18" s="2012">
        <f t="shared" si="1"/>
        <v>101686.25</v>
      </c>
      <c r="Z18" s="2012">
        <f t="shared" si="4"/>
        <v>207802.25</v>
      </c>
      <c r="AA18" s="1995">
        <v>0</v>
      </c>
      <c r="AB18" s="1995">
        <f t="shared" si="5"/>
        <v>106116</v>
      </c>
      <c r="AD18" s="1995">
        <f t="shared" si="6"/>
        <v>106116</v>
      </c>
      <c r="AF18" s="1995">
        <f t="shared" si="7"/>
        <v>106116</v>
      </c>
      <c r="AG18" s="1994"/>
    </row>
    <row r="19" spans="1:33" hidden="1" x14ac:dyDescent="0.25">
      <c r="A19" s="1994">
        <v>1</v>
      </c>
      <c r="B19" s="1994">
        <v>43601</v>
      </c>
      <c r="C19" s="1994" t="s">
        <v>3861</v>
      </c>
      <c r="D19" s="1994">
        <v>338262</v>
      </c>
      <c r="E19" s="1994" t="s">
        <v>1270</v>
      </c>
      <c r="F19" s="1994" t="s">
        <v>1044</v>
      </c>
      <c r="O19" s="1997">
        <f t="shared" si="2"/>
        <v>9580</v>
      </c>
      <c r="P19" s="1997">
        <f t="shared" si="3"/>
        <v>9580</v>
      </c>
      <c r="Q19" s="1997">
        <v>0</v>
      </c>
      <c r="S19" s="1998">
        <v>9580</v>
      </c>
      <c r="T19" s="1998">
        <v>0</v>
      </c>
      <c r="U19" s="1998">
        <v>9580</v>
      </c>
      <c r="V19" s="1998">
        <v>0</v>
      </c>
      <c r="W19" s="1998">
        <v>9580</v>
      </c>
      <c r="X19" s="2012">
        <f t="shared" si="1"/>
        <v>0</v>
      </c>
      <c r="Z19" s="2012">
        <f t="shared" si="4"/>
        <v>9580</v>
      </c>
      <c r="AA19" s="1995">
        <v>0</v>
      </c>
      <c r="AB19" s="1995">
        <f t="shared" si="5"/>
        <v>9580</v>
      </c>
      <c r="AD19" s="1995">
        <f t="shared" si="6"/>
        <v>9580</v>
      </c>
      <c r="AF19" s="1995">
        <f t="shared" si="7"/>
        <v>9580</v>
      </c>
      <c r="AG19" s="1994"/>
    </row>
    <row r="20" spans="1:33" hidden="1" x14ac:dyDescent="0.25">
      <c r="A20" s="1994">
        <v>1</v>
      </c>
      <c r="B20" s="1994">
        <v>43601</v>
      </c>
      <c r="C20" s="1994" t="s">
        <v>3854</v>
      </c>
      <c r="D20" s="1994">
        <v>338963</v>
      </c>
      <c r="E20" s="1994" t="s">
        <v>3614</v>
      </c>
      <c r="F20" s="1994" t="s">
        <v>316</v>
      </c>
      <c r="O20" s="1997">
        <f t="shared" si="2"/>
        <v>23526</v>
      </c>
      <c r="P20" s="1997">
        <f t="shared" si="3"/>
        <v>23526</v>
      </c>
      <c r="Q20" s="1997">
        <v>0</v>
      </c>
      <c r="R20" s="1998">
        <v>23526</v>
      </c>
      <c r="S20" s="1998">
        <v>23526</v>
      </c>
      <c r="T20" s="1998">
        <v>0</v>
      </c>
      <c r="U20" s="1998">
        <v>0</v>
      </c>
      <c r="V20" s="1998">
        <v>23526</v>
      </c>
      <c r="W20" s="1998">
        <v>23526</v>
      </c>
      <c r="X20" s="2012">
        <f t="shared" si="1"/>
        <v>0</v>
      </c>
      <c r="Z20" s="2012">
        <f t="shared" si="4"/>
        <v>23526</v>
      </c>
      <c r="AA20" s="1995">
        <v>0</v>
      </c>
      <c r="AB20" s="1995">
        <f t="shared" si="5"/>
        <v>23526</v>
      </c>
      <c r="AD20" s="1995">
        <f t="shared" si="6"/>
        <v>23526</v>
      </c>
      <c r="AF20" s="1995">
        <f t="shared" si="7"/>
        <v>23526</v>
      </c>
      <c r="AG20" s="1994"/>
    </row>
    <row r="21" spans="1:33" hidden="1" x14ac:dyDescent="0.25">
      <c r="A21" s="1994">
        <v>1</v>
      </c>
      <c r="B21" s="1994">
        <v>43601</v>
      </c>
      <c r="C21" s="1994" t="s">
        <v>3892</v>
      </c>
      <c r="D21" s="1994">
        <v>340834</v>
      </c>
      <c r="E21" s="1994" t="s">
        <v>3615</v>
      </c>
      <c r="F21" s="1994" t="s">
        <v>231</v>
      </c>
      <c r="O21" s="1997">
        <f t="shared" si="2"/>
        <v>32578.34</v>
      </c>
      <c r="P21" s="1997">
        <f t="shared" si="3"/>
        <v>32578.34</v>
      </c>
      <c r="Q21" s="1997">
        <v>0</v>
      </c>
      <c r="S21" s="1998">
        <v>32578.34</v>
      </c>
      <c r="T21" s="1998">
        <v>0</v>
      </c>
      <c r="U21" s="1998">
        <v>32578.34</v>
      </c>
      <c r="V21" s="1998">
        <v>0</v>
      </c>
      <c r="W21" s="1998">
        <v>32578.34</v>
      </c>
      <c r="X21" s="2012">
        <f t="shared" si="1"/>
        <v>0</v>
      </c>
      <c r="Z21" s="2012">
        <f t="shared" si="4"/>
        <v>32578.34</v>
      </c>
      <c r="AA21" s="1995">
        <v>0</v>
      </c>
      <c r="AB21" s="1995">
        <f t="shared" si="5"/>
        <v>32578.34</v>
      </c>
      <c r="AD21" s="1995">
        <f t="shared" si="6"/>
        <v>32578.34</v>
      </c>
      <c r="AF21" s="1995">
        <f t="shared" si="7"/>
        <v>32578.34</v>
      </c>
      <c r="AG21" s="1994"/>
    </row>
    <row r="22" spans="1:33" hidden="1" x14ac:dyDescent="0.25">
      <c r="A22" s="1994">
        <v>1</v>
      </c>
      <c r="B22" s="1994">
        <v>43601</v>
      </c>
      <c r="C22" s="1994" t="s">
        <v>3871</v>
      </c>
      <c r="D22" s="1994">
        <v>346083</v>
      </c>
      <c r="E22" s="1994" t="s">
        <v>3616</v>
      </c>
      <c r="F22" s="1994" t="s">
        <v>797</v>
      </c>
      <c r="O22" s="1997">
        <f t="shared" si="2"/>
        <v>88772.700000000012</v>
      </c>
      <c r="P22" s="1997">
        <f t="shared" si="3"/>
        <v>88772.700000000012</v>
      </c>
      <c r="Q22" s="1997">
        <v>0</v>
      </c>
      <c r="R22" s="1998">
        <v>88773</v>
      </c>
      <c r="S22" s="1998">
        <v>88772.700000000012</v>
      </c>
      <c r="T22" s="1998">
        <v>0</v>
      </c>
      <c r="U22" s="1998">
        <v>29590.9</v>
      </c>
      <c r="V22" s="1998">
        <v>59181.8</v>
      </c>
      <c r="W22" s="1998">
        <v>88772.700000000012</v>
      </c>
      <c r="X22" s="2012">
        <f t="shared" si="1"/>
        <v>0</v>
      </c>
      <c r="Z22" s="2012">
        <f t="shared" si="4"/>
        <v>88772.700000000012</v>
      </c>
      <c r="AA22" s="1995">
        <v>0</v>
      </c>
      <c r="AB22" s="1995">
        <f t="shared" si="5"/>
        <v>88772.700000000012</v>
      </c>
      <c r="AD22" s="1995">
        <f t="shared" si="6"/>
        <v>88772.700000000012</v>
      </c>
      <c r="AF22" s="1995">
        <f t="shared" si="7"/>
        <v>88772.700000000012</v>
      </c>
      <c r="AG22" s="1994"/>
    </row>
    <row r="23" spans="1:33" hidden="1" x14ac:dyDescent="0.25">
      <c r="A23" s="1994">
        <v>1</v>
      </c>
      <c r="B23" s="1994">
        <v>43601</v>
      </c>
      <c r="C23" s="1994" t="s">
        <v>3864</v>
      </c>
      <c r="D23" s="1994">
        <v>348125</v>
      </c>
      <c r="E23" s="1994" t="s">
        <v>3617</v>
      </c>
      <c r="F23" s="1994" t="s">
        <v>704</v>
      </c>
      <c r="O23" s="1997">
        <f t="shared" si="2"/>
        <v>19993.34</v>
      </c>
      <c r="P23" s="1997">
        <f t="shared" si="3"/>
        <v>19993.34</v>
      </c>
      <c r="Q23" s="1997">
        <v>0</v>
      </c>
      <c r="S23" s="1998">
        <v>19993.34</v>
      </c>
      <c r="T23" s="1998">
        <v>0</v>
      </c>
      <c r="U23" s="1998">
        <v>19993.34</v>
      </c>
      <c r="V23" s="1998">
        <v>0</v>
      </c>
      <c r="W23" s="1998">
        <v>19993.34</v>
      </c>
      <c r="X23" s="2012">
        <f t="shared" si="1"/>
        <v>0</v>
      </c>
      <c r="Z23" s="2012">
        <f t="shared" si="4"/>
        <v>19993.34</v>
      </c>
      <c r="AA23" s="1995">
        <v>0</v>
      </c>
      <c r="AB23" s="1995">
        <f t="shared" si="5"/>
        <v>19993.34</v>
      </c>
      <c r="AD23" s="1995">
        <f t="shared" si="6"/>
        <v>19993.34</v>
      </c>
      <c r="AF23" s="1995">
        <f t="shared" si="7"/>
        <v>19993.34</v>
      </c>
      <c r="AG23" s="1994"/>
    </row>
    <row r="24" spans="1:33" hidden="1" x14ac:dyDescent="0.25">
      <c r="A24" s="1994">
        <v>1</v>
      </c>
      <c r="B24" s="1994">
        <v>43601</v>
      </c>
      <c r="C24" s="1994" t="s">
        <v>3854</v>
      </c>
      <c r="D24" s="1994">
        <v>353699</v>
      </c>
      <c r="E24" s="1994" t="s">
        <v>3618</v>
      </c>
      <c r="F24" s="1994" t="s">
        <v>3619</v>
      </c>
      <c r="O24" s="1997">
        <f t="shared" si="2"/>
        <v>34900</v>
      </c>
      <c r="P24" s="1997">
        <f t="shared" si="3"/>
        <v>34900</v>
      </c>
      <c r="Q24" s="1997">
        <v>0</v>
      </c>
      <c r="R24" s="1998">
        <v>34900</v>
      </c>
      <c r="S24" s="1998">
        <v>34900</v>
      </c>
      <c r="T24" s="1998">
        <v>0</v>
      </c>
      <c r="U24" s="1998">
        <v>0</v>
      </c>
      <c r="V24" s="1998">
        <v>34900</v>
      </c>
      <c r="W24" s="1998">
        <v>34900</v>
      </c>
      <c r="X24" s="2012">
        <f t="shared" si="1"/>
        <v>0</v>
      </c>
      <c r="Z24" s="2012">
        <f t="shared" si="4"/>
        <v>34900</v>
      </c>
      <c r="AA24" s="1995">
        <v>0</v>
      </c>
      <c r="AB24" s="1995">
        <f t="shared" si="5"/>
        <v>34900</v>
      </c>
      <c r="AD24" s="1995">
        <f t="shared" si="6"/>
        <v>34900</v>
      </c>
      <c r="AF24" s="1995">
        <f t="shared" si="7"/>
        <v>34900</v>
      </c>
      <c r="AG24" s="1994"/>
    </row>
    <row r="25" spans="1:33" hidden="1" x14ac:dyDescent="0.25">
      <c r="A25" s="1994">
        <v>1</v>
      </c>
      <c r="B25" s="1994">
        <v>43601</v>
      </c>
      <c r="C25" s="1994" t="s">
        <v>3861</v>
      </c>
      <c r="D25" s="1994">
        <v>356284</v>
      </c>
      <c r="E25" s="1994" t="s">
        <v>3620</v>
      </c>
      <c r="F25" s="1994" t="s">
        <v>1731</v>
      </c>
      <c r="O25" s="1997">
        <f t="shared" si="2"/>
        <v>39041</v>
      </c>
      <c r="P25" s="1997">
        <f t="shared" si="3"/>
        <v>39041</v>
      </c>
      <c r="Q25" s="1997">
        <v>0</v>
      </c>
      <c r="R25" s="1998">
        <v>49042</v>
      </c>
      <c r="S25" s="1998">
        <v>39041</v>
      </c>
      <c r="T25" s="1998">
        <v>0</v>
      </c>
      <c r="U25" s="1998">
        <v>8927</v>
      </c>
      <c r="V25" s="1998">
        <v>30114</v>
      </c>
      <c r="W25" s="1998">
        <v>39041</v>
      </c>
      <c r="X25" s="2012">
        <f t="shared" si="1"/>
        <v>0</v>
      </c>
      <c r="Z25" s="2012">
        <f t="shared" si="4"/>
        <v>39041</v>
      </c>
      <c r="AA25" s="1995">
        <v>0</v>
      </c>
      <c r="AB25" s="1995">
        <f t="shared" si="5"/>
        <v>39041</v>
      </c>
      <c r="AD25" s="1995">
        <f t="shared" si="6"/>
        <v>39041</v>
      </c>
      <c r="AF25" s="1995">
        <f t="shared" si="7"/>
        <v>39041</v>
      </c>
      <c r="AG25" s="1994"/>
    </row>
    <row r="26" spans="1:33" hidden="1" x14ac:dyDescent="0.25">
      <c r="A26" s="1994">
        <v>1</v>
      </c>
      <c r="B26" s="1994">
        <v>43601</v>
      </c>
      <c r="C26" s="1994" t="s">
        <v>2172</v>
      </c>
      <c r="D26" s="1994">
        <v>357730</v>
      </c>
      <c r="E26" s="1994" t="s">
        <v>1501</v>
      </c>
      <c r="F26" s="1994" t="s">
        <v>3621</v>
      </c>
      <c r="O26" s="1997">
        <f t="shared" si="2"/>
        <v>5250</v>
      </c>
      <c r="P26" s="1997">
        <f t="shared" si="3"/>
        <v>5250</v>
      </c>
      <c r="Q26" s="1997">
        <v>5250</v>
      </c>
      <c r="R26" s="1998">
        <v>5251</v>
      </c>
      <c r="X26" s="2012">
        <f t="shared" si="1"/>
        <v>0</v>
      </c>
      <c r="Z26" s="2012">
        <f t="shared" si="4"/>
        <v>0</v>
      </c>
      <c r="AA26" s="1995">
        <v>5250</v>
      </c>
      <c r="AB26" s="1995">
        <f t="shared" si="5"/>
        <v>5250</v>
      </c>
      <c r="AD26" s="1995">
        <f t="shared" si="6"/>
        <v>5250</v>
      </c>
      <c r="AF26" s="1995">
        <f t="shared" si="7"/>
        <v>5250</v>
      </c>
      <c r="AG26" s="1994"/>
    </row>
    <row r="27" spans="1:33" hidden="1" x14ac:dyDescent="0.25">
      <c r="B27" s="1994">
        <v>43601</v>
      </c>
      <c r="C27" s="1994" t="s">
        <v>2172</v>
      </c>
      <c r="D27" s="1994">
        <v>357730</v>
      </c>
      <c r="E27" s="1994" t="s">
        <v>1501</v>
      </c>
      <c r="F27" s="1994" t="s">
        <v>3621</v>
      </c>
      <c r="O27" s="1997">
        <v>42730</v>
      </c>
      <c r="P27" s="1997">
        <v>0</v>
      </c>
      <c r="Q27" s="1997">
        <v>0</v>
      </c>
      <c r="X27" s="2012"/>
      <c r="Z27" s="2012"/>
      <c r="AC27" s="1496">
        <v>14020.78</v>
      </c>
      <c r="AD27" s="1995">
        <f t="shared" si="6"/>
        <v>14020.78</v>
      </c>
      <c r="AF27" s="1995">
        <f t="shared" si="7"/>
        <v>14020.78</v>
      </c>
      <c r="AG27" s="1994"/>
    </row>
    <row r="28" spans="1:33" hidden="1" x14ac:dyDescent="0.25">
      <c r="A28" s="1994">
        <v>1</v>
      </c>
      <c r="B28" s="1994">
        <v>43601</v>
      </c>
      <c r="C28" s="1994" t="s">
        <v>3893</v>
      </c>
      <c r="D28" s="1994">
        <v>357909</v>
      </c>
      <c r="E28" s="1994" t="s">
        <v>3622</v>
      </c>
      <c r="F28" s="1994" t="s">
        <v>481</v>
      </c>
      <c r="O28" s="1997">
        <f t="shared" si="2"/>
        <v>14575</v>
      </c>
      <c r="P28" s="1997">
        <f t="shared" si="3"/>
        <v>14575</v>
      </c>
      <c r="Q28" s="1997">
        <v>0</v>
      </c>
      <c r="R28" s="1998">
        <v>14575</v>
      </c>
      <c r="S28" s="1998">
        <v>14575</v>
      </c>
      <c r="T28" s="1998">
        <v>0</v>
      </c>
      <c r="U28" s="1998">
        <v>0</v>
      </c>
      <c r="V28" s="1998">
        <v>14575</v>
      </c>
      <c r="W28" s="1998">
        <v>14575</v>
      </c>
      <c r="X28" s="2012">
        <f t="shared" si="1"/>
        <v>0</v>
      </c>
      <c r="Z28" s="2012">
        <f t="shared" si="4"/>
        <v>14575</v>
      </c>
      <c r="AA28" s="1995">
        <v>0</v>
      </c>
      <c r="AB28" s="1995">
        <f t="shared" si="5"/>
        <v>14575</v>
      </c>
      <c r="AD28" s="1995">
        <f t="shared" si="6"/>
        <v>14575</v>
      </c>
      <c r="AF28" s="1995">
        <f t="shared" si="7"/>
        <v>14575</v>
      </c>
      <c r="AG28" s="1994"/>
    </row>
    <row r="29" spans="1:33" hidden="1" x14ac:dyDescent="0.25">
      <c r="A29" s="1994">
        <v>1</v>
      </c>
      <c r="B29" s="1994">
        <v>43601</v>
      </c>
      <c r="C29" s="1994" t="s">
        <v>3590</v>
      </c>
      <c r="D29" s="1994">
        <v>357932</v>
      </c>
      <c r="E29" s="1994" t="s">
        <v>3622</v>
      </c>
      <c r="F29" s="1994" t="s">
        <v>1076</v>
      </c>
      <c r="O29" s="1997">
        <f t="shared" si="2"/>
        <v>16153.25</v>
      </c>
      <c r="P29" s="1997">
        <f t="shared" si="3"/>
        <v>16153.25</v>
      </c>
      <c r="Q29" s="1997">
        <v>0</v>
      </c>
      <c r="S29" s="1998">
        <v>16153.25</v>
      </c>
      <c r="T29" s="1998">
        <v>-41679</v>
      </c>
      <c r="U29" s="1998">
        <v>43344.750000000015</v>
      </c>
      <c r="V29" s="1998">
        <v>14487</v>
      </c>
      <c r="W29" s="1998">
        <v>16152.750000000015</v>
      </c>
      <c r="X29" s="2012">
        <f t="shared" si="1"/>
        <v>-0.49999999998544808</v>
      </c>
      <c r="Z29" s="2012">
        <f t="shared" si="4"/>
        <v>57831.750000000015</v>
      </c>
      <c r="AA29" s="1995">
        <v>0</v>
      </c>
      <c r="AB29" s="1995">
        <f t="shared" si="5"/>
        <v>16153.25</v>
      </c>
      <c r="AD29" s="1995">
        <f t="shared" si="6"/>
        <v>16153.25</v>
      </c>
      <c r="AF29" s="1995">
        <f t="shared" si="7"/>
        <v>16153.25</v>
      </c>
    </row>
    <row r="30" spans="1:33" hidden="1" x14ac:dyDescent="0.25">
      <c r="A30" s="1994">
        <v>1</v>
      </c>
      <c r="B30" s="1994">
        <v>43601</v>
      </c>
      <c r="C30" s="1994" t="s">
        <v>3894</v>
      </c>
      <c r="D30" s="1994">
        <v>358390</v>
      </c>
      <c r="E30" s="1994" t="s">
        <v>1197</v>
      </c>
      <c r="F30" s="1994" t="s">
        <v>938</v>
      </c>
      <c r="O30" s="1997">
        <f t="shared" si="2"/>
        <v>2620</v>
      </c>
      <c r="P30" s="1997">
        <f t="shared" si="3"/>
        <v>2620</v>
      </c>
      <c r="Q30" s="1997">
        <v>0</v>
      </c>
      <c r="S30" s="1998">
        <v>2620</v>
      </c>
      <c r="T30" s="1998">
        <v>0</v>
      </c>
      <c r="U30" s="1998">
        <v>2620</v>
      </c>
      <c r="V30" s="1998">
        <v>0</v>
      </c>
      <c r="W30" s="1998">
        <v>2620</v>
      </c>
      <c r="X30" s="2012">
        <f t="shared" si="1"/>
        <v>0</v>
      </c>
      <c r="Z30" s="2012">
        <f t="shared" si="4"/>
        <v>2620</v>
      </c>
      <c r="AA30" s="1995">
        <v>0</v>
      </c>
      <c r="AB30" s="1995">
        <f t="shared" si="5"/>
        <v>2620</v>
      </c>
      <c r="AD30" s="1995">
        <f t="shared" si="6"/>
        <v>2620</v>
      </c>
      <c r="AF30" s="1995">
        <f t="shared" si="7"/>
        <v>2620</v>
      </c>
      <c r="AG30" s="1994"/>
    </row>
    <row r="31" spans="1:33" hidden="1" x14ac:dyDescent="0.25">
      <c r="A31" s="1994">
        <v>1</v>
      </c>
      <c r="B31" s="1994">
        <v>43601</v>
      </c>
      <c r="C31" s="1994" t="s">
        <v>3606</v>
      </c>
      <c r="D31" s="1994">
        <v>359268</v>
      </c>
      <c r="E31" s="1994" t="s">
        <v>3623</v>
      </c>
      <c r="F31" s="1994" t="s">
        <v>506</v>
      </c>
      <c r="O31" s="1997">
        <f t="shared" si="2"/>
        <v>127463.78666666665</v>
      </c>
      <c r="P31" s="1997">
        <f t="shared" si="3"/>
        <v>127463.78666666665</v>
      </c>
      <c r="Q31" s="1997">
        <v>0</v>
      </c>
      <c r="R31" s="1998">
        <v>137543</v>
      </c>
      <c r="S31" s="1998">
        <v>127463.78666666665</v>
      </c>
      <c r="T31" s="1998">
        <v>0</v>
      </c>
      <c r="U31" s="1998">
        <v>81616.12</v>
      </c>
      <c r="V31" s="1998">
        <v>45847.666666666664</v>
      </c>
      <c r="W31" s="1998">
        <v>127463.78666666665</v>
      </c>
      <c r="X31" s="2012">
        <f t="shared" si="1"/>
        <v>0</v>
      </c>
      <c r="Z31" s="2012">
        <f t="shared" si="4"/>
        <v>127463.78666666665</v>
      </c>
      <c r="AA31" s="1995">
        <v>0</v>
      </c>
      <c r="AB31" s="1995">
        <f t="shared" si="5"/>
        <v>127463.78666666665</v>
      </c>
      <c r="AD31" s="1995">
        <f t="shared" si="6"/>
        <v>127463.78666666665</v>
      </c>
      <c r="AF31" s="1995">
        <f t="shared" si="7"/>
        <v>127463.78666666665</v>
      </c>
      <c r="AG31" s="1994"/>
    </row>
    <row r="32" spans="1:33" hidden="1" x14ac:dyDescent="0.25">
      <c r="A32" s="1994">
        <v>1</v>
      </c>
      <c r="B32" s="1994">
        <v>43601</v>
      </c>
      <c r="C32" s="1994" t="s">
        <v>3895</v>
      </c>
      <c r="D32" s="1994">
        <v>359547</v>
      </c>
      <c r="E32" s="1994" t="s">
        <v>1197</v>
      </c>
      <c r="F32" s="1994" t="s">
        <v>697</v>
      </c>
      <c r="O32" s="1997">
        <f t="shared" si="2"/>
        <v>72100</v>
      </c>
      <c r="P32" s="1997">
        <f t="shared" si="3"/>
        <v>72100</v>
      </c>
      <c r="Q32" s="1997">
        <v>0</v>
      </c>
      <c r="R32" s="1998">
        <v>72100</v>
      </c>
      <c r="S32" s="1998">
        <v>72100</v>
      </c>
      <c r="T32" s="1998">
        <v>0</v>
      </c>
      <c r="U32" s="1998">
        <v>48675</v>
      </c>
      <c r="V32" s="1998">
        <v>23425</v>
      </c>
      <c r="W32" s="1998">
        <v>72100</v>
      </c>
      <c r="X32" s="2012">
        <f t="shared" si="1"/>
        <v>0</v>
      </c>
      <c r="Z32" s="2012">
        <f t="shared" si="4"/>
        <v>72100</v>
      </c>
      <c r="AA32" s="1995">
        <v>0</v>
      </c>
      <c r="AB32" s="1995">
        <f t="shared" si="5"/>
        <v>72100</v>
      </c>
      <c r="AD32" s="1995">
        <f t="shared" si="6"/>
        <v>72100</v>
      </c>
      <c r="AF32" s="1995">
        <f t="shared" si="7"/>
        <v>72100</v>
      </c>
      <c r="AG32" s="1994"/>
    </row>
    <row r="33" spans="1:33" hidden="1" x14ac:dyDescent="0.25">
      <c r="A33" s="1994">
        <v>1</v>
      </c>
      <c r="B33" s="1994">
        <v>43601</v>
      </c>
      <c r="C33" s="1994" t="s">
        <v>3854</v>
      </c>
      <c r="D33" s="1994">
        <v>361510</v>
      </c>
      <c r="E33" s="1994" t="s">
        <v>1296</v>
      </c>
      <c r="F33" s="1994" t="s">
        <v>3153</v>
      </c>
      <c r="O33" s="1997">
        <f t="shared" si="2"/>
        <v>26380</v>
      </c>
      <c r="P33" s="1997">
        <f t="shared" si="3"/>
        <v>26380</v>
      </c>
      <c r="Q33" s="1997">
        <v>0</v>
      </c>
      <c r="R33" s="1998">
        <v>38400</v>
      </c>
      <c r="S33" s="1998">
        <v>26380</v>
      </c>
      <c r="X33" s="2012">
        <f t="shared" si="1"/>
        <v>-26380</v>
      </c>
      <c r="Z33" s="2012">
        <f t="shared" si="4"/>
        <v>0</v>
      </c>
      <c r="AA33" s="1995">
        <v>0</v>
      </c>
      <c r="AB33" s="1995">
        <f t="shared" si="5"/>
        <v>26380</v>
      </c>
      <c r="AD33" s="1995">
        <f t="shared" si="6"/>
        <v>26380</v>
      </c>
      <c r="AF33" s="1995">
        <f t="shared" si="7"/>
        <v>26380</v>
      </c>
      <c r="AG33" s="1994"/>
    </row>
    <row r="34" spans="1:33" hidden="1" x14ac:dyDescent="0.25">
      <c r="A34" s="1994">
        <v>1</v>
      </c>
      <c r="B34" s="1994">
        <v>43601</v>
      </c>
      <c r="C34" s="1994" t="s">
        <v>3862</v>
      </c>
      <c r="D34" s="1994">
        <v>361791</v>
      </c>
      <c r="E34" s="1994" t="s">
        <v>3624</v>
      </c>
      <c r="F34" s="1994" t="s">
        <v>3625</v>
      </c>
      <c r="O34" s="1997">
        <f t="shared" si="2"/>
        <v>105026.43</v>
      </c>
      <c r="P34" s="1997">
        <f t="shared" si="3"/>
        <v>105026.43</v>
      </c>
      <c r="Q34" s="1997">
        <v>0</v>
      </c>
      <c r="R34" s="1998">
        <v>105026</v>
      </c>
      <c r="S34" s="1998">
        <v>105026.43</v>
      </c>
      <c r="T34" s="1998">
        <v>0</v>
      </c>
      <c r="U34" s="1998">
        <v>35008.81</v>
      </c>
      <c r="V34" s="1998">
        <v>70017.62</v>
      </c>
      <c r="W34" s="1998">
        <v>105026.43</v>
      </c>
      <c r="X34" s="2012">
        <f t="shared" si="1"/>
        <v>0</v>
      </c>
      <c r="Z34" s="2012">
        <f t="shared" si="4"/>
        <v>105026.43</v>
      </c>
      <c r="AA34" s="1995">
        <v>0</v>
      </c>
      <c r="AB34" s="1995">
        <f t="shared" si="5"/>
        <v>105026.43</v>
      </c>
      <c r="AD34" s="1995">
        <f t="shared" si="6"/>
        <v>105026.43</v>
      </c>
      <c r="AF34" s="1995">
        <f t="shared" si="7"/>
        <v>105026.43</v>
      </c>
      <c r="AG34" s="1994"/>
    </row>
    <row r="35" spans="1:33" hidden="1" x14ac:dyDescent="0.25">
      <c r="A35" s="1994">
        <v>1</v>
      </c>
      <c r="B35" s="1994">
        <v>43601</v>
      </c>
      <c r="C35" s="1994" t="s">
        <v>2172</v>
      </c>
      <c r="D35" s="1994">
        <v>363316</v>
      </c>
      <c r="E35" s="1994" t="s">
        <v>3626</v>
      </c>
      <c r="F35" s="1994" t="s">
        <v>1543</v>
      </c>
      <c r="O35" s="1997">
        <f t="shared" si="2"/>
        <v>32866.009999999995</v>
      </c>
      <c r="P35" s="1997">
        <f t="shared" si="3"/>
        <v>32866.009999999995</v>
      </c>
      <c r="Q35" s="1997">
        <v>0</v>
      </c>
      <c r="R35" s="1998">
        <v>3500</v>
      </c>
      <c r="S35" s="1998">
        <v>32866.009999999995</v>
      </c>
      <c r="T35" s="1998">
        <v>0</v>
      </c>
      <c r="U35" s="1998">
        <v>7007.69</v>
      </c>
      <c r="V35" s="1998">
        <v>3758.3199999999997</v>
      </c>
      <c r="W35" s="1998">
        <v>10766.009999999998</v>
      </c>
      <c r="X35" s="2012">
        <f t="shared" si="1"/>
        <v>-22099.999999999996</v>
      </c>
      <c r="Z35" s="2012">
        <f t="shared" si="4"/>
        <v>10766.009999999998</v>
      </c>
      <c r="AA35" s="1995">
        <v>0</v>
      </c>
      <c r="AB35" s="1995">
        <f t="shared" si="5"/>
        <v>32866.009999999995</v>
      </c>
      <c r="AD35" s="1995">
        <f t="shared" si="6"/>
        <v>32866.009999999995</v>
      </c>
      <c r="AF35" s="1995">
        <f t="shared" si="7"/>
        <v>32866.009999999995</v>
      </c>
      <c r="AG35" s="1994"/>
    </row>
    <row r="36" spans="1:33" hidden="1" x14ac:dyDescent="0.25">
      <c r="A36" s="1994">
        <v>1</v>
      </c>
      <c r="B36" s="1994">
        <v>43601</v>
      </c>
      <c r="C36" s="1994" t="s">
        <v>3896</v>
      </c>
      <c r="D36" s="1994">
        <v>363541</v>
      </c>
      <c r="E36" s="1994" t="s">
        <v>339</v>
      </c>
      <c r="F36" s="1994" t="s">
        <v>3627</v>
      </c>
      <c r="O36" s="1997">
        <f t="shared" si="2"/>
        <v>96408</v>
      </c>
      <c r="P36" s="1997">
        <f t="shared" si="3"/>
        <v>96408</v>
      </c>
      <c r="Q36" s="1997">
        <v>0</v>
      </c>
      <c r="R36" s="1998">
        <v>96408</v>
      </c>
      <c r="S36" s="1998">
        <v>96408</v>
      </c>
      <c r="T36" s="1998">
        <v>0</v>
      </c>
      <c r="U36" s="1998">
        <v>32136</v>
      </c>
      <c r="V36" s="1998">
        <v>64272</v>
      </c>
      <c r="W36" s="1998">
        <v>96408</v>
      </c>
      <c r="X36" s="2012">
        <f t="shared" si="1"/>
        <v>0</v>
      </c>
      <c r="Z36" s="2012">
        <f t="shared" si="4"/>
        <v>96408</v>
      </c>
      <c r="AA36" s="1995">
        <v>0</v>
      </c>
      <c r="AB36" s="1995">
        <f t="shared" si="5"/>
        <v>96408</v>
      </c>
      <c r="AD36" s="1995">
        <f t="shared" si="6"/>
        <v>96408</v>
      </c>
      <c r="AF36" s="1995">
        <f t="shared" si="7"/>
        <v>96408</v>
      </c>
      <c r="AG36" s="1994"/>
    </row>
    <row r="37" spans="1:33" hidden="1" x14ac:dyDescent="0.25">
      <c r="A37" s="1994">
        <v>1</v>
      </c>
      <c r="B37" s="1994">
        <v>43601</v>
      </c>
      <c r="C37" s="1994" t="s">
        <v>3870</v>
      </c>
      <c r="D37" s="1994">
        <v>363878</v>
      </c>
      <c r="E37" s="1994" t="s">
        <v>3628</v>
      </c>
      <c r="F37" s="1994" t="s">
        <v>139</v>
      </c>
      <c r="O37" s="1997">
        <f t="shared" si="2"/>
        <v>38766.75</v>
      </c>
      <c r="P37" s="1997">
        <f t="shared" si="3"/>
        <v>38766.75</v>
      </c>
      <c r="Q37" s="1997">
        <v>0</v>
      </c>
      <c r="S37" s="1998">
        <v>38766.75</v>
      </c>
      <c r="T37" s="1998">
        <v>0</v>
      </c>
      <c r="U37" s="1998">
        <v>38766.75</v>
      </c>
      <c r="V37" s="1998">
        <v>0</v>
      </c>
      <c r="W37" s="1998">
        <v>38766.75</v>
      </c>
      <c r="X37" s="2012">
        <f t="shared" si="1"/>
        <v>0</v>
      </c>
      <c r="Z37" s="2012">
        <f t="shared" si="4"/>
        <v>38766.75</v>
      </c>
      <c r="AA37" s="1995">
        <v>0</v>
      </c>
      <c r="AB37" s="1995">
        <f t="shared" si="5"/>
        <v>38766.75</v>
      </c>
      <c r="AD37" s="1995">
        <f t="shared" si="6"/>
        <v>38766.75</v>
      </c>
      <c r="AF37" s="1995">
        <f t="shared" si="7"/>
        <v>38766.75</v>
      </c>
      <c r="AG37" s="1994"/>
    </row>
    <row r="38" spans="1:33" hidden="1" x14ac:dyDescent="0.25">
      <c r="A38" s="1994">
        <v>1</v>
      </c>
      <c r="B38" s="1994">
        <v>43601</v>
      </c>
      <c r="C38" s="1994" t="s">
        <v>3897</v>
      </c>
      <c r="D38" s="1994">
        <v>364650</v>
      </c>
      <c r="E38" s="1994" t="s">
        <v>1168</v>
      </c>
      <c r="F38" s="1994" t="s">
        <v>1010</v>
      </c>
      <c r="O38" s="1997">
        <f t="shared" si="2"/>
        <v>21720</v>
      </c>
      <c r="P38" s="1997">
        <f t="shared" si="3"/>
        <v>21720</v>
      </c>
      <c r="Q38" s="1997">
        <v>0</v>
      </c>
      <c r="R38" s="1998">
        <v>32580</v>
      </c>
      <c r="S38" s="1998">
        <v>21720</v>
      </c>
      <c r="T38" s="1998">
        <v>0</v>
      </c>
      <c r="U38" s="1998">
        <v>10860</v>
      </c>
      <c r="V38" s="1998">
        <v>10860</v>
      </c>
      <c r="W38" s="1998">
        <v>21720</v>
      </c>
      <c r="X38" s="2012">
        <f t="shared" si="1"/>
        <v>0</v>
      </c>
      <c r="Z38" s="2012">
        <f t="shared" si="4"/>
        <v>21720</v>
      </c>
      <c r="AA38" s="1995">
        <v>0</v>
      </c>
      <c r="AB38" s="1995">
        <f t="shared" si="5"/>
        <v>21720</v>
      </c>
      <c r="AD38" s="1995">
        <f t="shared" si="6"/>
        <v>21720</v>
      </c>
      <c r="AF38" s="1995">
        <f t="shared" si="7"/>
        <v>21720</v>
      </c>
      <c r="AG38" s="1994"/>
    </row>
    <row r="39" spans="1:33" hidden="1" x14ac:dyDescent="0.25">
      <c r="A39" s="1994">
        <v>1</v>
      </c>
      <c r="B39" s="1994">
        <v>43601</v>
      </c>
      <c r="C39" s="1994" t="s">
        <v>2172</v>
      </c>
      <c r="D39" s="1994">
        <v>365239</v>
      </c>
      <c r="E39" s="1994" t="s">
        <v>3629</v>
      </c>
      <c r="F39" s="1994" t="s">
        <v>115</v>
      </c>
      <c r="O39" s="1997">
        <f t="shared" si="2"/>
        <v>27700.04</v>
      </c>
      <c r="P39" s="1997">
        <f t="shared" si="3"/>
        <v>27700.04</v>
      </c>
      <c r="Q39" s="1997">
        <v>0</v>
      </c>
      <c r="R39" s="1998">
        <v>27800</v>
      </c>
      <c r="S39" s="1998">
        <v>27700.04</v>
      </c>
      <c r="T39" s="1998">
        <v>0</v>
      </c>
      <c r="U39" s="1998">
        <v>9166.7000000000007</v>
      </c>
      <c r="V39" s="1998">
        <v>18533.34</v>
      </c>
      <c r="W39" s="1998">
        <v>27700.04</v>
      </c>
      <c r="X39" s="2012">
        <f t="shared" si="1"/>
        <v>0</v>
      </c>
      <c r="Z39" s="2012">
        <f t="shared" si="4"/>
        <v>27700.04</v>
      </c>
      <c r="AA39" s="1995">
        <v>0</v>
      </c>
      <c r="AB39" s="1995">
        <f t="shared" si="5"/>
        <v>27700.04</v>
      </c>
      <c r="AD39" s="1995">
        <f t="shared" si="6"/>
        <v>27700.04</v>
      </c>
      <c r="AF39" s="1995">
        <f t="shared" si="7"/>
        <v>27700.04</v>
      </c>
      <c r="AG39" s="1994"/>
    </row>
    <row r="40" spans="1:33" hidden="1" x14ac:dyDescent="0.25">
      <c r="A40" s="1994">
        <v>1</v>
      </c>
      <c r="B40" s="1994">
        <v>43601</v>
      </c>
      <c r="C40" s="1994" t="s">
        <v>2172</v>
      </c>
      <c r="D40" s="1994">
        <v>365490</v>
      </c>
      <c r="E40" s="1994" t="s">
        <v>3630</v>
      </c>
      <c r="F40" s="1994" t="s">
        <v>241</v>
      </c>
      <c r="O40" s="1997">
        <f t="shared" si="2"/>
        <v>2950</v>
      </c>
      <c r="P40" s="1997">
        <f t="shared" si="3"/>
        <v>2950</v>
      </c>
      <c r="Q40" s="1997">
        <v>0</v>
      </c>
      <c r="R40" s="1998">
        <v>5250</v>
      </c>
      <c r="S40" s="1998">
        <v>2950</v>
      </c>
      <c r="T40" s="1998">
        <v>0</v>
      </c>
      <c r="U40" s="1998">
        <v>2950</v>
      </c>
      <c r="V40" s="1998">
        <v>3500</v>
      </c>
      <c r="W40" s="1998">
        <v>6450</v>
      </c>
      <c r="X40" s="2012">
        <f t="shared" si="1"/>
        <v>3500</v>
      </c>
      <c r="Z40" s="2012">
        <f t="shared" si="4"/>
        <v>6450</v>
      </c>
      <c r="AA40" s="1995">
        <v>0</v>
      </c>
      <c r="AB40" s="1995">
        <f t="shared" si="5"/>
        <v>2950</v>
      </c>
      <c r="AD40" s="1995">
        <f t="shared" si="6"/>
        <v>2950</v>
      </c>
      <c r="AF40" s="1995">
        <f t="shared" si="7"/>
        <v>2950</v>
      </c>
      <c r="AG40" s="1994"/>
    </row>
    <row r="41" spans="1:33" hidden="1" x14ac:dyDescent="0.25">
      <c r="A41" s="1994">
        <v>1</v>
      </c>
      <c r="B41" s="1994">
        <v>43601</v>
      </c>
      <c r="C41" s="1994" t="s">
        <v>3659</v>
      </c>
      <c r="D41" s="1994">
        <v>366031</v>
      </c>
      <c r="E41" s="1994" t="s">
        <v>3631</v>
      </c>
      <c r="F41" s="1994" t="s">
        <v>217</v>
      </c>
      <c r="O41" s="1997">
        <f t="shared" si="2"/>
        <v>23320</v>
      </c>
      <c r="P41" s="1997">
        <f t="shared" si="3"/>
        <v>23320</v>
      </c>
      <c r="Q41" s="1997">
        <v>0</v>
      </c>
      <c r="R41" s="1998">
        <v>23700</v>
      </c>
      <c r="S41" s="1998">
        <v>23320</v>
      </c>
      <c r="T41" s="1998">
        <v>0</v>
      </c>
      <c r="U41" s="1998">
        <v>15420</v>
      </c>
      <c r="V41" s="1998">
        <v>7900</v>
      </c>
      <c r="W41" s="1998">
        <v>23320</v>
      </c>
      <c r="X41" s="2012">
        <f t="shared" si="1"/>
        <v>0</v>
      </c>
      <c r="Z41" s="2012">
        <f t="shared" si="4"/>
        <v>23320</v>
      </c>
      <c r="AA41" s="1995">
        <v>0</v>
      </c>
      <c r="AB41" s="1995">
        <f t="shared" si="5"/>
        <v>23320</v>
      </c>
      <c r="AD41" s="1995">
        <f t="shared" si="6"/>
        <v>23320</v>
      </c>
      <c r="AF41" s="1995">
        <f t="shared" si="7"/>
        <v>23320</v>
      </c>
      <c r="AG41" s="1994"/>
    </row>
    <row r="42" spans="1:33" hidden="1" x14ac:dyDescent="0.25">
      <c r="A42" s="1994">
        <v>1</v>
      </c>
      <c r="B42" s="1994">
        <v>43606</v>
      </c>
      <c r="C42" s="1994" t="s">
        <v>3863</v>
      </c>
      <c r="D42" s="1994">
        <v>367505</v>
      </c>
      <c r="E42" s="1994" t="s">
        <v>339</v>
      </c>
      <c r="F42" s="1994" t="s">
        <v>3308</v>
      </c>
      <c r="O42" s="1997">
        <f t="shared" si="2"/>
        <v>35757</v>
      </c>
      <c r="P42" s="1997">
        <f t="shared" si="3"/>
        <v>35757</v>
      </c>
      <c r="Q42" s="1997">
        <v>0</v>
      </c>
      <c r="R42" s="1998">
        <v>35757</v>
      </c>
      <c r="S42" s="1998">
        <v>35757</v>
      </c>
      <c r="T42" s="1998">
        <v>0</v>
      </c>
      <c r="U42" s="1998">
        <v>11919</v>
      </c>
      <c r="V42" s="1998">
        <v>23838</v>
      </c>
      <c r="W42" s="1998">
        <v>35757</v>
      </c>
      <c r="X42" s="2012">
        <f t="shared" si="1"/>
        <v>0</v>
      </c>
      <c r="Z42" s="2012">
        <f t="shared" si="4"/>
        <v>35757</v>
      </c>
      <c r="AA42" s="1995">
        <v>0</v>
      </c>
      <c r="AB42" s="1995">
        <f t="shared" si="5"/>
        <v>35757</v>
      </c>
      <c r="AD42" s="1995">
        <f>(AB42+AC42)</f>
        <v>35757</v>
      </c>
      <c r="AF42" s="1995">
        <f t="shared" si="7"/>
        <v>35757</v>
      </c>
      <c r="AG42" s="1994"/>
    </row>
    <row r="43" spans="1:33" hidden="1" x14ac:dyDescent="0.25">
      <c r="A43" s="1994">
        <v>1</v>
      </c>
      <c r="B43" s="1994">
        <v>43601</v>
      </c>
      <c r="C43" s="1994" t="s">
        <v>3710</v>
      </c>
      <c r="D43" s="1994">
        <v>367525</v>
      </c>
      <c r="E43" s="1994" t="s">
        <v>3632</v>
      </c>
      <c r="F43" s="1994" t="s">
        <v>3633</v>
      </c>
      <c r="O43" s="1997">
        <f t="shared" si="2"/>
        <v>18150.300000000003</v>
      </c>
      <c r="P43" s="1997">
        <f t="shared" si="3"/>
        <v>18150.300000000003</v>
      </c>
      <c r="Q43" s="1997">
        <v>0</v>
      </c>
      <c r="S43" s="1998">
        <v>18150.300000000003</v>
      </c>
      <c r="T43" s="1998">
        <v>-17268</v>
      </c>
      <c r="U43" s="1998">
        <v>35418.300000000003</v>
      </c>
      <c r="V43" s="1998">
        <v>0</v>
      </c>
      <c r="W43" s="1998">
        <v>18150.300000000003</v>
      </c>
      <c r="X43" s="2012">
        <f t="shared" si="1"/>
        <v>0</v>
      </c>
      <c r="Z43" s="2012">
        <f t="shared" si="4"/>
        <v>35418.300000000003</v>
      </c>
      <c r="AA43" s="1995">
        <v>0</v>
      </c>
      <c r="AB43" s="1995">
        <f t="shared" si="5"/>
        <v>18150.300000000003</v>
      </c>
      <c r="AD43" s="1995">
        <f t="shared" si="6"/>
        <v>18150.300000000003</v>
      </c>
      <c r="AF43" s="1995">
        <f t="shared" si="7"/>
        <v>18150.300000000003</v>
      </c>
      <c r="AG43" s="1994"/>
    </row>
    <row r="44" spans="1:33" hidden="1" x14ac:dyDescent="0.25">
      <c r="A44" s="1994">
        <v>1</v>
      </c>
      <c r="B44" s="1994">
        <v>43601</v>
      </c>
      <c r="C44" s="1994" t="s">
        <v>2172</v>
      </c>
      <c r="D44" s="1994">
        <v>367890</v>
      </c>
      <c r="E44" s="1994" t="s">
        <v>2969</v>
      </c>
      <c r="F44" s="1994" t="s">
        <v>217</v>
      </c>
      <c r="O44" s="1997">
        <f t="shared" si="2"/>
        <v>3900</v>
      </c>
      <c r="P44" s="1997">
        <f t="shared" si="3"/>
        <v>3900</v>
      </c>
      <c r="Q44" s="1997">
        <v>0</v>
      </c>
      <c r="R44" s="1998">
        <v>21450</v>
      </c>
      <c r="S44" s="1998">
        <v>3900</v>
      </c>
      <c r="T44" s="1998">
        <v>0</v>
      </c>
      <c r="U44" s="1998">
        <v>1950</v>
      </c>
      <c r="V44" s="1998">
        <v>1950</v>
      </c>
      <c r="W44" s="1998">
        <v>3900</v>
      </c>
      <c r="X44" s="2012">
        <f t="shared" si="1"/>
        <v>0</v>
      </c>
      <c r="Z44" s="2012">
        <f t="shared" si="4"/>
        <v>3900</v>
      </c>
      <c r="AA44" s="1995">
        <v>0</v>
      </c>
      <c r="AB44" s="1995">
        <f t="shared" si="5"/>
        <v>3900</v>
      </c>
      <c r="AD44" s="1995">
        <f t="shared" si="6"/>
        <v>3900</v>
      </c>
      <c r="AF44" s="1995">
        <f t="shared" si="7"/>
        <v>3900</v>
      </c>
      <c r="AG44" s="1994"/>
    </row>
    <row r="45" spans="1:33" hidden="1" x14ac:dyDescent="0.25">
      <c r="A45" s="1994">
        <v>1</v>
      </c>
      <c r="B45" s="1994">
        <v>43601</v>
      </c>
      <c r="C45" s="1994" t="s">
        <v>3864</v>
      </c>
      <c r="D45" s="1994">
        <v>367975</v>
      </c>
      <c r="E45" s="1994" t="s">
        <v>3634</v>
      </c>
      <c r="F45" s="1994" t="s">
        <v>1076</v>
      </c>
      <c r="O45" s="1997">
        <f t="shared" si="2"/>
        <v>51897.479999999996</v>
      </c>
      <c r="P45" s="1997">
        <f t="shared" si="3"/>
        <v>51897.479999999996</v>
      </c>
      <c r="Q45" s="1997">
        <v>0</v>
      </c>
      <c r="R45" s="1998">
        <v>63195</v>
      </c>
      <c r="S45" s="1998">
        <v>51897.479999999996</v>
      </c>
      <c r="T45" s="1998">
        <v>0</v>
      </c>
      <c r="U45" s="1998">
        <v>17299.16</v>
      </c>
      <c r="V45" s="1998">
        <v>34598.32</v>
      </c>
      <c r="W45" s="1998">
        <v>51897.479999999996</v>
      </c>
      <c r="X45" s="2012">
        <f t="shared" si="1"/>
        <v>0</v>
      </c>
      <c r="Z45" s="2012">
        <f t="shared" si="4"/>
        <v>51897.479999999996</v>
      </c>
      <c r="AA45" s="1995">
        <v>0</v>
      </c>
      <c r="AB45" s="1995">
        <f t="shared" si="5"/>
        <v>51897.479999999996</v>
      </c>
      <c r="AD45" s="1995">
        <f t="shared" si="6"/>
        <v>51897.479999999996</v>
      </c>
      <c r="AF45" s="1995">
        <f t="shared" si="7"/>
        <v>51897.479999999996</v>
      </c>
      <c r="AG45" s="1994"/>
    </row>
    <row r="46" spans="1:33" hidden="1" x14ac:dyDescent="0.25">
      <c r="A46" s="1994">
        <v>1</v>
      </c>
      <c r="B46" s="1994">
        <v>43601</v>
      </c>
      <c r="C46" s="1994" t="s">
        <v>3865</v>
      </c>
      <c r="D46" s="1994">
        <v>368861</v>
      </c>
      <c r="E46" s="1994" t="s">
        <v>288</v>
      </c>
      <c r="F46" s="1994" t="s">
        <v>583</v>
      </c>
      <c r="O46" s="1997">
        <f t="shared" si="2"/>
        <v>61678.869999999995</v>
      </c>
      <c r="P46" s="1997">
        <f t="shared" si="3"/>
        <v>61678.869999999995</v>
      </c>
      <c r="Q46" s="1997">
        <v>0</v>
      </c>
      <c r="R46" s="1998">
        <v>67286</v>
      </c>
      <c r="S46" s="1998">
        <v>61678.869999999995</v>
      </c>
      <c r="T46" s="1998">
        <v>0</v>
      </c>
      <c r="U46" s="1998">
        <v>22428.68</v>
      </c>
      <c r="V46" s="1998">
        <v>39250.189999999995</v>
      </c>
      <c r="W46" s="1998">
        <v>61678.869999999995</v>
      </c>
      <c r="X46" s="2012">
        <f t="shared" si="1"/>
        <v>0</v>
      </c>
      <c r="Z46" s="2012">
        <f t="shared" si="4"/>
        <v>61678.869999999995</v>
      </c>
      <c r="AA46" s="1995">
        <v>0</v>
      </c>
      <c r="AB46" s="1995">
        <f t="shared" si="5"/>
        <v>61678.869999999995</v>
      </c>
      <c r="AD46" s="1995">
        <f t="shared" si="6"/>
        <v>61678.869999999995</v>
      </c>
      <c r="AF46" s="1995">
        <f t="shared" si="7"/>
        <v>61678.869999999995</v>
      </c>
      <c r="AG46" s="1994"/>
    </row>
    <row r="47" spans="1:33" hidden="1" x14ac:dyDescent="0.25">
      <c r="A47" s="1994">
        <v>1</v>
      </c>
      <c r="B47" s="1994">
        <v>43601</v>
      </c>
      <c r="C47" s="1994" t="s">
        <v>3866</v>
      </c>
      <c r="D47" s="1994">
        <v>369677</v>
      </c>
      <c r="E47" s="1994" t="s">
        <v>3635</v>
      </c>
      <c r="F47" s="1994" t="s">
        <v>481</v>
      </c>
      <c r="O47" s="1997">
        <f t="shared" si="2"/>
        <v>137688.95000000001</v>
      </c>
      <c r="P47" s="1997">
        <f t="shared" si="3"/>
        <v>137688.95000000001</v>
      </c>
      <c r="Q47" s="1997">
        <v>0</v>
      </c>
      <c r="R47" s="1998">
        <v>132215</v>
      </c>
      <c r="S47" s="1998">
        <v>137688.95000000001</v>
      </c>
      <c r="T47" s="1998">
        <v>0</v>
      </c>
      <c r="U47" s="1998">
        <v>102810.57</v>
      </c>
      <c r="V47" s="1998">
        <v>34878.379999999997</v>
      </c>
      <c r="W47" s="1998">
        <v>137688.95000000001</v>
      </c>
      <c r="X47" s="2012">
        <f t="shared" si="1"/>
        <v>0</v>
      </c>
      <c r="Z47" s="2012">
        <f t="shared" si="4"/>
        <v>137688.95000000001</v>
      </c>
      <c r="AA47" s="1995">
        <v>0</v>
      </c>
      <c r="AB47" s="1995">
        <f t="shared" si="5"/>
        <v>137688.95000000001</v>
      </c>
      <c r="AD47" s="1995">
        <f t="shared" si="6"/>
        <v>137688.95000000001</v>
      </c>
      <c r="AF47" s="1995">
        <f t="shared" si="7"/>
        <v>137688.95000000001</v>
      </c>
      <c r="AG47" s="1994" t="s">
        <v>3636</v>
      </c>
    </row>
    <row r="48" spans="1:33" hidden="1" x14ac:dyDescent="0.25">
      <c r="A48" s="1994">
        <v>1</v>
      </c>
      <c r="B48" s="1994">
        <v>43601</v>
      </c>
      <c r="C48" s="1994" t="s">
        <v>3867</v>
      </c>
      <c r="D48" s="1994">
        <v>369849</v>
      </c>
      <c r="E48" s="1994" t="s">
        <v>1588</v>
      </c>
      <c r="F48" s="1994" t="s">
        <v>49</v>
      </c>
      <c r="O48" s="1997">
        <f t="shared" si="2"/>
        <v>37500</v>
      </c>
      <c r="P48" s="1997">
        <f t="shared" si="3"/>
        <v>37500</v>
      </c>
      <c r="Q48" s="1997">
        <v>0</v>
      </c>
      <c r="R48" s="1998">
        <v>37500</v>
      </c>
      <c r="S48" s="1998">
        <v>37500</v>
      </c>
      <c r="T48" s="1998">
        <v>0</v>
      </c>
      <c r="U48" s="1998">
        <v>25000</v>
      </c>
      <c r="V48" s="1998">
        <v>12500</v>
      </c>
      <c r="W48" s="1998">
        <v>37500</v>
      </c>
      <c r="X48" s="2012">
        <f t="shared" si="1"/>
        <v>0</v>
      </c>
      <c r="Z48" s="2012">
        <f t="shared" si="4"/>
        <v>37500</v>
      </c>
      <c r="AA48" s="1995">
        <v>0</v>
      </c>
      <c r="AB48" s="1995">
        <f t="shared" si="5"/>
        <v>37500</v>
      </c>
      <c r="AD48" s="1995">
        <f t="shared" si="6"/>
        <v>37500</v>
      </c>
      <c r="AF48" s="1995">
        <f t="shared" si="7"/>
        <v>37500</v>
      </c>
      <c r="AG48" s="1994"/>
    </row>
    <row r="49" spans="1:33" hidden="1" x14ac:dyDescent="0.25">
      <c r="A49" s="1994">
        <v>1</v>
      </c>
      <c r="B49" s="1994">
        <v>43601</v>
      </c>
      <c r="C49" s="1994" t="s">
        <v>3868</v>
      </c>
      <c r="D49" s="1994">
        <v>370086</v>
      </c>
      <c r="E49" s="1994" t="s">
        <v>3637</v>
      </c>
      <c r="F49" s="1994" t="s">
        <v>1264</v>
      </c>
      <c r="O49" s="1997">
        <v>37000</v>
      </c>
      <c r="P49" s="1997">
        <v>12500</v>
      </c>
      <c r="Q49" s="1997">
        <v>0</v>
      </c>
      <c r="S49" s="1998">
        <v>12500</v>
      </c>
      <c r="T49" s="1998">
        <v>0</v>
      </c>
      <c r="U49" s="1998">
        <v>12500</v>
      </c>
      <c r="V49" s="1998">
        <v>0</v>
      </c>
      <c r="W49" s="1998">
        <v>12500</v>
      </c>
      <c r="X49" s="2012">
        <f t="shared" si="1"/>
        <v>0</v>
      </c>
      <c r="Z49" s="2012">
        <f t="shared" si="4"/>
        <v>12500</v>
      </c>
      <c r="AA49" s="1995">
        <v>0</v>
      </c>
      <c r="AB49" s="1995">
        <f t="shared" si="5"/>
        <v>12500</v>
      </c>
      <c r="AD49" s="1995">
        <f t="shared" si="6"/>
        <v>12500</v>
      </c>
      <c r="AF49" s="1995">
        <f t="shared" si="7"/>
        <v>12500</v>
      </c>
      <c r="AG49" s="1994"/>
    </row>
    <row r="50" spans="1:33" hidden="1" x14ac:dyDescent="0.25">
      <c r="A50" s="1994">
        <v>1</v>
      </c>
      <c r="B50" s="1994">
        <v>43601</v>
      </c>
      <c r="C50" s="1994" t="s">
        <v>3864</v>
      </c>
      <c r="D50" s="1994">
        <v>370571</v>
      </c>
      <c r="E50" s="1994" t="s">
        <v>3638</v>
      </c>
      <c r="F50" s="1994" t="s">
        <v>293</v>
      </c>
      <c r="O50" s="1997">
        <f t="shared" si="2"/>
        <v>17299.16</v>
      </c>
      <c r="P50" s="1997">
        <f t="shared" si="3"/>
        <v>17299.16</v>
      </c>
      <c r="Q50" s="1997">
        <v>0</v>
      </c>
      <c r="S50" s="1998">
        <v>17299.16</v>
      </c>
      <c r="T50" s="1998">
        <v>0</v>
      </c>
      <c r="U50" s="1998">
        <v>17299.16</v>
      </c>
      <c r="V50" s="1998">
        <v>0</v>
      </c>
      <c r="W50" s="1998">
        <v>17299.16</v>
      </c>
      <c r="X50" s="2012">
        <f t="shared" si="1"/>
        <v>0</v>
      </c>
      <c r="Z50" s="2012">
        <f t="shared" si="4"/>
        <v>17299.16</v>
      </c>
      <c r="AA50" s="1995">
        <v>0</v>
      </c>
      <c r="AB50" s="1995">
        <f t="shared" si="5"/>
        <v>17299.16</v>
      </c>
      <c r="AD50" s="1995">
        <f t="shared" si="6"/>
        <v>17299.16</v>
      </c>
      <c r="AF50" s="1995">
        <f t="shared" si="7"/>
        <v>17299.16</v>
      </c>
      <c r="AG50" s="1994"/>
    </row>
    <row r="51" spans="1:33" hidden="1" x14ac:dyDescent="0.25">
      <c r="A51" s="1994">
        <v>1</v>
      </c>
      <c r="B51" s="1994">
        <v>43606</v>
      </c>
      <c r="C51" s="1994" t="s">
        <v>1906</v>
      </c>
      <c r="D51" s="1994">
        <v>370636</v>
      </c>
      <c r="E51" s="1994" t="s">
        <v>3639</v>
      </c>
      <c r="F51" s="1994" t="s">
        <v>85</v>
      </c>
      <c r="O51" s="1997">
        <f t="shared" si="2"/>
        <v>47047.89</v>
      </c>
      <c r="P51" s="1997">
        <f t="shared" si="3"/>
        <v>47047.89</v>
      </c>
      <c r="Q51" s="1997">
        <v>14696.89</v>
      </c>
      <c r="S51" s="1998">
        <v>32351</v>
      </c>
      <c r="T51" s="1998">
        <v>0</v>
      </c>
      <c r="U51" s="1998">
        <v>32351</v>
      </c>
      <c r="V51" s="1998">
        <v>0</v>
      </c>
      <c r="W51" s="1998">
        <v>32351</v>
      </c>
      <c r="X51" s="2012">
        <f t="shared" si="1"/>
        <v>0</v>
      </c>
      <c r="Z51" s="2012">
        <f t="shared" si="4"/>
        <v>32351</v>
      </c>
      <c r="AA51" s="1995">
        <v>14696.89</v>
      </c>
      <c r="AB51" s="1995">
        <f>S51+AA51</f>
        <v>47047.89</v>
      </c>
      <c r="AC51" s="1496">
        <v>-25868.38</v>
      </c>
      <c r="AD51" s="1995">
        <f t="shared" si="6"/>
        <v>21179.51</v>
      </c>
      <c r="AF51" s="1995">
        <f t="shared" si="7"/>
        <v>21179.51</v>
      </c>
      <c r="AG51" s="1994"/>
    </row>
    <row r="52" spans="1:33" hidden="1" x14ac:dyDescent="0.25">
      <c r="A52" s="1994">
        <v>0</v>
      </c>
      <c r="B52" s="1994">
        <v>43601</v>
      </c>
      <c r="C52" s="1994" t="s">
        <v>2172</v>
      </c>
      <c r="D52" s="1994">
        <v>370636</v>
      </c>
      <c r="E52" s="1994" t="s">
        <v>3639</v>
      </c>
      <c r="F52" s="1994" t="s">
        <v>85</v>
      </c>
      <c r="O52" s="1997"/>
      <c r="X52" s="2012"/>
      <c r="Z52" s="2012"/>
      <c r="AC52" s="1496">
        <v>7101.1</v>
      </c>
      <c r="AD52" s="1995">
        <v>7101.1</v>
      </c>
      <c r="AF52" s="1995">
        <f t="shared" si="7"/>
        <v>7101.1</v>
      </c>
      <c r="AG52" s="1994"/>
    </row>
    <row r="53" spans="1:33" hidden="1" x14ac:dyDescent="0.25">
      <c r="A53" s="1994">
        <v>1</v>
      </c>
      <c r="B53" s="1994">
        <v>43601</v>
      </c>
      <c r="C53" s="1994" t="s">
        <v>3866</v>
      </c>
      <c r="D53" s="1994">
        <v>370676</v>
      </c>
      <c r="E53" s="1994" t="s">
        <v>3640</v>
      </c>
      <c r="F53" s="1994" t="s">
        <v>3641</v>
      </c>
      <c r="O53" s="1997">
        <f t="shared" si="2"/>
        <v>139513.52000000002</v>
      </c>
      <c r="P53" s="1997">
        <f t="shared" si="3"/>
        <v>139513.52000000002</v>
      </c>
      <c r="Q53" s="1997">
        <v>0</v>
      </c>
      <c r="R53" s="1998">
        <v>132215</v>
      </c>
      <c r="S53" s="1998">
        <v>139513.52000000002</v>
      </c>
      <c r="T53" s="1998">
        <v>0</v>
      </c>
      <c r="U53" s="1998">
        <v>102810.57</v>
      </c>
      <c r="V53" s="1998">
        <v>36702.949999999997</v>
      </c>
      <c r="W53" s="1998">
        <v>139513.52000000002</v>
      </c>
      <c r="X53" s="2012">
        <f t="shared" si="1"/>
        <v>0</v>
      </c>
      <c r="Z53" s="2012">
        <f t="shared" si="4"/>
        <v>139513.52000000002</v>
      </c>
      <c r="AA53" s="1995">
        <v>0</v>
      </c>
      <c r="AB53" s="1995">
        <f t="shared" si="5"/>
        <v>139513.52000000002</v>
      </c>
      <c r="AD53" s="1995">
        <f t="shared" si="6"/>
        <v>139513.52000000002</v>
      </c>
      <c r="AF53" s="1995">
        <f t="shared" si="7"/>
        <v>139513.52000000002</v>
      </c>
      <c r="AG53" s="1994" t="s">
        <v>2306</v>
      </c>
    </row>
    <row r="54" spans="1:33" hidden="1" x14ac:dyDescent="0.25">
      <c r="A54" s="1994">
        <v>1</v>
      </c>
      <c r="B54" s="1994">
        <v>43606</v>
      </c>
      <c r="C54" s="1994" t="s">
        <v>3863</v>
      </c>
      <c r="D54" s="1994">
        <v>370890</v>
      </c>
      <c r="E54" s="1994" t="s">
        <v>3642</v>
      </c>
      <c r="F54" s="1994" t="s">
        <v>476</v>
      </c>
      <c r="O54" s="1997">
        <f t="shared" si="2"/>
        <v>44010</v>
      </c>
      <c r="P54" s="1997">
        <f t="shared" si="3"/>
        <v>44010</v>
      </c>
      <c r="Q54" s="1997">
        <v>0</v>
      </c>
      <c r="R54" s="1998">
        <v>44010</v>
      </c>
      <c r="S54" s="1998">
        <v>44010</v>
      </c>
      <c r="T54" s="1998">
        <v>0</v>
      </c>
      <c r="U54" s="1998">
        <v>14670</v>
      </c>
      <c r="V54" s="1998">
        <v>29340</v>
      </c>
      <c r="W54" s="1998">
        <v>44010</v>
      </c>
      <c r="X54" s="2012">
        <f t="shared" si="1"/>
        <v>0</v>
      </c>
      <c r="Z54" s="2012">
        <f t="shared" si="4"/>
        <v>44010</v>
      </c>
      <c r="AA54" s="1995">
        <v>0</v>
      </c>
      <c r="AB54" s="1995">
        <f t="shared" si="5"/>
        <v>44010</v>
      </c>
      <c r="AD54" s="1995">
        <f t="shared" si="6"/>
        <v>44010</v>
      </c>
      <c r="AF54" s="1995">
        <f t="shared" si="7"/>
        <v>44010</v>
      </c>
      <c r="AG54" s="1994"/>
    </row>
    <row r="55" spans="1:33" hidden="1" x14ac:dyDescent="0.25">
      <c r="A55" s="1994">
        <v>1</v>
      </c>
      <c r="B55" s="1994">
        <v>43601</v>
      </c>
      <c r="C55" s="1994" t="s">
        <v>3897</v>
      </c>
      <c r="D55" s="1994">
        <v>370910</v>
      </c>
      <c r="E55" s="1994" t="s">
        <v>3643</v>
      </c>
      <c r="F55" s="1994" t="s">
        <v>247</v>
      </c>
      <c r="O55" s="1997">
        <f t="shared" si="2"/>
        <v>12500</v>
      </c>
      <c r="P55" s="1997">
        <f t="shared" si="3"/>
        <v>12500</v>
      </c>
      <c r="Q55" s="1997">
        <v>0</v>
      </c>
      <c r="S55" s="1998">
        <v>12500</v>
      </c>
      <c r="T55" s="1998">
        <v>0</v>
      </c>
      <c r="U55" s="1998">
        <v>12500</v>
      </c>
      <c r="V55" s="1998">
        <v>0</v>
      </c>
      <c r="W55" s="1998">
        <v>12500</v>
      </c>
      <c r="X55" s="2012">
        <f t="shared" si="1"/>
        <v>0</v>
      </c>
      <c r="Z55" s="2012">
        <f t="shared" si="4"/>
        <v>12500</v>
      </c>
      <c r="AA55" s="1995">
        <v>0</v>
      </c>
      <c r="AB55" s="1995">
        <f t="shared" si="5"/>
        <v>12500</v>
      </c>
      <c r="AD55" s="1995">
        <f t="shared" si="6"/>
        <v>12500</v>
      </c>
      <c r="AF55" s="1995">
        <f t="shared" si="7"/>
        <v>12500</v>
      </c>
      <c r="AG55" s="1994"/>
    </row>
    <row r="56" spans="1:33" hidden="1" x14ac:dyDescent="0.25">
      <c r="A56" s="1994">
        <v>1</v>
      </c>
      <c r="B56" s="1994">
        <v>43601</v>
      </c>
      <c r="C56" s="1994" t="s">
        <v>3862</v>
      </c>
      <c r="D56" s="1994">
        <v>371108</v>
      </c>
      <c r="E56" s="1994" t="s">
        <v>3644</v>
      </c>
      <c r="F56" s="1994" t="s">
        <v>2354</v>
      </c>
      <c r="O56" s="1997">
        <f t="shared" si="2"/>
        <v>65874.06</v>
      </c>
      <c r="P56" s="1997">
        <f t="shared" si="3"/>
        <v>65874.06</v>
      </c>
      <c r="Q56" s="1997">
        <v>0</v>
      </c>
      <c r="R56" s="1998">
        <v>65874</v>
      </c>
      <c r="S56" s="1998">
        <v>65874.06</v>
      </c>
      <c r="T56" s="1998">
        <v>0</v>
      </c>
      <c r="U56" s="1998">
        <v>43916.04</v>
      </c>
      <c r="V56" s="1998">
        <v>21958.02</v>
      </c>
      <c r="W56" s="1998">
        <v>65874.06</v>
      </c>
      <c r="X56" s="2012">
        <f t="shared" si="1"/>
        <v>0</v>
      </c>
      <c r="Z56" s="2012">
        <f t="shared" si="4"/>
        <v>65874.06</v>
      </c>
      <c r="AA56" s="1995">
        <v>0</v>
      </c>
      <c r="AB56" s="1995">
        <f t="shared" si="5"/>
        <v>65874.06</v>
      </c>
      <c r="AD56" s="1995">
        <f t="shared" si="6"/>
        <v>65874.06</v>
      </c>
      <c r="AF56" s="1995">
        <f t="shared" si="7"/>
        <v>65874.06</v>
      </c>
      <c r="AG56" s="1994"/>
    </row>
    <row r="57" spans="1:33" hidden="1" x14ac:dyDescent="0.25">
      <c r="A57" s="1994">
        <v>1</v>
      </c>
      <c r="B57" s="1994">
        <v>43601</v>
      </c>
      <c r="C57" s="1994" t="s">
        <v>3869</v>
      </c>
      <c r="D57" s="1994">
        <v>371689</v>
      </c>
      <c r="E57" s="1994" t="s">
        <v>3645</v>
      </c>
      <c r="F57" s="1994" t="s">
        <v>858</v>
      </c>
      <c r="O57" s="1997">
        <f t="shared" si="2"/>
        <v>20359.800000000003</v>
      </c>
      <c r="P57" s="1997">
        <f t="shared" si="3"/>
        <v>20359.800000000003</v>
      </c>
      <c r="Q57" s="1997">
        <v>0</v>
      </c>
      <c r="R57" s="1998">
        <v>35540</v>
      </c>
      <c r="S57" s="1998">
        <v>20359.800000000003</v>
      </c>
      <c r="T57" s="1998">
        <v>-14530</v>
      </c>
      <c r="U57" s="1998">
        <v>23043.200000000001</v>
      </c>
      <c r="V57" s="1998">
        <v>11846.6</v>
      </c>
      <c r="W57" s="1998">
        <v>20359.800000000003</v>
      </c>
      <c r="X57" s="2012">
        <f t="shared" si="1"/>
        <v>0</v>
      </c>
      <c r="Z57" s="2012">
        <f t="shared" si="4"/>
        <v>34889.800000000003</v>
      </c>
      <c r="AA57" s="1995">
        <v>0</v>
      </c>
      <c r="AB57" s="1995">
        <f t="shared" si="5"/>
        <v>20359.800000000003</v>
      </c>
      <c r="AD57" s="1995">
        <f t="shared" si="6"/>
        <v>20359.800000000003</v>
      </c>
      <c r="AF57" s="1995">
        <f t="shared" si="7"/>
        <v>20359.800000000003</v>
      </c>
    </row>
    <row r="58" spans="1:33" hidden="1" x14ac:dyDescent="0.25">
      <c r="A58" s="1994">
        <v>1</v>
      </c>
      <c r="B58" s="1994">
        <v>43601</v>
      </c>
      <c r="C58" s="1994" t="s">
        <v>3869</v>
      </c>
      <c r="D58" s="1994">
        <v>371799</v>
      </c>
      <c r="E58" s="1994" t="s">
        <v>3646</v>
      </c>
      <c r="F58" s="1994" t="s">
        <v>3647</v>
      </c>
      <c r="O58" s="1997">
        <f t="shared" si="2"/>
        <v>33329.74</v>
      </c>
      <c r="P58" s="1997">
        <f t="shared" si="3"/>
        <v>33329.74</v>
      </c>
      <c r="Q58" s="1997">
        <v>0</v>
      </c>
      <c r="R58" s="1998">
        <v>37448</v>
      </c>
      <c r="S58" s="1998">
        <v>33329.74</v>
      </c>
      <c r="T58" s="1998">
        <v>-15166</v>
      </c>
      <c r="U58" s="1998">
        <v>36013.14</v>
      </c>
      <c r="V58" s="1998">
        <v>12482.6</v>
      </c>
      <c r="W58" s="1998">
        <v>33329.74</v>
      </c>
      <c r="X58" s="2012">
        <f t="shared" si="1"/>
        <v>0</v>
      </c>
      <c r="Z58" s="2012">
        <f t="shared" si="4"/>
        <v>48495.74</v>
      </c>
      <c r="AA58" s="1995">
        <v>0</v>
      </c>
      <c r="AB58" s="1995">
        <f t="shared" si="5"/>
        <v>33329.74</v>
      </c>
      <c r="AD58" s="1995">
        <f t="shared" si="6"/>
        <v>33329.74</v>
      </c>
      <c r="AF58" s="1995">
        <f t="shared" si="7"/>
        <v>33329.74</v>
      </c>
    </row>
    <row r="59" spans="1:33" hidden="1" x14ac:dyDescent="0.25">
      <c r="A59" s="1994">
        <v>1</v>
      </c>
      <c r="B59" s="1994">
        <v>43601</v>
      </c>
      <c r="C59" s="1994" t="s">
        <v>3874</v>
      </c>
      <c r="D59" s="1994">
        <v>372097</v>
      </c>
      <c r="E59" s="1994" t="s">
        <v>3648</v>
      </c>
      <c r="F59" s="1994" t="s">
        <v>3649</v>
      </c>
      <c r="O59" s="1997">
        <f t="shared" si="2"/>
        <v>24088</v>
      </c>
      <c r="P59" s="1997">
        <f t="shared" si="3"/>
        <v>24088</v>
      </c>
      <c r="Q59" s="1997">
        <v>0</v>
      </c>
      <c r="S59" s="1998">
        <v>24088</v>
      </c>
      <c r="T59" s="1998">
        <v>0</v>
      </c>
      <c r="U59" s="1998">
        <v>24088</v>
      </c>
      <c r="W59" s="1998">
        <v>24088</v>
      </c>
      <c r="X59" s="2012">
        <f t="shared" si="1"/>
        <v>0</v>
      </c>
      <c r="Z59" s="2012">
        <f t="shared" si="4"/>
        <v>24088</v>
      </c>
      <c r="AA59" s="1995">
        <v>0</v>
      </c>
      <c r="AB59" s="1995">
        <f t="shared" si="5"/>
        <v>24088</v>
      </c>
      <c r="AD59" s="1995">
        <f t="shared" si="6"/>
        <v>24088</v>
      </c>
      <c r="AF59" s="1995">
        <f t="shared" si="7"/>
        <v>24088</v>
      </c>
      <c r="AG59" s="1994"/>
    </row>
    <row r="60" spans="1:33" hidden="1" x14ac:dyDescent="0.25">
      <c r="A60" s="1994">
        <v>1</v>
      </c>
      <c r="B60" s="1994">
        <v>43601</v>
      </c>
      <c r="C60" s="1994" t="s">
        <v>3898</v>
      </c>
      <c r="D60" s="1994">
        <v>373679</v>
      </c>
      <c r="E60" s="1994" t="s">
        <v>1169</v>
      </c>
      <c r="F60" s="1994" t="s">
        <v>3650</v>
      </c>
      <c r="O60" s="1997">
        <f t="shared" si="2"/>
        <v>203835</v>
      </c>
      <c r="P60" s="1997">
        <f t="shared" si="3"/>
        <v>203835</v>
      </c>
      <c r="Q60" s="1997">
        <v>0</v>
      </c>
      <c r="R60" s="1998">
        <v>219999</v>
      </c>
      <c r="S60" s="1998">
        <v>203835</v>
      </c>
      <c r="T60" s="1998">
        <v>0</v>
      </c>
      <c r="U60" s="1998">
        <v>130501.8</v>
      </c>
      <c r="V60" s="1998">
        <v>146666</v>
      </c>
      <c r="W60" s="1998">
        <v>277167.8</v>
      </c>
      <c r="X60" s="2012">
        <f t="shared" si="1"/>
        <v>73332.799999999988</v>
      </c>
      <c r="Z60" s="2012">
        <f t="shared" si="4"/>
        <v>277167.8</v>
      </c>
      <c r="AA60" s="1995">
        <v>0</v>
      </c>
      <c r="AB60" s="1995">
        <f t="shared" si="5"/>
        <v>203835</v>
      </c>
      <c r="AD60" s="1995">
        <f t="shared" si="6"/>
        <v>203835</v>
      </c>
      <c r="AF60" s="1995">
        <f t="shared" si="7"/>
        <v>203835</v>
      </c>
      <c r="AG60" s="1994"/>
    </row>
    <row r="61" spans="1:33" hidden="1" x14ac:dyDescent="0.25">
      <c r="A61" s="1994">
        <v>1</v>
      </c>
      <c r="B61" s="1994">
        <v>43601</v>
      </c>
      <c r="C61" s="1994" t="s">
        <v>3710</v>
      </c>
      <c r="D61" s="1994">
        <v>374438</v>
      </c>
      <c r="E61" s="1994" t="s">
        <v>3651</v>
      </c>
      <c r="F61" s="1994" t="s">
        <v>3652</v>
      </c>
      <c r="O61" s="1997">
        <f t="shared" si="2"/>
        <v>53339.100000000006</v>
      </c>
      <c r="P61" s="1997">
        <f t="shared" si="3"/>
        <v>53339.100000000006</v>
      </c>
      <c r="Q61" s="1997">
        <v>0</v>
      </c>
      <c r="R61" s="1998">
        <v>52782</v>
      </c>
      <c r="S61" s="1998">
        <v>53339.100000000006</v>
      </c>
      <c r="T61" s="1998">
        <v>-17268</v>
      </c>
      <c r="U61" s="1998">
        <v>35418.300000000003</v>
      </c>
      <c r="V61" s="1998">
        <v>35188.800000000003</v>
      </c>
      <c r="W61" s="1998">
        <v>53339.100000000006</v>
      </c>
      <c r="X61" s="2012">
        <f t="shared" si="1"/>
        <v>0</v>
      </c>
      <c r="Z61" s="2012">
        <f t="shared" si="4"/>
        <v>70607.100000000006</v>
      </c>
      <c r="AA61" s="1995">
        <v>0</v>
      </c>
      <c r="AB61" s="1995">
        <f t="shared" si="5"/>
        <v>53339.100000000006</v>
      </c>
      <c r="AD61" s="1995">
        <f t="shared" si="6"/>
        <v>53339.100000000006</v>
      </c>
      <c r="AF61" s="1995">
        <f t="shared" si="7"/>
        <v>53339.100000000006</v>
      </c>
      <c r="AG61" s="1994"/>
    </row>
    <row r="62" spans="1:33" hidden="1" x14ac:dyDescent="0.25">
      <c r="A62" s="1994">
        <v>1</v>
      </c>
      <c r="B62" s="1994">
        <v>43601</v>
      </c>
      <c r="C62" s="1994" t="s">
        <v>3870</v>
      </c>
      <c r="D62" s="1994">
        <v>374697</v>
      </c>
      <c r="E62" s="1994" t="s">
        <v>1270</v>
      </c>
      <c r="F62" s="1994" t="s">
        <v>3653</v>
      </c>
      <c r="O62" s="1997">
        <f t="shared" si="2"/>
        <v>105449.84</v>
      </c>
      <c r="P62" s="1997">
        <f t="shared" si="3"/>
        <v>105449.84</v>
      </c>
      <c r="Q62" s="1997">
        <v>0</v>
      </c>
      <c r="R62" s="1998">
        <v>97734</v>
      </c>
      <c r="S62" s="1998">
        <v>105449.84</v>
      </c>
      <c r="T62" s="1998">
        <v>0</v>
      </c>
      <c r="U62" s="1998">
        <v>72871.839999999997</v>
      </c>
      <c r="V62" s="1998">
        <v>32578</v>
      </c>
      <c r="W62" s="1998">
        <v>105449.84</v>
      </c>
      <c r="X62" s="2012">
        <f t="shared" si="1"/>
        <v>0</v>
      </c>
      <c r="Z62" s="2012">
        <f t="shared" si="4"/>
        <v>105449.84</v>
      </c>
      <c r="AA62" s="1995">
        <v>0</v>
      </c>
      <c r="AB62" s="1995">
        <f t="shared" si="5"/>
        <v>105449.84</v>
      </c>
      <c r="AD62" s="1995">
        <f t="shared" si="6"/>
        <v>105449.84</v>
      </c>
      <c r="AF62" s="1995">
        <f t="shared" si="7"/>
        <v>105449.84</v>
      </c>
      <c r="AG62" s="1994"/>
    </row>
    <row r="63" spans="1:33" hidden="1" x14ac:dyDescent="0.25">
      <c r="A63" s="1994">
        <v>1</v>
      </c>
      <c r="B63" s="1994">
        <v>43606</v>
      </c>
      <c r="C63" s="1994" t="s">
        <v>3863</v>
      </c>
      <c r="D63" s="1994">
        <v>374703</v>
      </c>
      <c r="E63" s="1994" t="s">
        <v>1813</v>
      </c>
      <c r="F63" s="1994" t="s">
        <v>583</v>
      </c>
      <c r="O63" s="1997">
        <f t="shared" si="2"/>
        <v>29421</v>
      </c>
      <c r="P63" s="1997">
        <f t="shared" si="3"/>
        <v>29421</v>
      </c>
      <c r="Q63" s="1997">
        <v>0</v>
      </c>
      <c r="R63" s="1998">
        <v>29421</v>
      </c>
      <c r="S63" s="1998">
        <v>29421</v>
      </c>
      <c r="T63" s="1998">
        <v>0</v>
      </c>
      <c r="U63" s="1998">
        <v>9807</v>
      </c>
      <c r="V63" s="1998">
        <v>19614</v>
      </c>
      <c r="W63" s="1998">
        <v>29421</v>
      </c>
      <c r="X63" s="2012">
        <f t="shared" si="1"/>
        <v>0</v>
      </c>
      <c r="Z63" s="2012">
        <f t="shared" si="4"/>
        <v>29421</v>
      </c>
      <c r="AA63" s="1995">
        <v>0</v>
      </c>
      <c r="AB63" s="1995">
        <f t="shared" si="5"/>
        <v>29421</v>
      </c>
      <c r="AD63" s="1995">
        <f t="shared" si="6"/>
        <v>29421</v>
      </c>
      <c r="AF63" s="1995">
        <f t="shared" si="7"/>
        <v>29421</v>
      </c>
      <c r="AG63" s="1994"/>
    </row>
    <row r="64" spans="1:33" hidden="1" x14ac:dyDescent="0.25">
      <c r="A64" s="1994">
        <v>1</v>
      </c>
      <c r="B64" s="1994">
        <v>43601</v>
      </c>
      <c r="C64" s="1994" t="s">
        <v>3869</v>
      </c>
      <c r="D64" s="1994">
        <v>374766</v>
      </c>
      <c r="E64" s="1994" t="s">
        <v>3654</v>
      </c>
      <c r="F64" s="1994" t="s">
        <v>777</v>
      </c>
      <c r="O64" s="1997">
        <f t="shared" si="2"/>
        <v>28361.739999999998</v>
      </c>
      <c r="P64" s="1997">
        <f t="shared" si="3"/>
        <v>28361.739999999998</v>
      </c>
      <c r="Q64" s="1997">
        <v>0</v>
      </c>
      <c r="R64" s="1998">
        <v>32480</v>
      </c>
      <c r="S64" s="1998">
        <v>28361.739999999998</v>
      </c>
      <c r="T64" s="1998">
        <v>-13510</v>
      </c>
      <c r="U64" s="1998">
        <v>31045.14</v>
      </c>
      <c r="V64" s="1998">
        <v>10826.6</v>
      </c>
      <c r="W64" s="1998">
        <v>28361.739999999998</v>
      </c>
      <c r="X64" s="2012">
        <f t="shared" si="1"/>
        <v>0</v>
      </c>
      <c r="Z64" s="2012">
        <f t="shared" si="4"/>
        <v>41871.74</v>
      </c>
      <c r="AA64" s="1995">
        <v>0</v>
      </c>
      <c r="AB64" s="1995">
        <f t="shared" si="5"/>
        <v>28361.739999999998</v>
      </c>
      <c r="AD64" s="1995">
        <f t="shared" si="6"/>
        <v>28361.739999999998</v>
      </c>
      <c r="AF64" s="1995">
        <f t="shared" si="7"/>
        <v>28361.739999999998</v>
      </c>
    </row>
    <row r="65" spans="1:33" hidden="1" x14ac:dyDescent="0.25">
      <c r="A65" s="1994">
        <v>1</v>
      </c>
      <c r="B65" s="1994">
        <v>43601</v>
      </c>
      <c r="C65" s="1994" t="s">
        <v>3710</v>
      </c>
      <c r="D65" s="1994">
        <v>374784</v>
      </c>
      <c r="E65" s="1994" t="s">
        <v>1952</v>
      </c>
      <c r="F65" s="1994" t="s">
        <v>402</v>
      </c>
      <c r="O65" s="1997">
        <f t="shared" si="2"/>
        <v>29744.3</v>
      </c>
      <c r="P65" s="1997">
        <f t="shared" si="3"/>
        <v>29744.3</v>
      </c>
      <c r="Q65" s="1997">
        <v>0</v>
      </c>
      <c r="R65" s="1998">
        <v>43782</v>
      </c>
      <c r="S65" s="1998">
        <v>29744.3</v>
      </c>
      <c r="T65" s="1998">
        <v>-14268</v>
      </c>
      <c r="U65" s="1998">
        <v>29418.3</v>
      </c>
      <c r="V65" s="1998">
        <v>14594</v>
      </c>
      <c r="W65" s="1998">
        <v>29744.3</v>
      </c>
      <c r="X65" s="2012">
        <f t="shared" si="1"/>
        <v>0</v>
      </c>
      <c r="Z65" s="2012">
        <f t="shared" si="4"/>
        <v>44012.3</v>
      </c>
      <c r="AA65" s="1995">
        <v>0</v>
      </c>
      <c r="AB65" s="1995">
        <f t="shared" si="5"/>
        <v>29744.3</v>
      </c>
      <c r="AD65" s="1995">
        <f t="shared" si="6"/>
        <v>29744.3</v>
      </c>
      <c r="AF65" s="1995">
        <f t="shared" si="7"/>
        <v>29744.3</v>
      </c>
      <c r="AG65" s="1994"/>
    </row>
    <row r="66" spans="1:33" hidden="1" x14ac:dyDescent="0.25">
      <c r="A66" s="1994">
        <v>1</v>
      </c>
      <c r="B66" s="1994">
        <v>43601</v>
      </c>
      <c r="C66" s="1994" t="s">
        <v>3871</v>
      </c>
      <c r="D66" s="1994">
        <v>375061</v>
      </c>
      <c r="E66" s="1994" t="s">
        <v>1680</v>
      </c>
      <c r="F66" s="1994" t="s">
        <v>755</v>
      </c>
      <c r="O66" s="1997">
        <f t="shared" si="2"/>
        <v>75322.77</v>
      </c>
      <c r="P66" s="1997">
        <f t="shared" si="3"/>
        <v>75322.77</v>
      </c>
      <c r="Q66" s="1997">
        <v>0</v>
      </c>
      <c r="R66" s="1998">
        <v>75323</v>
      </c>
      <c r="S66" s="1998">
        <v>75322.77</v>
      </c>
      <c r="T66" s="1998">
        <v>0</v>
      </c>
      <c r="U66" s="1998">
        <v>50215.18</v>
      </c>
      <c r="V66" s="1998">
        <v>25107.59</v>
      </c>
      <c r="W66" s="1998">
        <v>75322.77</v>
      </c>
      <c r="X66" s="2012">
        <f t="shared" si="1"/>
        <v>0</v>
      </c>
      <c r="Z66" s="2012">
        <f t="shared" si="4"/>
        <v>75322.77</v>
      </c>
      <c r="AA66" s="1995">
        <v>0</v>
      </c>
      <c r="AB66" s="1995">
        <f t="shared" si="5"/>
        <v>75322.77</v>
      </c>
      <c r="AD66" s="1995">
        <f t="shared" si="6"/>
        <v>75322.77</v>
      </c>
      <c r="AF66" s="1995">
        <f t="shared" si="7"/>
        <v>75322.77</v>
      </c>
      <c r="AG66" s="1994"/>
    </row>
    <row r="67" spans="1:33" hidden="1" x14ac:dyDescent="0.25">
      <c r="A67" s="1994">
        <v>1</v>
      </c>
      <c r="B67" s="1994">
        <v>43601</v>
      </c>
      <c r="C67" s="1994" t="s">
        <v>3710</v>
      </c>
      <c r="D67" s="1994">
        <v>375226</v>
      </c>
      <c r="E67" s="1994" t="s">
        <v>352</v>
      </c>
      <c r="F67" s="1994" t="s">
        <v>177</v>
      </c>
      <c r="O67" s="1997">
        <f t="shared" si="2"/>
        <v>44568.6</v>
      </c>
      <c r="P67" s="1997">
        <f t="shared" si="3"/>
        <v>44568.6</v>
      </c>
      <c r="Q67" s="1997">
        <v>0</v>
      </c>
      <c r="R67" s="1998">
        <v>44472</v>
      </c>
      <c r="S67" s="1998">
        <v>44568.6</v>
      </c>
      <c r="T67" s="1998">
        <v>-14268</v>
      </c>
      <c r="U67" s="1998">
        <v>29418.3</v>
      </c>
      <c r="V67" s="1998">
        <v>29418.3</v>
      </c>
      <c r="W67" s="1998">
        <v>44568.6</v>
      </c>
      <c r="X67" s="2012">
        <f t="shared" si="1"/>
        <v>0</v>
      </c>
      <c r="Z67" s="2012">
        <f t="shared" si="4"/>
        <v>58836.6</v>
      </c>
      <c r="AA67" s="1995">
        <v>0</v>
      </c>
      <c r="AB67" s="1995">
        <f t="shared" si="5"/>
        <v>44568.6</v>
      </c>
      <c r="AD67" s="1995">
        <f t="shared" si="6"/>
        <v>44568.6</v>
      </c>
      <c r="AF67" s="1995">
        <f t="shared" si="7"/>
        <v>44568.6</v>
      </c>
      <c r="AG67" s="1994"/>
    </row>
    <row r="68" spans="1:33" hidden="1" x14ac:dyDescent="0.25">
      <c r="A68" s="1994">
        <v>1</v>
      </c>
      <c r="B68" s="1994">
        <v>43606</v>
      </c>
      <c r="C68" s="1994" t="s">
        <v>3863</v>
      </c>
      <c r="D68" s="1994">
        <v>375275</v>
      </c>
      <c r="E68" s="1994" t="s">
        <v>3655</v>
      </c>
      <c r="F68" s="1994" t="s">
        <v>2287</v>
      </c>
      <c r="O68" s="1997">
        <f t="shared" si="2"/>
        <v>34629</v>
      </c>
      <c r="P68" s="1997">
        <f t="shared" si="3"/>
        <v>34629</v>
      </c>
      <c r="Q68" s="1997">
        <v>0</v>
      </c>
      <c r="R68" s="1998">
        <v>34629</v>
      </c>
      <c r="S68" s="1998">
        <v>34629</v>
      </c>
      <c r="T68" s="1998">
        <v>0</v>
      </c>
      <c r="U68" s="1998">
        <v>11543</v>
      </c>
      <c r="V68" s="1998">
        <v>23086</v>
      </c>
      <c r="W68" s="1998">
        <v>34629</v>
      </c>
      <c r="X68" s="2012">
        <f t="shared" si="1"/>
        <v>0</v>
      </c>
      <c r="Z68" s="2012">
        <f t="shared" si="4"/>
        <v>34629</v>
      </c>
      <c r="AA68" s="1995">
        <v>0</v>
      </c>
      <c r="AB68" s="1995">
        <f t="shared" si="5"/>
        <v>34629</v>
      </c>
      <c r="AD68" s="1995">
        <f t="shared" si="6"/>
        <v>34629</v>
      </c>
      <c r="AF68" s="1995">
        <f t="shared" si="7"/>
        <v>34629</v>
      </c>
      <c r="AG68" s="1994"/>
    </row>
    <row r="69" spans="1:33" hidden="1" x14ac:dyDescent="0.25">
      <c r="A69" s="1994">
        <v>1</v>
      </c>
      <c r="B69" s="1994">
        <v>43601</v>
      </c>
      <c r="C69" s="1994" t="s">
        <v>3864</v>
      </c>
      <c r="D69" s="1994">
        <v>375342</v>
      </c>
      <c r="E69" s="1994" t="s">
        <v>3631</v>
      </c>
      <c r="F69" s="1994" t="s">
        <v>60</v>
      </c>
      <c r="O69" s="1997">
        <f t="shared" si="2"/>
        <v>63013.22</v>
      </c>
      <c r="P69" s="1997">
        <f t="shared" si="3"/>
        <v>63013.22</v>
      </c>
      <c r="Q69" s="1997">
        <v>0</v>
      </c>
      <c r="R69" s="1998">
        <v>68571</v>
      </c>
      <c r="S69" s="1998">
        <v>63013.22</v>
      </c>
      <c r="T69" s="1998">
        <v>0</v>
      </c>
      <c r="U69" s="1998">
        <v>40156.19</v>
      </c>
      <c r="V69" s="1998">
        <v>22857.03</v>
      </c>
      <c r="W69" s="1998">
        <v>63013.22</v>
      </c>
      <c r="X69" s="2012">
        <f t="shared" si="1"/>
        <v>0</v>
      </c>
      <c r="Z69" s="2012">
        <f t="shared" si="4"/>
        <v>63013.22</v>
      </c>
      <c r="AA69" s="1995">
        <v>0</v>
      </c>
      <c r="AB69" s="1995">
        <f t="shared" si="5"/>
        <v>63013.22</v>
      </c>
      <c r="AD69" s="1995">
        <f t="shared" si="6"/>
        <v>63013.22</v>
      </c>
      <c r="AF69" s="1995">
        <f t="shared" si="7"/>
        <v>63013.22</v>
      </c>
      <c r="AG69" s="1994"/>
    </row>
    <row r="70" spans="1:33" hidden="1" x14ac:dyDescent="0.25">
      <c r="A70" s="1994">
        <v>1</v>
      </c>
      <c r="B70" s="1994">
        <v>43601</v>
      </c>
      <c r="C70" s="1994" t="s">
        <v>3869</v>
      </c>
      <c r="D70" s="1994">
        <v>376083</v>
      </c>
      <c r="E70" s="1994" t="s">
        <v>3656</v>
      </c>
      <c r="F70" s="1994" t="s">
        <v>132</v>
      </c>
      <c r="O70" s="1997">
        <f t="shared" si="2"/>
        <v>28365.100000000002</v>
      </c>
      <c r="P70" s="1997">
        <f t="shared" si="3"/>
        <v>28365.100000000002</v>
      </c>
      <c r="Q70" s="1997">
        <v>0</v>
      </c>
      <c r="R70" s="1998">
        <v>33916</v>
      </c>
      <c r="S70" s="1998">
        <v>28365.100000000002</v>
      </c>
      <c r="T70" s="1998">
        <v>-15442</v>
      </c>
      <c r="U70" s="1998">
        <v>32501.9</v>
      </c>
      <c r="V70" s="1998">
        <v>11305.2</v>
      </c>
      <c r="W70" s="1998">
        <v>28365.100000000002</v>
      </c>
      <c r="X70" s="2012">
        <f t="shared" si="1"/>
        <v>0</v>
      </c>
      <c r="Z70" s="2012">
        <f t="shared" si="4"/>
        <v>43807.100000000006</v>
      </c>
      <c r="AA70" s="1995">
        <v>0</v>
      </c>
      <c r="AB70" s="1995">
        <f t="shared" si="5"/>
        <v>28365.100000000002</v>
      </c>
      <c r="AD70" s="1995">
        <f t="shared" si="6"/>
        <v>28365.100000000002</v>
      </c>
      <c r="AF70" s="1995">
        <f t="shared" si="7"/>
        <v>28365.100000000002</v>
      </c>
    </row>
    <row r="71" spans="1:33" hidden="1" x14ac:dyDescent="0.25">
      <c r="A71" s="1994">
        <v>1</v>
      </c>
      <c r="B71" s="1994">
        <v>43601</v>
      </c>
      <c r="C71" s="1994" t="s">
        <v>3710</v>
      </c>
      <c r="D71" s="1994">
        <v>376829</v>
      </c>
      <c r="E71" s="1994" t="s">
        <v>3394</v>
      </c>
      <c r="F71" s="1994" t="s">
        <v>3627</v>
      </c>
      <c r="O71" s="1997">
        <f t="shared" si="2"/>
        <v>29744.699999999997</v>
      </c>
      <c r="P71" s="1997">
        <f t="shared" si="3"/>
        <v>29744.699999999997</v>
      </c>
      <c r="Q71" s="1997">
        <v>0</v>
      </c>
      <c r="R71" s="1998">
        <v>43782</v>
      </c>
      <c r="S71" s="1998">
        <v>29744.699999999997</v>
      </c>
      <c r="T71" s="1998">
        <v>-14268</v>
      </c>
      <c r="U71" s="1998">
        <v>29418.3</v>
      </c>
      <c r="V71" s="1998">
        <v>14594.4</v>
      </c>
      <c r="W71" s="1998">
        <v>29744.699999999997</v>
      </c>
      <c r="X71" s="2012">
        <f t="shared" si="1"/>
        <v>0</v>
      </c>
      <c r="Z71" s="2012">
        <f t="shared" si="4"/>
        <v>44012.7</v>
      </c>
      <c r="AA71" s="1995">
        <v>0</v>
      </c>
      <c r="AB71" s="1995">
        <f t="shared" si="5"/>
        <v>29744.699999999997</v>
      </c>
      <c r="AD71" s="1995">
        <f t="shared" si="6"/>
        <v>29744.699999999997</v>
      </c>
      <c r="AF71" s="1995">
        <f t="shared" ref="AF71:AF136" si="8">AD71+AE71</f>
        <v>29744.699999999997</v>
      </c>
      <c r="AG71" s="1994"/>
    </row>
    <row r="72" spans="1:33" hidden="1" x14ac:dyDescent="0.25">
      <c r="A72" s="1994">
        <v>1</v>
      </c>
      <c r="B72" s="1994">
        <v>43601</v>
      </c>
      <c r="C72" s="1994" t="s">
        <v>3710</v>
      </c>
      <c r="D72" s="1994">
        <v>377170</v>
      </c>
      <c r="E72" s="1994" t="s">
        <v>3657</v>
      </c>
      <c r="F72" s="1994" t="s">
        <v>777</v>
      </c>
      <c r="O72" s="1997">
        <f t="shared" si="2"/>
        <v>19012.700000000004</v>
      </c>
      <c r="P72" s="1997">
        <f t="shared" si="3"/>
        <v>19012.700000000004</v>
      </c>
      <c r="Q72" s="1997">
        <v>0</v>
      </c>
      <c r="R72" s="1998">
        <v>52782</v>
      </c>
      <c r="S72" s="1998">
        <v>19012.700000000004</v>
      </c>
      <c r="T72" s="1998">
        <v>-34000</v>
      </c>
      <c r="U72" s="1998">
        <v>35418.300000000003</v>
      </c>
      <c r="V72" s="1998">
        <v>17594.400000000001</v>
      </c>
      <c r="W72" s="1998">
        <v>19012.700000000004</v>
      </c>
      <c r="X72" s="2012">
        <f t="shared" si="1"/>
        <v>0</v>
      </c>
      <c r="Z72" s="2012">
        <f t="shared" si="4"/>
        <v>53012.700000000004</v>
      </c>
      <c r="AA72" s="1995">
        <v>0</v>
      </c>
      <c r="AB72" s="1995">
        <f t="shared" si="5"/>
        <v>19012.700000000004</v>
      </c>
      <c r="AD72" s="1995">
        <f t="shared" si="6"/>
        <v>19012.700000000004</v>
      </c>
      <c r="AF72" s="1995">
        <f t="shared" si="8"/>
        <v>19012.700000000004</v>
      </c>
      <c r="AG72" s="1994"/>
    </row>
    <row r="73" spans="1:33" hidden="1" x14ac:dyDescent="0.25">
      <c r="A73" s="1994">
        <v>1</v>
      </c>
      <c r="B73" s="1994">
        <v>43601</v>
      </c>
      <c r="C73" s="1994" t="s">
        <v>3659</v>
      </c>
      <c r="D73" s="1994">
        <v>377198</v>
      </c>
      <c r="E73" s="1994" t="s">
        <v>3658</v>
      </c>
      <c r="F73" s="1994" t="s">
        <v>1034</v>
      </c>
      <c r="O73" s="1997">
        <f t="shared" ref="O73:O140" si="9">P73</f>
        <v>33306.99</v>
      </c>
      <c r="P73" s="1997">
        <f t="shared" ref="P73:P140" si="10">S73+Q73</f>
        <v>33306.99</v>
      </c>
      <c r="Q73" s="1997">
        <v>0</v>
      </c>
      <c r="R73" s="1998">
        <v>34549</v>
      </c>
      <c r="S73" s="1998">
        <v>33306.99</v>
      </c>
      <c r="T73" s="1998">
        <v>0</v>
      </c>
      <c r="U73" s="1998">
        <v>21790.66</v>
      </c>
      <c r="V73" s="1998">
        <v>11516.33</v>
      </c>
      <c r="W73" s="1998">
        <v>33306.99</v>
      </c>
      <c r="X73" s="2012">
        <f t="shared" si="1"/>
        <v>0</v>
      </c>
      <c r="Z73" s="2012">
        <f t="shared" si="4"/>
        <v>33306.99</v>
      </c>
      <c r="AA73" s="1995">
        <v>0</v>
      </c>
      <c r="AB73" s="1995">
        <f t="shared" ref="AB73:AB140" si="11">S73+AA73</f>
        <v>33306.99</v>
      </c>
      <c r="AD73" s="1995">
        <f t="shared" ref="AD73:AD140" si="12">(AB73+AC73)</f>
        <v>33306.99</v>
      </c>
      <c r="AF73" s="1995">
        <f t="shared" si="8"/>
        <v>33306.99</v>
      </c>
      <c r="AG73" s="1994"/>
    </row>
    <row r="74" spans="1:33" hidden="1" x14ac:dyDescent="0.25">
      <c r="A74" s="1994">
        <v>0</v>
      </c>
      <c r="B74" s="1994">
        <v>43601</v>
      </c>
      <c r="C74" s="1994" t="s">
        <v>3659</v>
      </c>
      <c r="D74" s="1994">
        <v>377199</v>
      </c>
      <c r="E74" s="1994" t="s">
        <v>3658</v>
      </c>
      <c r="F74" s="1994" t="s">
        <v>1034</v>
      </c>
      <c r="O74" s="1997">
        <v>10543</v>
      </c>
      <c r="P74" s="1997">
        <v>0</v>
      </c>
      <c r="Q74" s="1997">
        <v>0</v>
      </c>
      <c r="S74" s="1998">
        <v>0</v>
      </c>
      <c r="W74" s="1998">
        <v>0</v>
      </c>
      <c r="X74" s="2012">
        <f t="shared" si="1"/>
        <v>0</v>
      </c>
      <c r="Z74" s="2012">
        <v>0</v>
      </c>
      <c r="AB74" s="1995">
        <v>0</v>
      </c>
      <c r="AD74" s="1995">
        <v>0</v>
      </c>
      <c r="AE74" s="1995">
        <v>3184.86</v>
      </c>
      <c r="AF74" s="1995">
        <f t="shared" si="8"/>
        <v>3184.86</v>
      </c>
      <c r="AG74" s="1994"/>
    </row>
    <row r="75" spans="1:33" hidden="1" x14ac:dyDescent="0.25">
      <c r="A75" s="1994">
        <v>1</v>
      </c>
      <c r="B75" s="1994">
        <v>43601</v>
      </c>
      <c r="C75" s="1994" t="s">
        <v>3872</v>
      </c>
      <c r="D75" s="1994">
        <v>378700</v>
      </c>
      <c r="E75" s="1994" t="s">
        <v>3660</v>
      </c>
      <c r="F75" s="1994" t="s">
        <v>1175</v>
      </c>
      <c r="O75" s="1997">
        <f t="shared" si="9"/>
        <v>98237.640000000014</v>
      </c>
      <c r="P75" s="1997">
        <f t="shared" si="10"/>
        <v>98237.640000000014</v>
      </c>
      <c r="Q75" s="1997">
        <v>0</v>
      </c>
      <c r="R75" s="1998">
        <v>91910</v>
      </c>
      <c r="S75" s="1998">
        <v>98237.640000000014</v>
      </c>
      <c r="T75" s="1998">
        <v>0</v>
      </c>
      <c r="U75" s="1998">
        <v>52282.68</v>
      </c>
      <c r="V75" s="1998">
        <v>45954.960000000006</v>
      </c>
      <c r="W75" s="1998">
        <v>98237.640000000014</v>
      </c>
      <c r="X75" s="2012">
        <f t="shared" ref="X75:X141" si="13">W75-S75</f>
        <v>0</v>
      </c>
      <c r="Z75" s="2012">
        <f t="shared" si="4"/>
        <v>98237.640000000014</v>
      </c>
      <c r="AA75" s="1995">
        <v>0</v>
      </c>
      <c r="AB75" s="1995">
        <f t="shared" si="11"/>
        <v>98237.640000000014</v>
      </c>
      <c r="AD75" s="1995">
        <f t="shared" si="12"/>
        <v>98237.640000000014</v>
      </c>
      <c r="AF75" s="1995">
        <f t="shared" si="8"/>
        <v>98237.640000000014</v>
      </c>
      <c r="AG75" s="1994"/>
    </row>
    <row r="76" spans="1:33" hidden="1" x14ac:dyDescent="0.25">
      <c r="A76" s="1994">
        <v>1</v>
      </c>
      <c r="B76" s="1994">
        <v>43601</v>
      </c>
      <c r="C76" s="1994" t="s">
        <v>3870</v>
      </c>
      <c r="D76" s="1994">
        <v>378970</v>
      </c>
      <c r="E76" s="1994" t="s">
        <v>122</v>
      </c>
      <c r="F76" s="1994" t="s">
        <v>72</v>
      </c>
      <c r="O76" s="1997">
        <f t="shared" si="9"/>
        <v>90042</v>
      </c>
      <c r="P76" s="1997">
        <f t="shared" si="10"/>
        <v>90042</v>
      </c>
      <c r="Q76" s="1997">
        <v>0</v>
      </c>
      <c r="R76" s="1998">
        <v>90042</v>
      </c>
      <c r="S76" s="1998">
        <v>90042</v>
      </c>
      <c r="T76" s="1998">
        <v>0</v>
      </c>
      <c r="U76" s="1998">
        <v>60028</v>
      </c>
      <c r="V76" s="1998">
        <v>30014</v>
      </c>
      <c r="W76" s="1998">
        <v>90042</v>
      </c>
      <c r="X76" s="2012">
        <f t="shared" si="13"/>
        <v>0</v>
      </c>
      <c r="Z76" s="2012">
        <f t="shared" ref="Z76:Z142" si="14">U76+V76</f>
        <v>90042</v>
      </c>
      <c r="AA76" s="1995">
        <v>0</v>
      </c>
      <c r="AB76" s="1995">
        <f t="shared" si="11"/>
        <v>90042</v>
      </c>
      <c r="AD76" s="1995">
        <f t="shared" si="12"/>
        <v>90042</v>
      </c>
      <c r="AF76" s="1995">
        <f t="shared" si="8"/>
        <v>90042</v>
      </c>
      <c r="AG76" s="1994"/>
    </row>
    <row r="77" spans="1:33" hidden="1" x14ac:dyDescent="0.25">
      <c r="A77" s="1994">
        <v>1</v>
      </c>
      <c r="B77" s="1994">
        <v>43601</v>
      </c>
      <c r="C77" s="1994" t="s">
        <v>3710</v>
      </c>
      <c r="D77" s="1994">
        <v>379010</v>
      </c>
      <c r="E77" s="1994" t="s">
        <v>3661</v>
      </c>
      <c r="F77" s="1994" t="s">
        <v>3308</v>
      </c>
      <c r="O77" s="1997">
        <f t="shared" si="9"/>
        <v>53339.100000000006</v>
      </c>
      <c r="P77" s="1997">
        <f t="shared" si="10"/>
        <v>53339.100000000006</v>
      </c>
      <c r="Q77" s="1997">
        <v>0</v>
      </c>
      <c r="R77" s="1998">
        <v>52782</v>
      </c>
      <c r="S77" s="1998">
        <v>53339.100000000006</v>
      </c>
      <c r="T77" s="1998">
        <v>-17268</v>
      </c>
      <c r="U77" s="1998">
        <v>35418.300000000003</v>
      </c>
      <c r="V77" s="1998">
        <v>35188.800000000003</v>
      </c>
      <c r="W77" s="1998">
        <v>53339.100000000006</v>
      </c>
      <c r="X77" s="2012">
        <f t="shared" si="13"/>
        <v>0</v>
      </c>
      <c r="Z77" s="2012">
        <f t="shared" si="14"/>
        <v>70607.100000000006</v>
      </c>
      <c r="AA77" s="1995">
        <v>0</v>
      </c>
      <c r="AB77" s="1995">
        <f t="shared" si="11"/>
        <v>53339.100000000006</v>
      </c>
      <c r="AD77" s="1995">
        <f t="shared" si="12"/>
        <v>53339.100000000006</v>
      </c>
      <c r="AF77" s="1995">
        <f t="shared" si="8"/>
        <v>53339.100000000006</v>
      </c>
      <c r="AG77" s="1994"/>
    </row>
    <row r="78" spans="1:33" hidden="1" x14ac:dyDescent="0.25">
      <c r="A78" s="1994">
        <v>1</v>
      </c>
      <c r="B78" s="1994">
        <v>43601</v>
      </c>
      <c r="C78" s="1994" t="s">
        <v>3870</v>
      </c>
      <c r="D78" s="1994">
        <v>379446</v>
      </c>
      <c r="E78" s="1994" t="s">
        <v>657</v>
      </c>
      <c r="F78" s="1994" t="s">
        <v>3662</v>
      </c>
      <c r="O78" s="1997">
        <f t="shared" si="9"/>
        <v>83880.88</v>
      </c>
      <c r="P78" s="1997">
        <f t="shared" si="10"/>
        <v>83880.88</v>
      </c>
      <c r="Q78" s="1997">
        <v>0</v>
      </c>
      <c r="R78" s="1998">
        <v>83711</v>
      </c>
      <c r="S78" s="1998">
        <v>83880.88</v>
      </c>
      <c r="T78" s="1998">
        <v>0</v>
      </c>
      <c r="U78" s="1998">
        <v>28073.72</v>
      </c>
      <c r="V78" s="1998">
        <v>55807.16</v>
      </c>
      <c r="W78" s="1998">
        <v>83880.88</v>
      </c>
      <c r="X78" s="2012">
        <f t="shared" si="13"/>
        <v>0</v>
      </c>
      <c r="Z78" s="2012">
        <f t="shared" si="14"/>
        <v>83880.88</v>
      </c>
      <c r="AA78" s="1995">
        <v>0</v>
      </c>
      <c r="AB78" s="1995">
        <f t="shared" si="11"/>
        <v>83880.88</v>
      </c>
      <c r="AD78" s="1995">
        <f t="shared" si="12"/>
        <v>83880.88</v>
      </c>
      <c r="AF78" s="1995">
        <f t="shared" si="8"/>
        <v>83880.88</v>
      </c>
      <c r="AG78" s="1994"/>
    </row>
    <row r="79" spans="1:33" hidden="1" x14ac:dyDescent="0.25">
      <c r="A79" s="1994">
        <v>1</v>
      </c>
      <c r="B79" s="1994">
        <v>43601</v>
      </c>
      <c r="C79" s="1994" t="s">
        <v>3710</v>
      </c>
      <c r="D79" s="1994">
        <v>379546</v>
      </c>
      <c r="E79" s="1994" t="s">
        <v>3663</v>
      </c>
      <c r="F79" s="1994" t="s">
        <v>1459</v>
      </c>
      <c r="O79" s="1997">
        <f t="shared" si="9"/>
        <v>89429.1</v>
      </c>
      <c r="P79" s="1997">
        <f t="shared" si="10"/>
        <v>89429.1</v>
      </c>
      <c r="Q79" s="1997">
        <v>0</v>
      </c>
      <c r="R79" s="1998">
        <v>76842</v>
      </c>
      <c r="S79" s="1998">
        <v>89429.1</v>
      </c>
      <c r="T79" s="1998">
        <v>-17268</v>
      </c>
      <c r="U79" s="1998">
        <v>55468.3</v>
      </c>
      <c r="V79" s="1998">
        <v>51228.800000000003</v>
      </c>
      <c r="W79" s="1998">
        <v>89429.1</v>
      </c>
      <c r="X79" s="2012">
        <f t="shared" si="13"/>
        <v>0</v>
      </c>
      <c r="Z79" s="2012">
        <f t="shared" si="14"/>
        <v>106697.1</v>
      </c>
      <c r="AA79" s="1995">
        <v>0</v>
      </c>
      <c r="AB79" s="1995">
        <f t="shared" si="11"/>
        <v>89429.1</v>
      </c>
      <c r="AD79" s="1995">
        <f t="shared" si="12"/>
        <v>89429.1</v>
      </c>
      <c r="AF79" s="1995">
        <f t="shared" si="8"/>
        <v>89429.1</v>
      </c>
      <c r="AG79" s="1994"/>
    </row>
    <row r="80" spans="1:33" hidden="1" x14ac:dyDescent="0.25">
      <c r="A80" s="1994">
        <v>1</v>
      </c>
      <c r="B80" s="1994">
        <v>43601</v>
      </c>
      <c r="C80" s="1994" t="s">
        <v>3864</v>
      </c>
      <c r="D80" s="1994">
        <v>379944</v>
      </c>
      <c r="E80" s="1994" t="s">
        <v>907</v>
      </c>
      <c r="F80" s="1994" t="s">
        <v>1313</v>
      </c>
      <c r="O80" s="1997">
        <f t="shared" si="9"/>
        <v>63013.22</v>
      </c>
      <c r="P80" s="1997">
        <f t="shared" si="10"/>
        <v>63013.22</v>
      </c>
      <c r="Q80" s="1997">
        <v>0</v>
      </c>
      <c r="R80" s="1998">
        <v>68571</v>
      </c>
      <c r="S80" s="1998">
        <v>63013.22</v>
      </c>
      <c r="T80" s="1998">
        <v>0</v>
      </c>
      <c r="U80" s="1998">
        <v>40156.19</v>
      </c>
      <c r="V80" s="1998">
        <v>22857.03</v>
      </c>
      <c r="W80" s="1998">
        <v>63013.22</v>
      </c>
      <c r="X80" s="2012">
        <f t="shared" si="13"/>
        <v>0</v>
      </c>
      <c r="Z80" s="2012">
        <f t="shared" si="14"/>
        <v>63013.22</v>
      </c>
      <c r="AA80" s="1995">
        <v>0</v>
      </c>
      <c r="AB80" s="1995">
        <f t="shared" si="11"/>
        <v>63013.22</v>
      </c>
      <c r="AD80" s="1995">
        <f t="shared" si="12"/>
        <v>63013.22</v>
      </c>
      <c r="AF80" s="1995">
        <f t="shared" si="8"/>
        <v>63013.22</v>
      </c>
      <c r="AG80" s="1994"/>
    </row>
    <row r="81" spans="1:33" hidden="1" x14ac:dyDescent="0.25">
      <c r="A81" s="1994">
        <v>1</v>
      </c>
      <c r="B81" s="1994">
        <v>43601</v>
      </c>
      <c r="C81" s="1994" t="s">
        <v>3710</v>
      </c>
      <c r="D81" s="1994">
        <v>380229</v>
      </c>
      <c r="E81" s="1994" t="s">
        <v>2600</v>
      </c>
      <c r="F81" s="1994" t="s">
        <v>2599</v>
      </c>
      <c r="O81" s="1997">
        <f t="shared" si="9"/>
        <v>35744.700000000004</v>
      </c>
      <c r="P81" s="1997">
        <f t="shared" si="10"/>
        <v>35744.700000000004</v>
      </c>
      <c r="Q81" s="1997">
        <v>0</v>
      </c>
      <c r="R81" s="1998">
        <v>52782</v>
      </c>
      <c r="S81" s="1998">
        <v>35744.700000000004</v>
      </c>
      <c r="T81" s="1998">
        <v>-17268</v>
      </c>
      <c r="U81" s="1998">
        <v>35418.300000000003</v>
      </c>
      <c r="V81" s="1998">
        <v>17594.400000000001</v>
      </c>
      <c r="W81" s="1998">
        <v>35744.700000000004</v>
      </c>
      <c r="X81" s="2012">
        <f t="shared" si="13"/>
        <v>0</v>
      </c>
      <c r="Z81" s="2012">
        <f t="shared" si="14"/>
        <v>53012.700000000004</v>
      </c>
      <c r="AA81" s="1995">
        <v>0</v>
      </c>
      <c r="AB81" s="1995">
        <f t="shared" si="11"/>
        <v>35744.700000000004</v>
      </c>
      <c r="AD81" s="1995">
        <f t="shared" si="12"/>
        <v>35744.700000000004</v>
      </c>
      <c r="AF81" s="1995">
        <f t="shared" si="8"/>
        <v>35744.700000000004</v>
      </c>
      <c r="AG81" s="1994"/>
    </row>
    <row r="82" spans="1:33" hidden="1" x14ac:dyDescent="0.25">
      <c r="A82" s="1994">
        <v>1</v>
      </c>
      <c r="B82" s="1994">
        <v>43601</v>
      </c>
      <c r="C82" s="1994" t="s">
        <v>3710</v>
      </c>
      <c r="D82" s="1994">
        <v>380637</v>
      </c>
      <c r="E82" s="1994" t="s">
        <v>3664</v>
      </c>
      <c r="F82" s="1994" t="s">
        <v>3665</v>
      </c>
      <c r="O82" s="1997">
        <f t="shared" si="9"/>
        <v>41566.49</v>
      </c>
      <c r="P82" s="1997">
        <f t="shared" si="10"/>
        <v>41566.49</v>
      </c>
      <c r="Q82" s="1997">
        <v>0</v>
      </c>
      <c r="R82" s="1998">
        <v>52782</v>
      </c>
      <c r="S82" s="1998">
        <v>41566.49</v>
      </c>
      <c r="T82" s="1998">
        <v>-17326</v>
      </c>
      <c r="U82" s="1998">
        <v>23704.489999999998</v>
      </c>
      <c r="V82" s="1998">
        <v>35188</v>
      </c>
      <c r="W82" s="1998">
        <v>41566.49</v>
      </c>
      <c r="X82" s="2012">
        <f t="shared" si="13"/>
        <v>0</v>
      </c>
      <c r="Z82" s="2012">
        <f t="shared" si="14"/>
        <v>58892.49</v>
      </c>
      <c r="AA82" s="1995">
        <v>0</v>
      </c>
      <c r="AB82" s="1995">
        <f t="shared" si="11"/>
        <v>41566.49</v>
      </c>
      <c r="AD82" s="1995">
        <f t="shared" si="12"/>
        <v>41566.49</v>
      </c>
      <c r="AF82" s="1995">
        <f t="shared" si="8"/>
        <v>41566.49</v>
      </c>
      <c r="AG82" s="1994"/>
    </row>
    <row r="83" spans="1:33" hidden="1" x14ac:dyDescent="0.25">
      <c r="A83" s="1994">
        <v>1</v>
      </c>
      <c r="B83" s="1994">
        <v>43601</v>
      </c>
      <c r="C83" s="1994" t="s">
        <v>3710</v>
      </c>
      <c r="D83" s="1994">
        <v>380780</v>
      </c>
      <c r="E83" s="1994" t="s">
        <v>3666</v>
      </c>
      <c r="F83" s="1994" t="s">
        <v>322</v>
      </c>
      <c r="O83" s="1997">
        <f t="shared" si="9"/>
        <v>29744.699999999997</v>
      </c>
      <c r="P83" s="1997">
        <f t="shared" si="10"/>
        <v>29744.699999999997</v>
      </c>
      <c r="Q83" s="1997">
        <v>0</v>
      </c>
      <c r="R83" s="1998">
        <v>43782</v>
      </c>
      <c r="S83" s="1998">
        <v>29744.699999999997</v>
      </c>
      <c r="T83" s="1998">
        <v>-14268</v>
      </c>
      <c r="U83" s="1998">
        <v>29418.3</v>
      </c>
      <c r="V83" s="1998">
        <v>14594.4</v>
      </c>
      <c r="W83" s="1998">
        <v>29744.699999999997</v>
      </c>
      <c r="X83" s="2012">
        <f t="shared" si="13"/>
        <v>0</v>
      </c>
      <c r="Z83" s="2012">
        <f t="shared" si="14"/>
        <v>44012.7</v>
      </c>
      <c r="AA83" s="1995">
        <v>0</v>
      </c>
      <c r="AB83" s="1995">
        <f t="shared" si="11"/>
        <v>29744.699999999997</v>
      </c>
      <c r="AD83" s="1995">
        <f t="shared" si="12"/>
        <v>29744.699999999997</v>
      </c>
      <c r="AF83" s="1995">
        <f t="shared" si="8"/>
        <v>29744.699999999997</v>
      </c>
      <c r="AG83" s="1994"/>
    </row>
    <row r="84" spans="1:33" hidden="1" x14ac:dyDescent="0.25">
      <c r="A84" s="1994">
        <v>1</v>
      </c>
      <c r="B84" s="1994">
        <v>43601</v>
      </c>
      <c r="C84" s="1994" t="s">
        <v>3867</v>
      </c>
      <c r="D84" s="1994">
        <v>380860</v>
      </c>
      <c r="E84" s="1994" t="s">
        <v>584</v>
      </c>
      <c r="F84" s="1994" t="s">
        <v>40</v>
      </c>
      <c r="O84" s="1997">
        <f t="shared" si="9"/>
        <v>37500</v>
      </c>
      <c r="P84" s="1997">
        <f t="shared" si="10"/>
        <v>37500</v>
      </c>
      <c r="Q84" s="1997">
        <v>0</v>
      </c>
      <c r="R84" s="1998">
        <v>37500</v>
      </c>
      <c r="S84" s="1998">
        <v>37500</v>
      </c>
      <c r="T84" s="1998">
        <v>0</v>
      </c>
      <c r="U84" s="1998">
        <v>25000</v>
      </c>
      <c r="V84" s="1998">
        <v>12500</v>
      </c>
      <c r="W84" s="1998">
        <v>37500</v>
      </c>
      <c r="X84" s="2012">
        <f t="shared" si="13"/>
        <v>0</v>
      </c>
      <c r="Z84" s="2012">
        <f t="shared" si="14"/>
        <v>37500</v>
      </c>
      <c r="AA84" s="1995">
        <v>0</v>
      </c>
      <c r="AB84" s="1995">
        <f t="shared" si="11"/>
        <v>37500</v>
      </c>
      <c r="AD84" s="1995">
        <f t="shared" si="12"/>
        <v>37500</v>
      </c>
      <c r="AF84" s="1995">
        <f t="shared" si="8"/>
        <v>37500</v>
      </c>
      <c r="AG84" s="1994"/>
    </row>
    <row r="85" spans="1:33" hidden="1" x14ac:dyDescent="0.25">
      <c r="A85" s="1994">
        <v>1</v>
      </c>
      <c r="B85" s="1994">
        <v>43601</v>
      </c>
      <c r="C85" s="1994" t="s">
        <v>3857</v>
      </c>
      <c r="D85" s="1994">
        <v>380929</v>
      </c>
      <c r="E85" s="1994" t="s">
        <v>3667</v>
      </c>
      <c r="F85" s="1994" t="s">
        <v>3668</v>
      </c>
      <c r="O85" s="1997">
        <f t="shared" si="9"/>
        <v>54045</v>
      </c>
      <c r="P85" s="1997">
        <f t="shared" si="10"/>
        <v>54045</v>
      </c>
      <c r="Q85" s="1997">
        <v>0</v>
      </c>
      <c r="R85" s="1998">
        <v>54045</v>
      </c>
      <c r="S85" s="1998">
        <v>54045</v>
      </c>
      <c r="T85" s="1998">
        <v>0</v>
      </c>
      <c r="U85" s="1998">
        <v>36030</v>
      </c>
      <c r="V85" s="1998">
        <v>18015</v>
      </c>
      <c r="W85" s="1998">
        <v>54045</v>
      </c>
      <c r="X85" s="2012">
        <f t="shared" si="13"/>
        <v>0</v>
      </c>
      <c r="Z85" s="2012">
        <f t="shared" si="14"/>
        <v>54045</v>
      </c>
      <c r="AA85" s="1995">
        <v>0</v>
      </c>
      <c r="AB85" s="1995">
        <f t="shared" si="11"/>
        <v>54045</v>
      </c>
      <c r="AD85" s="1995">
        <f t="shared" si="12"/>
        <v>54045</v>
      </c>
      <c r="AF85" s="1995">
        <f t="shared" si="8"/>
        <v>54045</v>
      </c>
      <c r="AG85" s="1994"/>
    </row>
    <row r="86" spans="1:33" hidden="1" x14ac:dyDescent="0.25">
      <c r="A86" s="1994">
        <v>1</v>
      </c>
      <c r="B86" s="1994">
        <v>43601</v>
      </c>
      <c r="C86" s="1994" t="s">
        <v>3873</v>
      </c>
      <c r="D86" s="1994">
        <v>382741</v>
      </c>
      <c r="E86" s="1994" t="s">
        <v>1630</v>
      </c>
      <c r="F86" s="1994" t="s">
        <v>3669</v>
      </c>
      <c r="O86" s="1997">
        <f t="shared" si="9"/>
        <v>47850</v>
      </c>
      <c r="P86" s="1997">
        <f t="shared" si="10"/>
        <v>47850</v>
      </c>
      <c r="Q86" s="1997">
        <v>0</v>
      </c>
      <c r="R86" s="1998">
        <v>47850</v>
      </c>
      <c r="S86" s="1998">
        <v>47850</v>
      </c>
      <c r="T86" s="1998">
        <v>0</v>
      </c>
      <c r="U86" s="1998">
        <v>15950</v>
      </c>
      <c r="V86" s="1998">
        <v>31900</v>
      </c>
      <c r="W86" s="1998">
        <v>47850</v>
      </c>
      <c r="X86" s="2012">
        <f t="shared" si="13"/>
        <v>0</v>
      </c>
      <c r="Z86" s="2012">
        <f t="shared" si="14"/>
        <v>47850</v>
      </c>
      <c r="AA86" s="1995">
        <v>0</v>
      </c>
      <c r="AB86" s="1995">
        <f t="shared" si="11"/>
        <v>47850</v>
      </c>
      <c r="AD86" s="1995">
        <f t="shared" si="12"/>
        <v>47850</v>
      </c>
      <c r="AF86" s="1995">
        <f t="shared" si="8"/>
        <v>47850</v>
      </c>
      <c r="AG86" s="1994"/>
    </row>
    <row r="87" spans="1:33" hidden="1" x14ac:dyDescent="0.25">
      <c r="A87" s="1994">
        <v>1</v>
      </c>
      <c r="B87" s="1994">
        <v>43601</v>
      </c>
      <c r="C87" s="1994" t="s">
        <v>3710</v>
      </c>
      <c r="D87" s="1994">
        <v>383111</v>
      </c>
      <c r="E87" s="1994" t="s">
        <v>3670</v>
      </c>
      <c r="F87" s="1994" t="s">
        <v>556</v>
      </c>
      <c r="O87" s="1997">
        <f t="shared" si="9"/>
        <v>53339.100000000006</v>
      </c>
      <c r="P87" s="1997">
        <f t="shared" si="10"/>
        <v>53339.100000000006</v>
      </c>
      <c r="Q87" s="1997">
        <v>0</v>
      </c>
      <c r="R87" s="1998">
        <v>52782</v>
      </c>
      <c r="S87" s="1998">
        <v>53339.100000000006</v>
      </c>
      <c r="T87" s="1998">
        <v>-17268</v>
      </c>
      <c r="U87" s="1998">
        <v>35418.300000000003</v>
      </c>
      <c r="V87" s="1998">
        <v>35188.800000000003</v>
      </c>
      <c r="W87" s="1998">
        <v>53339.100000000006</v>
      </c>
      <c r="X87" s="2012">
        <f t="shared" si="13"/>
        <v>0</v>
      </c>
      <c r="Z87" s="2012">
        <f t="shared" si="14"/>
        <v>70607.100000000006</v>
      </c>
      <c r="AA87" s="1995">
        <v>0</v>
      </c>
      <c r="AB87" s="1995">
        <f t="shared" si="11"/>
        <v>53339.100000000006</v>
      </c>
      <c r="AD87" s="1995">
        <f t="shared" si="12"/>
        <v>53339.100000000006</v>
      </c>
      <c r="AF87" s="1995">
        <f t="shared" si="8"/>
        <v>53339.100000000006</v>
      </c>
      <c r="AG87" s="1994"/>
    </row>
    <row r="88" spans="1:33" hidden="1" x14ac:dyDescent="0.25">
      <c r="A88" s="1994">
        <v>1</v>
      </c>
      <c r="B88" s="1994">
        <v>43601</v>
      </c>
      <c r="C88" s="1994" t="s">
        <v>3899</v>
      </c>
      <c r="D88" s="1994">
        <v>383267</v>
      </c>
      <c r="E88" s="1994" t="s">
        <v>1166</v>
      </c>
      <c r="F88" s="1994" t="s">
        <v>1165</v>
      </c>
      <c r="O88" s="1997">
        <f t="shared" si="9"/>
        <v>31256</v>
      </c>
      <c r="P88" s="1997">
        <f t="shared" si="10"/>
        <v>31256</v>
      </c>
      <c r="Q88" s="1997">
        <v>0</v>
      </c>
      <c r="R88" s="1998">
        <v>46884</v>
      </c>
      <c r="S88" s="1998">
        <v>31256</v>
      </c>
      <c r="T88" s="1998">
        <v>0</v>
      </c>
      <c r="U88" s="1998">
        <v>0</v>
      </c>
      <c r="V88" s="1998">
        <v>31256</v>
      </c>
      <c r="W88" s="1998">
        <v>31256</v>
      </c>
      <c r="X88" s="2012">
        <f t="shared" si="13"/>
        <v>0</v>
      </c>
      <c r="Z88" s="2012">
        <f t="shared" si="14"/>
        <v>31256</v>
      </c>
      <c r="AA88" s="1995">
        <v>0</v>
      </c>
      <c r="AB88" s="1995">
        <f t="shared" si="11"/>
        <v>31256</v>
      </c>
      <c r="AD88" s="1995">
        <f t="shared" si="12"/>
        <v>31256</v>
      </c>
      <c r="AF88" s="1995">
        <f t="shared" si="8"/>
        <v>31256</v>
      </c>
      <c r="AG88" s="1994"/>
    </row>
    <row r="89" spans="1:33" hidden="1" x14ac:dyDescent="0.25">
      <c r="A89" s="1994">
        <v>1</v>
      </c>
      <c r="B89" s="1994">
        <v>43606</v>
      </c>
      <c r="C89" s="1994" t="s">
        <v>3863</v>
      </c>
      <c r="D89" s="1994">
        <v>383504</v>
      </c>
      <c r="E89" s="1994" t="s">
        <v>3671</v>
      </c>
      <c r="F89" s="1994" t="s">
        <v>72</v>
      </c>
      <c r="O89" s="1997">
        <f t="shared" si="9"/>
        <v>32466</v>
      </c>
      <c r="P89" s="1997">
        <f t="shared" si="10"/>
        <v>32466</v>
      </c>
      <c r="Q89" s="1997">
        <v>0</v>
      </c>
      <c r="R89" s="1998">
        <v>32466</v>
      </c>
      <c r="S89" s="1998">
        <v>32466</v>
      </c>
      <c r="T89" s="1998">
        <v>0</v>
      </c>
      <c r="U89" s="1998">
        <v>10822</v>
      </c>
      <c r="V89" s="1998">
        <v>21644</v>
      </c>
      <c r="W89" s="1998">
        <v>32466</v>
      </c>
      <c r="X89" s="2012">
        <f t="shared" si="13"/>
        <v>0</v>
      </c>
      <c r="Z89" s="2012">
        <f t="shared" si="14"/>
        <v>32466</v>
      </c>
      <c r="AA89" s="1995">
        <v>0</v>
      </c>
      <c r="AB89" s="1995">
        <f t="shared" si="11"/>
        <v>32466</v>
      </c>
      <c r="AD89" s="1995">
        <f t="shared" si="12"/>
        <v>32466</v>
      </c>
      <c r="AF89" s="1995">
        <f t="shared" si="8"/>
        <v>32466</v>
      </c>
      <c r="AG89" s="1994"/>
    </row>
    <row r="90" spans="1:33" hidden="1" x14ac:dyDescent="0.25">
      <c r="A90" s="1994">
        <v>1</v>
      </c>
      <c r="B90" s="1994">
        <v>43601</v>
      </c>
      <c r="C90" s="1994" t="s">
        <v>3874</v>
      </c>
      <c r="D90" s="1994">
        <v>383569</v>
      </c>
      <c r="E90" s="1994" t="s">
        <v>3672</v>
      </c>
      <c r="F90" s="1994" t="s">
        <v>1002</v>
      </c>
      <c r="O90" s="1997">
        <f t="shared" si="9"/>
        <v>75876</v>
      </c>
      <c r="P90" s="1997">
        <f t="shared" si="10"/>
        <v>75876</v>
      </c>
      <c r="Q90" s="1997">
        <v>0</v>
      </c>
      <c r="R90" s="1998">
        <v>75876</v>
      </c>
      <c r="S90" s="1998">
        <v>75876</v>
      </c>
      <c r="T90" s="1998">
        <v>0</v>
      </c>
      <c r="U90" s="1998">
        <v>25292</v>
      </c>
      <c r="V90" s="1998">
        <v>50584</v>
      </c>
      <c r="W90" s="1998">
        <v>75876</v>
      </c>
      <c r="X90" s="2012">
        <f t="shared" si="13"/>
        <v>0</v>
      </c>
      <c r="Z90" s="2012">
        <f t="shared" si="14"/>
        <v>75876</v>
      </c>
      <c r="AA90" s="1995">
        <v>0</v>
      </c>
      <c r="AB90" s="1995">
        <f t="shared" si="11"/>
        <v>75876</v>
      </c>
      <c r="AD90" s="1995">
        <f t="shared" si="12"/>
        <v>75876</v>
      </c>
      <c r="AF90" s="1995">
        <f t="shared" si="8"/>
        <v>75876</v>
      </c>
      <c r="AG90" s="1994"/>
    </row>
    <row r="91" spans="1:33" hidden="1" x14ac:dyDescent="0.25">
      <c r="A91" s="1994">
        <v>1</v>
      </c>
      <c r="B91" s="1994">
        <v>43601</v>
      </c>
      <c r="C91" s="1994" t="s">
        <v>3869</v>
      </c>
      <c r="D91" s="1994">
        <v>383649</v>
      </c>
      <c r="E91" s="1994" t="s">
        <v>252</v>
      </c>
      <c r="F91" s="1994" t="s">
        <v>3673</v>
      </c>
      <c r="O91" s="1997">
        <f t="shared" si="9"/>
        <v>29950</v>
      </c>
      <c r="P91" s="1997">
        <f t="shared" si="10"/>
        <v>29950</v>
      </c>
      <c r="Q91" s="1997">
        <v>0</v>
      </c>
      <c r="R91" s="1998">
        <v>29950</v>
      </c>
      <c r="S91" s="1998">
        <v>29950</v>
      </c>
      <c r="T91" s="1998">
        <v>0</v>
      </c>
      <c r="U91" s="1998">
        <v>0</v>
      </c>
      <c r="V91" s="1998">
        <v>29950</v>
      </c>
      <c r="W91" s="1998">
        <v>29950</v>
      </c>
      <c r="X91" s="2012">
        <f t="shared" si="13"/>
        <v>0</v>
      </c>
      <c r="Z91" s="2012">
        <f t="shared" si="14"/>
        <v>29950</v>
      </c>
      <c r="AA91" s="1995">
        <v>0</v>
      </c>
      <c r="AB91" s="1995">
        <f t="shared" si="11"/>
        <v>29950</v>
      </c>
      <c r="AD91" s="1995">
        <f t="shared" si="12"/>
        <v>29950</v>
      </c>
      <c r="AF91" s="1995">
        <f t="shared" si="8"/>
        <v>29950</v>
      </c>
    </row>
    <row r="92" spans="1:33" hidden="1" x14ac:dyDescent="0.25">
      <c r="A92" s="1994">
        <v>1</v>
      </c>
      <c r="B92" s="1994">
        <v>43601</v>
      </c>
      <c r="C92" s="1994" t="s">
        <v>3875</v>
      </c>
      <c r="D92" s="1994">
        <v>383683</v>
      </c>
      <c r="E92" s="1994" t="s">
        <v>1879</v>
      </c>
      <c r="F92" s="1994" t="s">
        <v>122</v>
      </c>
      <c r="O92" s="1997">
        <f t="shared" si="9"/>
        <v>65681.490000000005</v>
      </c>
      <c r="P92" s="1997">
        <f t="shared" si="10"/>
        <v>65681.490000000005</v>
      </c>
      <c r="Q92" s="1997">
        <v>0</v>
      </c>
      <c r="R92" s="1998">
        <v>65681</v>
      </c>
      <c r="S92" s="1998">
        <v>65681.490000000005</v>
      </c>
      <c r="T92" s="1998">
        <v>0</v>
      </c>
      <c r="U92" s="1998">
        <v>21893.83</v>
      </c>
      <c r="V92" s="1998">
        <v>43787.66</v>
      </c>
      <c r="W92" s="1998">
        <v>65681.490000000005</v>
      </c>
      <c r="X92" s="2012">
        <f t="shared" si="13"/>
        <v>0</v>
      </c>
      <c r="Z92" s="2012">
        <f t="shared" si="14"/>
        <v>65681.490000000005</v>
      </c>
      <c r="AA92" s="1995">
        <v>0</v>
      </c>
      <c r="AB92" s="1995">
        <f t="shared" si="11"/>
        <v>65681.490000000005</v>
      </c>
      <c r="AD92" s="1995">
        <f t="shared" si="12"/>
        <v>65681.490000000005</v>
      </c>
      <c r="AF92" s="1995">
        <f t="shared" si="8"/>
        <v>65681.490000000005</v>
      </c>
      <c r="AG92" s="1994"/>
    </row>
    <row r="93" spans="1:33" hidden="1" x14ac:dyDescent="0.25">
      <c r="A93" s="1994">
        <v>1</v>
      </c>
      <c r="B93" s="1994">
        <v>43601</v>
      </c>
      <c r="C93" s="1994" t="s">
        <v>3710</v>
      </c>
      <c r="D93" s="1994">
        <v>383867</v>
      </c>
      <c r="E93" s="1994" t="s">
        <v>299</v>
      </c>
      <c r="F93" s="1994" t="s">
        <v>3674</v>
      </c>
      <c r="O93" s="1997">
        <f t="shared" si="9"/>
        <v>42084.83</v>
      </c>
      <c r="P93" s="1997">
        <f t="shared" si="10"/>
        <v>42084.83</v>
      </c>
      <c r="Q93" s="1997">
        <v>0</v>
      </c>
      <c r="R93" s="1998">
        <v>52758</v>
      </c>
      <c r="S93" s="1998">
        <v>42084.83</v>
      </c>
      <c r="T93" s="1998">
        <v>0</v>
      </c>
      <c r="U93" s="1998">
        <v>6912.83</v>
      </c>
      <c r="V93" s="1998">
        <v>35172</v>
      </c>
      <c r="W93" s="1998">
        <v>42084.83</v>
      </c>
      <c r="X93" s="2012">
        <f t="shared" si="13"/>
        <v>0</v>
      </c>
      <c r="Z93" s="2012">
        <f t="shared" si="14"/>
        <v>42084.83</v>
      </c>
      <c r="AA93" s="1995">
        <v>0</v>
      </c>
      <c r="AB93" s="1995">
        <f t="shared" si="11"/>
        <v>42084.83</v>
      </c>
      <c r="AD93" s="1995">
        <f t="shared" si="12"/>
        <v>42084.83</v>
      </c>
      <c r="AF93" s="1995">
        <f t="shared" si="8"/>
        <v>42084.83</v>
      </c>
      <c r="AG93" s="1994"/>
    </row>
    <row r="94" spans="1:33" hidden="1" x14ac:dyDescent="0.25">
      <c r="A94" s="1994">
        <v>1</v>
      </c>
      <c r="B94" s="1994">
        <v>43601</v>
      </c>
      <c r="C94" s="1994" t="s">
        <v>3861</v>
      </c>
      <c r="D94" s="1994">
        <v>385259</v>
      </c>
      <c r="E94" s="1994" t="s">
        <v>3675</v>
      </c>
      <c r="F94" s="1994" t="s">
        <v>556</v>
      </c>
      <c r="O94" s="1997">
        <f t="shared" si="9"/>
        <v>57789</v>
      </c>
      <c r="P94" s="1997">
        <f t="shared" si="10"/>
        <v>57789</v>
      </c>
      <c r="Q94" s="1997">
        <v>0</v>
      </c>
      <c r="R94" s="1998">
        <v>57789</v>
      </c>
      <c r="S94" s="1998">
        <v>57789</v>
      </c>
      <c r="T94" s="1998">
        <v>0</v>
      </c>
      <c r="U94" s="1998">
        <v>27228</v>
      </c>
      <c r="V94" s="1998">
        <v>30561</v>
      </c>
      <c r="W94" s="1998">
        <v>57789</v>
      </c>
      <c r="X94" s="2012">
        <f t="shared" si="13"/>
        <v>0</v>
      </c>
      <c r="Z94" s="2012">
        <f t="shared" si="14"/>
        <v>57789</v>
      </c>
      <c r="AA94" s="1995">
        <v>0</v>
      </c>
      <c r="AB94" s="1995">
        <f t="shared" si="11"/>
        <v>57789</v>
      </c>
      <c r="AD94" s="1995">
        <f t="shared" si="12"/>
        <v>57789</v>
      </c>
      <c r="AF94" s="1995">
        <f t="shared" si="8"/>
        <v>57789</v>
      </c>
      <c r="AG94" s="1994"/>
    </row>
    <row r="95" spans="1:33" hidden="1" x14ac:dyDescent="0.25">
      <c r="A95" s="1994">
        <v>1</v>
      </c>
      <c r="B95" s="1994">
        <v>43601</v>
      </c>
      <c r="C95" s="1994" t="s">
        <v>3861</v>
      </c>
      <c r="D95" s="1994">
        <v>385362</v>
      </c>
      <c r="E95" s="1994" t="s">
        <v>245</v>
      </c>
      <c r="F95" s="1994" t="s">
        <v>1191</v>
      </c>
      <c r="O95" s="1997">
        <f t="shared" si="9"/>
        <v>58534</v>
      </c>
      <c r="P95" s="1997">
        <f t="shared" si="10"/>
        <v>58534</v>
      </c>
      <c r="Q95" s="1997">
        <v>0</v>
      </c>
      <c r="R95" s="1998">
        <v>58534</v>
      </c>
      <c r="S95" s="1998">
        <v>58534</v>
      </c>
      <c r="T95" s="1998">
        <v>0</v>
      </c>
      <c r="U95" s="1998">
        <v>25788</v>
      </c>
      <c r="V95" s="1998">
        <v>32746</v>
      </c>
      <c r="W95" s="1998">
        <v>58534</v>
      </c>
      <c r="X95" s="2012">
        <f t="shared" si="13"/>
        <v>0</v>
      </c>
      <c r="Z95" s="2012">
        <f t="shared" si="14"/>
        <v>58534</v>
      </c>
      <c r="AA95" s="1995">
        <v>0</v>
      </c>
      <c r="AB95" s="1995">
        <f t="shared" si="11"/>
        <v>58534</v>
      </c>
      <c r="AD95" s="1995">
        <f t="shared" si="12"/>
        <v>58534</v>
      </c>
      <c r="AF95" s="1995">
        <f t="shared" si="8"/>
        <v>58534</v>
      </c>
      <c r="AG95" s="1994"/>
    </row>
    <row r="96" spans="1:33" hidden="1" x14ac:dyDescent="0.25">
      <c r="A96" s="1994">
        <v>1</v>
      </c>
      <c r="B96" s="1994">
        <v>43601</v>
      </c>
      <c r="C96" s="1994" t="s">
        <v>3876</v>
      </c>
      <c r="D96" s="1994">
        <v>385382</v>
      </c>
      <c r="E96" s="1994" t="s">
        <v>1608</v>
      </c>
      <c r="F96" s="1994" t="s">
        <v>3676</v>
      </c>
      <c r="O96" s="1997">
        <f t="shared" si="9"/>
        <v>35095.160000000003</v>
      </c>
      <c r="P96" s="1997">
        <f t="shared" si="10"/>
        <v>35095.160000000003</v>
      </c>
      <c r="Q96" s="1997">
        <v>0</v>
      </c>
      <c r="R96" s="1998">
        <v>35544</v>
      </c>
      <c r="S96" s="1998">
        <v>35095.160000000003</v>
      </c>
      <c r="T96" s="1998">
        <v>0</v>
      </c>
      <c r="U96" s="1998">
        <v>11399.16</v>
      </c>
      <c r="V96" s="1998">
        <v>23696</v>
      </c>
      <c r="W96" s="1998">
        <v>35095.160000000003</v>
      </c>
      <c r="X96" s="2012">
        <f t="shared" si="13"/>
        <v>0</v>
      </c>
      <c r="Z96" s="2012">
        <f t="shared" si="14"/>
        <v>35095.160000000003</v>
      </c>
      <c r="AA96" s="1995">
        <v>0</v>
      </c>
      <c r="AB96" s="1995">
        <f t="shared" si="11"/>
        <v>35095.160000000003</v>
      </c>
      <c r="AD96" s="1995">
        <f t="shared" si="12"/>
        <v>35095.160000000003</v>
      </c>
      <c r="AF96" s="1995">
        <f t="shared" si="8"/>
        <v>35095.160000000003</v>
      </c>
      <c r="AG96" s="1994"/>
    </row>
    <row r="97" spans="1:33" hidden="1" x14ac:dyDescent="0.25">
      <c r="A97" s="1994">
        <v>1</v>
      </c>
      <c r="B97" s="1994">
        <v>43601</v>
      </c>
      <c r="C97" s="1994" t="s">
        <v>3864</v>
      </c>
      <c r="D97" s="1994">
        <v>385548</v>
      </c>
      <c r="E97" s="1994" t="s">
        <v>3677</v>
      </c>
      <c r="F97" s="1994" t="s">
        <v>2971</v>
      </c>
      <c r="O97" s="1997">
        <f t="shared" si="9"/>
        <v>52850.259999999995</v>
      </c>
      <c r="P97" s="1997">
        <f t="shared" si="10"/>
        <v>52850.259999999995</v>
      </c>
      <c r="Q97" s="1997">
        <v>0</v>
      </c>
      <c r="R97" s="1998">
        <v>58067</v>
      </c>
      <c r="S97" s="1998">
        <v>52850.259999999995</v>
      </c>
      <c r="T97" s="1998">
        <v>0</v>
      </c>
      <c r="U97" s="1998">
        <v>33494.659999999996</v>
      </c>
      <c r="V97" s="1998">
        <v>19355.599999999999</v>
      </c>
      <c r="W97" s="1998">
        <v>52850.259999999995</v>
      </c>
      <c r="X97" s="2012">
        <f t="shared" si="13"/>
        <v>0</v>
      </c>
      <c r="Z97" s="2012">
        <f t="shared" si="14"/>
        <v>52850.259999999995</v>
      </c>
      <c r="AA97" s="1995">
        <v>0</v>
      </c>
      <c r="AB97" s="1995">
        <f t="shared" si="11"/>
        <v>52850.259999999995</v>
      </c>
      <c r="AD97" s="1995">
        <f t="shared" si="12"/>
        <v>52850.259999999995</v>
      </c>
      <c r="AF97" s="1995">
        <f t="shared" si="8"/>
        <v>52850.259999999995</v>
      </c>
      <c r="AG97" s="1994"/>
    </row>
    <row r="98" spans="1:33" hidden="1" x14ac:dyDescent="0.25">
      <c r="A98" s="1994">
        <v>1</v>
      </c>
      <c r="B98" s="1994">
        <v>43601</v>
      </c>
      <c r="C98" s="1994" t="s">
        <v>3710</v>
      </c>
      <c r="D98" s="1994">
        <v>385652</v>
      </c>
      <c r="E98" s="1994" t="s">
        <v>3678</v>
      </c>
      <c r="F98" s="1994" t="s">
        <v>657</v>
      </c>
      <c r="O98" s="1997">
        <f t="shared" si="9"/>
        <v>27673.600000000002</v>
      </c>
      <c r="P98" s="1997">
        <f t="shared" si="10"/>
        <v>27673.600000000002</v>
      </c>
      <c r="Q98" s="1997">
        <v>0</v>
      </c>
      <c r="R98" s="1998">
        <v>40725</v>
      </c>
      <c r="S98" s="1998">
        <v>27673.600000000002</v>
      </c>
      <c r="T98" s="1998">
        <v>-13268</v>
      </c>
      <c r="U98" s="1998">
        <v>13791.2</v>
      </c>
      <c r="V98" s="1998">
        <v>27150.400000000001</v>
      </c>
      <c r="W98" s="1998">
        <v>27673.600000000002</v>
      </c>
      <c r="X98" s="2012">
        <f t="shared" si="13"/>
        <v>0</v>
      </c>
      <c r="Z98" s="2012">
        <f t="shared" si="14"/>
        <v>40941.600000000006</v>
      </c>
      <c r="AA98" s="1995">
        <v>0</v>
      </c>
      <c r="AB98" s="1995">
        <f t="shared" si="11"/>
        <v>27673.600000000002</v>
      </c>
      <c r="AD98" s="1995">
        <f t="shared" si="12"/>
        <v>27673.600000000002</v>
      </c>
      <c r="AF98" s="1995">
        <f t="shared" si="8"/>
        <v>27673.600000000002</v>
      </c>
      <c r="AG98" s="1994"/>
    </row>
    <row r="99" spans="1:33" hidden="1" x14ac:dyDescent="0.25">
      <c r="A99" s="1994">
        <v>1</v>
      </c>
      <c r="B99" s="1994">
        <v>43601</v>
      </c>
      <c r="C99" s="1994" t="s">
        <v>3869</v>
      </c>
      <c r="D99" s="1994">
        <v>385779</v>
      </c>
      <c r="E99" s="1994" t="s">
        <v>3679</v>
      </c>
      <c r="F99" s="1994" t="s">
        <v>3680</v>
      </c>
      <c r="O99" s="1997">
        <f t="shared" si="9"/>
        <v>20069</v>
      </c>
      <c r="P99" s="1997">
        <f t="shared" si="10"/>
        <v>20069</v>
      </c>
      <c r="Q99" s="1997">
        <v>0</v>
      </c>
      <c r="R99" s="1998">
        <v>24828</v>
      </c>
      <c r="S99" s="1998">
        <v>20069</v>
      </c>
      <c r="T99" s="1998">
        <v>-13035</v>
      </c>
      <c r="U99" s="1998">
        <v>16444.75</v>
      </c>
      <c r="V99" s="1998">
        <v>16659.25</v>
      </c>
      <c r="W99" s="1998">
        <v>20069</v>
      </c>
      <c r="X99" s="2012">
        <f t="shared" si="13"/>
        <v>0</v>
      </c>
      <c r="Z99" s="2012">
        <f t="shared" si="14"/>
        <v>33104</v>
      </c>
      <c r="AA99" s="1995">
        <v>0</v>
      </c>
      <c r="AB99" s="1995">
        <f t="shared" si="11"/>
        <v>20069</v>
      </c>
      <c r="AD99" s="1995">
        <f t="shared" si="12"/>
        <v>20069</v>
      </c>
      <c r="AF99" s="1995">
        <f t="shared" si="8"/>
        <v>20069</v>
      </c>
      <c r="AG99" s="1995">
        <f>(6750.62/3)*2</f>
        <v>4500.413333333333</v>
      </c>
    </row>
    <row r="100" spans="1:33" hidden="1" x14ac:dyDescent="0.25">
      <c r="A100" s="1994">
        <v>1</v>
      </c>
      <c r="B100" s="1994">
        <v>43601</v>
      </c>
      <c r="C100" s="1994" t="s">
        <v>3710</v>
      </c>
      <c r="D100" s="1994">
        <v>386011</v>
      </c>
      <c r="E100" s="1994" t="s">
        <v>93</v>
      </c>
      <c r="F100" s="1994" t="s">
        <v>276</v>
      </c>
      <c r="O100" s="1997">
        <f t="shared" si="9"/>
        <v>-25211.68</v>
      </c>
      <c r="P100" s="1997">
        <f t="shared" si="10"/>
        <v>-25211.68</v>
      </c>
      <c r="Q100" s="1997">
        <v>0</v>
      </c>
      <c r="S100" s="1998">
        <v>-25211.68</v>
      </c>
      <c r="T100" s="1998">
        <v>-30490</v>
      </c>
      <c r="U100" s="1998">
        <v>5278.3200000000015</v>
      </c>
      <c r="V100" s="1998">
        <v>0</v>
      </c>
      <c r="W100" s="1998">
        <v>-25211.68</v>
      </c>
      <c r="X100" s="2012">
        <f t="shared" si="13"/>
        <v>0</v>
      </c>
      <c r="Z100" s="2012">
        <f t="shared" si="14"/>
        <v>5278.3200000000015</v>
      </c>
      <c r="AA100" s="1995">
        <v>0</v>
      </c>
      <c r="AB100" s="1995">
        <f t="shared" si="11"/>
        <v>-25211.68</v>
      </c>
      <c r="AD100" s="2014">
        <f t="shared" si="12"/>
        <v>-25211.68</v>
      </c>
      <c r="AF100" s="1995">
        <f t="shared" si="8"/>
        <v>-25211.68</v>
      </c>
      <c r="AG100" s="1994"/>
    </row>
    <row r="101" spans="1:33" hidden="1" x14ac:dyDescent="0.25">
      <c r="A101" s="1994">
        <v>1</v>
      </c>
      <c r="B101" s="1994">
        <v>43601</v>
      </c>
      <c r="C101" s="1994" t="s">
        <v>3869</v>
      </c>
      <c r="D101" s="1994">
        <v>388001</v>
      </c>
      <c r="E101" s="1994" t="s">
        <v>3681</v>
      </c>
      <c r="F101" s="1994" t="s">
        <v>217</v>
      </c>
      <c r="O101" s="1997">
        <f t="shared" si="9"/>
        <v>24283.25</v>
      </c>
      <c r="P101" s="1997">
        <f t="shared" si="10"/>
        <v>24283.25</v>
      </c>
      <c r="Q101" s="1997">
        <v>0</v>
      </c>
      <c r="R101" s="1998">
        <v>29042</v>
      </c>
      <c r="S101" s="1998">
        <v>24283.25</v>
      </c>
      <c r="T101" s="1998">
        <v>-14547</v>
      </c>
      <c r="U101" s="1998">
        <v>19468.75</v>
      </c>
      <c r="V101" s="1998">
        <v>19361.5</v>
      </c>
      <c r="W101" s="1998">
        <v>24283.25</v>
      </c>
      <c r="X101" s="2012">
        <f t="shared" si="13"/>
        <v>0</v>
      </c>
      <c r="Z101" s="2012">
        <f t="shared" si="14"/>
        <v>38830.25</v>
      </c>
      <c r="AA101" s="1995">
        <v>0</v>
      </c>
      <c r="AB101" s="1995">
        <f t="shared" si="11"/>
        <v>24283.25</v>
      </c>
      <c r="AD101" s="1995">
        <f t="shared" si="12"/>
        <v>24283.25</v>
      </c>
      <c r="AF101" s="1995">
        <f t="shared" si="8"/>
        <v>24283.25</v>
      </c>
    </row>
    <row r="102" spans="1:33" hidden="1" x14ac:dyDescent="0.25">
      <c r="A102" s="1994">
        <v>1</v>
      </c>
      <c r="B102" s="1994">
        <v>43601</v>
      </c>
      <c r="C102" s="1994" t="s">
        <v>3606</v>
      </c>
      <c r="D102" s="1994">
        <v>388149</v>
      </c>
      <c r="E102" s="1994" t="s">
        <v>3682</v>
      </c>
      <c r="F102" s="1994" t="s">
        <v>476</v>
      </c>
      <c r="O102" s="1997">
        <f t="shared" si="9"/>
        <v>107490.43333333335</v>
      </c>
      <c r="P102" s="1997">
        <f t="shared" si="10"/>
        <v>107490.43333333335</v>
      </c>
      <c r="Q102" s="1997">
        <v>0</v>
      </c>
      <c r="R102" s="1998">
        <v>115093</v>
      </c>
      <c r="S102" s="1998">
        <v>107490.43333333335</v>
      </c>
      <c r="T102" s="1998">
        <v>0</v>
      </c>
      <c r="U102" s="1998">
        <v>69126.100000000006</v>
      </c>
      <c r="V102" s="1998">
        <v>38364.333333333336</v>
      </c>
      <c r="W102" s="1998">
        <v>107490.43333333335</v>
      </c>
      <c r="X102" s="2012">
        <f t="shared" si="13"/>
        <v>0</v>
      </c>
      <c r="Z102" s="2012">
        <f t="shared" si="14"/>
        <v>107490.43333333335</v>
      </c>
      <c r="AA102" s="1995">
        <v>0</v>
      </c>
      <c r="AB102" s="1995">
        <f t="shared" si="11"/>
        <v>107490.43333333335</v>
      </c>
      <c r="AD102" s="1995">
        <f t="shared" si="12"/>
        <v>107490.43333333335</v>
      </c>
      <c r="AF102" s="1995">
        <f t="shared" si="8"/>
        <v>107490.43333333335</v>
      </c>
      <c r="AG102" s="1994"/>
    </row>
    <row r="103" spans="1:33" hidden="1" x14ac:dyDescent="0.25">
      <c r="A103" s="1994">
        <v>1</v>
      </c>
      <c r="B103" s="1994">
        <v>43601</v>
      </c>
      <c r="C103" s="1994" t="s">
        <v>3596</v>
      </c>
      <c r="D103" s="1994">
        <v>388480</v>
      </c>
      <c r="E103" s="1994" t="s">
        <v>3683</v>
      </c>
      <c r="F103" s="1994" t="s">
        <v>2354</v>
      </c>
      <c r="O103" s="1997">
        <f t="shared" si="9"/>
        <v>23361.510000000002</v>
      </c>
      <c r="P103" s="1997">
        <f t="shared" si="10"/>
        <v>23361.510000000002</v>
      </c>
      <c r="Q103" s="1997">
        <v>0</v>
      </c>
      <c r="R103" s="1998">
        <v>23362</v>
      </c>
      <c r="S103" s="1998">
        <v>23361.510000000002</v>
      </c>
      <c r="T103" s="1998">
        <v>0</v>
      </c>
      <c r="U103" s="1998">
        <v>7787.17</v>
      </c>
      <c r="V103" s="1998">
        <v>15574.34</v>
      </c>
      <c r="W103" s="1998">
        <v>23361.510000000002</v>
      </c>
      <c r="X103" s="2012">
        <f t="shared" si="13"/>
        <v>0</v>
      </c>
      <c r="Z103" s="2012">
        <f t="shared" si="14"/>
        <v>23361.510000000002</v>
      </c>
      <c r="AA103" s="1995">
        <v>0</v>
      </c>
      <c r="AB103" s="1995">
        <f t="shared" si="11"/>
        <v>23361.510000000002</v>
      </c>
      <c r="AD103" s="1995">
        <f t="shared" si="12"/>
        <v>23361.510000000002</v>
      </c>
      <c r="AF103" s="1995">
        <f t="shared" si="8"/>
        <v>23361.510000000002</v>
      </c>
      <c r="AG103" s="1994"/>
    </row>
    <row r="104" spans="1:33" hidden="1" x14ac:dyDescent="0.25">
      <c r="A104" s="1994">
        <v>1</v>
      </c>
      <c r="B104" s="1994">
        <v>43601</v>
      </c>
      <c r="C104" s="1994" t="s">
        <v>3861</v>
      </c>
      <c r="D104" s="1994">
        <v>388810</v>
      </c>
      <c r="E104" s="1994" t="s">
        <v>962</v>
      </c>
      <c r="F104" s="1994" t="s">
        <v>163</v>
      </c>
      <c r="O104" s="1997">
        <f t="shared" si="9"/>
        <v>64905</v>
      </c>
      <c r="P104" s="1997">
        <f t="shared" si="10"/>
        <v>64905</v>
      </c>
      <c r="Q104" s="1997">
        <v>0</v>
      </c>
      <c r="R104" s="1998">
        <v>64905</v>
      </c>
      <c r="S104" s="1998">
        <v>64905</v>
      </c>
      <c r="T104" s="1998">
        <v>0</v>
      </c>
      <c r="U104" s="1998">
        <v>30786</v>
      </c>
      <c r="V104" s="1998">
        <v>34119</v>
      </c>
      <c r="W104" s="1998">
        <v>64905</v>
      </c>
      <c r="X104" s="2012">
        <f t="shared" si="13"/>
        <v>0</v>
      </c>
      <c r="Z104" s="2012">
        <f t="shared" si="14"/>
        <v>64905</v>
      </c>
      <c r="AA104" s="1995">
        <v>0</v>
      </c>
      <c r="AB104" s="1995">
        <f t="shared" si="11"/>
        <v>64905</v>
      </c>
      <c r="AD104" s="1995">
        <f t="shared" si="12"/>
        <v>64905</v>
      </c>
      <c r="AF104" s="1995">
        <f t="shared" si="8"/>
        <v>64905</v>
      </c>
      <c r="AG104" s="1994"/>
    </row>
    <row r="105" spans="1:33" hidden="1" x14ac:dyDescent="0.25">
      <c r="A105" s="1994">
        <v>1</v>
      </c>
      <c r="B105" s="1994">
        <v>43601</v>
      </c>
      <c r="C105" s="1994" t="s">
        <v>3875</v>
      </c>
      <c r="D105" s="1994">
        <v>389162</v>
      </c>
      <c r="E105" s="1994" t="s">
        <v>3684</v>
      </c>
      <c r="F105" s="1994" t="s">
        <v>115</v>
      </c>
      <c r="O105" s="1997">
        <f t="shared" si="9"/>
        <v>48750</v>
      </c>
      <c r="P105" s="1997">
        <f t="shared" si="10"/>
        <v>48750</v>
      </c>
      <c r="Q105" s="1997">
        <v>0</v>
      </c>
      <c r="R105" s="1998">
        <v>48750</v>
      </c>
      <c r="S105" s="1998">
        <v>48750</v>
      </c>
      <c r="T105" s="1998">
        <v>0</v>
      </c>
      <c r="U105" s="1998">
        <v>32500</v>
      </c>
      <c r="V105" s="1998">
        <v>16250</v>
      </c>
      <c r="W105" s="1998">
        <v>48750</v>
      </c>
      <c r="X105" s="2012">
        <f t="shared" si="13"/>
        <v>0</v>
      </c>
      <c r="Z105" s="2012">
        <f t="shared" si="14"/>
        <v>48750</v>
      </c>
      <c r="AA105" s="1995">
        <v>0</v>
      </c>
      <c r="AB105" s="1995">
        <f t="shared" si="11"/>
        <v>48750</v>
      </c>
      <c r="AD105" s="1995">
        <f t="shared" si="12"/>
        <v>48750</v>
      </c>
      <c r="AF105" s="1995">
        <f t="shared" si="8"/>
        <v>48750</v>
      </c>
      <c r="AG105" s="1994"/>
    </row>
    <row r="106" spans="1:33" hidden="1" x14ac:dyDescent="0.25">
      <c r="A106" s="1994">
        <v>1</v>
      </c>
      <c r="B106" s="1994">
        <v>43601</v>
      </c>
      <c r="C106" s="1994" t="s">
        <v>3875</v>
      </c>
      <c r="D106" s="1994">
        <v>389163</v>
      </c>
      <c r="E106" s="1994" t="s">
        <v>3684</v>
      </c>
      <c r="F106" s="1994" t="s">
        <v>3685</v>
      </c>
      <c r="O106" s="1997">
        <f t="shared" si="9"/>
        <v>72249.990000000005</v>
      </c>
      <c r="P106" s="1997">
        <f t="shared" si="10"/>
        <v>72249.990000000005</v>
      </c>
      <c r="Q106" s="1997">
        <v>0</v>
      </c>
      <c r="R106" s="1998">
        <v>72250</v>
      </c>
      <c r="S106" s="1998">
        <v>72249.990000000005</v>
      </c>
      <c r="T106" s="1998">
        <v>0</v>
      </c>
      <c r="U106" s="1998">
        <v>24083.33</v>
      </c>
      <c r="V106" s="1998">
        <v>48166.66</v>
      </c>
      <c r="W106" s="1998">
        <v>72249.990000000005</v>
      </c>
      <c r="X106" s="2012">
        <f t="shared" si="13"/>
        <v>0</v>
      </c>
      <c r="Z106" s="2012">
        <f t="shared" si="14"/>
        <v>72249.990000000005</v>
      </c>
      <c r="AA106" s="1995">
        <v>0</v>
      </c>
      <c r="AB106" s="1995">
        <f t="shared" si="11"/>
        <v>72249.990000000005</v>
      </c>
      <c r="AD106" s="1995">
        <f t="shared" si="12"/>
        <v>72249.990000000005</v>
      </c>
      <c r="AF106" s="1995">
        <f t="shared" si="8"/>
        <v>72249.990000000005</v>
      </c>
      <c r="AG106" s="1994"/>
    </row>
    <row r="107" spans="1:33" hidden="1" x14ac:dyDescent="0.25">
      <c r="A107" s="1994">
        <v>1</v>
      </c>
      <c r="B107" s="1994">
        <v>43601</v>
      </c>
      <c r="C107" s="1994" t="s">
        <v>3877</v>
      </c>
      <c r="D107" s="1994">
        <v>389318</v>
      </c>
      <c r="E107" s="1994" t="s">
        <v>764</v>
      </c>
      <c r="F107" s="1994" t="s">
        <v>3686</v>
      </c>
      <c r="O107" s="1997">
        <f t="shared" si="9"/>
        <v>61263</v>
      </c>
      <c r="P107" s="1997">
        <f t="shared" si="10"/>
        <v>61263</v>
      </c>
      <c r="Q107" s="1997">
        <v>0</v>
      </c>
      <c r="R107" s="1998">
        <v>61263</v>
      </c>
      <c r="S107" s="1998">
        <v>61263</v>
      </c>
      <c r="T107" s="1998">
        <v>0</v>
      </c>
      <c r="U107" s="1998">
        <v>40842</v>
      </c>
      <c r="V107" s="1998">
        <v>20421</v>
      </c>
      <c r="W107" s="1998">
        <v>61263</v>
      </c>
      <c r="X107" s="2012">
        <f t="shared" si="13"/>
        <v>0</v>
      </c>
      <c r="Z107" s="2012">
        <f t="shared" si="14"/>
        <v>61263</v>
      </c>
      <c r="AA107" s="1995">
        <v>0</v>
      </c>
      <c r="AB107" s="1995">
        <f t="shared" si="11"/>
        <v>61263</v>
      </c>
      <c r="AD107" s="1995">
        <f t="shared" si="12"/>
        <v>61263</v>
      </c>
      <c r="AF107" s="1995">
        <f t="shared" si="8"/>
        <v>61263</v>
      </c>
      <c r="AG107" s="1994"/>
    </row>
    <row r="108" spans="1:33" hidden="1" x14ac:dyDescent="0.25">
      <c r="A108" s="1994">
        <v>1</v>
      </c>
      <c r="B108" s="1994">
        <v>43601</v>
      </c>
      <c r="C108" s="1994" t="s">
        <v>3710</v>
      </c>
      <c r="D108" s="1994">
        <v>389329</v>
      </c>
      <c r="E108" s="1994" t="s">
        <v>3687</v>
      </c>
      <c r="F108" s="1994" t="s">
        <v>917</v>
      </c>
      <c r="O108" s="1997">
        <f t="shared" si="9"/>
        <v>35744.700000000004</v>
      </c>
      <c r="P108" s="1997">
        <f t="shared" si="10"/>
        <v>35744.700000000004</v>
      </c>
      <c r="Q108" s="1997">
        <v>0</v>
      </c>
      <c r="R108" s="1998">
        <v>52782</v>
      </c>
      <c r="S108" s="1998">
        <v>35744.700000000004</v>
      </c>
      <c r="T108" s="1998">
        <v>-17268</v>
      </c>
      <c r="U108" s="1998">
        <v>35418.300000000003</v>
      </c>
      <c r="V108" s="1998">
        <v>17594.400000000001</v>
      </c>
      <c r="W108" s="1998">
        <v>35744.700000000004</v>
      </c>
      <c r="X108" s="2012">
        <f t="shared" si="13"/>
        <v>0</v>
      </c>
      <c r="Z108" s="2012">
        <f t="shared" si="14"/>
        <v>53012.700000000004</v>
      </c>
      <c r="AA108" s="1995">
        <v>0</v>
      </c>
      <c r="AB108" s="1995">
        <f t="shared" si="11"/>
        <v>35744.700000000004</v>
      </c>
      <c r="AD108" s="1995">
        <f t="shared" si="12"/>
        <v>35744.700000000004</v>
      </c>
      <c r="AF108" s="1995">
        <f t="shared" si="8"/>
        <v>35744.700000000004</v>
      </c>
      <c r="AG108" s="1994"/>
    </row>
    <row r="109" spans="1:33" hidden="1" x14ac:dyDescent="0.25">
      <c r="A109" s="1994">
        <v>1</v>
      </c>
      <c r="B109" s="1994">
        <v>43606</v>
      </c>
      <c r="C109" s="1994" t="s">
        <v>3878</v>
      </c>
      <c r="D109" s="1994">
        <v>389928</v>
      </c>
      <c r="E109" s="1994" t="s">
        <v>3688</v>
      </c>
      <c r="F109" s="1994" t="s">
        <v>3689</v>
      </c>
      <c r="O109" s="1997">
        <f t="shared" si="9"/>
        <v>-10201</v>
      </c>
      <c r="P109" s="1997">
        <f t="shared" si="10"/>
        <v>-10201</v>
      </c>
      <c r="Q109" s="1997">
        <v>0</v>
      </c>
      <c r="R109" s="1998">
        <v>30599</v>
      </c>
      <c r="S109" s="1998">
        <v>-10201</v>
      </c>
      <c r="T109" s="1998">
        <v>-10201</v>
      </c>
      <c r="U109" s="1998">
        <v>0</v>
      </c>
      <c r="V109" s="1998">
        <v>0</v>
      </c>
      <c r="W109" s="1998">
        <v>-10201</v>
      </c>
      <c r="X109" s="2012">
        <f t="shared" si="13"/>
        <v>0</v>
      </c>
      <c r="Z109" s="2012">
        <f t="shared" si="14"/>
        <v>0</v>
      </c>
      <c r="AA109" s="1995">
        <v>0</v>
      </c>
      <c r="AB109" s="1995">
        <f t="shared" si="11"/>
        <v>-10201</v>
      </c>
      <c r="AD109" s="1995">
        <f t="shared" si="12"/>
        <v>-10201</v>
      </c>
      <c r="AF109" s="1995">
        <f t="shared" si="8"/>
        <v>-10201</v>
      </c>
      <c r="AG109" s="1994"/>
    </row>
    <row r="110" spans="1:33" hidden="1" x14ac:dyDescent="0.25">
      <c r="A110" s="1994">
        <v>1</v>
      </c>
      <c r="B110" s="1994">
        <v>43601</v>
      </c>
      <c r="C110" s="1994" t="s">
        <v>3710</v>
      </c>
      <c r="D110" s="1994">
        <v>390242</v>
      </c>
      <c r="E110" s="1994" t="s">
        <v>3690</v>
      </c>
      <c r="F110" s="1994" t="s">
        <v>316</v>
      </c>
      <c r="O110" s="1997">
        <f t="shared" si="9"/>
        <v>32456.800000000003</v>
      </c>
      <c r="P110" s="1997">
        <f t="shared" si="10"/>
        <v>32456.800000000003</v>
      </c>
      <c r="Q110" s="1997">
        <v>0</v>
      </c>
      <c r="R110" s="1998">
        <v>52782</v>
      </c>
      <c r="S110" s="1998">
        <v>32456.800000000003</v>
      </c>
      <c r="T110" s="1998">
        <v>-20326</v>
      </c>
      <c r="U110" s="1998">
        <v>35188.800000000003</v>
      </c>
      <c r="V110" s="1998">
        <v>17594</v>
      </c>
      <c r="W110" s="1998">
        <v>32456.800000000003</v>
      </c>
      <c r="X110" s="2012">
        <f t="shared" si="13"/>
        <v>0</v>
      </c>
      <c r="Z110" s="2012">
        <f t="shared" si="14"/>
        <v>52782.8</v>
      </c>
      <c r="AA110" s="1995">
        <v>0</v>
      </c>
      <c r="AB110" s="1995">
        <f t="shared" si="11"/>
        <v>32456.800000000003</v>
      </c>
      <c r="AD110" s="1995">
        <f t="shared" si="12"/>
        <v>32456.800000000003</v>
      </c>
      <c r="AF110" s="1995">
        <f t="shared" si="8"/>
        <v>32456.800000000003</v>
      </c>
      <c r="AG110" s="1994"/>
    </row>
    <row r="111" spans="1:33" hidden="1" x14ac:dyDescent="0.25">
      <c r="A111" s="1994">
        <v>1</v>
      </c>
      <c r="B111" s="1994">
        <v>43601</v>
      </c>
      <c r="C111" s="1994" t="s">
        <v>3857</v>
      </c>
      <c r="D111" s="1994">
        <v>390382</v>
      </c>
      <c r="E111" s="1994" t="s">
        <v>571</v>
      </c>
      <c r="F111" s="1994" t="s">
        <v>895</v>
      </c>
      <c r="O111" s="1997">
        <f t="shared" si="9"/>
        <v>57192.5</v>
      </c>
      <c r="P111" s="1997">
        <f t="shared" si="10"/>
        <v>57192.5</v>
      </c>
      <c r="Q111" s="1997">
        <v>0</v>
      </c>
      <c r="R111" s="1998">
        <v>58256</v>
      </c>
      <c r="S111" s="1998">
        <v>57192.5</v>
      </c>
      <c r="T111" s="1998">
        <v>0</v>
      </c>
      <c r="U111" s="1998">
        <v>37773.75</v>
      </c>
      <c r="V111" s="1998">
        <v>19418.75</v>
      </c>
      <c r="W111" s="1998">
        <v>57192.5</v>
      </c>
      <c r="X111" s="2012">
        <f t="shared" si="13"/>
        <v>0</v>
      </c>
      <c r="Z111" s="2012">
        <f t="shared" si="14"/>
        <v>57192.5</v>
      </c>
      <c r="AA111" s="1995">
        <v>0</v>
      </c>
      <c r="AB111" s="1995">
        <f t="shared" si="11"/>
        <v>57192.5</v>
      </c>
      <c r="AD111" s="1995">
        <f t="shared" si="12"/>
        <v>57192.5</v>
      </c>
      <c r="AF111" s="1995">
        <f t="shared" si="8"/>
        <v>57192.5</v>
      </c>
      <c r="AG111" s="1994"/>
    </row>
    <row r="112" spans="1:33" hidden="1" x14ac:dyDescent="0.25">
      <c r="A112" s="1994">
        <v>1</v>
      </c>
      <c r="B112" s="1994">
        <v>43601</v>
      </c>
      <c r="C112" s="1994" t="s">
        <v>3710</v>
      </c>
      <c r="D112" s="1994">
        <v>390564</v>
      </c>
      <c r="E112" s="1994" t="s">
        <v>1506</v>
      </c>
      <c r="F112" s="1994" t="s">
        <v>325</v>
      </c>
      <c r="O112" s="1997">
        <f t="shared" si="9"/>
        <v>33587.1</v>
      </c>
      <c r="P112" s="1997">
        <f t="shared" si="10"/>
        <v>33587.1</v>
      </c>
      <c r="Q112" s="1997">
        <v>0</v>
      </c>
      <c r="R112" s="1998">
        <v>43782</v>
      </c>
      <c r="S112" s="1998">
        <v>33587.1</v>
      </c>
      <c r="T112" s="1998">
        <v>-25020</v>
      </c>
      <c r="U112" s="1998">
        <v>29418.3</v>
      </c>
      <c r="V112" s="1998">
        <v>29188.799999999999</v>
      </c>
      <c r="W112" s="1998">
        <v>33587.1</v>
      </c>
      <c r="X112" s="2012">
        <f t="shared" si="13"/>
        <v>0</v>
      </c>
      <c r="Z112" s="2012">
        <f t="shared" si="14"/>
        <v>58607.1</v>
      </c>
      <c r="AA112" s="1995">
        <v>0</v>
      </c>
      <c r="AB112" s="1995">
        <f t="shared" si="11"/>
        <v>33587.1</v>
      </c>
      <c r="AD112" s="1995">
        <f t="shared" si="12"/>
        <v>33587.1</v>
      </c>
      <c r="AF112" s="1995">
        <f t="shared" si="8"/>
        <v>33587.1</v>
      </c>
      <c r="AG112" s="1994"/>
    </row>
    <row r="113" spans="1:33" hidden="1" x14ac:dyDescent="0.25">
      <c r="A113" s="1994">
        <v>1</v>
      </c>
      <c r="B113" s="1994">
        <v>43601</v>
      </c>
      <c r="C113" s="1994" t="s">
        <v>3659</v>
      </c>
      <c r="D113" s="1994">
        <v>391013</v>
      </c>
      <c r="E113" s="1994" t="s">
        <v>2159</v>
      </c>
      <c r="F113" s="1994" t="s">
        <v>3691</v>
      </c>
      <c r="O113" s="1997">
        <f t="shared" si="9"/>
        <v>37505.65</v>
      </c>
      <c r="P113" s="1997">
        <f t="shared" si="10"/>
        <v>37505.65</v>
      </c>
      <c r="Q113" s="1997">
        <v>0</v>
      </c>
      <c r="R113" s="1998">
        <v>38365</v>
      </c>
      <c r="S113" s="1998">
        <v>37505.65</v>
      </c>
      <c r="T113" s="1998">
        <v>0</v>
      </c>
      <c r="U113" s="1998">
        <v>24717.32</v>
      </c>
      <c r="V113" s="1998">
        <v>12788.33</v>
      </c>
      <c r="W113" s="1998">
        <v>37505.65</v>
      </c>
      <c r="X113" s="2012">
        <f t="shared" si="13"/>
        <v>0</v>
      </c>
      <c r="Z113" s="2012">
        <f t="shared" si="14"/>
        <v>37505.65</v>
      </c>
      <c r="AA113" s="1995">
        <v>0</v>
      </c>
      <c r="AB113" s="1995">
        <f t="shared" si="11"/>
        <v>37505.65</v>
      </c>
      <c r="AD113" s="1995">
        <f t="shared" si="12"/>
        <v>37505.65</v>
      </c>
      <c r="AF113" s="1995">
        <f t="shared" si="8"/>
        <v>37505.65</v>
      </c>
      <c r="AG113" s="1994"/>
    </row>
    <row r="114" spans="1:33" hidden="1" x14ac:dyDescent="0.25">
      <c r="A114" s="1994">
        <v>1</v>
      </c>
      <c r="B114" s="1994">
        <v>43601</v>
      </c>
      <c r="C114" s="1994" t="s">
        <v>3710</v>
      </c>
      <c r="D114" s="1994">
        <v>392064</v>
      </c>
      <c r="E114" s="1994" t="s">
        <v>2292</v>
      </c>
      <c r="F114" s="1994" t="s">
        <v>808</v>
      </c>
      <c r="O114" s="1997">
        <f t="shared" si="9"/>
        <v>29744.699999999997</v>
      </c>
      <c r="P114" s="1997">
        <f t="shared" si="10"/>
        <v>29744.699999999997</v>
      </c>
      <c r="Q114" s="1997">
        <v>0</v>
      </c>
      <c r="R114" s="1998">
        <v>43782</v>
      </c>
      <c r="S114" s="1998">
        <v>29744.699999999997</v>
      </c>
      <c r="T114" s="1998">
        <v>-14268</v>
      </c>
      <c r="U114" s="1998">
        <v>29418.3</v>
      </c>
      <c r="V114" s="1998">
        <v>14594.4</v>
      </c>
      <c r="W114" s="1998">
        <v>29744.699999999997</v>
      </c>
      <c r="X114" s="2012">
        <f t="shared" si="13"/>
        <v>0</v>
      </c>
      <c r="Z114" s="2012">
        <f t="shared" si="14"/>
        <v>44012.7</v>
      </c>
      <c r="AA114" s="1995">
        <v>0</v>
      </c>
      <c r="AB114" s="1995">
        <f t="shared" si="11"/>
        <v>29744.699999999997</v>
      </c>
      <c r="AD114" s="1995">
        <f t="shared" si="12"/>
        <v>29744.699999999997</v>
      </c>
      <c r="AF114" s="1995">
        <f t="shared" si="8"/>
        <v>29744.699999999997</v>
      </c>
      <c r="AG114" s="1994"/>
    </row>
    <row r="115" spans="1:33" hidden="1" x14ac:dyDescent="0.25">
      <c r="A115" s="1994">
        <v>1</v>
      </c>
      <c r="B115" s="1994">
        <v>43601</v>
      </c>
      <c r="C115" s="1994" t="s">
        <v>3868</v>
      </c>
      <c r="D115" s="1994">
        <v>392097</v>
      </c>
      <c r="E115" s="1994" t="s">
        <v>410</v>
      </c>
      <c r="F115" s="1994" t="s">
        <v>3692</v>
      </c>
      <c r="O115" s="1997">
        <f t="shared" si="9"/>
        <v>46125</v>
      </c>
      <c r="P115" s="1997">
        <f t="shared" si="10"/>
        <v>46125</v>
      </c>
      <c r="Q115" s="1997">
        <v>0</v>
      </c>
      <c r="R115" s="1998">
        <v>46125</v>
      </c>
      <c r="S115" s="1998">
        <v>46125</v>
      </c>
      <c r="T115" s="1998">
        <v>0</v>
      </c>
      <c r="U115" s="1998">
        <v>30750</v>
      </c>
      <c r="V115" s="1998">
        <v>15375</v>
      </c>
      <c r="W115" s="1998">
        <v>46125</v>
      </c>
      <c r="X115" s="2012">
        <f t="shared" si="13"/>
        <v>0</v>
      </c>
      <c r="Z115" s="2012">
        <f t="shared" si="14"/>
        <v>46125</v>
      </c>
      <c r="AA115" s="1995">
        <v>0</v>
      </c>
      <c r="AB115" s="1995">
        <f t="shared" si="11"/>
        <v>46125</v>
      </c>
      <c r="AD115" s="1995">
        <f t="shared" si="12"/>
        <v>46125</v>
      </c>
      <c r="AF115" s="1995">
        <f t="shared" si="8"/>
        <v>46125</v>
      </c>
      <c r="AG115" s="1994"/>
    </row>
    <row r="116" spans="1:33" hidden="1" x14ac:dyDescent="0.25">
      <c r="A116" s="1994">
        <v>1</v>
      </c>
      <c r="B116" s="1994">
        <v>43601</v>
      </c>
      <c r="C116" s="1994" t="s">
        <v>3879</v>
      </c>
      <c r="D116" s="1994">
        <v>392447</v>
      </c>
      <c r="E116" s="1994" t="s">
        <v>3693</v>
      </c>
      <c r="F116" s="1994" t="s">
        <v>231</v>
      </c>
      <c r="O116" s="1997">
        <f t="shared" si="9"/>
        <v>76406.566666666651</v>
      </c>
      <c r="P116" s="1997">
        <f t="shared" si="10"/>
        <v>76406.566666666651</v>
      </c>
      <c r="Q116" s="1997">
        <v>0</v>
      </c>
      <c r="R116" s="1998">
        <v>130982</v>
      </c>
      <c r="S116" s="1998">
        <v>76406.566666666651</v>
      </c>
      <c r="T116" s="1998">
        <v>0</v>
      </c>
      <c r="U116" s="1998">
        <v>0</v>
      </c>
      <c r="V116" s="1998">
        <v>76406.399999999994</v>
      </c>
      <c r="W116" s="1998">
        <v>76406.399999999994</v>
      </c>
      <c r="X116" s="2012">
        <f t="shared" si="13"/>
        <v>-0.16666666665696539</v>
      </c>
      <c r="Z116" s="2012">
        <f t="shared" si="14"/>
        <v>76406.399999999994</v>
      </c>
      <c r="AA116" s="1995">
        <v>0</v>
      </c>
      <c r="AB116" s="1995">
        <f t="shared" si="11"/>
        <v>76406.566666666651</v>
      </c>
      <c r="AD116" s="1995">
        <f t="shared" si="12"/>
        <v>76406.566666666651</v>
      </c>
      <c r="AF116" s="1995">
        <f t="shared" si="8"/>
        <v>76406.566666666651</v>
      </c>
      <c r="AG116" s="1994" t="s">
        <v>2306</v>
      </c>
    </row>
    <row r="117" spans="1:33" hidden="1" x14ac:dyDescent="0.25">
      <c r="A117" s="1994">
        <v>1</v>
      </c>
      <c r="B117" s="1994">
        <v>43601</v>
      </c>
      <c r="C117" s="1994" t="s">
        <v>3900</v>
      </c>
      <c r="D117" s="1994">
        <v>394328</v>
      </c>
      <c r="E117" s="1994" t="s">
        <v>3640</v>
      </c>
      <c r="F117" s="1994" t="s">
        <v>3694</v>
      </c>
      <c r="O117" s="1997">
        <f t="shared" si="9"/>
        <v>16098.633333333335</v>
      </c>
      <c r="P117" s="1997">
        <f t="shared" si="10"/>
        <v>16098.633333333335</v>
      </c>
      <c r="Q117" s="1997">
        <v>0</v>
      </c>
      <c r="R117" s="1998">
        <v>9660</v>
      </c>
      <c r="S117" s="1998">
        <v>16098.633333333335</v>
      </c>
      <c r="T117" s="1998">
        <v>0</v>
      </c>
      <c r="U117" s="1998">
        <v>9659.18</v>
      </c>
      <c r="V117" s="1998">
        <v>6439.4533333333338</v>
      </c>
      <c r="W117" s="1998">
        <v>16098.633333333335</v>
      </c>
      <c r="X117" s="2012">
        <f t="shared" si="13"/>
        <v>0</v>
      </c>
      <c r="Z117" s="2012">
        <f t="shared" si="14"/>
        <v>16098.633333333335</v>
      </c>
      <c r="AA117" s="1995">
        <v>0</v>
      </c>
      <c r="AB117" s="1995">
        <f t="shared" si="11"/>
        <v>16098.633333333335</v>
      </c>
      <c r="AD117" s="1995">
        <f t="shared" si="12"/>
        <v>16098.633333333335</v>
      </c>
      <c r="AF117" s="1995">
        <f t="shared" si="8"/>
        <v>16098.633333333335</v>
      </c>
      <c r="AG117" s="1994"/>
    </row>
    <row r="118" spans="1:33" hidden="1" x14ac:dyDescent="0.25">
      <c r="A118" s="1994">
        <v>1</v>
      </c>
      <c r="B118" s="1994">
        <v>43601</v>
      </c>
      <c r="C118" s="1994" t="s">
        <v>3868</v>
      </c>
      <c r="D118" s="1994">
        <v>394703</v>
      </c>
      <c r="E118" s="1994" t="s">
        <v>159</v>
      </c>
      <c r="F118" s="1994" t="s">
        <v>718</v>
      </c>
      <c r="O118" s="1997">
        <v>45000</v>
      </c>
      <c r="P118" s="1997">
        <v>60750</v>
      </c>
      <c r="Q118" s="1997">
        <v>0</v>
      </c>
      <c r="R118" s="1998">
        <v>46125</v>
      </c>
      <c r="S118" s="1998">
        <v>60750</v>
      </c>
      <c r="T118" s="1998">
        <v>0</v>
      </c>
      <c r="U118" s="1998">
        <v>45375</v>
      </c>
      <c r="V118" s="1998">
        <v>15375</v>
      </c>
      <c r="W118" s="1998">
        <v>60750</v>
      </c>
      <c r="X118" s="2012">
        <f t="shared" si="13"/>
        <v>0</v>
      </c>
      <c r="Z118" s="2012">
        <f t="shared" si="14"/>
        <v>60750</v>
      </c>
      <c r="AA118" s="1995">
        <v>0</v>
      </c>
      <c r="AB118" s="1995">
        <f t="shared" si="11"/>
        <v>60750</v>
      </c>
      <c r="AD118" s="1995">
        <f t="shared" si="12"/>
        <v>60750</v>
      </c>
      <c r="AF118" s="1995">
        <f t="shared" si="8"/>
        <v>60750</v>
      </c>
      <c r="AG118" s="1994"/>
    </row>
    <row r="119" spans="1:33" hidden="1" x14ac:dyDescent="0.25">
      <c r="A119" s="1994">
        <v>1</v>
      </c>
      <c r="B119" s="1994">
        <v>43601</v>
      </c>
      <c r="C119" s="1994" t="s">
        <v>3710</v>
      </c>
      <c r="D119" s="1994">
        <v>394872</v>
      </c>
      <c r="E119" s="1994" t="s">
        <v>3695</v>
      </c>
      <c r="F119" s="1994" t="s">
        <v>316</v>
      </c>
      <c r="O119" s="1997">
        <f t="shared" si="9"/>
        <v>35744.700000000004</v>
      </c>
      <c r="P119" s="1997">
        <f t="shared" si="10"/>
        <v>35744.700000000004</v>
      </c>
      <c r="Q119" s="1997">
        <v>0</v>
      </c>
      <c r="R119" s="1998">
        <v>52782</v>
      </c>
      <c r="S119" s="1998">
        <v>35744.700000000004</v>
      </c>
      <c r="T119" s="1998">
        <v>-17268</v>
      </c>
      <c r="U119" s="1998">
        <v>35418.300000000003</v>
      </c>
      <c r="V119" s="1998">
        <v>17594.400000000001</v>
      </c>
      <c r="W119" s="1998">
        <v>35744.700000000004</v>
      </c>
      <c r="X119" s="2012">
        <f t="shared" si="13"/>
        <v>0</v>
      </c>
      <c r="Z119" s="2012">
        <f t="shared" si="14"/>
        <v>53012.700000000004</v>
      </c>
      <c r="AA119" s="1995">
        <v>0</v>
      </c>
      <c r="AB119" s="1995">
        <f t="shared" si="11"/>
        <v>35744.700000000004</v>
      </c>
      <c r="AD119" s="1995">
        <f t="shared" si="12"/>
        <v>35744.700000000004</v>
      </c>
      <c r="AF119" s="1995">
        <f t="shared" si="8"/>
        <v>35744.700000000004</v>
      </c>
      <c r="AG119" s="1994"/>
    </row>
    <row r="120" spans="1:33" hidden="1" x14ac:dyDescent="0.25">
      <c r="A120" s="1994">
        <v>1</v>
      </c>
      <c r="B120" s="1994">
        <v>43601</v>
      </c>
      <c r="C120" s="1994" t="s">
        <v>3869</v>
      </c>
      <c r="D120" s="1994">
        <v>394959</v>
      </c>
      <c r="E120" s="1994" t="s">
        <v>3696</v>
      </c>
      <c r="F120" s="1994" t="s">
        <v>3697</v>
      </c>
      <c r="O120" s="1997">
        <f t="shared" si="9"/>
        <v>35037.32</v>
      </c>
      <c r="P120" s="1997">
        <f t="shared" si="10"/>
        <v>35037.32</v>
      </c>
      <c r="Q120" s="1997">
        <v>0</v>
      </c>
      <c r="R120" s="1998">
        <v>52556</v>
      </c>
      <c r="S120" s="1998">
        <v>35037.32</v>
      </c>
      <c r="T120" s="1998">
        <v>0</v>
      </c>
      <c r="U120" s="1998">
        <v>17518.66</v>
      </c>
      <c r="V120" s="1998">
        <v>17518.66</v>
      </c>
      <c r="W120" s="1998">
        <v>35037.32</v>
      </c>
      <c r="X120" s="2012">
        <f t="shared" si="13"/>
        <v>0</v>
      </c>
      <c r="Z120" s="2012">
        <f t="shared" si="14"/>
        <v>35037.32</v>
      </c>
      <c r="AA120" s="1995">
        <v>0</v>
      </c>
      <c r="AB120" s="1995">
        <f t="shared" si="11"/>
        <v>35037.32</v>
      </c>
      <c r="AD120" s="1995">
        <f t="shared" si="12"/>
        <v>35037.32</v>
      </c>
      <c r="AF120" s="1995">
        <f t="shared" si="8"/>
        <v>35037.32</v>
      </c>
    </row>
    <row r="121" spans="1:33" hidden="1" x14ac:dyDescent="0.25">
      <c r="A121" s="1994">
        <v>1</v>
      </c>
      <c r="B121" s="1994">
        <v>43601</v>
      </c>
      <c r="C121" s="1994" t="s">
        <v>3868</v>
      </c>
      <c r="D121" s="1994">
        <v>394965</v>
      </c>
      <c r="E121" s="1994" t="s">
        <v>3350</v>
      </c>
      <c r="F121" s="1994" t="s">
        <v>657</v>
      </c>
      <c r="O121" s="1997">
        <f t="shared" si="9"/>
        <v>46125</v>
      </c>
      <c r="P121" s="1997">
        <f t="shared" si="10"/>
        <v>46125</v>
      </c>
      <c r="Q121" s="1997">
        <v>0</v>
      </c>
      <c r="R121" s="1998">
        <v>46125</v>
      </c>
      <c r="S121" s="1998">
        <v>46125</v>
      </c>
      <c r="T121" s="1998">
        <v>0</v>
      </c>
      <c r="U121" s="1998">
        <v>30750</v>
      </c>
      <c r="V121" s="1998">
        <v>15375</v>
      </c>
      <c r="W121" s="1998">
        <v>46125</v>
      </c>
      <c r="X121" s="2012">
        <f t="shared" si="13"/>
        <v>0</v>
      </c>
      <c r="Z121" s="2012">
        <f t="shared" si="14"/>
        <v>46125</v>
      </c>
      <c r="AA121" s="1995">
        <v>0</v>
      </c>
      <c r="AB121" s="1995">
        <f t="shared" si="11"/>
        <v>46125</v>
      </c>
      <c r="AD121" s="1995">
        <f t="shared" si="12"/>
        <v>46125</v>
      </c>
      <c r="AF121" s="1995">
        <f t="shared" si="8"/>
        <v>46125</v>
      </c>
      <c r="AG121" s="1994"/>
    </row>
    <row r="122" spans="1:33" hidden="1" x14ac:dyDescent="0.25">
      <c r="A122" s="1994">
        <v>1</v>
      </c>
      <c r="B122" s="1994">
        <v>43601</v>
      </c>
      <c r="C122" s="1994" t="s">
        <v>3710</v>
      </c>
      <c r="D122" s="1994">
        <v>395041</v>
      </c>
      <c r="E122" s="1994" t="s">
        <v>3631</v>
      </c>
      <c r="F122" s="1994" t="s">
        <v>1416</v>
      </c>
      <c r="O122" s="1997">
        <f t="shared" si="9"/>
        <v>29744.699999999997</v>
      </c>
      <c r="P122" s="1997">
        <f t="shared" si="10"/>
        <v>29744.699999999997</v>
      </c>
      <c r="Q122" s="1997">
        <v>0</v>
      </c>
      <c r="R122" s="1998">
        <v>43782</v>
      </c>
      <c r="S122" s="1998">
        <v>29744.699999999997</v>
      </c>
      <c r="T122" s="1998">
        <v>-14268</v>
      </c>
      <c r="U122" s="1998">
        <v>29418.3</v>
      </c>
      <c r="V122" s="1998">
        <v>14594.4</v>
      </c>
      <c r="W122" s="1998">
        <v>29744.699999999997</v>
      </c>
      <c r="X122" s="2012">
        <f t="shared" si="13"/>
        <v>0</v>
      </c>
      <c r="Z122" s="2012">
        <f t="shared" si="14"/>
        <v>44012.7</v>
      </c>
      <c r="AA122" s="1995">
        <v>0</v>
      </c>
      <c r="AB122" s="1995">
        <f t="shared" si="11"/>
        <v>29744.699999999997</v>
      </c>
      <c r="AC122" s="1496">
        <v>14038</v>
      </c>
      <c r="AD122" s="1995">
        <f t="shared" si="12"/>
        <v>43782.7</v>
      </c>
      <c r="AF122" s="1995">
        <f t="shared" si="8"/>
        <v>43782.7</v>
      </c>
      <c r="AG122" s="1994"/>
    </row>
    <row r="123" spans="1:33" hidden="1" x14ac:dyDescent="0.25">
      <c r="A123" s="1994">
        <v>1</v>
      </c>
      <c r="B123" s="1994">
        <v>43601</v>
      </c>
      <c r="C123" s="1994" t="s">
        <v>3901</v>
      </c>
      <c r="D123" s="1994">
        <v>395347</v>
      </c>
      <c r="E123" s="1994" t="s">
        <v>122</v>
      </c>
      <c r="F123" s="1994" t="s">
        <v>3698</v>
      </c>
      <c r="O123" s="1997">
        <f t="shared" si="9"/>
        <v>50000</v>
      </c>
      <c r="P123" s="1997">
        <f t="shared" si="10"/>
        <v>50000</v>
      </c>
      <c r="Q123" s="1997">
        <v>0</v>
      </c>
      <c r="R123" s="1998">
        <v>100000</v>
      </c>
      <c r="S123" s="1998">
        <v>50000</v>
      </c>
      <c r="T123" s="1998">
        <v>0</v>
      </c>
      <c r="U123" s="1998">
        <v>0</v>
      </c>
      <c r="V123" s="1998">
        <v>100000</v>
      </c>
      <c r="W123" s="1998">
        <v>100000</v>
      </c>
      <c r="X123" s="2012">
        <f t="shared" si="13"/>
        <v>50000</v>
      </c>
      <c r="Z123" s="2012">
        <f t="shared" si="14"/>
        <v>100000</v>
      </c>
      <c r="AA123" s="1995">
        <v>0</v>
      </c>
      <c r="AB123" s="1995">
        <f t="shared" si="11"/>
        <v>50000</v>
      </c>
      <c r="AD123" s="1995">
        <f t="shared" si="12"/>
        <v>50000</v>
      </c>
      <c r="AF123" s="1995">
        <f t="shared" si="8"/>
        <v>50000</v>
      </c>
      <c r="AG123" s="1994"/>
    </row>
    <row r="124" spans="1:33" hidden="1" x14ac:dyDescent="0.25">
      <c r="A124" s="1994">
        <v>1</v>
      </c>
      <c r="B124" s="1994">
        <v>43601</v>
      </c>
      <c r="C124" s="1994" t="s">
        <v>3869</v>
      </c>
      <c r="D124" s="1994">
        <v>395356</v>
      </c>
      <c r="E124" s="1994" t="s">
        <v>568</v>
      </c>
      <c r="F124" s="1994" t="s">
        <v>325</v>
      </c>
      <c r="O124" s="1997">
        <f t="shared" si="9"/>
        <v>46828.73000000001</v>
      </c>
      <c r="P124" s="1997">
        <f t="shared" si="10"/>
        <v>46828.73000000001</v>
      </c>
      <c r="Q124" s="1997">
        <v>0</v>
      </c>
      <c r="R124" s="1998">
        <v>51821</v>
      </c>
      <c r="S124" s="1998">
        <v>46828.73000000001</v>
      </c>
      <c r="T124" s="1998">
        <v>-20854</v>
      </c>
      <c r="U124" s="1998">
        <v>50408.960000000006</v>
      </c>
      <c r="V124" s="1998">
        <v>17273.77</v>
      </c>
      <c r="W124" s="1998">
        <v>46828.73000000001</v>
      </c>
      <c r="X124" s="2012">
        <f t="shared" si="13"/>
        <v>0</v>
      </c>
      <c r="Z124" s="2012">
        <f t="shared" si="14"/>
        <v>67682.73000000001</v>
      </c>
      <c r="AA124" s="1995">
        <v>0</v>
      </c>
      <c r="AB124" s="1995">
        <f t="shared" si="11"/>
        <v>46828.73000000001</v>
      </c>
      <c r="AD124" s="1995">
        <f t="shared" si="12"/>
        <v>46828.73000000001</v>
      </c>
      <c r="AF124" s="1995">
        <f t="shared" si="8"/>
        <v>46828.73000000001</v>
      </c>
    </row>
    <row r="125" spans="1:33" hidden="1" x14ac:dyDescent="0.25">
      <c r="A125" s="1994">
        <v>1</v>
      </c>
      <c r="B125" s="1994">
        <v>43601</v>
      </c>
      <c r="C125" s="1994" t="s">
        <v>3877</v>
      </c>
      <c r="D125" s="1994">
        <v>395373</v>
      </c>
      <c r="E125" s="1994" t="s">
        <v>3699</v>
      </c>
      <c r="F125" s="1994" t="s">
        <v>217</v>
      </c>
      <c r="O125" s="1997">
        <f t="shared" si="9"/>
        <v>57795</v>
      </c>
      <c r="P125" s="1997">
        <f t="shared" si="10"/>
        <v>57795</v>
      </c>
      <c r="Q125" s="1997">
        <v>0</v>
      </c>
      <c r="R125" s="1998">
        <v>57795</v>
      </c>
      <c r="S125" s="1998">
        <v>57795</v>
      </c>
      <c r="T125" s="1998">
        <v>0</v>
      </c>
      <c r="U125" s="1998">
        <v>38530</v>
      </c>
      <c r="V125" s="1998">
        <v>19265</v>
      </c>
      <c r="W125" s="1998">
        <v>57795</v>
      </c>
      <c r="X125" s="2012">
        <f t="shared" si="13"/>
        <v>0</v>
      </c>
      <c r="Z125" s="2012">
        <f t="shared" si="14"/>
        <v>57795</v>
      </c>
      <c r="AA125" s="1995">
        <v>0</v>
      </c>
      <c r="AB125" s="1995">
        <f t="shared" si="11"/>
        <v>57795</v>
      </c>
      <c r="AD125" s="1995">
        <f t="shared" si="12"/>
        <v>57795</v>
      </c>
      <c r="AF125" s="1995">
        <f t="shared" si="8"/>
        <v>57795</v>
      </c>
      <c r="AG125" s="1994"/>
    </row>
    <row r="126" spans="1:33" hidden="1" x14ac:dyDescent="0.25">
      <c r="A126" s="1994">
        <v>1</v>
      </c>
      <c r="B126" s="1994">
        <v>43601</v>
      </c>
      <c r="C126" s="1994" t="s">
        <v>3710</v>
      </c>
      <c r="D126" s="1994">
        <v>395880</v>
      </c>
      <c r="E126" s="1994" t="s">
        <v>697</v>
      </c>
      <c r="F126" s="1994" t="s">
        <v>443</v>
      </c>
      <c r="O126" s="1997">
        <f t="shared" si="9"/>
        <v>18150.300000000003</v>
      </c>
      <c r="P126" s="1997">
        <f t="shared" si="10"/>
        <v>18150.300000000003</v>
      </c>
      <c r="Q126" s="1997">
        <v>0</v>
      </c>
      <c r="S126" s="1998">
        <v>18150.300000000003</v>
      </c>
      <c r="T126" s="1998">
        <v>-17268</v>
      </c>
      <c r="U126" s="1998">
        <v>35418.300000000003</v>
      </c>
      <c r="V126" s="1998">
        <v>0</v>
      </c>
      <c r="W126" s="1998">
        <v>18150.300000000003</v>
      </c>
      <c r="X126" s="2012">
        <f t="shared" si="13"/>
        <v>0</v>
      </c>
      <c r="Z126" s="2012">
        <f t="shared" si="14"/>
        <v>35418.300000000003</v>
      </c>
      <c r="AA126" s="1995">
        <v>0</v>
      </c>
      <c r="AB126" s="1995">
        <f t="shared" si="11"/>
        <v>18150.300000000003</v>
      </c>
      <c r="AD126" s="1995">
        <f t="shared" si="12"/>
        <v>18150.300000000003</v>
      </c>
      <c r="AF126" s="1995">
        <f t="shared" si="8"/>
        <v>18150.300000000003</v>
      </c>
      <c r="AG126" s="1994"/>
    </row>
    <row r="127" spans="1:33" hidden="1" x14ac:dyDescent="0.25">
      <c r="A127" s="1994">
        <v>1</v>
      </c>
      <c r="B127" s="1994">
        <v>43601</v>
      </c>
      <c r="C127" s="1994" t="s">
        <v>3857</v>
      </c>
      <c r="D127" s="1994">
        <v>395881</v>
      </c>
      <c r="E127" s="1994" t="s">
        <v>697</v>
      </c>
      <c r="F127" s="1994" t="s">
        <v>2180</v>
      </c>
      <c r="O127" s="1997">
        <f t="shared" si="9"/>
        <v>59437.100000000006</v>
      </c>
      <c r="P127" s="1997">
        <f t="shared" si="10"/>
        <v>59437.100000000006</v>
      </c>
      <c r="Q127" s="1997">
        <v>0</v>
      </c>
      <c r="R127" s="1998">
        <v>58638</v>
      </c>
      <c r="S127" s="1998">
        <v>59437.100000000006</v>
      </c>
      <c r="T127" s="1998">
        <v>0</v>
      </c>
      <c r="U127" s="1998">
        <v>39891.050000000003</v>
      </c>
      <c r="V127" s="1998">
        <v>19546.05</v>
      </c>
      <c r="W127" s="1998">
        <v>59437.100000000006</v>
      </c>
      <c r="X127" s="2012">
        <f t="shared" si="13"/>
        <v>0</v>
      </c>
      <c r="Z127" s="2012">
        <f t="shared" si="14"/>
        <v>59437.100000000006</v>
      </c>
      <c r="AA127" s="1995">
        <v>0</v>
      </c>
      <c r="AB127" s="1995">
        <f t="shared" si="11"/>
        <v>59437.100000000006</v>
      </c>
      <c r="AD127" s="1995">
        <f t="shared" si="12"/>
        <v>59437.100000000006</v>
      </c>
      <c r="AF127" s="1995">
        <f t="shared" si="8"/>
        <v>59437.100000000006</v>
      </c>
      <c r="AG127" s="1994"/>
    </row>
    <row r="128" spans="1:33" hidden="1" x14ac:dyDescent="0.25">
      <c r="A128" s="1994">
        <v>1</v>
      </c>
      <c r="B128" s="1994">
        <v>43601</v>
      </c>
      <c r="C128" s="1994" t="s">
        <v>3869</v>
      </c>
      <c r="D128" s="1994">
        <v>396169</v>
      </c>
      <c r="E128" s="1994" t="s">
        <v>3700</v>
      </c>
      <c r="F128" s="1994" t="s">
        <v>704</v>
      </c>
      <c r="O128" s="1997">
        <f t="shared" si="9"/>
        <v>42535.22</v>
      </c>
      <c r="P128" s="1997">
        <f t="shared" si="10"/>
        <v>42535.22</v>
      </c>
      <c r="Q128" s="1997">
        <v>0</v>
      </c>
      <c r="R128" s="1998">
        <v>48735</v>
      </c>
      <c r="S128" s="1998">
        <v>42535.22</v>
      </c>
      <c r="T128" s="1998">
        <v>-18929</v>
      </c>
      <c r="U128" s="1998">
        <v>45219.12</v>
      </c>
      <c r="V128" s="1998">
        <v>16245.1</v>
      </c>
      <c r="W128" s="1998">
        <v>42535.22</v>
      </c>
      <c r="X128" s="2012">
        <f t="shared" si="13"/>
        <v>0</v>
      </c>
      <c r="Z128" s="2012">
        <f t="shared" si="14"/>
        <v>61464.22</v>
      </c>
      <c r="AA128" s="1995">
        <v>0</v>
      </c>
      <c r="AB128" s="1995">
        <f t="shared" si="11"/>
        <v>42535.22</v>
      </c>
      <c r="AD128" s="1995">
        <f t="shared" si="12"/>
        <v>42535.22</v>
      </c>
      <c r="AF128" s="1995">
        <f t="shared" si="8"/>
        <v>42535.22</v>
      </c>
    </row>
    <row r="129" spans="1:33" hidden="1" x14ac:dyDescent="0.25">
      <c r="A129" s="1994">
        <v>1</v>
      </c>
      <c r="B129" s="1994">
        <v>43601</v>
      </c>
      <c r="C129" s="1994" t="s">
        <v>3861</v>
      </c>
      <c r="D129" s="1994">
        <v>396226</v>
      </c>
      <c r="E129" s="1994" t="s">
        <v>3701</v>
      </c>
      <c r="F129" s="1994" t="s">
        <v>148</v>
      </c>
      <c r="O129" s="1997">
        <f t="shared" si="9"/>
        <v>57505</v>
      </c>
      <c r="P129" s="1997">
        <f t="shared" si="10"/>
        <v>57505</v>
      </c>
      <c r="Q129" s="1997">
        <v>0</v>
      </c>
      <c r="R129" s="1998">
        <v>57505</v>
      </c>
      <c r="S129" s="1998">
        <v>57505</v>
      </c>
      <c r="T129" s="1998">
        <v>0</v>
      </c>
      <c r="U129" s="1998">
        <v>27086</v>
      </c>
      <c r="V129" s="1998">
        <v>30419</v>
      </c>
      <c r="W129" s="1998">
        <v>57505</v>
      </c>
      <c r="X129" s="2012">
        <f t="shared" si="13"/>
        <v>0</v>
      </c>
      <c r="Z129" s="2012">
        <f t="shared" si="14"/>
        <v>57505</v>
      </c>
      <c r="AA129" s="1995">
        <v>0</v>
      </c>
      <c r="AB129" s="1995">
        <f t="shared" si="11"/>
        <v>57505</v>
      </c>
      <c r="AD129" s="1995">
        <f t="shared" si="12"/>
        <v>57505</v>
      </c>
      <c r="AF129" s="1995">
        <f t="shared" si="8"/>
        <v>57505</v>
      </c>
      <c r="AG129" s="1994"/>
    </row>
    <row r="130" spans="1:33" hidden="1" x14ac:dyDescent="0.25">
      <c r="A130" s="1994">
        <v>1</v>
      </c>
      <c r="B130" s="1994">
        <v>43601</v>
      </c>
      <c r="C130" s="1994" t="s">
        <v>3874</v>
      </c>
      <c r="D130" s="1994">
        <v>396456</v>
      </c>
      <c r="E130" s="1994" t="s">
        <v>3702</v>
      </c>
      <c r="F130" s="1994" t="s">
        <v>3703</v>
      </c>
      <c r="O130" s="1997">
        <f t="shared" si="9"/>
        <v>95529</v>
      </c>
      <c r="P130" s="1997">
        <f t="shared" si="10"/>
        <v>95529</v>
      </c>
      <c r="Q130" s="1997">
        <v>0</v>
      </c>
      <c r="R130" s="1998">
        <v>95529</v>
      </c>
      <c r="S130" s="1998">
        <v>95529</v>
      </c>
      <c r="T130" s="1998">
        <v>0</v>
      </c>
      <c r="U130" s="1998">
        <v>63686</v>
      </c>
      <c r="V130" s="1998">
        <v>31843</v>
      </c>
      <c r="W130" s="1998">
        <v>95529</v>
      </c>
      <c r="X130" s="2012">
        <f t="shared" si="13"/>
        <v>0</v>
      </c>
      <c r="Z130" s="2012">
        <f t="shared" si="14"/>
        <v>95529</v>
      </c>
      <c r="AA130" s="1995">
        <v>0</v>
      </c>
      <c r="AB130" s="1995">
        <f t="shared" si="11"/>
        <v>95529</v>
      </c>
      <c r="AD130" s="1995">
        <f t="shared" si="12"/>
        <v>95529</v>
      </c>
      <c r="AF130" s="1995">
        <f t="shared" si="8"/>
        <v>95529</v>
      </c>
      <c r="AG130" s="1994"/>
    </row>
    <row r="131" spans="1:33" hidden="1" x14ac:dyDescent="0.25">
      <c r="A131" s="1994">
        <v>1</v>
      </c>
      <c r="B131" s="1994">
        <v>43601</v>
      </c>
      <c r="C131" s="1994" t="s">
        <v>3798</v>
      </c>
      <c r="D131" s="1994">
        <v>396484</v>
      </c>
      <c r="E131" s="1994" t="s">
        <v>3704</v>
      </c>
      <c r="F131" s="1994" t="s">
        <v>307</v>
      </c>
      <c r="O131" s="1997">
        <f t="shared" si="9"/>
        <v>97500</v>
      </c>
      <c r="P131" s="1997">
        <f t="shared" si="10"/>
        <v>97500</v>
      </c>
      <c r="Q131" s="1997">
        <v>0</v>
      </c>
      <c r="R131" s="1998">
        <v>82500</v>
      </c>
      <c r="S131" s="1998">
        <v>97500</v>
      </c>
      <c r="T131" s="1998">
        <v>0</v>
      </c>
      <c r="U131" s="1998">
        <v>42500</v>
      </c>
      <c r="V131" s="1998">
        <v>55000</v>
      </c>
      <c r="W131" s="1998">
        <v>97500</v>
      </c>
      <c r="X131" s="2012">
        <f t="shared" si="13"/>
        <v>0</v>
      </c>
      <c r="Z131" s="2012">
        <f t="shared" si="14"/>
        <v>97500</v>
      </c>
      <c r="AA131" s="1995">
        <v>0</v>
      </c>
      <c r="AB131" s="1995">
        <f t="shared" si="11"/>
        <v>97500</v>
      </c>
      <c r="AD131" s="1995">
        <f t="shared" si="12"/>
        <v>97500</v>
      </c>
      <c r="AF131" s="1995">
        <f t="shared" si="8"/>
        <v>97500</v>
      </c>
      <c r="AG131" s="1994"/>
    </row>
    <row r="132" spans="1:33" hidden="1" x14ac:dyDescent="0.25">
      <c r="A132" s="1994">
        <v>1</v>
      </c>
      <c r="B132" s="1994">
        <v>43601</v>
      </c>
      <c r="C132" s="1994" t="s">
        <v>3857</v>
      </c>
      <c r="D132" s="1994">
        <v>396761</v>
      </c>
      <c r="E132" s="1994" t="s">
        <v>2875</v>
      </c>
      <c r="F132" s="1994" t="s">
        <v>406</v>
      </c>
      <c r="O132" s="1997">
        <f t="shared" si="9"/>
        <v>54045</v>
      </c>
      <c r="P132" s="1997">
        <f t="shared" si="10"/>
        <v>54045</v>
      </c>
      <c r="Q132" s="1997">
        <v>0</v>
      </c>
      <c r="R132" s="1998">
        <v>54045</v>
      </c>
      <c r="S132" s="1998">
        <v>54045</v>
      </c>
      <c r="T132" s="1998">
        <v>0</v>
      </c>
      <c r="U132" s="1998">
        <v>18015</v>
      </c>
      <c r="V132" s="1998">
        <v>36030</v>
      </c>
      <c r="W132" s="1998">
        <v>54045</v>
      </c>
      <c r="X132" s="2012">
        <f t="shared" si="13"/>
        <v>0</v>
      </c>
      <c r="Z132" s="2012">
        <f t="shared" si="14"/>
        <v>54045</v>
      </c>
      <c r="AA132" s="1995">
        <v>0</v>
      </c>
      <c r="AB132" s="1995">
        <f t="shared" si="11"/>
        <v>54045</v>
      </c>
      <c r="AD132" s="1995">
        <f t="shared" si="12"/>
        <v>54045</v>
      </c>
      <c r="AF132" s="1995">
        <f t="shared" si="8"/>
        <v>54045</v>
      </c>
      <c r="AG132" s="1994"/>
    </row>
    <row r="133" spans="1:33" hidden="1" x14ac:dyDescent="0.25">
      <c r="A133" s="1994">
        <v>0</v>
      </c>
      <c r="B133" s="1994">
        <v>43601</v>
      </c>
      <c r="C133" s="1994" t="s">
        <v>3857</v>
      </c>
      <c r="D133" s="1994">
        <v>396761</v>
      </c>
      <c r="E133" s="1994" t="s">
        <v>2875</v>
      </c>
      <c r="F133" s="1994" t="s">
        <v>406</v>
      </c>
      <c r="O133" s="1997">
        <v>17550</v>
      </c>
      <c r="X133" s="2012"/>
      <c r="Z133" s="2012"/>
      <c r="AG133" s="1994"/>
    </row>
    <row r="134" spans="1:33" hidden="1" x14ac:dyDescent="0.25">
      <c r="A134" s="1994">
        <v>0</v>
      </c>
      <c r="B134" s="1994">
        <v>43601</v>
      </c>
      <c r="C134" s="1994" t="s">
        <v>3857</v>
      </c>
      <c r="D134" s="1994">
        <v>396761</v>
      </c>
      <c r="E134" s="1994" t="s">
        <v>2875</v>
      </c>
      <c r="F134" s="1994" t="s">
        <v>406</v>
      </c>
      <c r="O134" s="1997">
        <v>2340</v>
      </c>
      <c r="X134" s="2012"/>
      <c r="Z134" s="2012"/>
      <c r="AG134" s="1994"/>
    </row>
    <row r="135" spans="1:33" hidden="1" x14ac:dyDescent="0.25">
      <c r="A135" s="1994">
        <v>1</v>
      </c>
      <c r="B135" s="1994">
        <v>43601</v>
      </c>
      <c r="C135" s="1994" t="s">
        <v>3880</v>
      </c>
      <c r="D135" s="1994">
        <v>396913</v>
      </c>
      <c r="E135" s="1994" t="s">
        <v>3705</v>
      </c>
      <c r="F135" s="1994" t="s">
        <v>381</v>
      </c>
      <c r="O135" s="1997">
        <f t="shared" si="9"/>
        <v>21288</v>
      </c>
      <c r="P135" s="1997">
        <f t="shared" si="10"/>
        <v>21288</v>
      </c>
      <c r="Q135" s="1997">
        <v>0</v>
      </c>
      <c r="R135" s="1998">
        <v>21564</v>
      </c>
      <c r="S135" s="1998">
        <v>21288</v>
      </c>
      <c r="T135" s="1998">
        <v>0</v>
      </c>
      <c r="U135" s="1998">
        <v>14100</v>
      </c>
      <c r="V135" s="1998">
        <v>7188</v>
      </c>
      <c r="W135" s="1998">
        <v>21288</v>
      </c>
      <c r="X135" s="2012">
        <f t="shared" si="13"/>
        <v>0</v>
      </c>
      <c r="Z135" s="2012">
        <f t="shared" si="14"/>
        <v>21288</v>
      </c>
      <c r="AA135" s="1995">
        <v>0</v>
      </c>
      <c r="AB135" s="1995">
        <f t="shared" si="11"/>
        <v>21288</v>
      </c>
      <c r="AD135" s="1995">
        <f t="shared" si="12"/>
        <v>21288</v>
      </c>
      <c r="AF135" s="1995">
        <f t="shared" si="8"/>
        <v>21288</v>
      </c>
      <c r="AG135" s="1994"/>
    </row>
    <row r="136" spans="1:33" hidden="1" x14ac:dyDescent="0.25">
      <c r="A136" s="1994">
        <v>1</v>
      </c>
      <c r="B136" s="1994">
        <v>43601</v>
      </c>
      <c r="C136" s="1994" t="s">
        <v>3902</v>
      </c>
      <c r="D136" s="1994">
        <v>397093</v>
      </c>
      <c r="E136" s="1994" t="s">
        <v>3706</v>
      </c>
      <c r="F136" s="1994" t="s">
        <v>3707</v>
      </c>
      <c r="O136" s="1997">
        <f t="shared" si="9"/>
        <v>119117.95</v>
      </c>
      <c r="P136" s="1997">
        <f t="shared" si="10"/>
        <v>119117.95</v>
      </c>
      <c r="Q136" s="1997">
        <v>0</v>
      </c>
      <c r="R136" s="1998">
        <v>160194</v>
      </c>
      <c r="S136" s="1998">
        <v>119117.95</v>
      </c>
      <c r="T136" s="1998">
        <v>-1047.02</v>
      </c>
      <c r="U136" s="1998">
        <v>13368.970000000001</v>
      </c>
      <c r="V136" s="1998">
        <v>106796</v>
      </c>
      <c r="W136" s="1998">
        <v>119117.95</v>
      </c>
      <c r="X136" s="2012">
        <f t="shared" si="13"/>
        <v>0</v>
      </c>
      <c r="Z136" s="2012">
        <f t="shared" si="14"/>
        <v>120164.97</v>
      </c>
      <c r="AA136" s="1995">
        <v>0</v>
      </c>
      <c r="AB136" s="1995">
        <f t="shared" si="11"/>
        <v>119117.95</v>
      </c>
      <c r="AD136" s="1995">
        <f t="shared" si="12"/>
        <v>119117.95</v>
      </c>
      <c r="AF136" s="1995">
        <f t="shared" si="8"/>
        <v>119117.95</v>
      </c>
      <c r="AG136" s="1994"/>
    </row>
    <row r="137" spans="1:33" hidden="1" x14ac:dyDescent="0.25">
      <c r="A137" s="1994">
        <v>1</v>
      </c>
      <c r="B137" s="1994">
        <v>43601</v>
      </c>
      <c r="C137" s="1994" t="s">
        <v>3869</v>
      </c>
      <c r="D137" s="1994">
        <v>397195</v>
      </c>
      <c r="E137" s="1994" t="s">
        <v>3708</v>
      </c>
      <c r="F137" s="1994" t="s">
        <v>935</v>
      </c>
      <c r="O137" s="1997">
        <f t="shared" si="9"/>
        <v>52225.979999999996</v>
      </c>
      <c r="P137" s="1997">
        <f t="shared" si="10"/>
        <v>52225.979999999996</v>
      </c>
      <c r="Q137" s="1997">
        <v>0</v>
      </c>
      <c r="R137" s="1998">
        <v>52226</v>
      </c>
      <c r="S137" s="1998">
        <v>52225.979999999996</v>
      </c>
      <c r="T137" s="1998">
        <v>0</v>
      </c>
      <c r="U137" s="1998">
        <v>17408.66</v>
      </c>
      <c r="V137" s="1998">
        <v>34817.32</v>
      </c>
      <c r="W137" s="1998">
        <v>52225.979999999996</v>
      </c>
      <c r="X137" s="2012">
        <f t="shared" si="13"/>
        <v>0</v>
      </c>
      <c r="Z137" s="2012">
        <f t="shared" si="14"/>
        <v>52225.979999999996</v>
      </c>
      <c r="AA137" s="1995">
        <v>0</v>
      </c>
      <c r="AB137" s="1995">
        <f t="shared" si="11"/>
        <v>52225.979999999996</v>
      </c>
      <c r="AD137" s="1995">
        <f t="shared" si="12"/>
        <v>52225.979999999996</v>
      </c>
      <c r="AF137" s="1995">
        <f t="shared" ref="AF137:AF201" si="15">AD137+AE137</f>
        <v>52225.979999999996</v>
      </c>
    </row>
    <row r="138" spans="1:33" hidden="1" x14ac:dyDescent="0.25">
      <c r="A138" s="1994">
        <v>1</v>
      </c>
      <c r="B138" s="1994">
        <v>43601</v>
      </c>
      <c r="C138" s="1994" t="s">
        <v>3710</v>
      </c>
      <c r="D138" s="1994">
        <v>397218</v>
      </c>
      <c r="E138" s="1994" t="s">
        <v>3709</v>
      </c>
      <c r="F138" s="1994" t="s">
        <v>115</v>
      </c>
      <c r="O138" s="1997">
        <f t="shared" si="9"/>
        <v>41464.800000000003</v>
      </c>
      <c r="P138" s="1997">
        <f t="shared" si="10"/>
        <v>41464.800000000003</v>
      </c>
      <c r="Q138" s="1997">
        <v>0</v>
      </c>
      <c r="R138" s="1998">
        <v>41374</v>
      </c>
      <c r="S138" s="1998">
        <v>41464.800000000003</v>
      </c>
      <c r="T138" s="1998">
        <v>-13268</v>
      </c>
      <c r="U138" s="1998">
        <v>27366.400000000001</v>
      </c>
      <c r="V138" s="1998">
        <v>27366.400000000001</v>
      </c>
      <c r="W138" s="1998">
        <v>41464.800000000003</v>
      </c>
      <c r="X138" s="2012">
        <f t="shared" si="13"/>
        <v>0</v>
      </c>
      <c r="Z138" s="2012">
        <f t="shared" si="14"/>
        <v>54732.800000000003</v>
      </c>
      <c r="AA138" s="1995">
        <v>0</v>
      </c>
      <c r="AB138" s="1995">
        <f t="shared" si="11"/>
        <v>41464.800000000003</v>
      </c>
      <c r="AD138" s="1995">
        <f t="shared" si="12"/>
        <v>41464.800000000003</v>
      </c>
      <c r="AE138" s="1995">
        <v>7557.98</v>
      </c>
      <c r="AF138" s="1995">
        <f t="shared" si="15"/>
        <v>49022.78</v>
      </c>
      <c r="AG138" s="1994"/>
    </row>
    <row r="139" spans="1:33" hidden="1" x14ac:dyDescent="0.25">
      <c r="A139" s="1994">
        <v>1</v>
      </c>
      <c r="B139" s="1994">
        <v>43601</v>
      </c>
      <c r="C139" s="1994" t="s">
        <v>3710</v>
      </c>
      <c r="D139" s="1994">
        <v>397218</v>
      </c>
      <c r="E139" s="1994" t="s">
        <v>3709</v>
      </c>
      <c r="F139" s="1994" t="s">
        <v>115</v>
      </c>
      <c r="O139" s="1997">
        <v>2600</v>
      </c>
      <c r="P139" s="1997">
        <v>0</v>
      </c>
      <c r="Q139" s="1997">
        <v>0</v>
      </c>
      <c r="S139" s="1998">
        <v>0</v>
      </c>
      <c r="X139" s="2012">
        <v>0</v>
      </c>
      <c r="Z139" s="2012"/>
      <c r="AA139" s="1995">
        <v>0</v>
      </c>
      <c r="AB139" s="1995">
        <v>0</v>
      </c>
      <c r="AD139" s="1995">
        <f t="shared" si="12"/>
        <v>0</v>
      </c>
      <c r="AE139" s="1995">
        <v>2600</v>
      </c>
      <c r="AF139" s="1995">
        <f t="shared" si="15"/>
        <v>2600</v>
      </c>
      <c r="AG139" s="1994"/>
    </row>
    <row r="140" spans="1:33" hidden="1" x14ac:dyDescent="0.25">
      <c r="A140" s="1994">
        <v>1</v>
      </c>
      <c r="B140" s="1994">
        <v>43601</v>
      </c>
      <c r="C140" s="1994" t="s">
        <v>3869</v>
      </c>
      <c r="D140" s="1994">
        <v>399065</v>
      </c>
      <c r="E140" s="1994" t="s">
        <v>1796</v>
      </c>
      <c r="F140" s="1994" t="s">
        <v>3711</v>
      </c>
      <c r="O140" s="1997">
        <f t="shared" si="9"/>
        <v>58033.61</v>
      </c>
      <c r="P140" s="1997">
        <f t="shared" si="10"/>
        <v>58033.61</v>
      </c>
      <c r="Q140" s="1997">
        <v>0</v>
      </c>
      <c r="R140" s="1998">
        <v>58575</v>
      </c>
      <c r="S140" s="1998">
        <v>58033.61</v>
      </c>
      <c r="T140" s="1998">
        <v>-18494</v>
      </c>
      <c r="U140" s="1998">
        <v>57002.65</v>
      </c>
      <c r="V140" s="1998">
        <v>19524.96</v>
      </c>
      <c r="W140" s="1998">
        <v>58033.61</v>
      </c>
      <c r="X140" s="2012">
        <f t="shared" si="13"/>
        <v>0</v>
      </c>
      <c r="Z140" s="2012">
        <f t="shared" si="14"/>
        <v>76527.61</v>
      </c>
      <c r="AA140" s="1995">
        <v>0</v>
      </c>
      <c r="AB140" s="1995">
        <f t="shared" si="11"/>
        <v>58033.61</v>
      </c>
      <c r="AD140" s="1995">
        <f t="shared" si="12"/>
        <v>58033.61</v>
      </c>
      <c r="AF140" s="1995">
        <f t="shared" si="15"/>
        <v>58033.61</v>
      </c>
    </row>
    <row r="141" spans="1:33" hidden="1" x14ac:dyDescent="0.25">
      <c r="A141" s="1994">
        <v>1</v>
      </c>
      <c r="B141" s="1994">
        <v>43601</v>
      </c>
      <c r="C141" s="1994" t="s">
        <v>3870</v>
      </c>
      <c r="D141" s="1994">
        <v>399454</v>
      </c>
      <c r="E141" s="1994" t="s">
        <v>608</v>
      </c>
      <c r="F141" s="1994" t="s">
        <v>115</v>
      </c>
      <c r="O141" s="1997">
        <f t="shared" ref="O141:O204" si="16">P141</f>
        <v>91047.86</v>
      </c>
      <c r="P141" s="1997">
        <f t="shared" ref="P141:P204" si="17">S141+Q141</f>
        <v>91047.86</v>
      </c>
      <c r="Q141" s="1997">
        <v>0</v>
      </c>
      <c r="R141" s="1998">
        <v>90863</v>
      </c>
      <c r="S141" s="1998">
        <v>91047.86</v>
      </c>
      <c r="T141" s="1998">
        <v>0</v>
      </c>
      <c r="U141" s="1998">
        <v>30472.41</v>
      </c>
      <c r="V141" s="1998">
        <v>60575.45</v>
      </c>
      <c r="W141" s="1998">
        <v>91047.86</v>
      </c>
      <c r="X141" s="2012">
        <f t="shared" si="13"/>
        <v>0</v>
      </c>
      <c r="Z141" s="2012">
        <f t="shared" si="14"/>
        <v>91047.86</v>
      </c>
      <c r="AA141" s="1995">
        <v>0</v>
      </c>
      <c r="AB141" s="1995">
        <f t="shared" ref="AB141:AB204" si="18">S141+AA141</f>
        <v>91047.86</v>
      </c>
      <c r="AD141" s="1995">
        <f t="shared" ref="AD141:AD204" si="19">(AB141+AC141)</f>
        <v>91047.86</v>
      </c>
      <c r="AF141" s="1995">
        <f t="shared" si="15"/>
        <v>91047.86</v>
      </c>
      <c r="AG141" s="1994"/>
    </row>
    <row r="142" spans="1:33" hidden="1" x14ac:dyDescent="0.25">
      <c r="A142" s="1994">
        <v>1</v>
      </c>
      <c r="B142" s="1994">
        <v>43606</v>
      </c>
      <c r="C142" s="1994" t="s">
        <v>1906</v>
      </c>
      <c r="D142" s="1994">
        <v>399537</v>
      </c>
      <c r="E142" s="1994" t="s">
        <v>3712</v>
      </c>
      <c r="F142" s="1994" t="s">
        <v>1620</v>
      </c>
      <c r="O142" s="1997">
        <f t="shared" si="16"/>
        <v>31164.75</v>
      </c>
      <c r="P142" s="1997">
        <f t="shared" si="17"/>
        <v>31164.75</v>
      </c>
      <c r="Q142" s="1997">
        <v>0</v>
      </c>
      <c r="S142" s="1998">
        <v>31164.75</v>
      </c>
      <c r="T142" s="1998">
        <v>0</v>
      </c>
      <c r="U142" s="1998">
        <v>20776.5</v>
      </c>
      <c r="V142" s="1998">
        <v>10388.25</v>
      </c>
      <c r="W142" s="1998">
        <v>31164.75</v>
      </c>
      <c r="X142" s="2012">
        <f t="shared" ref="X142:X205" si="20">W142-S142</f>
        <v>0</v>
      </c>
      <c r="Z142" s="2012">
        <f t="shared" si="14"/>
        <v>31164.75</v>
      </c>
      <c r="AA142" s="1995">
        <v>0</v>
      </c>
      <c r="AB142" s="1995">
        <f t="shared" si="18"/>
        <v>31164.75</v>
      </c>
      <c r="AD142" s="1995">
        <f t="shared" si="19"/>
        <v>31164.75</v>
      </c>
      <c r="AF142" s="1995">
        <f t="shared" si="15"/>
        <v>31164.75</v>
      </c>
      <c r="AG142" s="1994"/>
    </row>
    <row r="143" spans="1:33" hidden="1" x14ac:dyDescent="0.25">
      <c r="A143" s="1994">
        <v>1</v>
      </c>
      <c r="B143" s="1994">
        <v>43601</v>
      </c>
      <c r="C143" s="1994" t="s">
        <v>3881</v>
      </c>
      <c r="D143" s="1994">
        <v>399592</v>
      </c>
      <c r="E143" s="1994" t="s">
        <v>3713</v>
      </c>
      <c r="F143" s="1994" t="s">
        <v>115</v>
      </c>
      <c r="O143" s="1997">
        <f t="shared" si="16"/>
        <v>79920.149999999994</v>
      </c>
      <c r="P143" s="1997">
        <f t="shared" si="17"/>
        <v>79920.149999999994</v>
      </c>
      <c r="Q143" s="1997">
        <v>0</v>
      </c>
      <c r="R143" s="1998">
        <v>79920</v>
      </c>
      <c r="S143" s="1998">
        <v>79920.149999999994</v>
      </c>
      <c r="T143" s="1998">
        <v>0</v>
      </c>
      <c r="U143" s="1998">
        <v>33592.93</v>
      </c>
      <c r="V143" s="1998">
        <v>46327.22</v>
      </c>
      <c r="W143" s="1998">
        <v>79920.149999999994</v>
      </c>
      <c r="X143" s="2012">
        <f t="shared" si="20"/>
        <v>0</v>
      </c>
      <c r="Z143" s="2012">
        <f t="shared" ref="Z143:Z206" si="21">U143+V143</f>
        <v>79920.149999999994</v>
      </c>
      <c r="AA143" s="1995">
        <v>0</v>
      </c>
      <c r="AB143" s="1995">
        <f t="shared" si="18"/>
        <v>79920.149999999994</v>
      </c>
      <c r="AD143" s="1995">
        <f t="shared" si="19"/>
        <v>79920.149999999994</v>
      </c>
      <c r="AF143" s="1995">
        <f t="shared" si="15"/>
        <v>79920.149999999994</v>
      </c>
      <c r="AG143" s="1994"/>
    </row>
    <row r="144" spans="1:33" hidden="1" x14ac:dyDescent="0.25">
      <c r="A144" s="1994">
        <v>1</v>
      </c>
      <c r="B144" s="1994">
        <v>43601</v>
      </c>
      <c r="C144" s="1994" t="s">
        <v>3871</v>
      </c>
      <c r="D144" s="1994">
        <v>399910</v>
      </c>
      <c r="E144" s="1994" t="s">
        <v>3706</v>
      </c>
      <c r="F144" s="1994" t="s">
        <v>654</v>
      </c>
      <c r="O144" s="1997">
        <f t="shared" si="16"/>
        <v>93524.819999999992</v>
      </c>
      <c r="P144" s="1997">
        <f t="shared" si="17"/>
        <v>93524.819999999992</v>
      </c>
      <c r="Q144" s="1997">
        <v>0</v>
      </c>
      <c r="R144" s="1998">
        <v>93525</v>
      </c>
      <c r="S144" s="1998">
        <v>93524.819999999992</v>
      </c>
      <c r="T144" s="1998">
        <v>0</v>
      </c>
      <c r="U144" s="1998">
        <v>62349.88</v>
      </c>
      <c r="V144" s="1998">
        <v>31174.94</v>
      </c>
      <c r="W144" s="1998">
        <v>93524.819999999992</v>
      </c>
      <c r="X144" s="2012">
        <f t="shared" si="20"/>
        <v>0</v>
      </c>
      <c r="Z144" s="2012">
        <f t="shared" si="21"/>
        <v>93524.819999999992</v>
      </c>
      <c r="AA144" s="1995">
        <v>0</v>
      </c>
      <c r="AB144" s="1995">
        <f t="shared" si="18"/>
        <v>93524.819999999992</v>
      </c>
      <c r="AD144" s="1995">
        <f t="shared" si="19"/>
        <v>93524.819999999992</v>
      </c>
      <c r="AF144" s="1995">
        <f t="shared" si="15"/>
        <v>93524.819999999992</v>
      </c>
      <c r="AG144" s="1994"/>
    </row>
    <row r="145" spans="1:33" hidden="1" x14ac:dyDescent="0.25">
      <c r="A145" s="1994">
        <v>1</v>
      </c>
      <c r="B145" s="1994">
        <v>43601</v>
      </c>
      <c r="C145" s="1994" t="s">
        <v>3870</v>
      </c>
      <c r="D145" s="1994">
        <v>401156</v>
      </c>
      <c r="E145" s="1994" t="s">
        <v>1232</v>
      </c>
      <c r="F145" s="1994" t="s">
        <v>217</v>
      </c>
      <c r="O145" s="1997">
        <f t="shared" si="16"/>
        <v>93081</v>
      </c>
      <c r="P145" s="1997">
        <f t="shared" si="17"/>
        <v>93081</v>
      </c>
      <c r="Q145" s="1997">
        <v>0</v>
      </c>
      <c r="R145" s="1998">
        <v>93081</v>
      </c>
      <c r="S145" s="1998">
        <v>93081</v>
      </c>
      <c r="T145" s="1998">
        <v>0</v>
      </c>
      <c r="U145" s="1998">
        <v>31027</v>
      </c>
      <c r="V145" s="1998">
        <v>62054</v>
      </c>
      <c r="W145" s="1998">
        <v>93081</v>
      </c>
      <c r="X145" s="2012">
        <f t="shared" si="20"/>
        <v>0</v>
      </c>
      <c r="Z145" s="2012">
        <f t="shared" si="21"/>
        <v>93081</v>
      </c>
      <c r="AA145" s="1995">
        <v>0</v>
      </c>
      <c r="AB145" s="1995">
        <f t="shared" si="18"/>
        <v>93081</v>
      </c>
      <c r="AD145" s="1995">
        <f t="shared" si="19"/>
        <v>93081</v>
      </c>
      <c r="AF145" s="1995">
        <f t="shared" si="15"/>
        <v>93081</v>
      </c>
      <c r="AG145" s="1994"/>
    </row>
    <row r="146" spans="1:33" hidden="1" x14ac:dyDescent="0.25">
      <c r="A146" s="1994">
        <v>1</v>
      </c>
      <c r="B146" s="1994">
        <v>43601</v>
      </c>
      <c r="C146" s="1994" t="s">
        <v>3870</v>
      </c>
      <c r="D146" s="1994">
        <v>401589</v>
      </c>
      <c r="E146" s="1994" t="s">
        <v>3714</v>
      </c>
      <c r="F146" s="1994" t="s">
        <v>95</v>
      </c>
      <c r="O146" s="1997">
        <f t="shared" si="16"/>
        <v>83880.88</v>
      </c>
      <c r="P146" s="1997">
        <f t="shared" si="17"/>
        <v>83880.88</v>
      </c>
      <c r="Q146" s="1997">
        <v>0</v>
      </c>
      <c r="R146" s="1998">
        <v>83711</v>
      </c>
      <c r="S146" s="1998">
        <v>83880.88</v>
      </c>
      <c r="T146" s="1998">
        <v>0</v>
      </c>
      <c r="U146" s="1998">
        <v>28073.72</v>
      </c>
      <c r="V146" s="1998">
        <v>55807.16</v>
      </c>
      <c r="W146" s="1998">
        <v>83880.88</v>
      </c>
      <c r="X146" s="2012">
        <f t="shared" si="20"/>
        <v>0</v>
      </c>
      <c r="Z146" s="2012">
        <f t="shared" si="21"/>
        <v>83880.88</v>
      </c>
      <c r="AA146" s="1995">
        <v>0</v>
      </c>
      <c r="AB146" s="1995">
        <f t="shared" si="18"/>
        <v>83880.88</v>
      </c>
      <c r="AD146" s="1995">
        <f t="shared" si="19"/>
        <v>83880.88</v>
      </c>
      <c r="AF146" s="1995">
        <f t="shared" si="15"/>
        <v>83880.88</v>
      </c>
      <c r="AG146" s="1994"/>
    </row>
    <row r="147" spans="1:33" hidden="1" x14ac:dyDescent="0.25">
      <c r="A147" s="1994">
        <v>1</v>
      </c>
      <c r="B147" s="1994">
        <v>43601</v>
      </c>
      <c r="C147" s="1994" t="s">
        <v>3864</v>
      </c>
      <c r="D147" s="1994">
        <v>401631</v>
      </c>
      <c r="E147" s="1994" t="s">
        <v>3715</v>
      </c>
      <c r="F147" s="1994" t="s">
        <v>67</v>
      </c>
      <c r="O147" s="1997">
        <f t="shared" si="16"/>
        <v>52850.259999999995</v>
      </c>
      <c r="P147" s="1997">
        <f t="shared" si="17"/>
        <v>52850.259999999995</v>
      </c>
      <c r="Q147" s="1997">
        <v>0</v>
      </c>
      <c r="R147" s="1998">
        <v>58067</v>
      </c>
      <c r="S147" s="1998">
        <v>52850.259999999995</v>
      </c>
      <c r="T147" s="1998">
        <v>0</v>
      </c>
      <c r="U147" s="1998">
        <v>33494.659999999996</v>
      </c>
      <c r="V147" s="1998">
        <v>19355.599999999999</v>
      </c>
      <c r="W147" s="1998">
        <v>52850.259999999995</v>
      </c>
      <c r="X147" s="2012">
        <f t="shared" si="20"/>
        <v>0</v>
      </c>
      <c r="Z147" s="2012">
        <f t="shared" si="21"/>
        <v>52850.259999999995</v>
      </c>
      <c r="AA147" s="1995">
        <v>0</v>
      </c>
      <c r="AB147" s="1995">
        <f t="shared" si="18"/>
        <v>52850.259999999995</v>
      </c>
      <c r="AD147" s="1995">
        <f t="shared" si="19"/>
        <v>52850.259999999995</v>
      </c>
      <c r="AF147" s="1995">
        <f t="shared" si="15"/>
        <v>52850.259999999995</v>
      </c>
      <c r="AG147" s="1994"/>
    </row>
    <row r="148" spans="1:33" hidden="1" x14ac:dyDescent="0.25">
      <c r="A148" s="1994">
        <v>1</v>
      </c>
      <c r="B148" s="1994">
        <v>43601</v>
      </c>
      <c r="C148" s="1994" t="s">
        <v>3875</v>
      </c>
      <c r="D148" s="1994">
        <v>401668</v>
      </c>
      <c r="E148" s="1994" t="s">
        <v>3716</v>
      </c>
      <c r="F148" s="1994" t="s">
        <v>40</v>
      </c>
      <c r="O148" s="1997">
        <f t="shared" si="16"/>
        <v>79479.66</v>
      </c>
      <c r="P148" s="1997">
        <f t="shared" si="17"/>
        <v>79479.66</v>
      </c>
      <c r="Q148" s="1997">
        <v>0</v>
      </c>
      <c r="R148" s="1998">
        <v>85483</v>
      </c>
      <c r="S148" s="1998">
        <v>79479.66</v>
      </c>
      <c r="T148" s="1998">
        <v>0</v>
      </c>
      <c r="U148" s="1998">
        <v>50985.33</v>
      </c>
      <c r="V148" s="1998">
        <v>28494.33</v>
      </c>
      <c r="W148" s="1998">
        <v>79479.66</v>
      </c>
      <c r="X148" s="2012">
        <f t="shared" si="20"/>
        <v>0</v>
      </c>
      <c r="Z148" s="2012">
        <f t="shared" si="21"/>
        <v>79479.66</v>
      </c>
      <c r="AA148" s="1995">
        <v>0</v>
      </c>
      <c r="AB148" s="1995">
        <f t="shared" si="18"/>
        <v>79479.66</v>
      </c>
      <c r="AD148" s="1995">
        <f t="shared" si="19"/>
        <v>79479.66</v>
      </c>
      <c r="AF148" s="1995">
        <f t="shared" si="15"/>
        <v>79479.66</v>
      </c>
      <c r="AG148" s="1994"/>
    </row>
    <row r="149" spans="1:33" hidden="1" x14ac:dyDescent="0.25">
      <c r="A149" s="1994">
        <v>1</v>
      </c>
      <c r="B149" s="1994">
        <v>43601</v>
      </c>
      <c r="C149" s="1994" t="s">
        <v>3710</v>
      </c>
      <c r="D149" s="1994">
        <v>402064</v>
      </c>
      <c r="E149" s="1994" t="s">
        <v>3717</v>
      </c>
      <c r="F149" s="1994" t="s">
        <v>1805</v>
      </c>
      <c r="O149" s="1997">
        <f t="shared" si="16"/>
        <v>40955.100000000006</v>
      </c>
      <c r="P149" s="1997">
        <f t="shared" si="17"/>
        <v>40955.100000000006</v>
      </c>
      <c r="Q149" s="1997">
        <v>0</v>
      </c>
      <c r="R149" s="1998">
        <v>40725</v>
      </c>
      <c r="S149" s="1998">
        <v>40955.100000000006</v>
      </c>
      <c r="T149" s="1998">
        <v>0</v>
      </c>
      <c r="U149" s="1998">
        <v>27379.9</v>
      </c>
      <c r="V149" s="1998">
        <v>13575.2</v>
      </c>
      <c r="W149" s="1998">
        <v>40955.100000000006</v>
      </c>
      <c r="X149" s="2012">
        <f t="shared" si="20"/>
        <v>0</v>
      </c>
      <c r="Z149" s="2012">
        <f t="shared" si="21"/>
        <v>40955.100000000006</v>
      </c>
      <c r="AA149" s="1995">
        <v>0</v>
      </c>
      <c r="AB149" s="1995">
        <f t="shared" si="18"/>
        <v>40955.100000000006</v>
      </c>
      <c r="AD149" s="1995">
        <f t="shared" si="19"/>
        <v>40955.100000000006</v>
      </c>
      <c r="AF149" s="1995">
        <f t="shared" si="15"/>
        <v>40955.100000000006</v>
      </c>
      <c r="AG149" s="1994"/>
    </row>
    <row r="150" spans="1:33" hidden="1" x14ac:dyDescent="0.25">
      <c r="A150" s="1994">
        <v>1</v>
      </c>
      <c r="B150" s="1994">
        <v>43601</v>
      </c>
      <c r="C150" s="1994" t="s">
        <v>3710</v>
      </c>
      <c r="D150" s="1994">
        <v>402094</v>
      </c>
      <c r="E150" s="1994" t="s">
        <v>3718</v>
      </c>
      <c r="F150" s="1994" t="s">
        <v>3719</v>
      </c>
      <c r="O150" s="1997">
        <f t="shared" si="16"/>
        <v>35744.700000000004</v>
      </c>
      <c r="P150" s="1997">
        <f t="shared" si="17"/>
        <v>35744.700000000004</v>
      </c>
      <c r="Q150" s="1997">
        <v>0</v>
      </c>
      <c r="R150" s="1998">
        <v>52782</v>
      </c>
      <c r="S150" s="1998">
        <v>35744.700000000004</v>
      </c>
      <c r="T150" s="1998">
        <v>-17268</v>
      </c>
      <c r="U150" s="1998">
        <v>35418.300000000003</v>
      </c>
      <c r="V150" s="1998">
        <v>17594.400000000001</v>
      </c>
      <c r="W150" s="1998">
        <v>35744.700000000004</v>
      </c>
      <c r="X150" s="2012">
        <f t="shared" si="20"/>
        <v>0</v>
      </c>
      <c r="Z150" s="2012">
        <f t="shared" si="21"/>
        <v>53012.700000000004</v>
      </c>
      <c r="AA150" s="1995">
        <v>0</v>
      </c>
      <c r="AB150" s="1995">
        <f t="shared" si="18"/>
        <v>35744.700000000004</v>
      </c>
      <c r="AD150" s="1995">
        <f t="shared" si="19"/>
        <v>35744.700000000004</v>
      </c>
      <c r="AF150" s="1995">
        <f t="shared" si="15"/>
        <v>35744.700000000004</v>
      </c>
      <c r="AG150" s="1994"/>
    </row>
    <row r="151" spans="1:33" hidden="1" x14ac:dyDescent="0.25">
      <c r="A151" s="1994">
        <v>1</v>
      </c>
      <c r="B151" s="1994">
        <v>43601</v>
      </c>
      <c r="C151" s="1994" t="s">
        <v>3882</v>
      </c>
      <c r="D151" s="1994">
        <v>402919</v>
      </c>
      <c r="E151" s="1994" t="s">
        <v>206</v>
      </c>
      <c r="F151" s="1994" t="s">
        <v>3667</v>
      </c>
      <c r="O151" s="1997">
        <f t="shared" si="16"/>
        <v>90400.66</v>
      </c>
      <c r="P151" s="1997">
        <f t="shared" si="17"/>
        <v>90400.66</v>
      </c>
      <c r="Q151" s="1997">
        <v>0</v>
      </c>
      <c r="R151" s="1998">
        <v>90112</v>
      </c>
      <c r="S151" s="1998">
        <v>90400.66</v>
      </c>
      <c r="T151" s="1998">
        <v>0</v>
      </c>
      <c r="U151" s="1998">
        <v>30326.1</v>
      </c>
      <c r="V151" s="1998">
        <v>60074.559999999998</v>
      </c>
      <c r="W151" s="1998">
        <v>90400.66</v>
      </c>
      <c r="X151" s="2012">
        <f t="shared" si="20"/>
        <v>0</v>
      </c>
      <c r="Z151" s="2012">
        <f t="shared" si="21"/>
        <v>90400.66</v>
      </c>
      <c r="AA151" s="1995">
        <v>0</v>
      </c>
      <c r="AB151" s="1995">
        <f t="shared" si="18"/>
        <v>90400.66</v>
      </c>
      <c r="AD151" s="1995">
        <f t="shared" si="19"/>
        <v>90400.66</v>
      </c>
      <c r="AF151" s="1995">
        <f t="shared" si="15"/>
        <v>90400.66</v>
      </c>
      <c r="AG151" s="1994"/>
    </row>
    <row r="152" spans="1:33" hidden="1" x14ac:dyDescent="0.25">
      <c r="A152" s="1994">
        <v>1</v>
      </c>
      <c r="B152" s="1994">
        <v>43601</v>
      </c>
      <c r="C152" s="1994" t="s">
        <v>3877</v>
      </c>
      <c r="D152" s="1994">
        <v>403303</v>
      </c>
      <c r="E152" s="1994" t="s">
        <v>1588</v>
      </c>
      <c r="F152" s="1994" t="s">
        <v>3720</v>
      </c>
      <c r="O152" s="1997">
        <f t="shared" si="16"/>
        <v>57795</v>
      </c>
      <c r="P152" s="1997">
        <f t="shared" si="17"/>
        <v>57795</v>
      </c>
      <c r="Q152" s="1997">
        <v>0</v>
      </c>
      <c r="R152" s="1998">
        <v>57795</v>
      </c>
      <c r="S152" s="1998">
        <v>57795</v>
      </c>
      <c r="T152" s="1998">
        <v>0</v>
      </c>
      <c r="U152" s="1998">
        <v>38530</v>
      </c>
      <c r="V152" s="1998">
        <v>19265</v>
      </c>
      <c r="W152" s="1998">
        <v>57795</v>
      </c>
      <c r="X152" s="2012">
        <f t="shared" si="20"/>
        <v>0</v>
      </c>
      <c r="Z152" s="2012">
        <f t="shared" si="21"/>
        <v>57795</v>
      </c>
      <c r="AA152" s="1995">
        <v>0</v>
      </c>
      <c r="AB152" s="1995">
        <f t="shared" si="18"/>
        <v>57795</v>
      </c>
      <c r="AD152" s="1995">
        <f t="shared" si="19"/>
        <v>57795</v>
      </c>
      <c r="AF152" s="1995">
        <f t="shared" si="15"/>
        <v>57795</v>
      </c>
      <c r="AG152" s="1994"/>
    </row>
    <row r="153" spans="1:33" hidden="1" x14ac:dyDescent="0.25">
      <c r="A153" s="1994">
        <v>1</v>
      </c>
      <c r="B153" s="1994">
        <v>43601</v>
      </c>
      <c r="C153" s="1994" t="s">
        <v>3866</v>
      </c>
      <c r="D153" s="1994">
        <v>403455</v>
      </c>
      <c r="E153" s="1994" t="s">
        <v>2062</v>
      </c>
      <c r="F153" s="1994" t="s">
        <v>3721</v>
      </c>
      <c r="O153" s="1997">
        <f t="shared" si="16"/>
        <v>77151.81</v>
      </c>
      <c r="P153" s="1997">
        <f t="shared" si="17"/>
        <v>77151.81</v>
      </c>
      <c r="Q153" s="1997">
        <v>0</v>
      </c>
      <c r="R153" s="1998">
        <v>122030</v>
      </c>
      <c r="S153" s="1998">
        <v>77151.81</v>
      </c>
      <c r="T153" s="1998">
        <v>0</v>
      </c>
      <c r="U153" s="1998">
        <v>882.87</v>
      </c>
      <c r="V153" s="1998">
        <v>76268.94</v>
      </c>
      <c r="W153" s="1998">
        <v>77151.81</v>
      </c>
      <c r="X153" s="2012">
        <f t="shared" si="20"/>
        <v>0</v>
      </c>
      <c r="Z153" s="2012">
        <f t="shared" si="21"/>
        <v>77151.81</v>
      </c>
      <c r="AA153" s="1995">
        <v>0</v>
      </c>
      <c r="AB153" s="1995">
        <f t="shared" si="18"/>
        <v>77151.81</v>
      </c>
      <c r="AD153" s="1995">
        <f t="shared" si="19"/>
        <v>77151.81</v>
      </c>
      <c r="AF153" s="1995">
        <f t="shared" si="15"/>
        <v>77151.81</v>
      </c>
      <c r="AG153" s="1994" t="s">
        <v>3722</v>
      </c>
    </row>
    <row r="154" spans="1:33" hidden="1" x14ac:dyDescent="0.25">
      <c r="A154" s="1994">
        <v>1</v>
      </c>
      <c r="B154" s="1994">
        <v>43601</v>
      </c>
      <c r="C154" s="1994" t="s">
        <v>3864</v>
      </c>
      <c r="D154" s="1994">
        <v>403460</v>
      </c>
      <c r="E154" s="1994" t="s">
        <v>3723</v>
      </c>
      <c r="F154" s="1994" t="s">
        <v>217</v>
      </c>
      <c r="O154" s="1997">
        <f t="shared" si="16"/>
        <v>42417.18</v>
      </c>
      <c r="P154" s="1997">
        <f t="shared" si="17"/>
        <v>42417.18</v>
      </c>
      <c r="Q154" s="1997">
        <v>0</v>
      </c>
      <c r="R154" s="1998">
        <v>53478</v>
      </c>
      <c r="S154" s="1998">
        <v>42417.18</v>
      </c>
      <c r="T154" s="1998">
        <v>0</v>
      </c>
      <c r="U154" s="1998">
        <v>14139.06</v>
      </c>
      <c r="V154" s="1998">
        <v>28278.12</v>
      </c>
      <c r="W154" s="1998">
        <v>42417.18</v>
      </c>
      <c r="X154" s="2012">
        <f t="shared" si="20"/>
        <v>0</v>
      </c>
      <c r="Z154" s="2012">
        <f t="shared" si="21"/>
        <v>42417.18</v>
      </c>
      <c r="AA154" s="1995">
        <v>0</v>
      </c>
      <c r="AB154" s="1995">
        <f t="shared" si="18"/>
        <v>42417.18</v>
      </c>
      <c r="AD154" s="1995">
        <f t="shared" si="19"/>
        <v>42417.18</v>
      </c>
      <c r="AF154" s="1995">
        <f t="shared" si="15"/>
        <v>42417.18</v>
      </c>
      <c r="AG154" s="1994"/>
    </row>
    <row r="155" spans="1:33" hidden="1" x14ac:dyDescent="0.25">
      <c r="A155" s="1994">
        <v>1</v>
      </c>
      <c r="B155" s="1994">
        <v>43601</v>
      </c>
      <c r="C155" s="1994" t="s">
        <v>3798</v>
      </c>
      <c r="D155" s="1994">
        <v>403564</v>
      </c>
      <c r="E155" s="1994" t="s">
        <v>410</v>
      </c>
      <c r="F155" s="1994" t="s">
        <v>1282</v>
      </c>
      <c r="O155" s="1997">
        <f t="shared" si="16"/>
        <v>72000</v>
      </c>
      <c r="P155" s="1997">
        <f t="shared" si="17"/>
        <v>72000</v>
      </c>
      <c r="Q155" s="1997">
        <v>0</v>
      </c>
      <c r="R155" s="1998">
        <v>85500</v>
      </c>
      <c r="S155" s="1998">
        <v>72000</v>
      </c>
      <c r="T155" s="1998">
        <v>0</v>
      </c>
      <c r="U155" s="1998">
        <v>43500</v>
      </c>
      <c r="V155" s="1998">
        <v>28500</v>
      </c>
      <c r="W155" s="1998">
        <v>72000</v>
      </c>
      <c r="X155" s="2012">
        <f t="shared" si="20"/>
        <v>0</v>
      </c>
      <c r="Z155" s="2012">
        <f t="shared" si="21"/>
        <v>72000</v>
      </c>
      <c r="AA155" s="1995">
        <v>0</v>
      </c>
      <c r="AB155" s="1995">
        <f t="shared" si="18"/>
        <v>72000</v>
      </c>
      <c r="AD155" s="1995">
        <f t="shared" si="19"/>
        <v>72000</v>
      </c>
      <c r="AF155" s="1995">
        <f t="shared" si="15"/>
        <v>72000</v>
      </c>
      <c r="AG155" s="1994"/>
    </row>
    <row r="156" spans="1:33" hidden="1" x14ac:dyDescent="0.25">
      <c r="A156" s="1994">
        <v>1</v>
      </c>
      <c r="B156" s="1994">
        <v>43601</v>
      </c>
      <c r="C156" s="1994" t="s">
        <v>3877</v>
      </c>
      <c r="D156" s="1994">
        <v>403856</v>
      </c>
      <c r="E156" s="1994" t="s">
        <v>532</v>
      </c>
      <c r="F156" s="1994" t="s">
        <v>3724</v>
      </c>
      <c r="O156" s="1997">
        <f t="shared" si="16"/>
        <v>57795</v>
      </c>
      <c r="P156" s="1997">
        <f t="shared" si="17"/>
        <v>57795</v>
      </c>
      <c r="Q156" s="1997">
        <v>0</v>
      </c>
      <c r="R156" s="1998">
        <v>57795</v>
      </c>
      <c r="S156" s="1998">
        <v>57795</v>
      </c>
      <c r="T156" s="1998">
        <v>0</v>
      </c>
      <c r="U156" s="1998">
        <v>38530</v>
      </c>
      <c r="V156" s="1998">
        <v>19265</v>
      </c>
      <c r="W156" s="1998">
        <v>57795</v>
      </c>
      <c r="X156" s="2012">
        <f t="shared" si="20"/>
        <v>0</v>
      </c>
      <c r="Z156" s="2012">
        <f t="shared" si="21"/>
        <v>57795</v>
      </c>
      <c r="AA156" s="1995">
        <v>0</v>
      </c>
      <c r="AB156" s="1995">
        <f t="shared" si="18"/>
        <v>57795</v>
      </c>
      <c r="AD156" s="1995">
        <f t="shared" si="19"/>
        <v>57795</v>
      </c>
      <c r="AF156" s="1995">
        <f t="shared" si="15"/>
        <v>57795</v>
      </c>
      <c r="AG156" s="1994"/>
    </row>
    <row r="157" spans="1:33" hidden="1" x14ac:dyDescent="0.25">
      <c r="A157" s="1994">
        <v>1</v>
      </c>
      <c r="B157" s="1994">
        <v>43601</v>
      </c>
      <c r="C157" s="1994" t="s">
        <v>3881</v>
      </c>
      <c r="D157" s="1994">
        <v>404402</v>
      </c>
      <c r="E157" s="1994" t="s">
        <v>3725</v>
      </c>
      <c r="F157" s="1994" t="s">
        <v>1617</v>
      </c>
      <c r="O157" s="1997">
        <f t="shared" si="16"/>
        <v>75542.080000000002</v>
      </c>
      <c r="P157" s="1997">
        <f t="shared" si="17"/>
        <v>75542.080000000002</v>
      </c>
      <c r="Q157" s="1997">
        <v>0</v>
      </c>
      <c r="R157" s="1998">
        <v>75542</v>
      </c>
      <c r="S157" s="1998">
        <v>75542.080000000002</v>
      </c>
      <c r="T157" s="1998">
        <v>0</v>
      </c>
      <c r="U157" s="1998">
        <v>31579.07</v>
      </c>
      <c r="V157" s="1998">
        <v>43963.01</v>
      </c>
      <c r="W157" s="1998">
        <v>75542.080000000002</v>
      </c>
      <c r="X157" s="2012">
        <f t="shared" si="20"/>
        <v>0</v>
      </c>
      <c r="Z157" s="2012">
        <f t="shared" si="21"/>
        <v>75542.080000000002</v>
      </c>
      <c r="AA157" s="1995">
        <v>0</v>
      </c>
      <c r="AB157" s="1995">
        <f t="shared" si="18"/>
        <v>75542.080000000002</v>
      </c>
      <c r="AD157" s="1995">
        <f t="shared" si="19"/>
        <v>75542.080000000002</v>
      </c>
      <c r="AF157" s="1995">
        <f t="shared" si="15"/>
        <v>75542.080000000002</v>
      </c>
      <c r="AG157" s="1994"/>
    </row>
    <row r="158" spans="1:33" hidden="1" x14ac:dyDescent="0.25">
      <c r="A158" s="1994">
        <v>1</v>
      </c>
      <c r="B158" s="1994">
        <v>43601</v>
      </c>
      <c r="C158" s="1994" t="s">
        <v>3874</v>
      </c>
      <c r="D158" s="1994">
        <v>404804</v>
      </c>
      <c r="E158" s="1994" t="s">
        <v>3726</v>
      </c>
      <c r="F158" s="1994" t="s">
        <v>178</v>
      </c>
      <c r="O158" s="1997">
        <f t="shared" si="16"/>
        <v>75876</v>
      </c>
      <c r="P158" s="1997">
        <f t="shared" si="17"/>
        <v>75876</v>
      </c>
      <c r="Q158" s="1997">
        <v>0</v>
      </c>
      <c r="R158" s="1998">
        <v>75876</v>
      </c>
      <c r="S158" s="1998">
        <v>75876</v>
      </c>
      <c r="T158" s="1998">
        <v>0</v>
      </c>
      <c r="U158" s="1998">
        <v>25292</v>
      </c>
      <c r="V158" s="1998">
        <v>50584</v>
      </c>
      <c r="W158" s="1998">
        <v>75876</v>
      </c>
      <c r="X158" s="2012">
        <f t="shared" si="20"/>
        <v>0</v>
      </c>
      <c r="Z158" s="2012">
        <f t="shared" si="21"/>
        <v>75876</v>
      </c>
      <c r="AA158" s="1995">
        <v>0</v>
      </c>
      <c r="AB158" s="1995">
        <f t="shared" si="18"/>
        <v>75876</v>
      </c>
      <c r="AD158" s="1995">
        <f t="shared" si="19"/>
        <v>75876</v>
      </c>
      <c r="AF158" s="1995">
        <f t="shared" si="15"/>
        <v>75876</v>
      </c>
      <c r="AG158" s="1994"/>
    </row>
    <row r="159" spans="1:33" hidden="1" x14ac:dyDescent="0.25">
      <c r="A159" s="1994">
        <v>1</v>
      </c>
      <c r="B159" s="1994">
        <v>43601</v>
      </c>
      <c r="C159" s="1994" t="s">
        <v>3866</v>
      </c>
      <c r="D159" s="1994">
        <v>405846</v>
      </c>
      <c r="E159" s="1994" t="s">
        <v>3727</v>
      </c>
      <c r="F159" s="1994" t="s">
        <v>1313</v>
      </c>
      <c r="O159" s="1997">
        <f t="shared" si="16"/>
        <v>139962.51999999999</v>
      </c>
      <c r="P159" s="1997">
        <f t="shared" si="17"/>
        <v>139962.51999999999</v>
      </c>
      <c r="Q159" s="1997">
        <v>0</v>
      </c>
      <c r="R159" s="1998">
        <v>139963</v>
      </c>
      <c r="S159" s="1998">
        <v>139962.51999999999</v>
      </c>
      <c r="T159" s="1998">
        <v>0</v>
      </c>
      <c r="U159" s="1998">
        <v>69981.259999999995</v>
      </c>
      <c r="V159" s="1998">
        <v>69981.259999999995</v>
      </c>
      <c r="W159" s="1998">
        <v>139962.51999999999</v>
      </c>
      <c r="X159" s="2012">
        <f t="shared" si="20"/>
        <v>0</v>
      </c>
      <c r="Z159" s="2012">
        <f t="shared" si="21"/>
        <v>139962.51999999999</v>
      </c>
      <c r="AA159" s="1995">
        <v>0</v>
      </c>
      <c r="AB159" s="1995">
        <f t="shared" si="18"/>
        <v>139962.51999999999</v>
      </c>
      <c r="AD159" s="1995">
        <f t="shared" si="19"/>
        <v>139962.51999999999</v>
      </c>
      <c r="AF159" s="1995">
        <f t="shared" si="15"/>
        <v>139962.51999999999</v>
      </c>
      <c r="AG159" s="1994" t="s">
        <v>3728</v>
      </c>
    </row>
    <row r="160" spans="1:33" hidden="1" x14ac:dyDescent="0.25">
      <c r="A160" s="1994">
        <v>1</v>
      </c>
      <c r="B160" s="1994">
        <v>43601</v>
      </c>
      <c r="C160" s="1994" t="s">
        <v>3864</v>
      </c>
      <c r="D160" s="1994">
        <v>406117</v>
      </c>
      <c r="E160" s="1994" t="s">
        <v>3693</v>
      </c>
      <c r="F160" s="1994" t="s">
        <v>427</v>
      </c>
      <c r="O160" s="1997">
        <f t="shared" si="16"/>
        <v>72205.859999999986</v>
      </c>
      <c r="P160" s="1997">
        <f t="shared" si="17"/>
        <v>72205.859999999986</v>
      </c>
      <c r="Q160" s="1997">
        <v>0</v>
      </c>
      <c r="R160" s="1998">
        <v>58067</v>
      </c>
      <c r="S160" s="1998">
        <v>72205.859999999986</v>
      </c>
      <c r="T160" s="1998">
        <v>-425</v>
      </c>
      <c r="U160" s="1998">
        <v>33919.659999999996</v>
      </c>
      <c r="V160" s="1998">
        <v>38711.199999999997</v>
      </c>
      <c r="W160" s="1998">
        <v>72205.859999999986</v>
      </c>
      <c r="X160" s="2012">
        <f t="shared" si="20"/>
        <v>0</v>
      </c>
      <c r="Z160" s="2012">
        <f t="shared" si="21"/>
        <v>72630.859999999986</v>
      </c>
      <c r="AA160" s="1995">
        <v>0</v>
      </c>
      <c r="AB160" s="1995">
        <f t="shared" si="18"/>
        <v>72205.859999999986</v>
      </c>
      <c r="AD160" s="1995">
        <f t="shared" si="19"/>
        <v>72205.859999999986</v>
      </c>
      <c r="AF160" s="1995">
        <f t="shared" si="15"/>
        <v>72205.859999999986</v>
      </c>
      <c r="AG160" s="1994"/>
    </row>
    <row r="161" spans="1:33" hidden="1" x14ac:dyDescent="0.25">
      <c r="A161" s="1994">
        <v>1</v>
      </c>
      <c r="B161" s="1994">
        <v>43601</v>
      </c>
      <c r="C161" s="1994" t="s">
        <v>3871</v>
      </c>
      <c r="D161" s="1994">
        <v>406150</v>
      </c>
      <c r="E161" s="1994" t="s">
        <v>2616</v>
      </c>
      <c r="F161" s="1994" t="s">
        <v>395</v>
      </c>
      <c r="O161" s="1997">
        <f t="shared" si="16"/>
        <v>92496.84</v>
      </c>
      <c r="P161" s="1997">
        <f t="shared" si="17"/>
        <v>92496.84</v>
      </c>
      <c r="Q161" s="1997">
        <v>0</v>
      </c>
      <c r="R161" s="1998">
        <v>92497</v>
      </c>
      <c r="S161" s="1998">
        <v>92496.84</v>
      </c>
      <c r="T161" s="1998">
        <v>0</v>
      </c>
      <c r="U161" s="1998">
        <v>61664.56</v>
      </c>
      <c r="V161" s="1998">
        <v>30832.28</v>
      </c>
      <c r="W161" s="1998">
        <v>92496.84</v>
      </c>
      <c r="X161" s="2012">
        <f t="shared" si="20"/>
        <v>0</v>
      </c>
      <c r="Z161" s="2012">
        <f t="shared" si="21"/>
        <v>92496.84</v>
      </c>
      <c r="AA161" s="1995">
        <v>0</v>
      </c>
      <c r="AB161" s="1995">
        <f t="shared" si="18"/>
        <v>92496.84</v>
      </c>
      <c r="AD161" s="1995">
        <f t="shared" si="19"/>
        <v>92496.84</v>
      </c>
      <c r="AF161" s="1995">
        <f t="shared" si="15"/>
        <v>92496.84</v>
      </c>
      <c r="AG161" s="1994"/>
    </row>
    <row r="162" spans="1:33" hidden="1" x14ac:dyDescent="0.25">
      <c r="A162" s="1994">
        <v>1</v>
      </c>
      <c r="B162" s="1994">
        <v>43601</v>
      </c>
      <c r="C162" s="1994" t="s">
        <v>3710</v>
      </c>
      <c r="D162" s="1994">
        <v>406242</v>
      </c>
      <c r="E162" s="1994" t="s">
        <v>993</v>
      </c>
      <c r="F162" s="1994" t="s">
        <v>1620</v>
      </c>
      <c r="O162" s="1997">
        <f t="shared" si="16"/>
        <v>24418.600000000002</v>
      </c>
      <c r="P162" s="1997">
        <f t="shared" si="17"/>
        <v>24418.600000000002</v>
      </c>
      <c r="Q162" s="1997">
        <v>0</v>
      </c>
      <c r="R162" s="1998">
        <v>40725</v>
      </c>
      <c r="S162" s="1998">
        <v>24418.600000000002</v>
      </c>
      <c r="T162" s="1998">
        <v>-16307</v>
      </c>
      <c r="U162" s="1998">
        <v>27150.400000000001</v>
      </c>
      <c r="V162" s="1998">
        <v>13575.2</v>
      </c>
      <c r="W162" s="1998">
        <v>24418.600000000002</v>
      </c>
      <c r="X162" s="2012">
        <f t="shared" si="20"/>
        <v>0</v>
      </c>
      <c r="Z162" s="2012">
        <f t="shared" si="21"/>
        <v>40725.600000000006</v>
      </c>
      <c r="AA162" s="1995">
        <v>0</v>
      </c>
      <c r="AB162" s="1995">
        <f t="shared" si="18"/>
        <v>24418.600000000002</v>
      </c>
      <c r="AD162" s="1995">
        <f t="shared" si="19"/>
        <v>24418.600000000002</v>
      </c>
      <c r="AF162" s="1995">
        <f t="shared" si="15"/>
        <v>24418.600000000002</v>
      </c>
      <c r="AG162" s="1994"/>
    </row>
    <row r="163" spans="1:33" hidden="1" x14ac:dyDescent="0.25">
      <c r="A163" s="1994">
        <v>1</v>
      </c>
      <c r="B163" s="1994">
        <v>43601</v>
      </c>
      <c r="C163" s="1994" t="s">
        <v>3871</v>
      </c>
      <c r="D163" s="1994">
        <v>406951</v>
      </c>
      <c r="E163" s="1994" t="s">
        <v>194</v>
      </c>
      <c r="F163" s="1994" t="s">
        <v>2609</v>
      </c>
      <c r="O163" s="1997">
        <f t="shared" si="16"/>
        <v>75322.77</v>
      </c>
      <c r="P163" s="1997">
        <f t="shared" si="17"/>
        <v>75322.77</v>
      </c>
      <c r="Q163" s="1997">
        <v>0</v>
      </c>
      <c r="R163" s="1998">
        <v>75323</v>
      </c>
      <c r="S163" s="1998">
        <v>75322.77</v>
      </c>
      <c r="T163" s="1998">
        <v>0</v>
      </c>
      <c r="U163" s="1998">
        <v>50215.18</v>
      </c>
      <c r="V163" s="1998">
        <v>25107.59</v>
      </c>
      <c r="W163" s="1998">
        <v>75322.77</v>
      </c>
      <c r="X163" s="2012">
        <f t="shared" si="20"/>
        <v>0</v>
      </c>
      <c r="Z163" s="2012">
        <f t="shared" si="21"/>
        <v>75322.77</v>
      </c>
      <c r="AA163" s="1995">
        <v>0</v>
      </c>
      <c r="AB163" s="1995">
        <f t="shared" si="18"/>
        <v>75322.77</v>
      </c>
      <c r="AD163" s="1995">
        <f t="shared" si="19"/>
        <v>75322.77</v>
      </c>
      <c r="AF163" s="1995">
        <f t="shared" si="15"/>
        <v>75322.77</v>
      </c>
      <c r="AG163" s="1994"/>
    </row>
    <row r="164" spans="1:33" hidden="1" x14ac:dyDescent="0.25">
      <c r="A164" s="1994">
        <v>1</v>
      </c>
      <c r="B164" s="1994">
        <v>43601</v>
      </c>
      <c r="C164" s="1994" t="s">
        <v>3881</v>
      </c>
      <c r="D164" s="1994">
        <v>407155</v>
      </c>
      <c r="E164" s="1994" t="s">
        <v>352</v>
      </c>
      <c r="F164" s="1994" t="s">
        <v>122</v>
      </c>
      <c r="O164" s="1997">
        <f t="shared" si="16"/>
        <v>58309.33</v>
      </c>
      <c r="P164" s="1997">
        <f t="shared" si="17"/>
        <v>58309.33</v>
      </c>
      <c r="Q164" s="1997">
        <v>0</v>
      </c>
      <c r="R164" s="1998">
        <v>58309</v>
      </c>
      <c r="S164" s="1998">
        <v>58309.33</v>
      </c>
      <c r="T164" s="1998">
        <v>0</v>
      </c>
      <c r="U164" s="1998">
        <v>24375.210000000003</v>
      </c>
      <c r="V164" s="1998">
        <v>33934.120000000003</v>
      </c>
      <c r="W164" s="1998">
        <v>58309.33</v>
      </c>
      <c r="X164" s="2012">
        <f t="shared" si="20"/>
        <v>0</v>
      </c>
      <c r="Z164" s="2012">
        <f t="shared" si="21"/>
        <v>58309.33</v>
      </c>
      <c r="AA164" s="1995">
        <v>0</v>
      </c>
      <c r="AB164" s="1995">
        <f t="shared" si="18"/>
        <v>58309.33</v>
      </c>
      <c r="AD164" s="1995">
        <f t="shared" si="19"/>
        <v>58309.33</v>
      </c>
      <c r="AF164" s="1995">
        <f t="shared" si="15"/>
        <v>58309.33</v>
      </c>
      <c r="AG164" s="1994"/>
    </row>
    <row r="165" spans="1:33" hidden="1" x14ac:dyDescent="0.25">
      <c r="A165" s="1994">
        <v>1</v>
      </c>
      <c r="B165" s="1994">
        <v>43601</v>
      </c>
      <c r="C165" s="1994" t="s">
        <v>3710</v>
      </c>
      <c r="D165" s="1994">
        <v>407890</v>
      </c>
      <c r="E165" s="1994" t="s">
        <v>1768</v>
      </c>
      <c r="F165" s="1994" t="s">
        <v>1767</v>
      </c>
      <c r="O165" s="1997">
        <f t="shared" si="16"/>
        <v>37102</v>
      </c>
      <c r="P165" s="1997">
        <f t="shared" si="17"/>
        <v>37102</v>
      </c>
      <c r="Q165" s="1997">
        <v>0</v>
      </c>
      <c r="R165" s="1998">
        <v>55653</v>
      </c>
      <c r="S165" s="1998">
        <v>37102</v>
      </c>
      <c r="T165" s="1998">
        <v>0</v>
      </c>
      <c r="U165" s="1998">
        <v>0</v>
      </c>
      <c r="V165" s="1998">
        <v>37102</v>
      </c>
      <c r="W165" s="1998">
        <v>37102</v>
      </c>
      <c r="X165" s="2012">
        <f t="shared" si="20"/>
        <v>0</v>
      </c>
      <c r="Z165" s="2012">
        <f t="shared" si="21"/>
        <v>37102</v>
      </c>
      <c r="AA165" s="1995">
        <v>0</v>
      </c>
      <c r="AB165" s="1995">
        <f t="shared" si="18"/>
        <v>37102</v>
      </c>
      <c r="AD165" s="1995">
        <f t="shared" si="19"/>
        <v>37102</v>
      </c>
      <c r="AF165" s="1995">
        <f t="shared" si="15"/>
        <v>37102</v>
      </c>
      <c r="AG165" s="1994"/>
    </row>
    <row r="166" spans="1:33" hidden="1" x14ac:dyDescent="0.25">
      <c r="A166" s="1994">
        <v>1</v>
      </c>
      <c r="B166" s="1994">
        <v>43601</v>
      </c>
      <c r="C166" s="1994" t="s">
        <v>3861</v>
      </c>
      <c r="D166" s="1994">
        <v>409239</v>
      </c>
      <c r="E166" s="1994" t="s">
        <v>3729</v>
      </c>
      <c r="F166" s="1994" t="s">
        <v>3730</v>
      </c>
      <c r="O166" s="1997">
        <f t="shared" si="16"/>
        <v>41556</v>
      </c>
      <c r="P166" s="1997">
        <f t="shared" si="17"/>
        <v>41556</v>
      </c>
      <c r="Q166" s="1997">
        <v>0</v>
      </c>
      <c r="R166" s="1998">
        <v>40317</v>
      </c>
      <c r="S166" s="1998">
        <v>41556</v>
      </c>
      <c r="T166" s="1998">
        <v>0</v>
      </c>
      <c r="U166" s="1998">
        <v>19731</v>
      </c>
      <c r="V166" s="1998">
        <v>21825</v>
      </c>
      <c r="W166" s="1998">
        <v>41556</v>
      </c>
      <c r="X166" s="2012">
        <f t="shared" si="20"/>
        <v>0</v>
      </c>
      <c r="Z166" s="2012">
        <f t="shared" si="21"/>
        <v>41556</v>
      </c>
      <c r="AA166" s="1995">
        <v>0</v>
      </c>
      <c r="AB166" s="1995">
        <f t="shared" si="18"/>
        <v>41556</v>
      </c>
      <c r="AD166" s="1995">
        <f t="shared" si="19"/>
        <v>41556</v>
      </c>
      <c r="AF166" s="1995">
        <f t="shared" si="15"/>
        <v>41556</v>
      </c>
      <c r="AG166" s="1994"/>
    </row>
    <row r="167" spans="1:33" hidden="1" x14ac:dyDescent="0.25">
      <c r="A167" s="1994">
        <v>1</v>
      </c>
      <c r="B167" s="1994">
        <v>43601</v>
      </c>
      <c r="C167" s="1994" t="s">
        <v>3903</v>
      </c>
      <c r="D167" s="1994">
        <v>409444</v>
      </c>
      <c r="E167" s="1994" t="s">
        <v>1952</v>
      </c>
      <c r="F167" s="1994" t="s">
        <v>3731</v>
      </c>
      <c r="O167" s="1997">
        <f t="shared" si="16"/>
        <v>74685</v>
      </c>
      <c r="P167" s="1997">
        <f t="shared" si="17"/>
        <v>74685</v>
      </c>
      <c r="Q167" s="1997">
        <v>0</v>
      </c>
      <c r="R167" s="1998">
        <v>72308</v>
      </c>
      <c r="S167" s="1998">
        <v>74685</v>
      </c>
      <c r="T167" s="1998">
        <v>0</v>
      </c>
      <c r="U167" s="1998">
        <v>50582.5</v>
      </c>
      <c r="V167" s="1998">
        <v>24102.5</v>
      </c>
      <c r="W167" s="1998">
        <v>74685</v>
      </c>
      <c r="X167" s="2012">
        <f t="shared" si="20"/>
        <v>0</v>
      </c>
      <c r="Z167" s="2012">
        <f t="shared" si="21"/>
        <v>74685</v>
      </c>
      <c r="AA167" s="1995">
        <v>0</v>
      </c>
      <c r="AB167" s="1995">
        <f t="shared" si="18"/>
        <v>74685</v>
      </c>
      <c r="AD167" s="1995">
        <f t="shared" si="19"/>
        <v>74685</v>
      </c>
      <c r="AF167" s="1995">
        <f t="shared" si="15"/>
        <v>74685</v>
      </c>
      <c r="AG167" s="1994"/>
    </row>
    <row r="168" spans="1:33" hidden="1" x14ac:dyDescent="0.25">
      <c r="A168" s="1994">
        <v>1</v>
      </c>
      <c r="B168" s="1994">
        <v>43601</v>
      </c>
      <c r="C168" s="1994" t="s">
        <v>3864</v>
      </c>
      <c r="D168" s="1994">
        <v>409483</v>
      </c>
      <c r="E168" s="1994" t="s">
        <v>1444</v>
      </c>
      <c r="F168" s="1994" t="s">
        <v>583</v>
      </c>
      <c r="O168" s="1997">
        <f t="shared" si="16"/>
        <v>55256.59</v>
      </c>
      <c r="P168" s="1997">
        <f t="shared" si="17"/>
        <v>55256.59</v>
      </c>
      <c r="Q168" s="1997">
        <v>0</v>
      </c>
      <c r="R168" s="1998">
        <v>49636</v>
      </c>
      <c r="S168" s="1998">
        <v>55256.59</v>
      </c>
      <c r="T168" s="1998">
        <v>0</v>
      </c>
      <c r="U168" s="1998">
        <v>35900.99</v>
      </c>
      <c r="V168" s="1998">
        <v>19355.599999999999</v>
      </c>
      <c r="W168" s="1998">
        <v>55256.59</v>
      </c>
      <c r="X168" s="2012">
        <f t="shared" si="20"/>
        <v>0</v>
      </c>
      <c r="Z168" s="2012">
        <f t="shared" si="21"/>
        <v>55256.59</v>
      </c>
      <c r="AA168" s="1995">
        <v>0</v>
      </c>
      <c r="AB168" s="1995">
        <f t="shared" si="18"/>
        <v>55256.59</v>
      </c>
      <c r="AD168" s="1995">
        <f t="shared" si="19"/>
        <v>55256.59</v>
      </c>
      <c r="AF168" s="1995">
        <f t="shared" si="15"/>
        <v>55256.59</v>
      </c>
      <c r="AG168" s="1994"/>
    </row>
    <row r="169" spans="1:33" hidden="1" x14ac:dyDescent="0.25">
      <c r="A169" s="1994">
        <v>1</v>
      </c>
      <c r="B169" s="1994">
        <v>43601</v>
      </c>
      <c r="C169" s="1994" t="s">
        <v>3881</v>
      </c>
      <c r="D169" s="1994">
        <v>409536</v>
      </c>
      <c r="E169" s="1994" t="s">
        <v>3732</v>
      </c>
      <c r="F169" s="1994" t="s">
        <v>381</v>
      </c>
      <c r="O169" s="1997">
        <f t="shared" si="16"/>
        <v>75542.400000000009</v>
      </c>
      <c r="P169" s="1997">
        <f t="shared" si="17"/>
        <v>75542.400000000009</v>
      </c>
      <c r="Q169" s="1997">
        <v>0</v>
      </c>
      <c r="R169" s="1998">
        <v>75542</v>
      </c>
      <c r="S169" s="1998">
        <v>75542.400000000009</v>
      </c>
      <c r="T169" s="1998">
        <v>0</v>
      </c>
      <c r="U169" s="1998">
        <v>31579.200000000004</v>
      </c>
      <c r="V169" s="1998">
        <v>43963.200000000004</v>
      </c>
      <c r="W169" s="1998">
        <v>75542.400000000009</v>
      </c>
      <c r="X169" s="2012">
        <f t="shared" si="20"/>
        <v>0</v>
      </c>
      <c r="Z169" s="2012">
        <f t="shared" si="21"/>
        <v>75542.400000000009</v>
      </c>
      <c r="AA169" s="1995">
        <v>0</v>
      </c>
      <c r="AB169" s="1995">
        <f t="shared" si="18"/>
        <v>75542.400000000009</v>
      </c>
      <c r="AD169" s="1995">
        <f t="shared" si="19"/>
        <v>75542.400000000009</v>
      </c>
      <c r="AF169" s="1995">
        <f t="shared" si="15"/>
        <v>75542.400000000009</v>
      </c>
      <c r="AG169" s="1994"/>
    </row>
    <row r="170" spans="1:33" hidden="1" x14ac:dyDescent="0.25">
      <c r="A170" s="1994">
        <v>1</v>
      </c>
      <c r="B170" s="1994">
        <v>43601</v>
      </c>
      <c r="C170" s="1994" t="s">
        <v>3710</v>
      </c>
      <c r="D170" s="1994">
        <v>409842</v>
      </c>
      <c r="E170" s="1994" t="s">
        <v>3733</v>
      </c>
      <c r="F170" s="1994" t="s">
        <v>122</v>
      </c>
      <c r="O170" s="1997">
        <f t="shared" si="16"/>
        <v>24963.01</v>
      </c>
      <c r="P170" s="1997">
        <f t="shared" si="17"/>
        <v>24963.01</v>
      </c>
      <c r="Q170" s="1997">
        <v>0</v>
      </c>
      <c r="R170" s="1998">
        <v>49725</v>
      </c>
      <c r="S170" s="1998">
        <v>24963.01</v>
      </c>
      <c r="T170" s="1998">
        <v>-32614</v>
      </c>
      <c r="U170" s="1998">
        <v>41001.81</v>
      </c>
      <c r="V170" s="1998">
        <v>16575.2</v>
      </c>
      <c r="W170" s="1998">
        <v>24963.01</v>
      </c>
      <c r="X170" s="2012">
        <f t="shared" si="20"/>
        <v>0</v>
      </c>
      <c r="Z170" s="2012">
        <f t="shared" si="21"/>
        <v>57577.009999999995</v>
      </c>
      <c r="AA170" s="1995">
        <v>0</v>
      </c>
      <c r="AB170" s="1995">
        <f t="shared" si="18"/>
        <v>24963.01</v>
      </c>
      <c r="AD170" s="1995">
        <f t="shared" si="19"/>
        <v>24963.01</v>
      </c>
      <c r="AF170" s="1995">
        <f t="shared" si="15"/>
        <v>24963.01</v>
      </c>
      <c r="AG170" s="1994"/>
    </row>
    <row r="171" spans="1:33" hidden="1" x14ac:dyDescent="0.25">
      <c r="A171" s="1994">
        <v>1</v>
      </c>
      <c r="B171" s="1994">
        <v>43606</v>
      </c>
      <c r="C171" s="1994" t="s">
        <v>1906</v>
      </c>
      <c r="D171" s="1994">
        <v>409901</v>
      </c>
      <c r="E171" s="1994" t="s">
        <v>1276</v>
      </c>
      <c r="F171" s="1994" t="s">
        <v>3734</v>
      </c>
      <c r="O171" s="1997">
        <f t="shared" si="16"/>
        <v>2653</v>
      </c>
      <c r="P171" s="1997">
        <f t="shared" si="17"/>
        <v>2653</v>
      </c>
      <c r="Q171" s="1997">
        <v>0</v>
      </c>
      <c r="R171" s="1998">
        <v>2653</v>
      </c>
      <c r="S171" s="1998">
        <v>2653</v>
      </c>
      <c r="T171" s="1998">
        <v>-2458</v>
      </c>
      <c r="U171" s="1998">
        <v>0</v>
      </c>
      <c r="V171" s="1998">
        <v>5111</v>
      </c>
      <c r="W171" s="1998">
        <v>2653</v>
      </c>
      <c r="X171" s="2012">
        <f t="shared" si="20"/>
        <v>0</v>
      </c>
      <c r="Z171" s="2012">
        <f t="shared" si="21"/>
        <v>5111</v>
      </c>
      <c r="AA171" s="1995">
        <v>0</v>
      </c>
      <c r="AB171" s="1995">
        <f t="shared" si="18"/>
        <v>2653</v>
      </c>
      <c r="AD171" s="1995">
        <f t="shared" si="19"/>
        <v>2653</v>
      </c>
      <c r="AF171" s="1995">
        <f t="shared" si="15"/>
        <v>2653</v>
      </c>
      <c r="AG171" s="1994"/>
    </row>
    <row r="172" spans="1:33" hidden="1" x14ac:dyDescent="0.25">
      <c r="A172" s="1994">
        <v>1</v>
      </c>
      <c r="B172" s="1994">
        <v>43601</v>
      </c>
      <c r="C172" s="1994" t="s">
        <v>3870</v>
      </c>
      <c r="D172" s="1994">
        <v>410099</v>
      </c>
      <c r="E172" s="1994" t="s">
        <v>1724</v>
      </c>
      <c r="F172" s="1994" t="s">
        <v>657</v>
      </c>
      <c r="O172" s="1997">
        <f t="shared" si="16"/>
        <v>91047.87</v>
      </c>
      <c r="P172" s="1997">
        <f t="shared" si="17"/>
        <v>91047.87</v>
      </c>
      <c r="Q172" s="1997">
        <v>0</v>
      </c>
      <c r="R172" s="1998">
        <v>90863</v>
      </c>
      <c r="S172" s="1998">
        <v>91047.87</v>
      </c>
      <c r="T172" s="1998">
        <v>0</v>
      </c>
      <c r="U172" s="1998">
        <v>30472.41</v>
      </c>
      <c r="V172" s="1998">
        <v>60575.46</v>
      </c>
      <c r="W172" s="1998">
        <v>91047.87</v>
      </c>
      <c r="X172" s="2012">
        <f t="shared" si="20"/>
        <v>0</v>
      </c>
      <c r="Z172" s="2012">
        <f t="shared" si="21"/>
        <v>91047.87</v>
      </c>
      <c r="AA172" s="1995">
        <v>0</v>
      </c>
      <c r="AB172" s="1995">
        <f t="shared" si="18"/>
        <v>91047.87</v>
      </c>
      <c r="AD172" s="1995">
        <f t="shared" si="19"/>
        <v>91047.87</v>
      </c>
      <c r="AF172" s="1995">
        <f t="shared" si="15"/>
        <v>91047.87</v>
      </c>
      <c r="AG172" s="1994" t="s">
        <v>3735</v>
      </c>
    </row>
    <row r="173" spans="1:33" hidden="1" x14ac:dyDescent="0.25">
      <c r="A173" s="1994">
        <v>1</v>
      </c>
      <c r="B173" s="1994">
        <v>43601</v>
      </c>
      <c r="C173" s="1994" t="s">
        <v>3864</v>
      </c>
      <c r="D173" s="1994">
        <v>410144</v>
      </c>
      <c r="E173" s="1994" t="s">
        <v>3736</v>
      </c>
      <c r="F173" s="1994" t="s">
        <v>132</v>
      </c>
      <c r="O173" s="1997">
        <f t="shared" si="16"/>
        <v>52850.259999999995</v>
      </c>
      <c r="P173" s="1997">
        <f t="shared" si="17"/>
        <v>52850.259999999995</v>
      </c>
      <c r="Q173" s="1997">
        <v>0</v>
      </c>
      <c r="R173" s="1998">
        <v>58067</v>
      </c>
      <c r="S173" s="1998">
        <v>52850.259999999995</v>
      </c>
      <c r="T173" s="1998">
        <v>0</v>
      </c>
      <c r="U173" s="1998">
        <v>33494.659999999996</v>
      </c>
      <c r="V173" s="1998">
        <v>19355.599999999999</v>
      </c>
      <c r="W173" s="1998">
        <v>52850.259999999995</v>
      </c>
      <c r="X173" s="2012">
        <f t="shared" si="20"/>
        <v>0</v>
      </c>
      <c r="Z173" s="2012">
        <f t="shared" si="21"/>
        <v>52850.259999999995</v>
      </c>
      <c r="AA173" s="1995">
        <v>0</v>
      </c>
      <c r="AB173" s="1995">
        <f t="shared" si="18"/>
        <v>52850.259999999995</v>
      </c>
      <c r="AD173" s="1995">
        <f t="shared" si="19"/>
        <v>52850.259999999995</v>
      </c>
      <c r="AF173" s="1995">
        <f t="shared" si="15"/>
        <v>52850.259999999995</v>
      </c>
      <c r="AG173" s="1994"/>
    </row>
    <row r="174" spans="1:33" hidden="1" x14ac:dyDescent="0.25">
      <c r="A174" s="1994">
        <v>1</v>
      </c>
      <c r="B174" s="1994">
        <v>43601</v>
      </c>
      <c r="C174" s="1994" t="s">
        <v>3867</v>
      </c>
      <c r="D174" s="1994">
        <v>410725</v>
      </c>
      <c r="E174" s="1994" t="s">
        <v>221</v>
      </c>
      <c r="F174" s="1994" t="s">
        <v>220</v>
      </c>
      <c r="O174" s="1997">
        <f t="shared" si="16"/>
        <v>31520</v>
      </c>
      <c r="P174" s="1997">
        <f t="shared" si="17"/>
        <v>31520</v>
      </c>
      <c r="Q174" s="1997">
        <v>0</v>
      </c>
      <c r="R174" s="1998">
        <v>47280</v>
      </c>
      <c r="S174" s="1998">
        <v>31520</v>
      </c>
      <c r="T174" s="1998">
        <v>0</v>
      </c>
      <c r="U174" s="1998">
        <v>15760</v>
      </c>
      <c r="V174" s="1998">
        <v>15760</v>
      </c>
      <c r="W174" s="1998">
        <v>31520</v>
      </c>
      <c r="X174" s="2012">
        <f t="shared" si="20"/>
        <v>0</v>
      </c>
      <c r="Z174" s="2012">
        <f t="shared" si="21"/>
        <v>31520</v>
      </c>
      <c r="AA174" s="1995">
        <v>0</v>
      </c>
      <c r="AB174" s="1995">
        <f t="shared" si="18"/>
        <v>31520</v>
      </c>
      <c r="AD174" s="1995">
        <f t="shared" si="19"/>
        <v>31520</v>
      </c>
      <c r="AF174" s="1995">
        <f t="shared" si="15"/>
        <v>31520</v>
      </c>
      <c r="AG174" s="1994"/>
    </row>
    <row r="175" spans="1:33" hidden="1" x14ac:dyDescent="0.25">
      <c r="A175" s="1994">
        <v>1</v>
      </c>
      <c r="B175" s="1994">
        <v>43601</v>
      </c>
      <c r="C175" s="1994" t="s">
        <v>3854</v>
      </c>
      <c r="D175" s="1994">
        <v>410809</v>
      </c>
      <c r="E175" s="1994" t="s">
        <v>2285</v>
      </c>
      <c r="F175" s="1994" t="s">
        <v>3737</v>
      </c>
      <c r="O175" s="1997">
        <f t="shared" si="16"/>
        <v>39720</v>
      </c>
      <c r="P175" s="1997">
        <f t="shared" si="17"/>
        <v>39720</v>
      </c>
      <c r="Q175" s="1997">
        <v>13240</v>
      </c>
      <c r="R175" s="1998">
        <v>38400</v>
      </c>
      <c r="S175" s="1998">
        <v>26480</v>
      </c>
      <c r="T175" s="1998">
        <v>0</v>
      </c>
      <c r="U175" s="1998">
        <v>0</v>
      </c>
      <c r="V175" s="1998">
        <v>26480</v>
      </c>
      <c r="W175" s="1998">
        <v>26480</v>
      </c>
      <c r="X175" s="2012">
        <f t="shared" si="20"/>
        <v>0</v>
      </c>
      <c r="Z175" s="2012">
        <f t="shared" si="21"/>
        <v>26480</v>
      </c>
      <c r="AA175" s="1995">
        <v>13240</v>
      </c>
      <c r="AB175" s="1995">
        <f t="shared" si="18"/>
        <v>39720</v>
      </c>
      <c r="AD175" s="1995">
        <f t="shared" si="19"/>
        <v>39720</v>
      </c>
      <c r="AF175" s="1995">
        <f t="shared" si="15"/>
        <v>39720</v>
      </c>
      <c r="AG175" s="1994"/>
    </row>
    <row r="176" spans="1:33" hidden="1" x14ac:dyDescent="0.25">
      <c r="A176" s="1994">
        <v>1</v>
      </c>
      <c r="B176" s="1994">
        <v>43601</v>
      </c>
      <c r="C176" s="1994" t="s">
        <v>3869</v>
      </c>
      <c r="D176" s="1994">
        <v>411810</v>
      </c>
      <c r="E176" s="1994" t="s">
        <v>581</v>
      </c>
      <c r="F176" s="1994" t="s">
        <v>578</v>
      </c>
      <c r="O176" s="1997">
        <f t="shared" si="16"/>
        <v>35613.32</v>
      </c>
      <c r="P176" s="1997">
        <f t="shared" si="17"/>
        <v>35613.32</v>
      </c>
      <c r="Q176" s="1997">
        <v>0</v>
      </c>
      <c r="R176" s="1998">
        <v>53420</v>
      </c>
      <c r="S176" s="1998">
        <v>35613.32</v>
      </c>
      <c r="T176" s="1998">
        <v>0</v>
      </c>
      <c r="U176" s="1998">
        <v>17806.66</v>
      </c>
      <c r="V176" s="1998">
        <v>17806.66</v>
      </c>
      <c r="W176" s="1998">
        <v>35613.32</v>
      </c>
      <c r="X176" s="2012">
        <f t="shared" si="20"/>
        <v>0</v>
      </c>
      <c r="Z176" s="2012">
        <f t="shared" si="21"/>
        <v>35613.32</v>
      </c>
      <c r="AA176" s="1995">
        <v>0</v>
      </c>
      <c r="AB176" s="1995">
        <f t="shared" si="18"/>
        <v>35613.32</v>
      </c>
      <c r="AD176" s="1995">
        <f t="shared" si="19"/>
        <v>35613.32</v>
      </c>
      <c r="AF176" s="1995">
        <f t="shared" si="15"/>
        <v>35613.32</v>
      </c>
    </row>
    <row r="177" spans="1:33" hidden="1" x14ac:dyDescent="0.25">
      <c r="A177" s="1994">
        <v>1</v>
      </c>
      <c r="B177" s="1994">
        <v>43601</v>
      </c>
      <c r="C177" s="1994" t="s">
        <v>3874</v>
      </c>
      <c r="D177" s="1994">
        <v>412275</v>
      </c>
      <c r="E177" s="1994" t="s">
        <v>3738</v>
      </c>
      <c r="F177" s="1994" t="s">
        <v>420</v>
      </c>
      <c r="O177" s="1997">
        <f t="shared" si="16"/>
        <v>87837</v>
      </c>
      <c r="P177" s="1997">
        <f t="shared" si="17"/>
        <v>87837</v>
      </c>
      <c r="Q177" s="1997">
        <v>0</v>
      </c>
      <c r="R177" s="1998">
        <v>87837</v>
      </c>
      <c r="S177" s="1998">
        <v>87837</v>
      </c>
      <c r="T177" s="1998">
        <v>0</v>
      </c>
      <c r="U177" s="1998">
        <v>58558</v>
      </c>
      <c r="V177" s="1998">
        <v>29279</v>
      </c>
      <c r="W177" s="1998">
        <v>87837</v>
      </c>
      <c r="X177" s="2012">
        <f t="shared" si="20"/>
        <v>0</v>
      </c>
      <c r="Z177" s="2012">
        <f t="shared" si="21"/>
        <v>87837</v>
      </c>
      <c r="AA177" s="1995">
        <v>0</v>
      </c>
      <c r="AB177" s="1995">
        <f t="shared" si="18"/>
        <v>87837</v>
      </c>
      <c r="AD177" s="1995">
        <f t="shared" si="19"/>
        <v>87837</v>
      </c>
      <c r="AF177" s="1995">
        <f t="shared" si="15"/>
        <v>87837</v>
      </c>
      <c r="AG177" s="1994"/>
    </row>
    <row r="178" spans="1:33" hidden="1" x14ac:dyDescent="0.25">
      <c r="A178" s="1994">
        <v>1</v>
      </c>
      <c r="B178" s="1994">
        <v>43601</v>
      </c>
      <c r="C178" s="1994" t="s">
        <v>3881</v>
      </c>
      <c r="D178" s="1994">
        <v>412297</v>
      </c>
      <c r="E178" s="1994" t="s">
        <v>112</v>
      </c>
      <c r="F178" s="1994" t="s">
        <v>556</v>
      </c>
      <c r="O178" s="1997">
        <f t="shared" si="16"/>
        <v>66952.98</v>
      </c>
      <c r="P178" s="1997">
        <f t="shared" si="17"/>
        <v>66952.98</v>
      </c>
      <c r="Q178" s="1997">
        <v>0</v>
      </c>
      <c r="R178" s="1998">
        <v>66953</v>
      </c>
      <c r="S178" s="1998">
        <v>66952.98</v>
      </c>
      <c r="T178" s="1998">
        <v>0</v>
      </c>
      <c r="U178" s="1998">
        <v>27988.54</v>
      </c>
      <c r="V178" s="1998">
        <v>38964.439999999995</v>
      </c>
      <c r="W178" s="1998">
        <v>66952.98</v>
      </c>
      <c r="X178" s="2012">
        <f t="shared" si="20"/>
        <v>0</v>
      </c>
      <c r="Z178" s="2012">
        <f t="shared" si="21"/>
        <v>66952.98</v>
      </c>
      <c r="AA178" s="1995">
        <v>0</v>
      </c>
      <c r="AB178" s="1995">
        <f t="shared" si="18"/>
        <v>66952.98</v>
      </c>
      <c r="AD178" s="1995">
        <f t="shared" si="19"/>
        <v>66952.98</v>
      </c>
      <c r="AF178" s="1995">
        <f t="shared" si="15"/>
        <v>66952.98</v>
      </c>
      <c r="AG178" s="1994"/>
    </row>
    <row r="179" spans="1:33" hidden="1" x14ac:dyDescent="0.25">
      <c r="A179" s="1994">
        <v>1</v>
      </c>
      <c r="B179" s="1994">
        <v>43601</v>
      </c>
      <c r="C179" s="1994" t="s">
        <v>3865</v>
      </c>
      <c r="D179" s="1994">
        <v>412373</v>
      </c>
      <c r="E179" s="1994" t="s">
        <v>3739</v>
      </c>
      <c r="F179" s="1994" t="s">
        <v>713</v>
      </c>
      <c r="O179" s="1997">
        <f t="shared" si="16"/>
        <v>63109.380000000005</v>
      </c>
      <c r="P179" s="1997">
        <f t="shared" si="17"/>
        <v>63109.380000000005</v>
      </c>
      <c r="Q179" s="1997">
        <v>0</v>
      </c>
      <c r="R179" s="1998">
        <v>63109</v>
      </c>
      <c r="S179" s="1998">
        <v>63109.380000000005</v>
      </c>
      <c r="T179" s="1998">
        <v>0</v>
      </c>
      <c r="U179" s="1998">
        <v>26381.79</v>
      </c>
      <c r="V179" s="1998">
        <v>36727.590000000004</v>
      </c>
      <c r="W179" s="1998">
        <v>63109.380000000005</v>
      </c>
      <c r="X179" s="2012">
        <f t="shared" si="20"/>
        <v>0</v>
      </c>
      <c r="Z179" s="2012">
        <f t="shared" si="21"/>
        <v>63109.380000000005</v>
      </c>
      <c r="AA179" s="1995">
        <v>0</v>
      </c>
      <c r="AB179" s="1995">
        <f t="shared" si="18"/>
        <v>63109.380000000005</v>
      </c>
      <c r="AD179" s="1995">
        <f t="shared" si="19"/>
        <v>63109.380000000005</v>
      </c>
      <c r="AF179" s="1995">
        <f t="shared" si="15"/>
        <v>63109.380000000005</v>
      </c>
      <c r="AG179" s="1994"/>
    </row>
    <row r="180" spans="1:33" hidden="1" x14ac:dyDescent="0.25">
      <c r="A180" s="1994">
        <v>1</v>
      </c>
      <c r="B180" s="1994">
        <v>43601</v>
      </c>
      <c r="C180" s="1994" t="s">
        <v>3881</v>
      </c>
      <c r="D180" s="1994">
        <v>413778</v>
      </c>
      <c r="E180" s="1994" t="s">
        <v>2150</v>
      </c>
      <c r="F180" s="1994" t="s">
        <v>95</v>
      </c>
      <c r="O180" s="1997">
        <f t="shared" si="16"/>
        <v>86085.13</v>
      </c>
      <c r="P180" s="1997">
        <f t="shared" si="17"/>
        <v>86085.13</v>
      </c>
      <c r="Q180" s="1997">
        <v>0</v>
      </c>
      <c r="R180" s="1998">
        <v>65243</v>
      </c>
      <c r="S180" s="1998">
        <v>86085.13</v>
      </c>
      <c r="T180" s="1998">
        <v>0</v>
      </c>
      <c r="U180" s="1998">
        <v>53463.49</v>
      </c>
      <c r="V180" s="1998">
        <v>32621.64</v>
      </c>
      <c r="W180" s="1998">
        <v>86085.13</v>
      </c>
      <c r="X180" s="2012">
        <f t="shared" si="20"/>
        <v>0</v>
      </c>
      <c r="Z180" s="2012">
        <f t="shared" si="21"/>
        <v>86085.13</v>
      </c>
      <c r="AA180" s="1995">
        <v>0</v>
      </c>
      <c r="AB180" s="1995">
        <f t="shared" si="18"/>
        <v>86085.13</v>
      </c>
      <c r="AD180" s="1995">
        <f t="shared" si="19"/>
        <v>86085.13</v>
      </c>
      <c r="AF180" s="1995">
        <f t="shared" si="15"/>
        <v>86085.13</v>
      </c>
      <c r="AG180" s="1994"/>
    </row>
    <row r="181" spans="1:33" hidden="1" x14ac:dyDescent="0.25">
      <c r="A181" s="1994">
        <v>1</v>
      </c>
      <c r="B181" s="1994">
        <v>43601</v>
      </c>
      <c r="C181" s="1994" t="s">
        <v>3881</v>
      </c>
      <c r="D181" s="1994">
        <v>413943</v>
      </c>
      <c r="E181" s="1994" t="s">
        <v>907</v>
      </c>
      <c r="F181" s="1994" t="s">
        <v>798</v>
      </c>
      <c r="O181" s="1997">
        <f t="shared" si="16"/>
        <v>62173.19</v>
      </c>
      <c r="P181" s="1997">
        <f t="shared" si="17"/>
        <v>62173.19</v>
      </c>
      <c r="Q181" s="1997">
        <v>0</v>
      </c>
      <c r="R181" s="1998">
        <v>62173</v>
      </c>
      <c r="S181" s="1998">
        <v>62173.19</v>
      </c>
      <c r="T181" s="1998">
        <v>0</v>
      </c>
      <c r="U181" s="1998">
        <v>24218.629999999997</v>
      </c>
      <c r="V181" s="1998">
        <v>37954.560000000005</v>
      </c>
      <c r="W181" s="1998">
        <v>62173.19</v>
      </c>
      <c r="X181" s="2012">
        <f t="shared" si="20"/>
        <v>0</v>
      </c>
      <c r="Z181" s="2012">
        <f t="shared" si="21"/>
        <v>62173.19</v>
      </c>
      <c r="AA181" s="1995">
        <v>0</v>
      </c>
      <c r="AB181" s="1995">
        <f t="shared" si="18"/>
        <v>62173.19</v>
      </c>
      <c r="AD181" s="1995">
        <f t="shared" si="19"/>
        <v>62173.19</v>
      </c>
      <c r="AF181" s="1995">
        <f t="shared" si="15"/>
        <v>62173.19</v>
      </c>
      <c r="AG181" s="1994"/>
    </row>
    <row r="182" spans="1:33" hidden="1" x14ac:dyDescent="0.25">
      <c r="A182" s="1994">
        <v>1</v>
      </c>
      <c r="B182" s="1994">
        <v>43601</v>
      </c>
      <c r="C182" s="1994" t="s">
        <v>3659</v>
      </c>
      <c r="D182" s="1994">
        <v>414050</v>
      </c>
      <c r="E182" s="1994" t="s">
        <v>2214</v>
      </c>
      <c r="F182" s="1994" t="s">
        <v>519</v>
      </c>
      <c r="O182" s="1997">
        <f t="shared" si="16"/>
        <v>51677</v>
      </c>
      <c r="P182" s="1997">
        <f t="shared" si="17"/>
        <v>51677</v>
      </c>
      <c r="Q182" s="1997">
        <v>0</v>
      </c>
      <c r="R182" s="1998">
        <v>53524</v>
      </c>
      <c r="S182" s="1998">
        <v>51677</v>
      </c>
      <c r="T182" s="1998">
        <v>0</v>
      </c>
      <c r="U182" s="1998">
        <v>33835.67</v>
      </c>
      <c r="V182" s="1998">
        <v>17841.330000000002</v>
      </c>
      <c r="W182" s="1998">
        <v>51677</v>
      </c>
      <c r="X182" s="2012">
        <f t="shared" si="20"/>
        <v>0</v>
      </c>
      <c r="Z182" s="2012">
        <f t="shared" si="21"/>
        <v>51677</v>
      </c>
      <c r="AA182" s="1995">
        <v>0</v>
      </c>
      <c r="AB182" s="1995">
        <f t="shared" si="18"/>
        <v>51677</v>
      </c>
      <c r="AD182" s="1995">
        <f t="shared" si="19"/>
        <v>51677</v>
      </c>
      <c r="AF182" s="1995">
        <f t="shared" si="15"/>
        <v>51677</v>
      </c>
      <c r="AG182" s="1994"/>
    </row>
    <row r="183" spans="1:33" hidden="1" x14ac:dyDescent="0.25">
      <c r="A183" s="1994">
        <v>1</v>
      </c>
      <c r="B183" s="1994">
        <v>43601</v>
      </c>
      <c r="C183" s="1994" t="s">
        <v>3861</v>
      </c>
      <c r="D183" s="1994">
        <v>414157</v>
      </c>
      <c r="E183" s="1994" t="s">
        <v>2166</v>
      </c>
      <c r="F183" s="1994" t="s">
        <v>742</v>
      </c>
      <c r="O183" s="1997">
        <f t="shared" si="16"/>
        <v>33207</v>
      </c>
      <c r="P183" s="1997">
        <f t="shared" si="17"/>
        <v>33207</v>
      </c>
      <c r="Q183" s="1997">
        <v>0</v>
      </c>
      <c r="R183" s="1998">
        <v>33207</v>
      </c>
      <c r="S183" s="1998">
        <v>33207</v>
      </c>
      <c r="T183" s="1998">
        <v>0</v>
      </c>
      <c r="U183" s="1998">
        <v>11069</v>
      </c>
      <c r="V183" s="1998">
        <v>22138</v>
      </c>
      <c r="W183" s="1998">
        <v>33207</v>
      </c>
      <c r="X183" s="2012">
        <f t="shared" si="20"/>
        <v>0</v>
      </c>
      <c r="Z183" s="2012">
        <f t="shared" si="21"/>
        <v>33207</v>
      </c>
      <c r="AA183" s="1995">
        <v>0</v>
      </c>
      <c r="AB183" s="1995">
        <f t="shared" si="18"/>
        <v>33207</v>
      </c>
      <c r="AD183" s="1995">
        <f t="shared" si="19"/>
        <v>33207</v>
      </c>
      <c r="AF183" s="1995">
        <f t="shared" si="15"/>
        <v>33207</v>
      </c>
      <c r="AG183" s="1994"/>
    </row>
    <row r="184" spans="1:33" hidden="1" x14ac:dyDescent="0.25">
      <c r="A184" s="1994">
        <v>1</v>
      </c>
      <c r="B184" s="1994">
        <v>43601</v>
      </c>
      <c r="C184" s="1994" t="s">
        <v>3871</v>
      </c>
      <c r="D184" s="1994">
        <v>415261</v>
      </c>
      <c r="E184" s="1994" t="s">
        <v>2590</v>
      </c>
      <c r="F184" s="1994" t="s">
        <v>381</v>
      </c>
      <c r="O184" s="1997">
        <f t="shared" si="16"/>
        <v>79375.53</v>
      </c>
      <c r="P184" s="1997">
        <f t="shared" si="17"/>
        <v>79375.53</v>
      </c>
      <c r="Q184" s="1997">
        <v>0</v>
      </c>
      <c r="R184" s="1998">
        <v>79376</v>
      </c>
      <c r="S184" s="1998">
        <v>79375.53</v>
      </c>
      <c r="T184" s="1998">
        <v>0</v>
      </c>
      <c r="U184" s="1998">
        <v>52917.02</v>
      </c>
      <c r="V184" s="1998">
        <v>26458.51</v>
      </c>
      <c r="W184" s="1998">
        <v>79375.53</v>
      </c>
      <c r="X184" s="2012">
        <f t="shared" si="20"/>
        <v>0</v>
      </c>
      <c r="Z184" s="2012">
        <f t="shared" si="21"/>
        <v>79375.53</v>
      </c>
      <c r="AA184" s="1995">
        <v>0</v>
      </c>
      <c r="AB184" s="1995">
        <f t="shared" si="18"/>
        <v>79375.53</v>
      </c>
      <c r="AD184" s="1995">
        <f t="shared" si="19"/>
        <v>79375.53</v>
      </c>
      <c r="AF184" s="1995">
        <f t="shared" si="15"/>
        <v>79375.53</v>
      </c>
      <c r="AG184" s="1994"/>
    </row>
    <row r="185" spans="1:33" hidden="1" x14ac:dyDescent="0.25">
      <c r="A185" s="1994">
        <v>1</v>
      </c>
      <c r="B185" s="1994">
        <v>43601</v>
      </c>
      <c r="C185" s="1994" t="s">
        <v>3904</v>
      </c>
      <c r="D185" s="1994">
        <v>415936</v>
      </c>
      <c r="E185" s="1994" t="s">
        <v>1775</v>
      </c>
      <c r="F185" s="1994" t="s">
        <v>506</v>
      </c>
      <c r="O185" s="1997">
        <f t="shared" si="16"/>
        <v>59113.333333333336</v>
      </c>
      <c r="P185" s="1997">
        <f t="shared" si="17"/>
        <v>59113.333333333336</v>
      </c>
      <c r="Q185" s="1997">
        <v>0</v>
      </c>
      <c r="R185" s="1998">
        <v>88670</v>
      </c>
      <c r="S185" s="1998">
        <v>59113.333333333336</v>
      </c>
      <c r="T185" s="1998">
        <v>0</v>
      </c>
      <c r="U185" s="1998">
        <v>0</v>
      </c>
      <c r="V185" s="1998">
        <v>59113.333333333336</v>
      </c>
      <c r="W185" s="1998">
        <v>59113.333333333336</v>
      </c>
      <c r="X185" s="2012">
        <f t="shared" si="20"/>
        <v>0</v>
      </c>
      <c r="Z185" s="2012">
        <f t="shared" si="21"/>
        <v>59113.333333333336</v>
      </c>
      <c r="AA185" s="1995">
        <v>0</v>
      </c>
      <c r="AB185" s="1995">
        <f t="shared" si="18"/>
        <v>59113.333333333336</v>
      </c>
      <c r="AD185" s="1995">
        <f t="shared" si="19"/>
        <v>59113.333333333336</v>
      </c>
      <c r="AF185" s="1995">
        <f t="shared" si="15"/>
        <v>59113.333333333336</v>
      </c>
      <c r="AG185" s="1994"/>
    </row>
    <row r="186" spans="1:33" hidden="1" x14ac:dyDescent="0.25">
      <c r="A186" s="1994">
        <v>1</v>
      </c>
      <c r="B186" s="1994">
        <v>43601</v>
      </c>
      <c r="C186" s="1994" t="s">
        <v>3870</v>
      </c>
      <c r="D186" s="1994">
        <v>416114</v>
      </c>
      <c r="E186" s="1994" t="s">
        <v>100</v>
      </c>
      <c r="F186" s="1994" t="s">
        <v>217</v>
      </c>
      <c r="O186" s="1997">
        <f t="shared" si="16"/>
        <v>81669</v>
      </c>
      <c r="P186" s="1997">
        <f t="shared" si="17"/>
        <v>81669</v>
      </c>
      <c r="Q186" s="1997">
        <v>0</v>
      </c>
      <c r="R186" s="1998">
        <v>81669</v>
      </c>
      <c r="S186" s="1998">
        <v>81669</v>
      </c>
      <c r="T186" s="1998">
        <v>0</v>
      </c>
      <c r="U186" s="1998">
        <v>27223</v>
      </c>
      <c r="V186" s="1998">
        <v>54446</v>
      </c>
      <c r="W186" s="1998">
        <v>81669</v>
      </c>
      <c r="X186" s="2012">
        <f t="shared" si="20"/>
        <v>0</v>
      </c>
      <c r="Z186" s="2012">
        <f t="shared" si="21"/>
        <v>81669</v>
      </c>
      <c r="AA186" s="1995">
        <v>0</v>
      </c>
      <c r="AB186" s="1995">
        <f t="shared" si="18"/>
        <v>81669</v>
      </c>
      <c r="AD186" s="1995">
        <f t="shared" si="19"/>
        <v>81669</v>
      </c>
      <c r="AF186" s="1995">
        <f t="shared" si="15"/>
        <v>81669</v>
      </c>
      <c r="AG186" s="1994"/>
    </row>
    <row r="187" spans="1:33" hidden="1" x14ac:dyDescent="0.25">
      <c r="A187" s="1994">
        <v>1</v>
      </c>
      <c r="B187" s="1994">
        <v>43601</v>
      </c>
      <c r="C187" s="1994" t="s">
        <v>3798</v>
      </c>
      <c r="D187" s="1994">
        <v>416910</v>
      </c>
      <c r="E187" s="1994" t="s">
        <v>308</v>
      </c>
      <c r="F187" s="1994" t="s">
        <v>307</v>
      </c>
      <c r="O187" s="1997">
        <f t="shared" si="16"/>
        <v>97500</v>
      </c>
      <c r="P187" s="1997">
        <f t="shared" si="17"/>
        <v>97500</v>
      </c>
      <c r="Q187" s="1997">
        <v>0</v>
      </c>
      <c r="R187" s="1998">
        <v>82500</v>
      </c>
      <c r="S187" s="1998">
        <v>97500</v>
      </c>
      <c r="T187" s="1998">
        <v>0</v>
      </c>
      <c r="U187" s="1998">
        <v>42500</v>
      </c>
      <c r="V187" s="1998">
        <v>55000</v>
      </c>
      <c r="W187" s="1998">
        <v>97500</v>
      </c>
      <c r="X187" s="2012">
        <f t="shared" si="20"/>
        <v>0</v>
      </c>
      <c r="Z187" s="2012">
        <f t="shared" si="21"/>
        <v>97500</v>
      </c>
      <c r="AA187" s="1995">
        <v>0</v>
      </c>
      <c r="AB187" s="1995">
        <f t="shared" si="18"/>
        <v>97500</v>
      </c>
      <c r="AD187" s="1995">
        <f t="shared" si="19"/>
        <v>97500</v>
      </c>
      <c r="AF187" s="1995">
        <f t="shared" si="15"/>
        <v>97500</v>
      </c>
      <c r="AG187" s="1994"/>
    </row>
    <row r="188" spans="1:33" hidden="1" x14ac:dyDescent="0.25">
      <c r="A188" s="1994">
        <v>1</v>
      </c>
      <c r="B188" s="1994">
        <v>43601</v>
      </c>
      <c r="C188" s="1994" t="s">
        <v>3871</v>
      </c>
      <c r="D188" s="1994">
        <v>418510</v>
      </c>
      <c r="E188" s="1994" t="s">
        <v>3740</v>
      </c>
      <c r="F188" s="1994" t="s">
        <v>3741</v>
      </c>
      <c r="O188" s="1997">
        <f t="shared" si="16"/>
        <v>95095.77</v>
      </c>
      <c r="P188" s="1997">
        <f t="shared" si="17"/>
        <v>95095.77</v>
      </c>
      <c r="Q188" s="1997">
        <v>0</v>
      </c>
      <c r="R188" s="1998">
        <v>95096</v>
      </c>
      <c r="S188" s="1998">
        <v>95095.77</v>
      </c>
      <c r="T188" s="1998">
        <v>0</v>
      </c>
      <c r="U188" s="1998">
        <v>63397.18</v>
      </c>
      <c r="V188" s="1998">
        <v>31698.59</v>
      </c>
      <c r="W188" s="1998">
        <v>95095.77</v>
      </c>
      <c r="X188" s="2012">
        <f t="shared" si="20"/>
        <v>0</v>
      </c>
      <c r="Z188" s="2012">
        <f t="shared" si="21"/>
        <v>95095.77</v>
      </c>
      <c r="AA188" s="1995">
        <v>0</v>
      </c>
      <c r="AB188" s="1995">
        <f t="shared" si="18"/>
        <v>95095.77</v>
      </c>
      <c r="AD188" s="1995">
        <f t="shared" si="19"/>
        <v>95095.77</v>
      </c>
      <c r="AF188" s="1995">
        <f t="shared" si="15"/>
        <v>95095.77</v>
      </c>
      <c r="AG188" s="1994"/>
    </row>
    <row r="189" spans="1:33" hidden="1" x14ac:dyDescent="0.25">
      <c r="A189" s="1994">
        <v>1</v>
      </c>
      <c r="B189" s="1994">
        <v>43601</v>
      </c>
      <c r="C189" s="1994" t="s">
        <v>3874</v>
      </c>
      <c r="D189" s="1994">
        <v>418518</v>
      </c>
      <c r="E189" s="1994" t="s">
        <v>3742</v>
      </c>
      <c r="F189" s="1994" t="s">
        <v>462</v>
      </c>
      <c r="O189" s="1997">
        <f t="shared" si="16"/>
        <v>80445.47</v>
      </c>
      <c r="P189" s="1997">
        <f t="shared" si="17"/>
        <v>80445.47</v>
      </c>
      <c r="Q189" s="1997">
        <v>0</v>
      </c>
      <c r="R189" s="1998">
        <v>95529</v>
      </c>
      <c r="S189" s="1998">
        <v>80445.47</v>
      </c>
      <c r="T189" s="1998">
        <v>-15083.53</v>
      </c>
      <c r="U189" s="1998">
        <v>63686</v>
      </c>
      <c r="V189" s="1998">
        <v>31843</v>
      </c>
      <c r="W189" s="1998">
        <v>80445.47</v>
      </c>
      <c r="X189" s="2012">
        <f t="shared" si="20"/>
        <v>0</v>
      </c>
      <c r="Z189" s="2012">
        <f t="shared" si="21"/>
        <v>95529</v>
      </c>
      <c r="AA189" s="1995">
        <v>0</v>
      </c>
      <c r="AB189" s="1995">
        <f t="shared" si="18"/>
        <v>80445.47</v>
      </c>
      <c r="AD189" s="1995">
        <f t="shared" si="19"/>
        <v>80445.47</v>
      </c>
      <c r="AF189" s="1995">
        <f t="shared" si="15"/>
        <v>80445.47</v>
      </c>
      <c r="AG189" s="1994"/>
    </row>
    <row r="190" spans="1:33" hidden="1" x14ac:dyDescent="0.25">
      <c r="A190" s="1994">
        <v>1</v>
      </c>
      <c r="B190" s="1994">
        <v>43601</v>
      </c>
      <c r="C190" s="1994" t="s">
        <v>3798</v>
      </c>
      <c r="D190" s="1994">
        <v>419093</v>
      </c>
      <c r="E190" s="1994" t="s">
        <v>339</v>
      </c>
      <c r="F190" s="1994" t="s">
        <v>1377</v>
      </c>
      <c r="O190" s="1997">
        <f t="shared" si="16"/>
        <v>75000</v>
      </c>
      <c r="P190" s="1997">
        <f t="shared" si="17"/>
        <v>75000</v>
      </c>
      <c r="Q190" s="1997">
        <v>0</v>
      </c>
      <c r="R190" s="1998">
        <v>90000</v>
      </c>
      <c r="S190" s="1998">
        <v>75000</v>
      </c>
      <c r="T190" s="1998">
        <v>0</v>
      </c>
      <c r="U190" s="1998">
        <v>45000</v>
      </c>
      <c r="V190" s="1998">
        <v>30000</v>
      </c>
      <c r="W190" s="1998">
        <v>75000</v>
      </c>
      <c r="X190" s="2012">
        <f t="shared" si="20"/>
        <v>0</v>
      </c>
      <c r="Z190" s="2012">
        <f t="shared" si="21"/>
        <v>75000</v>
      </c>
      <c r="AA190" s="1995">
        <v>0</v>
      </c>
      <c r="AB190" s="1995">
        <f t="shared" si="18"/>
        <v>75000</v>
      </c>
      <c r="AD190" s="1995">
        <f t="shared" si="19"/>
        <v>75000</v>
      </c>
      <c r="AF190" s="1995">
        <f t="shared" si="15"/>
        <v>75000</v>
      </c>
      <c r="AG190" s="1994"/>
    </row>
    <row r="191" spans="1:33" hidden="1" x14ac:dyDescent="0.25">
      <c r="A191" s="1994">
        <v>1</v>
      </c>
      <c r="B191" s="1994">
        <v>43601</v>
      </c>
      <c r="C191" s="1994" t="s">
        <v>3854</v>
      </c>
      <c r="D191" s="1994">
        <v>419513</v>
      </c>
      <c r="E191" s="1994" t="s">
        <v>3743</v>
      </c>
      <c r="F191" s="1994" t="s">
        <v>3744</v>
      </c>
      <c r="O191" s="1997">
        <f t="shared" si="16"/>
        <v>34880</v>
      </c>
      <c r="P191" s="1997">
        <f t="shared" si="17"/>
        <v>34880</v>
      </c>
      <c r="Q191" s="1997">
        <v>0</v>
      </c>
      <c r="R191" s="1998">
        <v>33150</v>
      </c>
      <c r="S191" s="1998">
        <v>34880</v>
      </c>
      <c r="T191" s="1998">
        <v>0</v>
      </c>
      <c r="U191" s="1998">
        <v>12780</v>
      </c>
      <c r="V191" s="1998">
        <v>22100</v>
      </c>
      <c r="W191" s="1998">
        <v>34880</v>
      </c>
      <c r="X191" s="2012">
        <f t="shared" si="20"/>
        <v>0</v>
      </c>
      <c r="Z191" s="2012">
        <f t="shared" si="21"/>
        <v>34880</v>
      </c>
      <c r="AA191" s="1995">
        <v>0</v>
      </c>
      <c r="AB191" s="1995">
        <f t="shared" si="18"/>
        <v>34880</v>
      </c>
      <c r="AD191" s="1995">
        <f t="shared" si="19"/>
        <v>34880</v>
      </c>
      <c r="AF191" s="1995">
        <f t="shared" si="15"/>
        <v>34880</v>
      </c>
      <c r="AG191" s="1994"/>
    </row>
    <row r="192" spans="1:33" hidden="1" x14ac:dyDescent="0.25">
      <c r="A192" s="1994">
        <v>1</v>
      </c>
      <c r="B192" s="1994">
        <v>43601</v>
      </c>
      <c r="C192" s="1994" t="s">
        <v>3905</v>
      </c>
      <c r="D192" s="1994">
        <v>419713</v>
      </c>
      <c r="E192" s="1994" t="s">
        <v>339</v>
      </c>
      <c r="F192" s="1994" t="s">
        <v>3745</v>
      </c>
      <c r="O192" s="1997">
        <f t="shared" si="16"/>
        <v>25792</v>
      </c>
      <c r="P192" s="1997">
        <f t="shared" si="17"/>
        <v>25792</v>
      </c>
      <c r="Q192" s="1997">
        <v>0</v>
      </c>
      <c r="R192" s="1998">
        <v>25792</v>
      </c>
      <c r="S192" s="1998">
        <v>25792</v>
      </c>
      <c r="V192" s="1998">
        <v>25792</v>
      </c>
      <c r="W192" s="1998">
        <v>25792</v>
      </c>
      <c r="X192" s="2012">
        <f t="shared" si="20"/>
        <v>0</v>
      </c>
      <c r="Z192" s="2012">
        <f t="shared" si="21"/>
        <v>25792</v>
      </c>
      <c r="AA192" s="1995">
        <v>0</v>
      </c>
      <c r="AB192" s="1995">
        <f t="shared" si="18"/>
        <v>25792</v>
      </c>
      <c r="AD192" s="1995">
        <f t="shared" si="19"/>
        <v>25792</v>
      </c>
      <c r="AF192" s="1995">
        <f t="shared" si="15"/>
        <v>25792</v>
      </c>
      <c r="AG192" s="1994" t="s">
        <v>3746</v>
      </c>
    </row>
    <row r="193" spans="1:32" s="1994" customFormat="1" hidden="1" x14ac:dyDescent="0.25">
      <c r="A193" s="1994">
        <v>1</v>
      </c>
      <c r="B193" s="1994">
        <v>43601</v>
      </c>
      <c r="C193" s="1994" t="s">
        <v>3870</v>
      </c>
      <c r="D193" s="1994">
        <v>420409</v>
      </c>
      <c r="E193" s="1994" t="s">
        <v>3182</v>
      </c>
      <c r="F193" s="1994" t="s">
        <v>2853</v>
      </c>
      <c r="L193" s="1995"/>
      <c r="M193" s="1995"/>
      <c r="O193" s="1997">
        <f t="shared" si="16"/>
        <v>83880.88</v>
      </c>
      <c r="P193" s="1997">
        <f t="shared" si="17"/>
        <v>83880.88</v>
      </c>
      <c r="Q193" s="1997">
        <v>0</v>
      </c>
      <c r="R193" s="1998">
        <v>83711</v>
      </c>
      <c r="S193" s="1998">
        <v>83880.88</v>
      </c>
      <c r="T193" s="1998">
        <v>0</v>
      </c>
      <c r="U193" s="1998">
        <v>28073.72</v>
      </c>
      <c r="V193" s="1998">
        <v>55807.16</v>
      </c>
      <c r="W193" s="1998">
        <v>83880.88</v>
      </c>
      <c r="X193" s="2012">
        <f t="shared" si="20"/>
        <v>0</v>
      </c>
      <c r="Z193" s="2012">
        <f t="shared" si="21"/>
        <v>83880.88</v>
      </c>
      <c r="AA193" s="1995">
        <v>0</v>
      </c>
      <c r="AB193" s="1995">
        <f t="shared" si="18"/>
        <v>83880.88</v>
      </c>
      <c r="AC193" s="1496"/>
      <c r="AD193" s="1995">
        <f t="shared" si="19"/>
        <v>83880.88</v>
      </c>
      <c r="AE193" s="1995"/>
      <c r="AF193" s="1995">
        <f t="shared" si="15"/>
        <v>83880.88</v>
      </c>
    </row>
    <row r="194" spans="1:32" s="1994" customFormat="1" hidden="1" x14ac:dyDescent="0.25">
      <c r="A194" s="1994">
        <v>1</v>
      </c>
      <c r="B194" s="1994">
        <v>43601</v>
      </c>
      <c r="C194" s="1994" t="s">
        <v>3710</v>
      </c>
      <c r="D194" s="1994">
        <v>421154</v>
      </c>
      <c r="E194" s="1994" t="s">
        <v>3747</v>
      </c>
      <c r="F194" s="1994" t="s">
        <v>3748</v>
      </c>
      <c r="L194" s="1995"/>
      <c r="M194" s="1995"/>
      <c r="O194" s="1997">
        <f t="shared" si="16"/>
        <v>44339.1</v>
      </c>
      <c r="P194" s="1997">
        <f t="shared" si="17"/>
        <v>44339.1</v>
      </c>
      <c r="Q194" s="1997">
        <v>0</v>
      </c>
      <c r="R194" s="1998">
        <v>43782</v>
      </c>
      <c r="S194" s="1998">
        <v>44339.1</v>
      </c>
      <c r="T194" s="1998">
        <v>-14268</v>
      </c>
      <c r="U194" s="1998">
        <v>29418.3</v>
      </c>
      <c r="V194" s="1998">
        <v>29188.799999999999</v>
      </c>
      <c r="W194" s="1998">
        <v>44339.1</v>
      </c>
      <c r="X194" s="2012">
        <f t="shared" si="20"/>
        <v>0</v>
      </c>
      <c r="Z194" s="2012">
        <f t="shared" si="21"/>
        <v>58607.1</v>
      </c>
      <c r="AA194" s="1995">
        <v>0</v>
      </c>
      <c r="AB194" s="1995">
        <f t="shared" si="18"/>
        <v>44339.1</v>
      </c>
      <c r="AC194" s="1496"/>
      <c r="AD194" s="1995">
        <f t="shared" si="19"/>
        <v>44339.1</v>
      </c>
      <c r="AE194" s="1995"/>
      <c r="AF194" s="1995">
        <f t="shared" si="15"/>
        <v>44339.1</v>
      </c>
    </row>
    <row r="195" spans="1:32" s="1994" customFormat="1" hidden="1" x14ac:dyDescent="0.25">
      <c r="A195" s="1994">
        <v>1</v>
      </c>
      <c r="B195" s="1994">
        <v>43601</v>
      </c>
      <c r="C195" s="1994" t="s">
        <v>3881</v>
      </c>
      <c r="D195" s="1994">
        <v>421364</v>
      </c>
      <c r="E195" s="1994" t="s">
        <v>3749</v>
      </c>
      <c r="F195" s="1994" t="s">
        <v>2161</v>
      </c>
      <c r="L195" s="1995"/>
      <c r="M195" s="1995"/>
      <c r="O195" s="1997">
        <f t="shared" si="16"/>
        <v>84948</v>
      </c>
      <c r="P195" s="1997">
        <f t="shared" si="17"/>
        <v>84948</v>
      </c>
      <c r="Q195" s="1997">
        <v>0</v>
      </c>
      <c r="R195" s="1998">
        <v>84948</v>
      </c>
      <c r="S195" s="1998">
        <v>84948</v>
      </c>
      <c r="T195" s="1998">
        <v>0</v>
      </c>
      <c r="U195" s="1998">
        <v>28316</v>
      </c>
      <c r="V195" s="1998">
        <v>56632</v>
      </c>
      <c r="W195" s="1998">
        <v>84948</v>
      </c>
      <c r="X195" s="2012">
        <f t="shared" si="20"/>
        <v>0</v>
      </c>
      <c r="Z195" s="2012">
        <f t="shared" si="21"/>
        <v>84948</v>
      </c>
      <c r="AA195" s="1995">
        <v>0</v>
      </c>
      <c r="AB195" s="1995">
        <f t="shared" si="18"/>
        <v>84948</v>
      </c>
      <c r="AC195" s="1496"/>
      <c r="AD195" s="1995">
        <f t="shared" si="19"/>
        <v>84948</v>
      </c>
      <c r="AE195" s="1995"/>
      <c r="AF195" s="1995">
        <f t="shared" si="15"/>
        <v>84948</v>
      </c>
    </row>
    <row r="196" spans="1:32" s="1994" customFormat="1" hidden="1" x14ac:dyDescent="0.25">
      <c r="A196" s="1994">
        <v>1</v>
      </c>
      <c r="B196" s="1994">
        <v>43601</v>
      </c>
      <c r="C196" s="1994" t="s">
        <v>3877</v>
      </c>
      <c r="D196" s="1994">
        <v>421516</v>
      </c>
      <c r="E196" s="1994" t="s">
        <v>3750</v>
      </c>
      <c r="F196" s="1994" t="s">
        <v>381</v>
      </c>
      <c r="L196" s="1995"/>
      <c r="M196" s="1995"/>
      <c r="O196" s="1997">
        <f t="shared" si="16"/>
        <v>57795</v>
      </c>
      <c r="P196" s="1997">
        <f t="shared" si="17"/>
        <v>57795</v>
      </c>
      <c r="Q196" s="1997">
        <v>0</v>
      </c>
      <c r="R196" s="1998">
        <v>57795</v>
      </c>
      <c r="S196" s="1998">
        <v>57795</v>
      </c>
      <c r="T196" s="1998">
        <v>0</v>
      </c>
      <c r="U196" s="1998">
        <v>38530</v>
      </c>
      <c r="V196" s="1998">
        <v>19265</v>
      </c>
      <c r="W196" s="1998">
        <v>57795</v>
      </c>
      <c r="X196" s="2012">
        <f t="shared" si="20"/>
        <v>0</v>
      </c>
      <c r="Z196" s="2012">
        <f t="shared" si="21"/>
        <v>57795</v>
      </c>
      <c r="AA196" s="1995">
        <v>0</v>
      </c>
      <c r="AB196" s="1995">
        <f t="shared" si="18"/>
        <v>57795</v>
      </c>
      <c r="AC196" s="1496"/>
      <c r="AD196" s="1995">
        <f t="shared" si="19"/>
        <v>57795</v>
      </c>
      <c r="AE196" s="1995"/>
      <c r="AF196" s="1995">
        <f t="shared" si="15"/>
        <v>57795</v>
      </c>
    </row>
    <row r="197" spans="1:32" s="1994" customFormat="1" hidden="1" x14ac:dyDescent="0.25">
      <c r="A197" s="1994">
        <v>1</v>
      </c>
      <c r="B197" s="1994">
        <v>43601</v>
      </c>
      <c r="C197" s="1994" t="s">
        <v>3904</v>
      </c>
      <c r="D197" s="1994">
        <v>421680</v>
      </c>
      <c r="E197" s="1994" t="s">
        <v>3751</v>
      </c>
      <c r="F197" s="1994" t="s">
        <v>208</v>
      </c>
      <c r="L197" s="1995"/>
      <c r="M197" s="1995"/>
      <c r="O197" s="1997">
        <f t="shared" si="16"/>
        <v>68668.666666666672</v>
      </c>
      <c r="P197" s="1997">
        <f t="shared" si="17"/>
        <v>68668.666666666672</v>
      </c>
      <c r="Q197" s="1997">
        <v>0</v>
      </c>
      <c r="R197" s="1998">
        <v>103003</v>
      </c>
      <c r="S197" s="1998">
        <v>68668.666666666672</v>
      </c>
      <c r="T197" s="1998">
        <v>0</v>
      </c>
      <c r="U197" s="1998">
        <v>0</v>
      </c>
      <c r="V197" s="1998">
        <v>68668.666666666672</v>
      </c>
      <c r="W197" s="1998">
        <v>68668.666666666672</v>
      </c>
      <c r="X197" s="2012">
        <f t="shared" si="20"/>
        <v>0</v>
      </c>
      <c r="Z197" s="2012">
        <f t="shared" si="21"/>
        <v>68668.666666666672</v>
      </c>
      <c r="AA197" s="1995">
        <v>0</v>
      </c>
      <c r="AB197" s="1995">
        <f t="shared" si="18"/>
        <v>68668.666666666672</v>
      </c>
      <c r="AC197" s="1496"/>
      <c r="AD197" s="1995">
        <f t="shared" si="19"/>
        <v>68668.666666666672</v>
      </c>
      <c r="AE197" s="1995"/>
      <c r="AF197" s="1995">
        <f t="shared" si="15"/>
        <v>68668.666666666672</v>
      </c>
    </row>
    <row r="198" spans="1:32" s="1994" customFormat="1" hidden="1" x14ac:dyDescent="0.25">
      <c r="A198" s="1994">
        <v>1</v>
      </c>
      <c r="B198" s="1994">
        <v>43601</v>
      </c>
      <c r="C198" s="1994" t="s">
        <v>3904</v>
      </c>
      <c r="D198" s="1994">
        <v>421681</v>
      </c>
      <c r="E198" s="1994" t="s">
        <v>3751</v>
      </c>
      <c r="F198" s="1994" t="s">
        <v>3752</v>
      </c>
      <c r="L198" s="1995"/>
      <c r="M198" s="1995"/>
      <c r="O198" s="1997">
        <f t="shared" si="16"/>
        <v>64243.333333333336</v>
      </c>
      <c r="P198" s="1997">
        <f t="shared" si="17"/>
        <v>64243.333333333336</v>
      </c>
      <c r="Q198" s="1997">
        <v>0</v>
      </c>
      <c r="R198" s="1998">
        <v>96365</v>
      </c>
      <c r="S198" s="1998">
        <v>64243.333333333336</v>
      </c>
      <c r="T198" s="1998">
        <v>0</v>
      </c>
      <c r="U198" s="1998">
        <v>0</v>
      </c>
      <c r="V198" s="1998">
        <v>64243.333333333336</v>
      </c>
      <c r="W198" s="1998">
        <v>64243.333333333336</v>
      </c>
      <c r="X198" s="2012">
        <f t="shared" si="20"/>
        <v>0</v>
      </c>
      <c r="Z198" s="2012">
        <f t="shared" si="21"/>
        <v>64243.333333333336</v>
      </c>
      <c r="AA198" s="1995">
        <v>0</v>
      </c>
      <c r="AB198" s="1995">
        <f t="shared" si="18"/>
        <v>64243.333333333336</v>
      </c>
      <c r="AC198" s="1496"/>
      <c r="AD198" s="1995">
        <f t="shared" si="19"/>
        <v>64243.333333333336</v>
      </c>
      <c r="AE198" s="1995"/>
      <c r="AF198" s="1995">
        <f t="shared" si="15"/>
        <v>64243.333333333336</v>
      </c>
    </row>
    <row r="199" spans="1:32" s="1994" customFormat="1" hidden="1" x14ac:dyDescent="0.25">
      <c r="A199" s="1994">
        <v>1</v>
      </c>
      <c r="B199" s="1994">
        <v>43601</v>
      </c>
      <c r="C199" s="1994" t="s">
        <v>3870</v>
      </c>
      <c r="D199" s="1994">
        <v>422031</v>
      </c>
      <c r="E199" s="1994" t="s">
        <v>3753</v>
      </c>
      <c r="F199" s="1994" t="s">
        <v>425</v>
      </c>
      <c r="L199" s="1995"/>
      <c r="M199" s="1995"/>
      <c r="O199" s="1997">
        <f t="shared" si="16"/>
        <v>93081</v>
      </c>
      <c r="P199" s="1997">
        <f t="shared" si="17"/>
        <v>93081</v>
      </c>
      <c r="Q199" s="1997">
        <v>0</v>
      </c>
      <c r="R199" s="1998">
        <v>93081</v>
      </c>
      <c r="S199" s="1998">
        <v>93081</v>
      </c>
      <c r="T199" s="1998">
        <v>0</v>
      </c>
      <c r="U199" s="1998">
        <v>31027</v>
      </c>
      <c r="V199" s="1998">
        <v>62054</v>
      </c>
      <c r="W199" s="1998">
        <v>93081</v>
      </c>
      <c r="X199" s="2012">
        <f t="shared" si="20"/>
        <v>0</v>
      </c>
      <c r="Z199" s="2012">
        <f t="shared" si="21"/>
        <v>93081</v>
      </c>
      <c r="AA199" s="1995">
        <v>0</v>
      </c>
      <c r="AB199" s="1995">
        <f t="shared" si="18"/>
        <v>93081</v>
      </c>
      <c r="AC199" s="1496"/>
      <c r="AD199" s="1995">
        <f t="shared" si="19"/>
        <v>93081</v>
      </c>
      <c r="AE199" s="1995"/>
      <c r="AF199" s="1995">
        <f t="shared" si="15"/>
        <v>93081</v>
      </c>
    </row>
    <row r="200" spans="1:32" s="1994" customFormat="1" hidden="1" x14ac:dyDescent="0.25">
      <c r="A200" s="1994">
        <v>1</v>
      </c>
      <c r="B200" s="1994">
        <v>43601</v>
      </c>
      <c r="C200" s="1994" t="s">
        <v>3857</v>
      </c>
      <c r="D200" s="1994">
        <v>422690</v>
      </c>
      <c r="E200" s="1994" t="s">
        <v>1006</v>
      </c>
      <c r="F200" s="1994" t="s">
        <v>1005</v>
      </c>
      <c r="L200" s="1995"/>
      <c r="M200" s="1995"/>
      <c r="O200" s="1997">
        <f t="shared" si="16"/>
        <v>66119.399999999994</v>
      </c>
      <c r="P200" s="1997">
        <f t="shared" si="17"/>
        <v>66119.399999999994</v>
      </c>
      <c r="Q200" s="1997">
        <v>0</v>
      </c>
      <c r="R200" s="1998">
        <v>63993</v>
      </c>
      <c r="S200" s="1998">
        <v>66119.399999999994</v>
      </c>
      <c r="T200" s="1998">
        <v>0</v>
      </c>
      <c r="U200" s="1998">
        <v>44788.35</v>
      </c>
      <c r="V200" s="1998">
        <v>21331.05</v>
      </c>
      <c r="W200" s="1998">
        <v>66119.399999999994</v>
      </c>
      <c r="X200" s="2012">
        <f t="shared" si="20"/>
        <v>0</v>
      </c>
      <c r="Z200" s="2012">
        <f t="shared" si="21"/>
        <v>66119.399999999994</v>
      </c>
      <c r="AA200" s="1995">
        <v>0</v>
      </c>
      <c r="AB200" s="1995">
        <f t="shared" si="18"/>
        <v>66119.399999999994</v>
      </c>
      <c r="AC200" s="1496"/>
      <c r="AD200" s="1995">
        <f t="shared" si="19"/>
        <v>66119.399999999994</v>
      </c>
      <c r="AE200" s="1995"/>
      <c r="AF200" s="1995">
        <f t="shared" si="15"/>
        <v>66119.399999999994</v>
      </c>
    </row>
    <row r="201" spans="1:32" s="1994" customFormat="1" hidden="1" x14ac:dyDescent="0.25">
      <c r="A201" s="1994">
        <v>1</v>
      </c>
      <c r="B201" s="1994">
        <v>43601</v>
      </c>
      <c r="C201" s="1994" t="s">
        <v>3710</v>
      </c>
      <c r="D201" s="1994">
        <v>423995</v>
      </c>
      <c r="E201" s="1994" t="s">
        <v>3754</v>
      </c>
      <c r="F201" s="1994" t="s">
        <v>3755</v>
      </c>
      <c r="L201" s="1995"/>
      <c r="M201" s="1995"/>
      <c r="O201" s="1997">
        <f t="shared" si="16"/>
        <v>73098.399999999994</v>
      </c>
      <c r="P201" s="1997">
        <f t="shared" si="17"/>
        <v>73098.399999999994</v>
      </c>
      <c r="Q201" s="1997">
        <v>0</v>
      </c>
      <c r="R201" s="1998">
        <v>43782</v>
      </c>
      <c r="S201" s="1998">
        <v>73098.399999999994</v>
      </c>
      <c r="T201" s="1998">
        <v>0</v>
      </c>
      <c r="U201" s="1998">
        <v>43909.599999999999</v>
      </c>
      <c r="V201" s="1998">
        <v>29188.799999999999</v>
      </c>
      <c r="W201" s="1998">
        <v>73098.399999999994</v>
      </c>
      <c r="X201" s="2012">
        <f t="shared" si="20"/>
        <v>0</v>
      </c>
      <c r="Z201" s="2012">
        <f t="shared" si="21"/>
        <v>73098.399999999994</v>
      </c>
      <c r="AA201" s="1995">
        <v>0</v>
      </c>
      <c r="AB201" s="1995">
        <f t="shared" si="18"/>
        <v>73098.399999999994</v>
      </c>
      <c r="AC201" s="1496"/>
      <c r="AD201" s="1995">
        <f t="shared" si="19"/>
        <v>73098.399999999994</v>
      </c>
      <c r="AE201" s="1995"/>
      <c r="AF201" s="1995">
        <f t="shared" si="15"/>
        <v>73098.399999999994</v>
      </c>
    </row>
    <row r="202" spans="1:32" s="1994" customFormat="1" hidden="1" x14ac:dyDescent="0.25">
      <c r="A202" s="1994">
        <v>1</v>
      </c>
      <c r="B202" s="1994">
        <v>43601</v>
      </c>
      <c r="C202" s="1994" t="s">
        <v>3881</v>
      </c>
      <c r="D202" s="1994">
        <v>425970</v>
      </c>
      <c r="E202" s="1994" t="s">
        <v>418</v>
      </c>
      <c r="F202" s="1994" t="s">
        <v>420</v>
      </c>
      <c r="L202" s="1995"/>
      <c r="M202" s="1995"/>
      <c r="O202" s="1997">
        <f t="shared" si="16"/>
        <v>50720.260273972606</v>
      </c>
      <c r="P202" s="1997">
        <f t="shared" si="17"/>
        <v>50720.260273972606</v>
      </c>
      <c r="Q202" s="1997">
        <v>0</v>
      </c>
      <c r="R202" s="1998">
        <v>86915</v>
      </c>
      <c r="S202" s="1998">
        <v>50720.260273972606</v>
      </c>
      <c r="T202" s="1998"/>
      <c r="U202" s="1998">
        <v>0</v>
      </c>
      <c r="V202" s="1998">
        <v>50720.260273972606</v>
      </c>
      <c r="W202" s="1998">
        <v>50720.260273972606</v>
      </c>
      <c r="X202" s="2012">
        <f t="shared" si="20"/>
        <v>0</v>
      </c>
      <c r="Z202" s="2012">
        <f t="shared" si="21"/>
        <v>50720.260273972606</v>
      </c>
      <c r="AA202" s="1995">
        <v>0</v>
      </c>
      <c r="AB202" s="1995">
        <f t="shared" si="18"/>
        <v>50720.260273972606</v>
      </c>
      <c r="AC202" s="1496"/>
      <c r="AD202" s="1995">
        <f t="shared" si="19"/>
        <v>50720.260273972606</v>
      </c>
      <c r="AE202" s="1995"/>
      <c r="AF202" s="1995">
        <f t="shared" ref="AF202:AF265" si="22">AD202+AE202</f>
        <v>50720.260273972606</v>
      </c>
    </row>
    <row r="203" spans="1:32" s="1994" customFormat="1" hidden="1" x14ac:dyDescent="0.25">
      <c r="A203" s="1994">
        <v>1</v>
      </c>
      <c r="B203" s="1994">
        <v>43601</v>
      </c>
      <c r="C203" s="1994" t="s">
        <v>3875</v>
      </c>
      <c r="D203" s="1994">
        <v>426134</v>
      </c>
      <c r="E203" s="1994" t="s">
        <v>3756</v>
      </c>
      <c r="F203" s="1994" t="s">
        <v>1229</v>
      </c>
      <c r="L203" s="1995"/>
      <c r="M203" s="1995"/>
      <c r="O203" s="1997">
        <f t="shared" si="16"/>
        <v>66281.490000000005</v>
      </c>
      <c r="P203" s="1997">
        <f t="shared" si="17"/>
        <v>66281.490000000005</v>
      </c>
      <c r="Q203" s="1997">
        <v>0</v>
      </c>
      <c r="R203" s="1998">
        <v>66581</v>
      </c>
      <c r="S203" s="1998">
        <v>66281.490000000005</v>
      </c>
      <c r="T203" s="1998">
        <v>0</v>
      </c>
      <c r="U203" s="1998">
        <v>44087.66</v>
      </c>
      <c r="V203" s="1998">
        <v>22193.83</v>
      </c>
      <c r="W203" s="1998">
        <v>66281.490000000005</v>
      </c>
      <c r="X203" s="2012">
        <f t="shared" si="20"/>
        <v>0</v>
      </c>
      <c r="Z203" s="2012">
        <f t="shared" si="21"/>
        <v>66281.490000000005</v>
      </c>
      <c r="AA203" s="1995">
        <v>0</v>
      </c>
      <c r="AB203" s="1995">
        <f t="shared" si="18"/>
        <v>66281.490000000005</v>
      </c>
      <c r="AC203" s="1496"/>
      <c r="AD203" s="1995">
        <f t="shared" si="19"/>
        <v>66281.490000000005</v>
      </c>
      <c r="AE203" s="1995"/>
      <c r="AF203" s="1995">
        <f t="shared" si="22"/>
        <v>66281.490000000005</v>
      </c>
    </row>
    <row r="204" spans="1:32" s="1994" customFormat="1" hidden="1" x14ac:dyDescent="0.25">
      <c r="A204" s="1994">
        <v>1</v>
      </c>
      <c r="B204" s="1994">
        <v>43601</v>
      </c>
      <c r="C204" s="1994" t="s">
        <v>3864</v>
      </c>
      <c r="D204" s="1994">
        <v>426727</v>
      </c>
      <c r="E204" s="1994" t="s">
        <v>3757</v>
      </c>
      <c r="F204" s="1994" t="s">
        <v>3758</v>
      </c>
      <c r="L204" s="1995"/>
      <c r="M204" s="1995"/>
      <c r="O204" s="1997">
        <f t="shared" si="16"/>
        <v>52850.259999999995</v>
      </c>
      <c r="P204" s="1997">
        <f t="shared" si="17"/>
        <v>52850.259999999995</v>
      </c>
      <c r="Q204" s="1997">
        <v>0</v>
      </c>
      <c r="R204" s="1998">
        <v>58067</v>
      </c>
      <c r="S204" s="1998">
        <v>52850.259999999995</v>
      </c>
      <c r="T204" s="1998">
        <v>0</v>
      </c>
      <c r="U204" s="1998">
        <v>33494.659999999996</v>
      </c>
      <c r="V204" s="1998">
        <v>19355.599999999999</v>
      </c>
      <c r="W204" s="1998">
        <v>52850.259999999995</v>
      </c>
      <c r="X204" s="2012">
        <f t="shared" si="20"/>
        <v>0</v>
      </c>
      <c r="Z204" s="2012">
        <f t="shared" si="21"/>
        <v>52850.259999999995</v>
      </c>
      <c r="AA204" s="1995">
        <v>0</v>
      </c>
      <c r="AB204" s="1995">
        <f t="shared" si="18"/>
        <v>52850.259999999995</v>
      </c>
      <c r="AC204" s="1496"/>
      <c r="AD204" s="1995">
        <f t="shared" si="19"/>
        <v>52850.259999999995</v>
      </c>
      <c r="AE204" s="1995"/>
      <c r="AF204" s="1995">
        <f t="shared" si="22"/>
        <v>52850.259999999995</v>
      </c>
    </row>
    <row r="205" spans="1:32" s="1994" customFormat="1" hidden="1" x14ac:dyDescent="0.25">
      <c r="A205" s="1994">
        <v>1</v>
      </c>
      <c r="B205" s="1994">
        <v>43601</v>
      </c>
      <c r="C205" s="1994" t="s">
        <v>3881</v>
      </c>
      <c r="D205" s="1994">
        <v>426766</v>
      </c>
      <c r="E205" s="1994" t="s">
        <v>1952</v>
      </c>
      <c r="F205" s="1994" t="s">
        <v>2201</v>
      </c>
      <c r="L205" s="1995"/>
      <c r="M205" s="1995"/>
      <c r="O205" s="1997">
        <f t="shared" ref="O205:O244" si="23">P205</f>
        <v>37954.880000000005</v>
      </c>
      <c r="P205" s="1997">
        <f t="shared" ref="P205:P245" si="24">S205+Q205</f>
        <v>37954.880000000005</v>
      </c>
      <c r="Q205" s="1997">
        <v>0</v>
      </c>
      <c r="R205" s="1998">
        <v>65065</v>
      </c>
      <c r="S205" s="1998">
        <v>37954.880000000005</v>
      </c>
      <c r="T205" s="1998">
        <v>-21688</v>
      </c>
      <c r="U205" s="1998">
        <v>10844.16</v>
      </c>
      <c r="V205" s="1998">
        <v>48798.720000000008</v>
      </c>
      <c r="W205" s="1998">
        <v>37954.880000000005</v>
      </c>
      <c r="X205" s="2012">
        <f t="shared" si="20"/>
        <v>0</v>
      </c>
      <c r="Z205" s="2012">
        <f t="shared" si="21"/>
        <v>59642.880000000005</v>
      </c>
      <c r="AA205" s="1995">
        <v>0</v>
      </c>
      <c r="AB205" s="1995">
        <f t="shared" ref="AB205:AB245" si="25">S205+AA205</f>
        <v>37954.880000000005</v>
      </c>
      <c r="AC205" s="1496"/>
      <c r="AD205" s="1995">
        <f t="shared" ref="AD205:AD265" si="26">(AB205+AC205)</f>
        <v>37954.880000000005</v>
      </c>
      <c r="AE205" s="1995"/>
      <c r="AF205" s="1995">
        <f t="shared" si="22"/>
        <v>37954.880000000005</v>
      </c>
    </row>
    <row r="206" spans="1:32" s="1994" customFormat="1" hidden="1" x14ac:dyDescent="0.25">
      <c r="A206" s="1994">
        <v>1</v>
      </c>
      <c r="B206" s="1994">
        <v>43601</v>
      </c>
      <c r="C206" s="1994" t="s">
        <v>3870</v>
      </c>
      <c r="D206" s="1994">
        <v>427719</v>
      </c>
      <c r="E206" s="1994" t="s">
        <v>3759</v>
      </c>
      <c r="F206" s="1994" t="s">
        <v>578</v>
      </c>
      <c r="L206" s="1995"/>
      <c r="M206" s="1995"/>
      <c r="O206" s="1997">
        <f t="shared" si="23"/>
        <v>93081</v>
      </c>
      <c r="P206" s="1997">
        <f t="shared" si="24"/>
        <v>93081</v>
      </c>
      <c r="Q206" s="1997">
        <v>0</v>
      </c>
      <c r="R206" s="1998">
        <v>93081</v>
      </c>
      <c r="S206" s="1998">
        <v>93081</v>
      </c>
      <c r="T206" s="1998">
        <v>0</v>
      </c>
      <c r="U206" s="1998">
        <v>31027</v>
      </c>
      <c r="V206" s="1998">
        <v>62054</v>
      </c>
      <c r="W206" s="1998">
        <v>93081</v>
      </c>
      <c r="X206" s="2012">
        <f t="shared" ref="X206:X244" si="27">W206-S206</f>
        <v>0</v>
      </c>
      <c r="Z206" s="2012">
        <f t="shared" si="21"/>
        <v>93081</v>
      </c>
      <c r="AA206" s="1995">
        <v>0</v>
      </c>
      <c r="AB206" s="1995">
        <f t="shared" si="25"/>
        <v>93081</v>
      </c>
      <c r="AC206" s="1496"/>
      <c r="AD206" s="1995">
        <f t="shared" si="26"/>
        <v>93081</v>
      </c>
      <c r="AE206" s="1995"/>
      <c r="AF206" s="1995">
        <f t="shared" si="22"/>
        <v>93081</v>
      </c>
    </row>
    <row r="207" spans="1:32" s="1994" customFormat="1" hidden="1" x14ac:dyDescent="0.25">
      <c r="A207" s="1994">
        <v>1</v>
      </c>
      <c r="B207" s="1994">
        <v>43601</v>
      </c>
      <c r="C207" s="1994" t="s">
        <v>3864</v>
      </c>
      <c r="D207" s="1994">
        <v>428769</v>
      </c>
      <c r="E207" s="1994" t="s">
        <v>311</v>
      </c>
      <c r="F207" s="1994" t="s">
        <v>310</v>
      </c>
      <c r="L207" s="1995"/>
      <c r="M207" s="1995"/>
      <c r="O207" s="1997">
        <f t="shared" si="23"/>
        <v>95436.283333333326</v>
      </c>
      <c r="P207" s="1997">
        <f t="shared" si="24"/>
        <v>95436.283333333326</v>
      </c>
      <c r="Q207" s="1997">
        <v>0</v>
      </c>
      <c r="R207" s="1998">
        <v>85184</v>
      </c>
      <c r="S207" s="1998">
        <v>95436.283333333326</v>
      </c>
      <c r="T207" s="1998">
        <v>0</v>
      </c>
      <c r="U207" s="1998">
        <v>38646.949999999997</v>
      </c>
      <c r="V207" s="1998">
        <v>56789.333333333336</v>
      </c>
      <c r="W207" s="1998">
        <v>95436.283333333326</v>
      </c>
      <c r="X207" s="2012">
        <f t="shared" si="27"/>
        <v>0</v>
      </c>
      <c r="Z207" s="2012">
        <f t="shared" ref="Z207:Z244" si="28">U207+V207</f>
        <v>95436.283333333326</v>
      </c>
      <c r="AA207" s="1995">
        <v>0</v>
      </c>
      <c r="AB207" s="1995">
        <f t="shared" si="25"/>
        <v>95436.283333333326</v>
      </c>
      <c r="AC207" s="1496"/>
      <c r="AD207" s="1995">
        <f t="shared" si="26"/>
        <v>95436.283333333326</v>
      </c>
      <c r="AE207" s="1995"/>
      <c r="AF207" s="1995">
        <f t="shared" si="22"/>
        <v>95436.283333333326</v>
      </c>
    </row>
    <row r="208" spans="1:32" s="1994" customFormat="1" hidden="1" x14ac:dyDescent="0.25">
      <c r="A208" s="1994">
        <v>1</v>
      </c>
      <c r="B208" s="1994">
        <v>43601</v>
      </c>
      <c r="C208" s="1994" t="s">
        <v>3881</v>
      </c>
      <c r="D208" s="1994">
        <v>428837</v>
      </c>
      <c r="E208" s="1994" t="s">
        <v>844</v>
      </c>
      <c r="F208" s="1994" t="s">
        <v>3760</v>
      </c>
      <c r="L208" s="1995"/>
      <c r="M208" s="1995"/>
      <c r="O208" s="1997">
        <f t="shared" si="23"/>
        <v>71816.959999999992</v>
      </c>
      <c r="P208" s="1997">
        <f t="shared" si="24"/>
        <v>71816.959999999992</v>
      </c>
      <c r="Q208" s="1997">
        <v>0</v>
      </c>
      <c r="R208" s="1998">
        <v>68317</v>
      </c>
      <c r="S208" s="1998">
        <v>71816.959999999992</v>
      </c>
      <c r="T208" s="1998">
        <v>-17032</v>
      </c>
      <c r="U208" s="1998">
        <v>49090.92</v>
      </c>
      <c r="V208" s="1998">
        <v>39758.04</v>
      </c>
      <c r="W208" s="1998">
        <v>71816.959999999992</v>
      </c>
      <c r="X208" s="2012">
        <f t="shared" si="27"/>
        <v>0</v>
      </c>
      <c r="Z208" s="2012">
        <f t="shared" si="28"/>
        <v>88848.959999999992</v>
      </c>
      <c r="AA208" s="1995">
        <v>0</v>
      </c>
      <c r="AB208" s="1995">
        <f t="shared" si="25"/>
        <v>71816.959999999992</v>
      </c>
      <c r="AC208" s="1496"/>
      <c r="AD208" s="1995">
        <f t="shared" si="26"/>
        <v>71816.959999999992</v>
      </c>
      <c r="AE208" s="1995"/>
      <c r="AF208" s="1995">
        <f t="shared" si="22"/>
        <v>71816.959999999992</v>
      </c>
    </row>
    <row r="209" spans="1:34" hidden="1" x14ac:dyDescent="0.25">
      <c r="A209" s="1994">
        <v>1</v>
      </c>
      <c r="B209" s="1994">
        <v>43601</v>
      </c>
      <c r="C209" s="1994" t="s">
        <v>3659</v>
      </c>
      <c r="D209" s="1994">
        <v>429783</v>
      </c>
      <c r="E209" s="1994" t="s">
        <v>3761</v>
      </c>
      <c r="F209" s="1994" t="s">
        <v>3762</v>
      </c>
      <c r="O209" s="1997">
        <f t="shared" si="23"/>
        <v>51200</v>
      </c>
      <c r="P209" s="1997">
        <f t="shared" si="24"/>
        <v>51200</v>
      </c>
      <c r="Q209" s="1997">
        <v>0</v>
      </c>
      <c r="R209" s="1998">
        <v>52800</v>
      </c>
      <c r="S209" s="1998">
        <v>51200</v>
      </c>
      <c r="T209" s="1998">
        <v>0</v>
      </c>
      <c r="U209" s="1998">
        <v>33600</v>
      </c>
      <c r="V209" s="1998">
        <v>17600</v>
      </c>
      <c r="W209" s="1998">
        <v>51200</v>
      </c>
      <c r="X209" s="2012">
        <f t="shared" si="27"/>
        <v>0</v>
      </c>
      <c r="Z209" s="2012">
        <f t="shared" si="28"/>
        <v>51200</v>
      </c>
      <c r="AA209" s="1995">
        <v>0</v>
      </c>
      <c r="AB209" s="1995">
        <f t="shared" si="25"/>
        <v>51200</v>
      </c>
      <c r="AD209" s="1995">
        <f t="shared" si="26"/>
        <v>51200</v>
      </c>
      <c r="AF209" s="1995">
        <f t="shared" si="22"/>
        <v>51200</v>
      </c>
      <c r="AG209" s="1994"/>
    </row>
    <row r="210" spans="1:34" hidden="1" x14ac:dyDescent="0.25">
      <c r="A210" s="1994">
        <v>1</v>
      </c>
      <c r="B210" s="1994">
        <v>43601</v>
      </c>
      <c r="C210" s="1994" t="s">
        <v>3906</v>
      </c>
      <c r="D210" s="1994">
        <v>429908</v>
      </c>
      <c r="E210" s="1994" t="s">
        <v>603</v>
      </c>
      <c r="F210" s="1994" t="s">
        <v>247</v>
      </c>
      <c r="O210" s="1997">
        <f t="shared" si="23"/>
        <v>927</v>
      </c>
      <c r="P210" s="1997">
        <f t="shared" si="24"/>
        <v>927</v>
      </c>
      <c r="Q210" s="1997">
        <v>0</v>
      </c>
      <c r="S210" s="1998">
        <v>927</v>
      </c>
      <c r="T210" s="1998">
        <v>0</v>
      </c>
      <c r="U210" s="1998">
        <v>927</v>
      </c>
      <c r="V210" s="1998">
        <v>0</v>
      </c>
      <c r="W210" s="1998">
        <v>927</v>
      </c>
      <c r="X210" s="2012">
        <f t="shared" si="27"/>
        <v>0</v>
      </c>
      <c r="Z210" s="2012">
        <f t="shared" si="28"/>
        <v>927</v>
      </c>
      <c r="AA210" s="1995">
        <v>0</v>
      </c>
      <c r="AB210" s="1995">
        <f t="shared" si="25"/>
        <v>927</v>
      </c>
      <c r="AD210" s="1995">
        <f t="shared" si="26"/>
        <v>927</v>
      </c>
      <c r="AF210" s="1995">
        <f t="shared" si="22"/>
        <v>927</v>
      </c>
      <c r="AG210" s="1994"/>
    </row>
    <row r="211" spans="1:34" hidden="1" x14ac:dyDescent="0.25">
      <c r="A211" s="1994">
        <v>1</v>
      </c>
      <c r="B211" s="1994">
        <v>43601</v>
      </c>
      <c r="C211" s="1994" t="s">
        <v>3871</v>
      </c>
      <c r="D211" s="1994">
        <v>430000</v>
      </c>
      <c r="E211" s="1994" t="s">
        <v>702</v>
      </c>
      <c r="F211" s="1994" t="s">
        <v>701</v>
      </c>
      <c r="O211" s="1997">
        <f t="shared" si="23"/>
        <v>66828.02</v>
      </c>
      <c r="P211" s="1997">
        <f t="shared" si="24"/>
        <v>66828.02</v>
      </c>
      <c r="Q211" s="1997">
        <v>0</v>
      </c>
      <c r="R211" s="1998">
        <v>88561</v>
      </c>
      <c r="S211" s="1998">
        <v>66828.02</v>
      </c>
      <c r="T211" s="1998">
        <v>0</v>
      </c>
      <c r="U211" s="1998">
        <v>33414.01</v>
      </c>
      <c r="V211" s="1998">
        <v>33414.01</v>
      </c>
      <c r="W211" s="1998">
        <v>66828.02</v>
      </c>
      <c r="X211" s="2012">
        <f t="shared" si="27"/>
        <v>0</v>
      </c>
      <c r="Z211" s="2012">
        <f t="shared" si="28"/>
        <v>66828.02</v>
      </c>
      <c r="AA211" s="1995">
        <v>0</v>
      </c>
      <c r="AB211" s="1995">
        <f t="shared" si="25"/>
        <v>66828.02</v>
      </c>
      <c r="AD211" s="1995">
        <f t="shared" si="26"/>
        <v>66828.02</v>
      </c>
      <c r="AF211" s="1995">
        <f t="shared" si="22"/>
        <v>66828.02</v>
      </c>
      <c r="AG211" s="1994"/>
    </row>
    <row r="212" spans="1:34" hidden="1" x14ac:dyDescent="0.25">
      <c r="A212" s="1994">
        <v>1</v>
      </c>
      <c r="B212" s="1994">
        <v>43601</v>
      </c>
      <c r="C212" s="1994" t="s">
        <v>3881</v>
      </c>
      <c r="D212" s="1994">
        <v>430294</v>
      </c>
      <c r="E212" s="1994" t="s">
        <v>3763</v>
      </c>
      <c r="F212" s="1994" t="s">
        <v>3764</v>
      </c>
      <c r="O212" s="1997">
        <f t="shared" si="23"/>
        <v>61548.19000000001</v>
      </c>
      <c r="P212" s="1997">
        <f t="shared" si="24"/>
        <v>61548.19000000001</v>
      </c>
      <c r="Q212" s="1997">
        <v>0</v>
      </c>
      <c r="R212" s="1998">
        <v>61548</v>
      </c>
      <c r="S212" s="1998">
        <v>61548.19000000001</v>
      </c>
      <c r="T212" s="1998">
        <v>0</v>
      </c>
      <c r="U212" s="1998">
        <v>25729.160000000003</v>
      </c>
      <c r="V212" s="1998">
        <v>35819.030000000006</v>
      </c>
      <c r="W212" s="1998">
        <v>61548.19000000001</v>
      </c>
      <c r="X212" s="2012">
        <f t="shared" si="27"/>
        <v>0</v>
      </c>
      <c r="Z212" s="2012">
        <f t="shared" si="28"/>
        <v>61548.19000000001</v>
      </c>
      <c r="AA212" s="1995">
        <v>0</v>
      </c>
      <c r="AB212" s="1995">
        <f t="shared" si="25"/>
        <v>61548.19000000001</v>
      </c>
      <c r="AD212" s="1995">
        <f t="shared" si="26"/>
        <v>61548.19000000001</v>
      </c>
      <c r="AF212" s="1995">
        <f t="shared" si="22"/>
        <v>61548.19000000001</v>
      </c>
      <c r="AG212" s="1994"/>
    </row>
    <row r="213" spans="1:34" hidden="1" x14ac:dyDescent="0.25">
      <c r="A213" s="1994">
        <v>1</v>
      </c>
      <c r="B213" s="1994">
        <v>43601</v>
      </c>
      <c r="C213" s="1994" t="s">
        <v>3864</v>
      </c>
      <c r="D213" s="1994">
        <v>430383</v>
      </c>
      <c r="E213" s="1994" t="s">
        <v>1399</v>
      </c>
      <c r="F213" s="1994" t="s">
        <v>518</v>
      </c>
      <c r="O213" s="1997">
        <f t="shared" si="23"/>
        <v>73646.540000000008</v>
      </c>
      <c r="P213" s="1997">
        <f t="shared" si="24"/>
        <v>73646.540000000008</v>
      </c>
      <c r="Q213" s="1997">
        <v>0</v>
      </c>
      <c r="R213" s="1998">
        <v>63345</v>
      </c>
      <c r="S213" s="1998">
        <v>73646.540000000008</v>
      </c>
      <c r="T213" s="1998">
        <v>0</v>
      </c>
      <c r="U213" s="1998">
        <v>52531.54</v>
      </c>
      <c r="V213" s="1998">
        <v>21115</v>
      </c>
      <c r="W213" s="1998">
        <v>73646.540000000008</v>
      </c>
      <c r="X213" s="2012">
        <f t="shared" si="27"/>
        <v>0</v>
      </c>
      <c r="Z213" s="2012">
        <f t="shared" si="28"/>
        <v>73646.540000000008</v>
      </c>
      <c r="AA213" s="1995">
        <v>0</v>
      </c>
      <c r="AB213" s="1995">
        <f t="shared" si="25"/>
        <v>73646.540000000008</v>
      </c>
      <c r="AD213" s="1995">
        <f t="shared" si="26"/>
        <v>73646.540000000008</v>
      </c>
      <c r="AF213" s="1995">
        <f t="shared" si="22"/>
        <v>73646.540000000008</v>
      </c>
      <c r="AG213" s="1994"/>
    </row>
    <row r="214" spans="1:34" hidden="1" x14ac:dyDescent="0.25">
      <c r="A214" s="1994">
        <v>1</v>
      </c>
      <c r="B214" s="1994">
        <v>43601</v>
      </c>
      <c r="C214" s="1994" t="s">
        <v>3904</v>
      </c>
      <c r="D214" s="1994">
        <v>431119</v>
      </c>
      <c r="E214" s="1994" t="s">
        <v>1690</v>
      </c>
      <c r="F214" s="1994" t="s">
        <v>476</v>
      </c>
      <c r="O214" s="1997">
        <f t="shared" si="23"/>
        <v>61014.666666666664</v>
      </c>
      <c r="P214" s="1997">
        <f t="shared" si="24"/>
        <v>61014.666666666664</v>
      </c>
      <c r="Q214" s="1997">
        <v>0</v>
      </c>
      <c r="R214" s="1998">
        <v>91522</v>
      </c>
      <c r="S214" s="1998">
        <v>61014.666666666664</v>
      </c>
      <c r="T214" s="1998">
        <v>0</v>
      </c>
      <c r="U214" s="1998">
        <v>0</v>
      </c>
      <c r="V214" s="1998">
        <v>61014.666666666664</v>
      </c>
      <c r="W214" s="1998">
        <v>61014.666666666664</v>
      </c>
      <c r="X214" s="2012">
        <f t="shared" si="27"/>
        <v>0</v>
      </c>
      <c r="Z214" s="2012">
        <f t="shared" si="28"/>
        <v>61014.666666666664</v>
      </c>
      <c r="AA214" s="1995">
        <v>0</v>
      </c>
      <c r="AB214" s="1995">
        <f t="shared" si="25"/>
        <v>61014.666666666664</v>
      </c>
      <c r="AD214" s="1995">
        <f t="shared" si="26"/>
        <v>61014.666666666664</v>
      </c>
      <c r="AF214" s="1995">
        <f t="shared" si="22"/>
        <v>61014.666666666664</v>
      </c>
      <c r="AG214" s="1994"/>
    </row>
    <row r="215" spans="1:34" x14ac:dyDescent="0.25">
      <c r="A215" s="1994">
        <v>1</v>
      </c>
      <c r="B215" s="1994">
        <v>43601</v>
      </c>
      <c r="C215" s="1994" t="s">
        <v>3881</v>
      </c>
      <c r="D215" s="1994">
        <v>431672</v>
      </c>
      <c r="E215" s="1994" t="s">
        <v>3765</v>
      </c>
      <c r="F215" s="1994" t="s">
        <v>3766</v>
      </c>
      <c r="O215" s="1997">
        <f t="shared" si="23"/>
        <v>50868.619999999995</v>
      </c>
      <c r="P215" s="1997">
        <f t="shared" si="24"/>
        <v>50868.619999999995</v>
      </c>
      <c r="Q215" s="1997">
        <v>0</v>
      </c>
      <c r="R215" s="1998">
        <v>55493</v>
      </c>
      <c r="S215" s="1998">
        <v>50868.619999999995</v>
      </c>
      <c r="T215" s="1998">
        <v>0</v>
      </c>
      <c r="U215" s="1998">
        <v>18497.68</v>
      </c>
      <c r="V215" s="1998">
        <v>32370.939999999995</v>
      </c>
      <c r="W215" s="1998">
        <v>50868.619999999995</v>
      </c>
      <c r="X215" s="2012">
        <f t="shared" si="27"/>
        <v>0</v>
      </c>
      <c r="Z215" s="2012">
        <f t="shared" si="28"/>
        <v>50868.619999999995</v>
      </c>
      <c r="AA215" s="1995">
        <v>0</v>
      </c>
      <c r="AB215" s="1995">
        <f t="shared" si="25"/>
        <v>50868.619999999995</v>
      </c>
      <c r="AD215" s="1995">
        <f t="shared" si="26"/>
        <v>50868.619999999995</v>
      </c>
      <c r="AF215" s="1995">
        <f t="shared" si="22"/>
        <v>50868.619999999995</v>
      </c>
      <c r="AG215" s="1994"/>
    </row>
    <row r="216" spans="1:34" hidden="1" x14ac:dyDescent="0.25">
      <c r="A216" s="1994">
        <v>1</v>
      </c>
      <c r="B216" s="1994">
        <v>43601</v>
      </c>
      <c r="C216" s="1994" t="s">
        <v>3907</v>
      </c>
      <c r="D216" s="1994">
        <v>432578</v>
      </c>
      <c r="E216" s="1994" t="s">
        <v>3467</v>
      </c>
      <c r="F216" s="1994" t="s">
        <v>3767</v>
      </c>
      <c r="O216" s="1997">
        <f t="shared" si="23"/>
        <v>77940</v>
      </c>
      <c r="P216" s="1997">
        <f t="shared" si="24"/>
        <v>77940</v>
      </c>
      <c r="Q216" s="1997">
        <v>0</v>
      </c>
      <c r="R216" s="1998">
        <v>87120</v>
      </c>
      <c r="S216" s="1998">
        <v>77940</v>
      </c>
      <c r="T216" s="1998">
        <v>0</v>
      </c>
      <c r="U216" s="1998">
        <v>19860</v>
      </c>
      <c r="V216" s="1998">
        <v>58080</v>
      </c>
      <c r="W216" s="1998">
        <v>77940</v>
      </c>
      <c r="X216" s="2012">
        <f t="shared" si="27"/>
        <v>0</v>
      </c>
      <c r="Z216" s="2012">
        <f t="shared" si="28"/>
        <v>77940</v>
      </c>
      <c r="AA216" s="1995">
        <v>0</v>
      </c>
      <c r="AB216" s="1995">
        <f t="shared" si="25"/>
        <v>77940</v>
      </c>
      <c r="AD216" s="1995">
        <f t="shared" si="26"/>
        <v>77940</v>
      </c>
      <c r="AE216" s="1995">
        <v>-58080</v>
      </c>
      <c r="AF216" s="1995">
        <f t="shared" si="22"/>
        <v>19860</v>
      </c>
      <c r="AG216" s="1994" t="s">
        <v>2306</v>
      </c>
      <c r="AH216" s="1994" t="s">
        <v>3768</v>
      </c>
    </row>
    <row r="217" spans="1:34" hidden="1" x14ac:dyDescent="0.25">
      <c r="A217" s="1994">
        <v>1</v>
      </c>
      <c r="B217" s="1994">
        <v>43601</v>
      </c>
      <c r="C217" s="1994" t="s">
        <v>3871</v>
      </c>
      <c r="D217" s="1994">
        <v>434060</v>
      </c>
      <c r="E217" s="1994" t="s">
        <v>882</v>
      </c>
      <c r="F217" s="1994" t="s">
        <v>881</v>
      </c>
      <c r="O217" s="1997">
        <f t="shared" si="23"/>
        <v>59040.66</v>
      </c>
      <c r="P217" s="1997">
        <f t="shared" si="24"/>
        <v>59040.66</v>
      </c>
      <c r="Q217" s="1997">
        <v>0</v>
      </c>
      <c r="R217" s="1998">
        <v>88561</v>
      </c>
      <c r="S217" s="1998">
        <v>59040.66</v>
      </c>
      <c r="T217" s="1998">
        <v>0</v>
      </c>
      <c r="U217" s="1998">
        <v>29520.33</v>
      </c>
      <c r="V217" s="1998">
        <v>29520.33</v>
      </c>
      <c r="W217" s="1998">
        <v>59040.66</v>
      </c>
      <c r="X217" s="2012">
        <f t="shared" si="27"/>
        <v>0</v>
      </c>
      <c r="Z217" s="2012">
        <f t="shared" si="28"/>
        <v>59040.66</v>
      </c>
      <c r="AA217" s="1995">
        <v>0</v>
      </c>
      <c r="AB217" s="1995">
        <f t="shared" si="25"/>
        <v>59040.66</v>
      </c>
      <c r="AD217" s="1995">
        <f t="shared" si="26"/>
        <v>59040.66</v>
      </c>
      <c r="AF217" s="1995">
        <f t="shared" si="22"/>
        <v>59040.66</v>
      </c>
      <c r="AG217" s="1994"/>
    </row>
    <row r="218" spans="1:34" hidden="1" x14ac:dyDescent="0.25">
      <c r="A218" s="1994">
        <v>1</v>
      </c>
      <c r="B218" s="1994">
        <v>43601</v>
      </c>
      <c r="C218" s="1994" t="s">
        <v>3871</v>
      </c>
      <c r="D218" s="1994">
        <v>434437</v>
      </c>
      <c r="E218" s="1994" t="s">
        <v>1574</v>
      </c>
      <c r="F218" s="1994" t="s">
        <v>1573</v>
      </c>
      <c r="O218" s="1997">
        <f t="shared" si="23"/>
        <v>66828.02</v>
      </c>
      <c r="P218" s="1997">
        <f t="shared" si="24"/>
        <v>66828.02</v>
      </c>
      <c r="Q218" s="1997">
        <v>0</v>
      </c>
      <c r="R218" s="1998">
        <v>88561</v>
      </c>
      <c r="S218" s="1998">
        <v>66828.02</v>
      </c>
      <c r="T218" s="1998">
        <v>0</v>
      </c>
      <c r="U218" s="1998">
        <v>33414.01</v>
      </c>
      <c r="V218" s="1998">
        <v>33414.01</v>
      </c>
      <c r="W218" s="1998">
        <v>66828.02</v>
      </c>
      <c r="X218" s="2012">
        <f t="shared" si="27"/>
        <v>0</v>
      </c>
      <c r="Z218" s="2012">
        <f t="shared" si="28"/>
        <v>66828.02</v>
      </c>
      <c r="AA218" s="1995">
        <v>0</v>
      </c>
      <c r="AB218" s="1995">
        <f t="shared" si="25"/>
        <v>66828.02</v>
      </c>
      <c r="AD218" s="1995">
        <f t="shared" si="26"/>
        <v>66828.02</v>
      </c>
      <c r="AF218" s="1995">
        <f t="shared" si="22"/>
        <v>66828.02</v>
      </c>
      <c r="AG218" s="1994"/>
    </row>
    <row r="219" spans="1:34" hidden="1" x14ac:dyDescent="0.25">
      <c r="A219" s="1994">
        <v>1</v>
      </c>
      <c r="B219" s="1994">
        <v>43601</v>
      </c>
      <c r="C219" s="1994" t="s">
        <v>3871</v>
      </c>
      <c r="D219" s="1994">
        <v>435033</v>
      </c>
      <c r="E219" s="1994" t="s">
        <v>844</v>
      </c>
      <c r="F219" s="1994" t="s">
        <v>755</v>
      </c>
      <c r="O219" s="1997">
        <f t="shared" si="23"/>
        <v>62934.340000000004</v>
      </c>
      <c r="P219" s="1997">
        <f t="shared" si="24"/>
        <v>62934.340000000004</v>
      </c>
      <c r="Q219" s="1997">
        <v>0</v>
      </c>
      <c r="R219" s="1998">
        <v>88561</v>
      </c>
      <c r="S219" s="1998">
        <v>62934.340000000004</v>
      </c>
      <c r="T219" s="1998">
        <v>0</v>
      </c>
      <c r="U219" s="1998">
        <v>33414.01</v>
      </c>
      <c r="V219" s="1998">
        <v>29520.33</v>
      </c>
      <c r="W219" s="1998">
        <v>62934.340000000004</v>
      </c>
      <c r="X219" s="2012">
        <f t="shared" si="27"/>
        <v>0</v>
      </c>
      <c r="Z219" s="2012">
        <f t="shared" si="28"/>
        <v>62934.340000000004</v>
      </c>
      <c r="AA219" s="1995">
        <v>0</v>
      </c>
      <c r="AB219" s="1995">
        <f t="shared" si="25"/>
        <v>62934.340000000004</v>
      </c>
      <c r="AD219" s="1995">
        <f t="shared" si="26"/>
        <v>62934.340000000004</v>
      </c>
      <c r="AF219" s="1995">
        <f t="shared" si="22"/>
        <v>62934.340000000004</v>
      </c>
      <c r="AG219" s="1994"/>
    </row>
    <row r="220" spans="1:34" hidden="1" x14ac:dyDescent="0.25">
      <c r="A220" s="1994">
        <v>1</v>
      </c>
      <c r="B220" s="1994">
        <v>43601</v>
      </c>
      <c r="C220" s="1994" t="s">
        <v>3877</v>
      </c>
      <c r="D220" s="1994">
        <v>435414</v>
      </c>
      <c r="E220" s="1994" t="s">
        <v>3769</v>
      </c>
      <c r="F220" s="1994" t="s">
        <v>1808</v>
      </c>
      <c r="O220" s="1997">
        <f t="shared" si="23"/>
        <v>57795</v>
      </c>
      <c r="P220" s="1997">
        <f t="shared" si="24"/>
        <v>57795</v>
      </c>
      <c r="Q220" s="1997">
        <v>0</v>
      </c>
      <c r="R220" s="1998">
        <v>57795</v>
      </c>
      <c r="S220" s="1998">
        <v>57795</v>
      </c>
      <c r="T220" s="1998">
        <v>0</v>
      </c>
      <c r="U220" s="1998">
        <v>38530</v>
      </c>
      <c r="V220" s="1998">
        <v>19265</v>
      </c>
      <c r="W220" s="1998">
        <v>57795</v>
      </c>
      <c r="X220" s="2012">
        <f t="shared" si="27"/>
        <v>0</v>
      </c>
      <c r="Z220" s="2012">
        <f t="shared" si="28"/>
        <v>57795</v>
      </c>
      <c r="AA220" s="1995">
        <v>0</v>
      </c>
      <c r="AB220" s="1995">
        <f t="shared" si="25"/>
        <v>57795</v>
      </c>
      <c r="AD220" s="1995">
        <f t="shared" si="26"/>
        <v>57795</v>
      </c>
      <c r="AF220" s="1995">
        <f t="shared" si="22"/>
        <v>57795</v>
      </c>
      <c r="AG220" s="1994"/>
    </row>
    <row r="221" spans="1:34" hidden="1" x14ac:dyDescent="0.25">
      <c r="A221" s="1994">
        <v>1</v>
      </c>
      <c r="B221" s="1994">
        <v>43601</v>
      </c>
      <c r="C221" s="1994" t="s">
        <v>3659</v>
      </c>
      <c r="D221" s="1994">
        <v>435928</v>
      </c>
      <c r="E221" s="1994" t="s">
        <v>2159</v>
      </c>
      <c r="F221" s="1994" t="s">
        <v>1208</v>
      </c>
      <c r="O221" s="1997">
        <f t="shared" si="23"/>
        <v>76410</v>
      </c>
      <c r="P221" s="1997">
        <f t="shared" si="24"/>
        <v>76410</v>
      </c>
      <c r="Q221" s="1997">
        <v>0</v>
      </c>
      <c r="R221" s="1998">
        <v>91692</v>
      </c>
      <c r="S221" s="1998">
        <v>76410</v>
      </c>
      <c r="T221" s="1998">
        <v>0</v>
      </c>
      <c r="U221" s="1998">
        <v>45846</v>
      </c>
      <c r="V221" s="1998">
        <v>30564</v>
      </c>
      <c r="W221" s="1998">
        <v>76410</v>
      </c>
      <c r="X221" s="2012">
        <f t="shared" si="27"/>
        <v>0</v>
      </c>
      <c r="Z221" s="2012">
        <f t="shared" si="28"/>
        <v>76410</v>
      </c>
      <c r="AA221" s="1995">
        <v>0</v>
      </c>
      <c r="AB221" s="1995">
        <f t="shared" si="25"/>
        <v>76410</v>
      </c>
      <c r="AD221" s="1995">
        <f t="shared" si="26"/>
        <v>76410</v>
      </c>
      <c r="AF221" s="1995">
        <f t="shared" si="22"/>
        <v>76410</v>
      </c>
      <c r="AG221" s="1994"/>
    </row>
    <row r="222" spans="1:34" hidden="1" x14ac:dyDescent="0.25">
      <c r="A222" s="1994">
        <v>1</v>
      </c>
      <c r="B222" s="1994">
        <v>43601</v>
      </c>
      <c r="C222" s="1994" t="s">
        <v>3864</v>
      </c>
      <c r="D222" s="1994">
        <v>437795</v>
      </c>
      <c r="E222" s="1994" t="s">
        <v>490</v>
      </c>
      <c r="F222" s="1994" t="s">
        <v>556</v>
      </c>
      <c r="O222" s="1997">
        <f t="shared" si="23"/>
        <v>51897.479999999996</v>
      </c>
      <c r="P222" s="1997">
        <f t="shared" si="24"/>
        <v>51897.479999999996</v>
      </c>
      <c r="Q222" s="1997">
        <v>0</v>
      </c>
      <c r="R222" s="1998">
        <v>63195</v>
      </c>
      <c r="S222" s="1998">
        <v>51897.479999999996</v>
      </c>
      <c r="T222" s="1998">
        <v>0</v>
      </c>
      <c r="U222" s="1998">
        <v>17299.16</v>
      </c>
      <c r="V222" s="1998">
        <v>34598.32</v>
      </c>
      <c r="W222" s="1998">
        <v>51897.479999999996</v>
      </c>
      <c r="X222" s="2012">
        <f t="shared" si="27"/>
        <v>0</v>
      </c>
      <c r="Z222" s="2012">
        <f t="shared" si="28"/>
        <v>51897.479999999996</v>
      </c>
      <c r="AA222" s="1995">
        <v>0</v>
      </c>
      <c r="AB222" s="1995">
        <f t="shared" si="25"/>
        <v>51897.479999999996</v>
      </c>
      <c r="AD222" s="1995">
        <f t="shared" si="26"/>
        <v>51897.479999999996</v>
      </c>
      <c r="AF222" s="1995">
        <f t="shared" si="22"/>
        <v>51897.479999999996</v>
      </c>
      <c r="AG222" s="1994"/>
    </row>
    <row r="223" spans="1:34" hidden="1" x14ac:dyDescent="0.25">
      <c r="A223" s="1994">
        <v>1</v>
      </c>
      <c r="B223" s="1994">
        <v>43601</v>
      </c>
      <c r="C223" s="1994" t="s">
        <v>3865</v>
      </c>
      <c r="D223" s="1994">
        <v>437829</v>
      </c>
      <c r="E223" s="1994" t="s">
        <v>3770</v>
      </c>
      <c r="F223" s="1994" t="s">
        <v>63</v>
      </c>
      <c r="O223" s="1997">
        <f t="shared" si="23"/>
        <v>64863.529999999992</v>
      </c>
      <c r="P223" s="1997">
        <f t="shared" si="24"/>
        <v>64863.529999999992</v>
      </c>
      <c r="Q223" s="1997">
        <v>0</v>
      </c>
      <c r="R223" s="1998">
        <v>48735</v>
      </c>
      <c r="S223" s="1998">
        <v>64863.529999999992</v>
      </c>
      <c r="T223" s="1998">
        <v>0</v>
      </c>
      <c r="U223" s="1998">
        <v>27086.839999999997</v>
      </c>
      <c r="V223" s="1998">
        <v>37776.689999999995</v>
      </c>
      <c r="W223" s="1998">
        <v>64863.529999999992</v>
      </c>
      <c r="X223" s="2012">
        <f t="shared" si="27"/>
        <v>0</v>
      </c>
      <c r="Z223" s="2012">
        <f t="shared" si="28"/>
        <v>64863.529999999992</v>
      </c>
      <c r="AA223" s="1995">
        <v>0</v>
      </c>
      <c r="AB223" s="1995">
        <f t="shared" si="25"/>
        <v>64863.529999999992</v>
      </c>
      <c r="AD223" s="1995">
        <f t="shared" si="26"/>
        <v>64863.529999999992</v>
      </c>
      <c r="AF223" s="1995">
        <f t="shared" si="22"/>
        <v>64863.529999999992</v>
      </c>
      <c r="AG223" s="1994"/>
    </row>
    <row r="224" spans="1:34" hidden="1" x14ac:dyDescent="0.25">
      <c r="A224" s="1994">
        <v>1</v>
      </c>
      <c r="B224" s="1994">
        <v>43601</v>
      </c>
      <c r="C224" s="1994" t="s">
        <v>3908</v>
      </c>
      <c r="D224" s="1994">
        <v>438230</v>
      </c>
      <c r="E224" s="1994" t="s">
        <v>3759</v>
      </c>
      <c r="F224" s="1994" t="s">
        <v>132</v>
      </c>
      <c r="O224" s="1997">
        <f t="shared" si="23"/>
        <v>49823.66</v>
      </c>
      <c r="P224" s="1997">
        <f t="shared" si="24"/>
        <v>49823.66</v>
      </c>
      <c r="Q224" s="1997">
        <v>0</v>
      </c>
      <c r="R224" s="1998">
        <v>74735</v>
      </c>
      <c r="S224" s="1998">
        <v>49823.66</v>
      </c>
      <c r="T224" s="1998">
        <v>0</v>
      </c>
      <c r="U224" s="1998">
        <v>24911.83</v>
      </c>
      <c r="V224" s="1998">
        <v>24911.83</v>
      </c>
      <c r="W224" s="1998">
        <v>49823.66</v>
      </c>
      <c r="X224" s="2012">
        <f t="shared" si="27"/>
        <v>0</v>
      </c>
      <c r="Z224" s="2012">
        <f t="shared" si="28"/>
        <v>49823.66</v>
      </c>
      <c r="AA224" s="1995">
        <v>0</v>
      </c>
      <c r="AB224" s="1995">
        <f t="shared" si="25"/>
        <v>49823.66</v>
      </c>
      <c r="AD224" s="1995">
        <f t="shared" si="26"/>
        <v>49823.66</v>
      </c>
      <c r="AF224" s="1995">
        <f t="shared" si="22"/>
        <v>49823.66</v>
      </c>
      <c r="AG224" s="1994"/>
    </row>
    <row r="225" spans="1:32" s="1994" customFormat="1" hidden="1" x14ac:dyDescent="0.25">
      <c r="A225" s="1994">
        <v>1</v>
      </c>
      <c r="B225" s="1994">
        <v>43601</v>
      </c>
      <c r="C225" s="1994" t="s">
        <v>3864</v>
      </c>
      <c r="D225" s="1994">
        <v>438582</v>
      </c>
      <c r="E225" s="1994" t="s">
        <v>3771</v>
      </c>
      <c r="F225" s="1994" t="s">
        <v>777</v>
      </c>
      <c r="L225" s="1995"/>
      <c r="M225" s="1995"/>
      <c r="O225" s="1997">
        <f t="shared" si="23"/>
        <v>74077.41</v>
      </c>
      <c r="P225" s="1997">
        <f t="shared" si="24"/>
        <v>74077.41</v>
      </c>
      <c r="Q225" s="1997">
        <v>0</v>
      </c>
      <c r="R225" s="1998">
        <v>63195</v>
      </c>
      <c r="S225" s="1998">
        <v>74077.41</v>
      </c>
      <c r="T225" s="1998">
        <v>0</v>
      </c>
      <c r="U225" s="1998">
        <v>39479.090000000004</v>
      </c>
      <c r="V225" s="1998">
        <v>34598.32</v>
      </c>
      <c r="W225" s="1998">
        <v>74077.41</v>
      </c>
      <c r="X225" s="2012">
        <f t="shared" si="27"/>
        <v>0</v>
      </c>
      <c r="Z225" s="2012">
        <f t="shared" si="28"/>
        <v>74077.41</v>
      </c>
      <c r="AA225" s="1995">
        <v>0</v>
      </c>
      <c r="AB225" s="1995">
        <f t="shared" si="25"/>
        <v>74077.41</v>
      </c>
      <c r="AC225" s="1496"/>
      <c r="AD225" s="1995">
        <f t="shared" si="26"/>
        <v>74077.41</v>
      </c>
      <c r="AE225" s="1995"/>
      <c r="AF225" s="1995">
        <f t="shared" si="22"/>
        <v>74077.41</v>
      </c>
    </row>
    <row r="226" spans="1:32" s="1994" customFormat="1" hidden="1" x14ac:dyDescent="0.25">
      <c r="A226" s="1994">
        <v>1</v>
      </c>
      <c r="B226" s="1994">
        <v>43601</v>
      </c>
      <c r="C226" s="1994" t="s">
        <v>3877</v>
      </c>
      <c r="D226" s="1994">
        <v>438776</v>
      </c>
      <c r="E226" s="1994" t="s">
        <v>3772</v>
      </c>
      <c r="F226" s="1994" t="s">
        <v>174</v>
      </c>
      <c r="L226" s="1995"/>
      <c r="M226" s="1995"/>
      <c r="O226" s="1997">
        <f t="shared" si="23"/>
        <v>61263</v>
      </c>
      <c r="P226" s="1997">
        <f t="shared" si="24"/>
        <v>61263</v>
      </c>
      <c r="Q226" s="1997">
        <v>0</v>
      </c>
      <c r="R226" s="1998">
        <v>61263</v>
      </c>
      <c r="S226" s="1998">
        <v>61263</v>
      </c>
      <c r="T226" s="1998">
        <v>0</v>
      </c>
      <c r="U226" s="1998">
        <v>40842</v>
      </c>
      <c r="V226" s="1998">
        <v>20421</v>
      </c>
      <c r="W226" s="1998">
        <v>61263</v>
      </c>
      <c r="X226" s="2012">
        <f t="shared" si="27"/>
        <v>0</v>
      </c>
      <c r="Z226" s="2012">
        <f t="shared" si="28"/>
        <v>61263</v>
      </c>
      <c r="AA226" s="1995">
        <v>0</v>
      </c>
      <c r="AB226" s="1995">
        <f t="shared" si="25"/>
        <v>61263</v>
      </c>
      <c r="AC226" s="1496"/>
      <c r="AD226" s="1995">
        <f t="shared" si="26"/>
        <v>61263</v>
      </c>
      <c r="AE226" s="1995"/>
      <c r="AF226" s="1995">
        <f t="shared" si="22"/>
        <v>61263</v>
      </c>
    </row>
    <row r="227" spans="1:32" s="1994" customFormat="1" hidden="1" x14ac:dyDescent="0.25">
      <c r="A227" s="1994">
        <v>1</v>
      </c>
      <c r="B227" s="1994">
        <v>43601</v>
      </c>
      <c r="C227" s="1994" t="s">
        <v>3881</v>
      </c>
      <c r="D227" s="1994">
        <v>440001</v>
      </c>
      <c r="E227" s="1994" t="s">
        <v>2984</v>
      </c>
      <c r="F227" s="1994" t="s">
        <v>2985</v>
      </c>
      <c r="L227" s="1995"/>
      <c r="M227" s="1995"/>
      <c r="O227" s="1997">
        <f t="shared" si="23"/>
        <v>50926.89</v>
      </c>
      <c r="P227" s="1997">
        <f t="shared" si="24"/>
        <v>50926.89</v>
      </c>
      <c r="Q227" s="1997">
        <v>0</v>
      </c>
      <c r="R227" s="1998">
        <v>68130</v>
      </c>
      <c r="S227" s="1998">
        <v>50926.89</v>
      </c>
      <c r="T227" s="1998">
        <v>0</v>
      </c>
      <c r="U227" s="1998">
        <v>16783.88</v>
      </c>
      <c r="V227" s="1998">
        <v>34143.01</v>
      </c>
      <c r="W227" s="1998">
        <v>50926.89</v>
      </c>
      <c r="X227" s="2012">
        <f t="shared" si="27"/>
        <v>0</v>
      </c>
      <c r="Z227" s="2012">
        <f t="shared" si="28"/>
        <v>50926.89</v>
      </c>
      <c r="AA227" s="1995">
        <v>0</v>
      </c>
      <c r="AB227" s="1995">
        <f t="shared" si="25"/>
        <v>50926.89</v>
      </c>
      <c r="AC227" s="1496"/>
      <c r="AD227" s="1995">
        <f t="shared" si="26"/>
        <v>50926.89</v>
      </c>
      <c r="AE227" s="1995"/>
      <c r="AF227" s="1995">
        <f t="shared" si="22"/>
        <v>50926.89</v>
      </c>
    </row>
    <row r="228" spans="1:32" s="1994" customFormat="1" hidden="1" x14ac:dyDescent="0.25">
      <c r="A228" s="1994">
        <v>1</v>
      </c>
      <c r="B228" s="1994">
        <v>43601</v>
      </c>
      <c r="C228" s="1994" t="s">
        <v>3867</v>
      </c>
      <c r="D228" s="1994">
        <v>440020</v>
      </c>
      <c r="E228" s="1994" t="s">
        <v>3773</v>
      </c>
      <c r="F228" s="1994" t="s">
        <v>95</v>
      </c>
      <c r="L228" s="1995"/>
      <c r="M228" s="1995"/>
      <c r="O228" s="1997">
        <f t="shared" si="23"/>
        <v>28476</v>
      </c>
      <c r="P228" s="1997">
        <f t="shared" si="24"/>
        <v>28476</v>
      </c>
      <c r="Q228" s="1997">
        <v>0</v>
      </c>
      <c r="R228" s="1998">
        <v>39360</v>
      </c>
      <c r="S228" s="1998">
        <v>28476</v>
      </c>
      <c r="T228" s="1998">
        <v>0</v>
      </c>
      <c r="U228" s="1998">
        <v>15356</v>
      </c>
      <c r="V228" s="1998">
        <v>13120</v>
      </c>
      <c r="W228" s="1998">
        <v>28476</v>
      </c>
      <c r="X228" s="2012">
        <f t="shared" si="27"/>
        <v>0</v>
      </c>
      <c r="Z228" s="2012">
        <f t="shared" si="28"/>
        <v>28476</v>
      </c>
      <c r="AA228" s="1995">
        <v>0</v>
      </c>
      <c r="AB228" s="1995">
        <f t="shared" si="25"/>
        <v>28476</v>
      </c>
      <c r="AC228" s="1496"/>
      <c r="AD228" s="1995">
        <f t="shared" si="26"/>
        <v>28476</v>
      </c>
      <c r="AE228" s="1995"/>
      <c r="AF228" s="1995">
        <f t="shared" si="22"/>
        <v>28476</v>
      </c>
    </row>
    <row r="229" spans="1:32" s="1994" customFormat="1" hidden="1" x14ac:dyDescent="0.25">
      <c r="A229" s="1994">
        <v>1</v>
      </c>
      <c r="B229" s="1994">
        <v>43601</v>
      </c>
      <c r="C229" s="1994" t="s">
        <v>3885</v>
      </c>
      <c r="D229" s="1994">
        <v>440431</v>
      </c>
      <c r="E229" s="1994" t="s">
        <v>329</v>
      </c>
      <c r="F229" s="1994" t="s">
        <v>3774</v>
      </c>
      <c r="L229" s="1995"/>
      <c r="M229" s="1995"/>
      <c r="O229" s="1997">
        <f t="shared" si="23"/>
        <v>16665</v>
      </c>
      <c r="P229" s="1997">
        <f t="shared" si="24"/>
        <v>16665</v>
      </c>
      <c r="Q229" s="1997">
        <v>0</v>
      </c>
      <c r="R229" s="1998"/>
      <c r="S229" s="1998">
        <v>16665</v>
      </c>
      <c r="T229" s="1998">
        <v>-33333</v>
      </c>
      <c r="U229" s="1998">
        <v>16666</v>
      </c>
      <c r="V229" s="1998">
        <v>33332</v>
      </c>
      <c r="W229" s="1998">
        <v>16665</v>
      </c>
      <c r="X229" s="2012">
        <f t="shared" si="27"/>
        <v>0</v>
      </c>
      <c r="Z229" s="2012">
        <f t="shared" si="28"/>
        <v>49998</v>
      </c>
      <c r="AA229" s="1995">
        <v>0</v>
      </c>
      <c r="AB229" s="1995">
        <f t="shared" si="25"/>
        <v>16665</v>
      </c>
      <c r="AC229" s="1496"/>
      <c r="AD229" s="1995">
        <f t="shared" si="26"/>
        <v>16665</v>
      </c>
      <c r="AE229" s="1995"/>
      <c r="AF229" s="1995">
        <f t="shared" si="22"/>
        <v>16665</v>
      </c>
    </row>
    <row r="230" spans="1:32" s="1994" customFormat="1" hidden="1" x14ac:dyDescent="0.25">
      <c r="A230" s="1994">
        <v>1</v>
      </c>
      <c r="B230" s="1994">
        <v>43601</v>
      </c>
      <c r="C230" s="1994" t="s">
        <v>3870</v>
      </c>
      <c r="D230" s="1994">
        <v>440436</v>
      </c>
      <c r="E230" s="1994" t="s">
        <v>636</v>
      </c>
      <c r="F230" s="1994" t="s">
        <v>3775</v>
      </c>
      <c r="L230" s="1995"/>
      <c r="M230" s="1995"/>
      <c r="O230" s="1997">
        <f t="shared" si="23"/>
        <v>106425</v>
      </c>
      <c r="P230" s="1997">
        <f t="shared" si="24"/>
        <v>106425</v>
      </c>
      <c r="Q230" s="1997">
        <v>0</v>
      </c>
      <c r="R230" s="1998">
        <v>106425</v>
      </c>
      <c r="S230" s="1998">
        <v>106425</v>
      </c>
      <c r="T230" s="1998">
        <v>0</v>
      </c>
      <c r="U230" s="1998">
        <v>70950</v>
      </c>
      <c r="V230" s="1998">
        <v>35475</v>
      </c>
      <c r="W230" s="1998">
        <v>106425</v>
      </c>
      <c r="X230" s="2012">
        <f t="shared" si="27"/>
        <v>0</v>
      </c>
      <c r="Z230" s="2012">
        <f t="shared" si="28"/>
        <v>106425</v>
      </c>
      <c r="AA230" s="1995">
        <v>0</v>
      </c>
      <c r="AB230" s="1995">
        <f t="shared" si="25"/>
        <v>106425</v>
      </c>
      <c r="AC230" s="1496"/>
      <c r="AD230" s="1995">
        <f t="shared" si="26"/>
        <v>106425</v>
      </c>
      <c r="AE230" s="1995"/>
      <c r="AF230" s="1995">
        <f t="shared" si="22"/>
        <v>106425</v>
      </c>
    </row>
    <row r="231" spans="1:32" s="1994" customFormat="1" hidden="1" x14ac:dyDescent="0.25">
      <c r="A231" s="1994">
        <v>1</v>
      </c>
      <c r="B231" s="1994">
        <v>43601</v>
      </c>
      <c r="C231" s="1994" t="s">
        <v>3854</v>
      </c>
      <c r="D231" s="1994">
        <v>440447</v>
      </c>
      <c r="E231" s="1994" t="s">
        <v>636</v>
      </c>
      <c r="F231" s="1994" t="s">
        <v>3776</v>
      </c>
      <c r="L231" s="1995"/>
      <c r="M231" s="1995"/>
      <c r="O231" s="1997">
        <f t="shared" si="23"/>
        <v>42900</v>
      </c>
      <c r="P231" s="1997">
        <f t="shared" si="24"/>
        <v>42900</v>
      </c>
      <c r="Q231" s="1997">
        <v>0</v>
      </c>
      <c r="R231" s="1998">
        <v>42900</v>
      </c>
      <c r="S231" s="1998">
        <v>42900</v>
      </c>
      <c r="T231" s="1998">
        <v>0</v>
      </c>
      <c r="U231" s="1998">
        <v>0</v>
      </c>
      <c r="V231" s="1998">
        <v>42900</v>
      </c>
      <c r="W231" s="1998">
        <v>42900</v>
      </c>
      <c r="X231" s="2012">
        <f t="shared" si="27"/>
        <v>0</v>
      </c>
      <c r="Z231" s="2012">
        <f t="shared" si="28"/>
        <v>42900</v>
      </c>
      <c r="AA231" s="1995">
        <v>0</v>
      </c>
      <c r="AB231" s="1995">
        <f t="shared" si="25"/>
        <v>42900</v>
      </c>
      <c r="AC231" s="1496"/>
      <c r="AD231" s="1995">
        <f t="shared" si="26"/>
        <v>42900</v>
      </c>
      <c r="AE231" s="1995"/>
      <c r="AF231" s="1995">
        <f t="shared" si="22"/>
        <v>42900</v>
      </c>
    </row>
    <row r="232" spans="1:32" s="1994" customFormat="1" hidden="1" x14ac:dyDescent="0.25">
      <c r="A232" s="1994">
        <v>1</v>
      </c>
      <c r="B232" s="1994">
        <v>43601</v>
      </c>
      <c r="C232" s="1994" t="s">
        <v>3798</v>
      </c>
      <c r="D232" s="1994">
        <v>440457</v>
      </c>
      <c r="E232" s="1994" t="s">
        <v>3777</v>
      </c>
      <c r="F232" s="1994" t="s">
        <v>755</v>
      </c>
      <c r="L232" s="1995"/>
      <c r="M232" s="1995"/>
      <c r="O232" s="1997">
        <f t="shared" si="23"/>
        <v>65500</v>
      </c>
      <c r="P232" s="1997">
        <f t="shared" si="24"/>
        <v>65500</v>
      </c>
      <c r="Q232" s="1997">
        <v>0</v>
      </c>
      <c r="R232" s="1998">
        <v>82500</v>
      </c>
      <c r="S232" s="1998">
        <v>65500</v>
      </c>
      <c r="T232" s="1998">
        <v>-32000</v>
      </c>
      <c r="U232" s="1998">
        <v>42500</v>
      </c>
      <c r="V232" s="1998">
        <v>55000</v>
      </c>
      <c r="W232" s="1998">
        <v>65500</v>
      </c>
      <c r="X232" s="2012">
        <f t="shared" si="27"/>
        <v>0</v>
      </c>
      <c r="Z232" s="2012">
        <f t="shared" si="28"/>
        <v>97500</v>
      </c>
      <c r="AA232" s="1995">
        <v>0</v>
      </c>
      <c r="AB232" s="1995">
        <f t="shared" si="25"/>
        <v>65500</v>
      </c>
      <c r="AC232" s="1496"/>
      <c r="AD232" s="1995">
        <f t="shared" si="26"/>
        <v>65500</v>
      </c>
      <c r="AE232" s="1995"/>
      <c r="AF232" s="1995">
        <f t="shared" si="22"/>
        <v>65500</v>
      </c>
    </row>
    <row r="233" spans="1:32" s="1994" customFormat="1" hidden="1" x14ac:dyDescent="0.25">
      <c r="A233" s="1994">
        <v>1</v>
      </c>
      <c r="B233" s="1994">
        <v>43601</v>
      </c>
      <c r="C233" s="1994" t="s">
        <v>3861</v>
      </c>
      <c r="D233" s="1994">
        <v>442063</v>
      </c>
      <c r="E233" s="1994" t="s">
        <v>1923</v>
      </c>
      <c r="F233" s="1994" t="s">
        <v>1922</v>
      </c>
      <c r="L233" s="1995"/>
      <c r="M233" s="1995"/>
      <c r="O233" s="1997">
        <f t="shared" si="23"/>
        <v>58786.559999999998</v>
      </c>
      <c r="P233" s="1997">
        <f t="shared" si="24"/>
        <v>58786.559999999998</v>
      </c>
      <c r="Q233" s="1997">
        <v>0</v>
      </c>
      <c r="R233" s="1998">
        <v>83316</v>
      </c>
      <c r="S233" s="1998">
        <v>58786.559999999998</v>
      </c>
      <c r="T233" s="1998">
        <v>0</v>
      </c>
      <c r="U233" s="1998">
        <v>17496</v>
      </c>
      <c r="V233" s="1998">
        <v>41290.559999999998</v>
      </c>
      <c r="W233" s="1998">
        <v>58786.559999999998</v>
      </c>
      <c r="X233" s="2012">
        <f t="shared" si="27"/>
        <v>0</v>
      </c>
      <c r="Z233" s="2012">
        <f t="shared" si="28"/>
        <v>58786.559999999998</v>
      </c>
      <c r="AA233" s="1995">
        <v>0</v>
      </c>
      <c r="AB233" s="1995">
        <f t="shared" si="25"/>
        <v>58786.559999999998</v>
      </c>
      <c r="AC233" s="1496"/>
      <c r="AD233" s="1995">
        <f t="shared" si="26"/>
        <v>58786.559999999998</v>
      </c>
      <c r="AE233" s="1995"/>
      <c r="AF233" s="1995">
        <f t="shared" si="22"/>
        <v>58786.559999999998</v>
      </c>
    </row>
    <row r="234" spans="1:32" s="1994" customFormat="1" hidden="1" x14ac:dyDescent="0.25">
      <c r="A234" s="1994">
        <v>1</v>
      </c>
      <c r="B234" s="1994">
        <v>43601</v>
      </c>
      <c r="C234" s="1994" t="s">
        <v>3909</v>
      </c>
      <c r="D234" s="1994">
        <v>443514</v>
      </c>
      <c r="E234" s="1994" t="s">
        <v>3778</v>
      </c>
      <c r="F234" s="1994" t="s">
        <v>481</v>
      </c>
      <c r="L234" s="1995"/>
      <c r="M234" s="1995"/>
      <c r="O234" s="1997">
        <f t="shared" si="23"/>
        <v>-11539.5</v>
      </c>
      <c r="P234" s="1997">
        <f t="shared" si="24"/>
        <v>-11539.5</v>
      </c>
      <c r="Q234" s="1997">
        <v>0</v>
      </c>
      <c r="R234" s="1998"/>
      <c r="S234" s="1998">
        <v>-11539.5</v>
      </c>
      <c r="T234" s="1998">
        <v>-37182.83</v>
      </c>
      <c r="U234" s="1998">
        <v>25643.33</v>
      </c>
      <c r="V234" s="1998">
        <v>0</v>
      </c>
      <c r="W234" s="1998">
        <v>-11539.5</v>
      </c>
      <c r="X234" s="2012">
        <f t="shared" si="27"/>
        <v>0</v>
      </c>
      <c r="Z234" s="2012">
        <f t="shared" si="28"/>
        <v>25643.33</v>
      </c>
      <c r="AA234" s="1995">
        <v>0</v>
      </c>
      <c r="AB234" s="1995">
        <f t="shared" si="25"/>
        <v>-11539.5</v>
      </c>
      <c r="AC234" s="1496"/>
      <c r="AD234" s="1995">
        <f t="shared" si="26"/>
        <v>-11539.5</v>
      </c>
      <c r="AE234" s="1995"/>
      <c r="AF234" s="1995">
        <f t="shared" si="22"/>
        <v>-11539.5</v>
      </c>
    </row>
    <row r="235" spans="1:32" s="1994" customFormat="1" hidden="1" x14ac:dyDescent="0.25">
      <c r="A235" s="1994">
        <v>1</v>
      </c>
      <c r="B235" s="1994">
        <v>43601</v>
      </c>
      <c r="C235" s="1994" t="s">
        <v>3886</v>
      </c>
      <c r="D235" s="1994">
        <v>444308</v>
      </c>
      <c r="E235" s="1994" t="s">
        <v>3779</v>
      </c>
      <c r="F235" s="1994" t="s">
        <v>1695</v>
      </c>
      <c r="L235" s="1995"/>
      <c r="M235" s="1995"/>
      <c r="O235" s="1997">
        <f t="shared" si="23"/>
        <v>-6425.7900000000009</v>
      </c>
      <c r="P235" s="1997">
        <f t="shared" si="24"/>
        <v>-6425.7900000000009</v>
      </c>
      <c r="Q235" s="1997">
        <v>0</v>
      </c>
      <c r="R235" s="1998">
        <v>37075</v>
      </c>
      <c r="S235" s="1998">
        <v>-6425.7900000000009</v>
      </c>
      <c r="T235" s="1998">
        <v>-14675.79</v>
      </c>
      <c r="U235" s="1998">
        <v>8250</v>
      </c>
      <c r="V235" s="1998">
        <v>0</v>
      </c>
      <c r="W235" s="1998">
        <v>-6425.7900000000009</v>
      </c>
      <c r="X235" s="2012">
        <f t="shared" si="27"/>
        <v>0</v>
      </c>
      <c r="Z235" s="2012">
        <f t="shared" si="28"/>
        <v>8250</v>
      </c>
      <c r="AA235" s="1995">
        <v>0</v>
      </c>
      <c r="AB235" s="1995">
        <f t="shared" si="25"/>
        <v>-6425.7900000000009</v>
      </c>
      <c r="AC235" s="1496"/>
      <c r="AD235" s="1995">
        <f t="shared" si="26"/>
        <v>-6425.7900000000009</v>
      </c>
      <c r="AE235" s="1995"/>
      <c r="AF235" s="1995">
        <f t="shared" si="22"/>
        <v>-6425.7900000000009</v>
      </c>
    </row>
    <row r="236" spans="1:32" s="1994" customFormat="1" hidden="1" x14ac:dyDescent="0.25">
      <c r="A236" s="1994">
        <v>1</v>
      </c>
      <c r="B236" s="1994">
        <v>43601</v>
      </c>
      <c r="C236" s="1994" t="s">
        <v>3871</v>
      </c>
      <c r="D236" s="1994">
        <v>446380</v>
      </c>
      <c r="E236" s="1994" t="s">
        <v>3780</v>
      </c>
      <c r="F236" s="1994" t="s">
        <v>285</v>
      </c>
      <c r="L236" s="1995"/>
      <c r="M236" s="1995"/>
      <c r="O236" s="1997">
        <f t="shared" si="23"/>
        <v>66827.97</v>
      </c>
      <c r="P236" s="1997">
        <f t="shared" si="24"/>
        <v>66827.97</v>
      </c>
      <c r="Q236" s="1997">
        <v>3893.63</v>
      </c>
      <c r="R236" s="1998">
        <v>88561</v>
      </c>
      <c r="S236" s="1998">
        <v>62934.340000000004</v>
      </c>
      <c r="T236" s="1998">
        <v>0</v>
      </c>
      <c r="U236" s="1998">
        <v>33414.01</v>
      </c>
      <c r="V236" s="1998">
        <v>29520.33</v>
      </c>
      <c r="W236" s="1998">
        <v>62934.340000000004</v>
      </c>
      <c r="X236" s="2012">
        <f t="shared" si="27"/>
        <v>0</v>
      </c>
      <c r="Z236" s="2012">
        <f t="shared" si="28"/>
        <v>62934.340000000004</v>
      </c>
      <c r="AA236" s="1995">
        <v>3893.63</v>
      </c>
      <c r="AB236" s="1995">
        <f t="shared" si="25"/>
        <v>66827.97</v>
      </c>
      <c r="AC236" s="1496"/>
      <c r="AD236" s="1995">
        <f t="shared" si="26"/>
        <v>66827.97</v>
      </c>
      <c r="AE236" s="1995"/>
      <c r="AF236" s="1995">
        <f t="shared" si="22"/>
        <v>66827.97</v>
      </c>
    </row>
    <row r="237" spans="1:32" s="1994" customFormat="1" hidden="1" x14ac:dyDescent="0.25">
      <c r="A237" s="1994">
        <v>1</v>
      </c>
      <c r="B237" s="1994">
        <v>43601</v>
      </c>
      <c r="C237" s="1994" t="s">
        <v>3710</v>
      </c>
      <c r="D237" s="1994">
        <v>447878</v>
      </c>
      <c r="E237" s="1994" t="s">
        <v>3781</v>
      </c>
      <c r="F237" s="1994" t="s">
        <v>519</v>
      </c>
      <c r="L237" s="1995"/>
      <c r="M237" s="1995"/>
      <c r="O237" s="1997">
        <f t="shared" si="23"/>
        <v>25737.160000000007</v>
      </c>
      <c r="P237" s="1997">
        <f t="shared" si="24"/>
        <v>25737.160000000007</v>
      </c>
      <c r="Q237" s="1997">
        <v>0</v>
      </c>
      <c r="R237" s="1998">
        <v>49725</v>
      </c>
      <c r="S237" s="1998">
        <v>25737.160000000007</v>
      </c>
      <c r="T237" s="1998">
        <v>-28961</v>
      </c>
      <c r="U237" s="1998">
        <v>38122.960000000006</v>
      </c>
      <c r="V237" s="1998">
        <v>16575.2</v>
      </c>
      <c r="W237" s="1998">
        <v>25737.160000000007</v>
      </c>
      <c r="X237" s="2012">
        <f t="shared" si="27"/>
        <v>0</v>
      </c>
      <c r="Z237" s="2012">
        <f t="shared" si="28"/>
        <v>54698.16</v>
      </c>
      <c r="AA237" s="1995">
        <v>0</v>
      </c>
      <c r="AB237" s="1995">
        <f t="shared" si="25"/>
        <v>25737.160000000007</v>
      </c>
      <c r="AC237" s="1496"/>
      <c r="AD237" s="1995">
        <f t="shared" si="26"/>
        <v>25737.160000000007</v>
      </c>
      <c r="AE237" s="1995"/>
      <c r="AF237" s="1995">
        <f t="shared" si="22"/>
        <v>25737.160000000007</v>
      </c>
    </row>
    <row r="238" spans="1:32" s="1994" customFormat="1" hidden="1" x14ac:dyDescent="0.25">
      <c r="A238" s="1994">
        <v>1</v>
      </c>
      <c r="B238" s="1994">
        <v>43606</v>
      </c>
      <c r="C238" s="1994" t="s">
        <v>3883</v>
      </c>
      <c r="D238" s="1994">
        <v>448332</v>
      </c>
      <c r="E238" s="1994" t="s">
        <v>2178</v>
      </c>
      <c r="F238" s="1994" t="s">
        <v>2177</v>
      </c>
      <c r="L238" s="1995"/>
      <c r="M238" s="1995"/>
      <c r="O238" s="1997">
        <f t="shared" si="23"/>
        <v>6744</v>
      </c>
      <c r="P238" s="1997">
        <f t="shared" si="24"/>
        <v>6744</v>
      </c>
      <c r="Q238" s="1997">
        <v>0</v>
      </c>
      <c r="R238" s="1998">
        <v>16129</v>
      </c>
      <c r="S238" s="1998">
        <v>6744</v>
      </c>
      <c r="T238" s="1998">
        <v>0</v>
      </c>
      <c r="U238" s="1998">
        <v>2248</v>
      </c>
      <c r="V238" s="1998">
        <v>4496</v>
      </c>
      <c r="W238" s="1998">
        <v>6744</v>
      </c>
      <c r="X238" s="2012">
        <f t="shared" si="27"/>
        <v>0</v>
      </c>
      <c r="Z238" s="2012">
        <f t="shared" si="28"/>
        <v>6744</v>
      </c>
      <c r="AA238" s="1995">
        <v>0</v>
      </c>
      <c r="AB238" s="1995">
        <f t="shared" si="25"/>
        <v>6744</v>
      </c>
      <c r="AC238" s="1496"/>
      <c r="AD238" s="1995">
        <f t="shared" si="26"/>
        <v>6744</v>
      </c>
      <c r="AE238" s="1995"/>
      <c r="AF238" s="1995">
        <f t="shared" si="22"/>
        <v>6744</v>
      </c>
    </row>
    <row r="239" spans="1:32" s="1994" customFormat="1" hidden="1" x14ac:dyDescent="0.25">
      <c r="A239" s="1994">
        <v>1</v>
      </c>
      <c r="B239" s="1994">
        <v>43606</v>
      </c>
      <c r="C239" s="1994" t="s">
        <v>3884</v>
      </c>
      <c r="D239" s="1994">
        <v>448405</v>
      </c>
      <c r="E239" s="1994" t="s">
        <v>3782</v>
      </c>
      <c r="F239" s="1994" t="s">
        <v>381</v>
      </c>
      <c r="L239" s="1995"/>
      <c r="M239" s="1995"/>
      <c r="O239" s="1997">
        <f t="shared" si="23"/>
        <v>12232.48</v>
      </c>
      <c r="P239" s="1997">
        <f t="shared" si="24"/>
        <v>12232.48</v>
      </c>
      <c r="Q239" s="1997">
        <v>0</v>
      </c>
      <c r="R239" s="1998">
        <v>14257</v>
      </c>
      <c r="S239" s="1998">
        <v>12232.48</v>
      </c>
      <c r="T239" s="1998">
        <v>0</v>
      </c>
      <c r="U239" s="1998">
        <v>7480.09</v>
      </c>
      <c r="V239" s="1998">
        <v>4752.3900000000003</v>
      </c>
      <c r="W239" s="1998">
        <v>12232.48</v>
      </c>
      <c r="X239" s="2012">
        <f t="shared" si="27"/>
        <v>0</v>
      </c>
      <c r="Z239" s="2012">
        <f t="shared" si="28"/>
        <v>12232.48</v>
      </c>
      <c r="AA239" s="1995">
        <v>0</v>
      </c>
      <c r="AB239" s="1995">
        <f t="shared" si="25"/>
        <v>12232.48</v>
      </c>
      <c r="AC239" s="1496"/>
      <c r="AD239" s="1995">
        <f t="shared" si="26"/>
        <v>12232.48</v>
      </c>
      <c r="AE239" s="1995"/>
      <c r="AF239" s="1995">
        <f t="shared" si="22"/>
        <v>12232.48</v>
      </c>
    </row>
    <row r="240" spans="1:32" s="1994" customFormat="1" hidden="1" x14ac:dyDescent="0.25">
      <c r="A240" s="1994">
        <v>1</v>
      </c>
      <c r="B240" s="1994">
        <v>43601</v>
      </c>
      <c r="C240" s="1994" t="s">
        <v>3887</v>
      </c>
      <c r="D240" s="1994">
        <v>448500</v>
      </c>
      <c r="E240" s="1994" t="s">
        <v>3540</v>
      </c>
      <c r="F240" s="1994" t="s">
        <v>3541</v>
      </c>
      <c r="L240" s="1995"/>
      <c r="M240" s="1995"/>
      <c r="O240" s="1997">
        <f t="shared" si="23"/>
        <v>44000</v>
      </c>
      <c r="P240" s="1997">
        <f t="shared" si="24"/>
        <v>44000</v>
      </c>
      <c r="Q240" s="1997">
        <v>0</v>
      </c>
      <c r="R240" s="1998">
        <v>66000</v>
      </c>
      <c r="S240" s="1998">
        <v>44000</v>
      </c>
      <c r="T240" s="1998"/>
      <c r="U240" s="1998">
        <v>0</v>
      </c>
      <c r="V240" s="1998">
        <v>44000</v>
      </c>
      <c r="W240" s="1998">
        <v>44000</v>
      </c>
      <c r="X240" s="2012">
        <f t="shared" si="27"/>
        <v>0</v>
      </c>
      <c r="Z240" s="2012">
        <f t="shared" si="28"/>
        <v>44000</v>
      </c>
      <c r="AA240" s="1995">
        <v>0</v>
      </c>
      <c r="AB240" s="1995">
        <f t="shared" si="25"/>
        <v>44000</v>
      </c>
      <c r="AC240" s="1496"/>
      <c r="AD240" s="1995">
        <f t="shared" si="26"/>
        <v>44000</v>
      </c>
      <c r="AE240" s="1995"/>
      <c r="AF240" s="1995">
        <f t="shared" si="22"/>
        <v>44000</v>
      </c>
    </row>
    <row r="241" spans="1:33" hidden="1" x14ac:dyDescent="0.25">
      <c r="A241" s="1994">
        <v>1</v>
      </c>
      <c r="B241" s="1994">
        <v>43601</v>
      </c>
      <c r="C241" s="1994" t="s">
        <v>3910</v>
      </c>
      <c r="D241" s="1994">
        <v>449608</v>
      </c>
      <c r="E241" s="1994" t="s">
        <v>3416</v>
      </c>
      <c r="F241" s="1994" t="s">
        <v>427</v>
      </c>
      <c r="O241" s="1997">
        <f t="shared" si="23"/>
        <v>12171.710000000003</v>
      </c>
      <c r="P241" s="1997">
        <f t="shared" si="24"/>
        <v>12171.710000000003</v>
      </c>
      <c r="Q241" s="1997">
        <v>0</v>
      </c>
      <c r="R241" s="1998">
        <v>32469</v>
      </c>
      <c r="S241" s="1998">
        <v>12171.710000000003</v>
      </c>
      <c r="T241" s="1998">
        <v>-30447</v>
      </c>
      <c r="U241" s="1998">
        <v>20972.47</v>
      </c>
      <c r="V241" s="1998">
        <v>21646.240000000002</v>
      </c>
      <c r="W241" s="1998">
        <v>12171.710000000003</v>
      </c>
      <c r="X241" s="2012">
        <f t="shared" si="27"/>
        <v>0</v>
      </c>
      <c r="Z241" s="2012">
        <f t="shared" si="28"/>
        <v>42618.710000000006</v>
      </c>
      <c r="AA241" s="1995">
        <v>0</v>
      </c>
      <c r="AB241" s="1995">
        <f t="shared" si="25"/>
        <v>12171.710000000003</v>
      </c>
      <c r="AD241" s="1995">
        <f t="shared" si="26"/>
        <v>12171.710000000003</v>
      </c>
      <c r="AF241" s="1995">
        <f t="shared" si="22"/>
        <v>12171.710000000003</v>
      </c>
      <c r="AG241" s="1994"/>
    </row>
    <row r="242" spans="1:33" hidden="1" x14ac:dyDescent="0.25">
      <c r="A242" s="1994">
        <v>1</v>
      </c>
      <c r="B242" s="1994">
        <v>43601</v>
      </c>
      <c r="C242" s="1994" t="s">
        <v>3867</v>
      </c>
      <c r="D242" s="1994">
        <v>450725</v>
      </c>
      <c r="E242" s="1994" t="s">
        <v>2162</v>
      </c>
      <c r="F242" s="1994" t="s">
        <v>2161</v>
      </c>
      <c r="O242" s="1997">
        <f t="shared" si="23"/>
        <v>28476</v>
      </c>
      <c r="P242" s="1997">
        <f t="shared" si="24"/>
        <v>28476</v>
      </c>
      <c r="Q242" s="1997">
        <v>0</v>
      </c>
      <c r="R242" s="1998">
        <v>39360</v>
      </c>
      <c r="S242" s="1998">
        <v>28476</v>
      </c>
      <c r="T242" s="1998">
        <v>0</v>
      </c>
      <c r="U242" s="1998">
        <v>15356</v>
      </c>
      <c r="V242" s="1998">
        <v>13120</v>
      </c>
      <c r="W242" s="1998">
        <v>28476</v>
      </c>
      <c r="X242" s="2012">
        <f t="shared" si="27"/>
        <v>0</v>
      </c>
      <c r="Z242" s="2012">
        <f t="shared" si="28"/>
        <v>28476</v>
      </c>
      <c r="AA242" s="1995">
        <v>0</v>
      </c>
      <c r="AB242" s="1995">
        <f t="shared" si="25"/>
        <v>28476</v>
      </c>
      <c r="AD242" s="1995">
        <f t="shared" si="26"/>
        <v>28476</v>
      </c>
      <c r="AF242" s="1995">
        <f t="shared" si="22"/>
        <v>28476</v>
      </c>
      <c r="AG242" s="1994"/>
    </row>
    <row r="243" spans="1:33" hidden="1" x14ac:dyDescent="0.25">
      <c r="A243" s="1994">
        <v>1</v>
      </c>
      <c r="B243" s="1994">
        <v>43601</v>
      </c>
      <c r="C243" s="1994" t="s">
        <v>3659</v>
      </c>
      <c r="D243" s="1994">
        <v>450744</v>
      </c>
      <c r="E243" s="1994" t="s">
        <v>1168</v>
      </c>
      <c r="F243" s="1994" t="s">
        <v>3783</v>
      </c>
      <c r="O243" s="1997">
        <f t="shared" si="23"/>
        <v>11200</v>
      </c>
      <c r="P243" s="1997">
        <f t="shared" si="24"/>
        <v>11200</v>
      </c>
      <c r="Q243" s="1997">
        <v>0</v>
      </c>
      <c r="R243" s="1998">
        <v>52800</v>
      </c>
      <c r="S243" s="1998">
        <v>11200</v>
      </c>
      <c r="T243" s="1998">
        <v>-24000</v>
      </c>
      <c r="U243" s="1998">
        <v>17600</v>
      </c>
      <c r="V243" s="1998">
        <v>17600</v>
      </c>
      <c r="W243" s="1998">
        <v>11200</v>
      </c>
      <c r="X243" s="2012">
        <f t="shared" si="27"/>
        <v>0</v>
      </c>
      <c r="Z243" s="2012">
        <f t="shared" si="28"/>
        <v>35200</v>
      </c>
      <c r="AA243" s="1995">
        <v>0</v>
      </c>
      <c r="AB243" s="1995">
        <f t="shared" si="25"/>
        <v>11200</v>
      </c>
      <c r="AD243" s="1995">
        <f t="shared" si="26"/>
        <v>11200</v>
      </c>
      <c r="AF243" s="1995">
        <f t="shared" si="22"/>
        <v>11200</v>
      </c>
      <c r="AG243" s="1994"/>
    </row>
    <row r="244" spans="1:33" hidden="1" x14ac:dyDescent="0.25">
      <c r="A244" s="1994">
        <v>1</v>
      </c>
      <c r="B244" s="1994">
        <v>43601</v>
      </c>
      <c r="C244" s="1994" t="s">
        <v>3871</v>
      </c>
      <c r="D244" s="1994">
        <v>451225</v>
      </c>
      <c r="E244" s="1994" t="s">
        <v>3018</v>
      </c>
      <c r="F244" s="1994" t="s">
        <v>111</v>
      </c>
      <c r="O244" s="1997">
        <f t="shared" si="23"/>
        <v>92457.670000000013</v>
      </c>
      <c r="P244" s="1997">
        <f t="shared" si="24"/>
        <v>92457.670000000013</v>
      </c>
      <c r="Q244" s="1997">
        <v>0</v>
      </c>
      <c r="R244" s="1998">
        <v>88561</v>
      </c>
      <c r="S244" s="1998">
        <v>92457.670000000013</v>
      </c>
      <c r="T244" s="1998">
        <v>0</v>
      </c>
      <c r="U244" s="1998">
        <v>62937.340000000004</v>
      </c>
      <c r="V244" s="1998">
        <v>29520.33</v>
      </c>
      <c r="W244" s="1998">
        <v>92457.670000000013</v>
      </c>
      <c r="X244" s="2012">
        <f t="shared" si="27"/>
        <v>0</v>
      </c>
      <c r="Z244" s="2012">
        <f t="shared" si="28"/>
        <v>92457.670000000013</v>
      </c>
      <c r="AA244" s="1995">
        <v>0</v>
      </c>
      <c r="AB244" s="1995">
        <f t="shared" si="25"/>
        <v>92457.670000000013</v>
      </c>
      <c r="AD244" s="1995">
        <f t="shared" si="26"/>
        <v>92457.670000000013</v>
      </c>
      <c r="AF244" s="1995">
        <f t="shared" si="22"/>
        <v>92457.670000000013</v>
      </c>
      <c r="AG244" s="1994"/>
    </row>
    <row r="245" spans="1:33" hidden="1" x14ac:dyDescent="0.25">
      <c r="A245" s="1994">
        <v>1</v>
      </c>
      <c r="B245" s="1994">
        <v>43601</v>
      </c>
      <c r="C245" s="1994" t="s">
        <v>3911</v>
      </c>
      <c r="D245" s="1994">
        <v>381033</v>
      </c>
      <c r="E245" s="1994" t="s">
        <v>3784</v>
      </c>
      <c r="F245" s="1994" t="s">
        <v>3785</v>
      </c>
      <c r="O245" s="1997">
        <f>P245*2</f>
        <v>93712</v>
      </c>
      <c r="P245" s="1997">
        <f t="shared" si="24"/>
        <v>46856</v>
      </c>
      <c r="Q245" s="1997">
        <f>93712/2</f>
        <v>46856</v>
      </c>
      <c r="S245" s="1998">
        <v>0</v>
      </c>
      <c r="X245" s="2012"/>
      <c r="Z245" s="2012"/>
      <c r="AA245" s="1995">
        <v>46856</v>
      </c>
      <c r="AB245" s="1995">
        <f t="shared" si="25"/>
        <v>46856</v>
      </c>
      <c r="AD245" s="1995">
        <f t="shared" si="26"/>
        <v>46856</v>
      </c>
      <c r="AF245" s="1995">
        <f t="shared" si="22"/>
        <v>46856</v>
      </c>
      <c r="AG245" s="1994"/>
    </row>
    <row r="246" spans="1:33" hidden="1" x14ac:dyDescent="0.25">
      <c r="A246" s="1994">
        <v>1</v>
      </c>
      <c r="B246" s="1994">
        <v>43601</v>
      </c>
      <c r="C246" s="1994" t="s">
        <v>3854</v>
      </c>
      <c r="D246" s="1994">
        <v>367809</v>
      </c>
      <c r="E246" s="1994" t="s">
        <v>1506</v>
      </c>
      <c r="F246" s="1994" t="s">
        <v>1505</v>
      </c>
      <c r="O246" s="1997">
        <v>33282</v>
      </c>
      <c r="X246" s="2012"/>
      <c r="Z246" s="2012"/>
      <c r="AC246" s="1496">
        <v>22188</v>
      </c>
      <c r="AD246" s="1995">
        <f t="shared" si="26"/>
        <v>22188</v>
      </c>
      <c r="AF246" s="1995">
        <f t="shared" si="22"/>
        <v>22188</v>
      </c>
      <c r="AG246" s="1994"/>
    </row>
    <row r="247" spans="1:33" hidden="1" x14ac:dyDescent="0.25">
      <c r="A247" s="1994">
        <v>0</v>
      </c>
      <c r="B247" s="1994">
        <v>43601</v>
      </c>
      <c r="C247" s="1994" t="s">
        <v>3854</v>
      </c>
      <c r="D247" s="1994">
        <v>367809</v>
      </c>
      <c r="E247" s="1994" t="s">
        <v>1506</v>
      </c>
      <c r="F247" s="1994" t="s">
        <v>1505</v>
      </c>
      <c r="O247" s="1997">
        <v>39360</v>
      </c>
      <c r="X247" s="2012"/>
      <c r="Z247" s="2012"/>
      <c r="AE247" s="1995">
        <v>4072</v>
      </c>
      <c r="AF247" s="1995">
        <f t="shared" si="22"/>
        <v>4072</v>
      </c>
      <c r="AG247" s="1994"/>
    </row>
    <row r="248" spans="1:33" hidden="1" x14ac:dyDescent="0.25">
      <c r="A248" s="1994">
        <v>1</v>
      </c>
      <c r="B248" s="1994">
        <v>43601</v>
      </c>
      <c r="C248" s="1994" t="s">
        <v>3854</v>
      </c>
      <c r="D248" s="1994">
        <v>370288</v>
      </c>
      <c r="E248" s="1994" t="s">
        <v>252</v>
      </c>
      <c r="F248" s="1994" t="s">
        <v>800</v>
      </c>
      <c r="O248" s="1997">
        <v>47360</v>
      </c>
      <c r="X248" s="2012"/>
      <c r="Z248" s="2012"/>
      <c r="AC248" s="1496">
        <v>31573.33</v>
      </c>
      <c r="AD248" s="1995">
        <f t="shared" si="26"/>
        <v>31573.33</v>
      </c>
      <c r="AF248" s="1995">
        <f t="shared" si="22"/>
        <v>31573.33</v>
      </c>
      <c r="AG248" s="1994"/>
    </row>
    <row r="249" spans="1:33" hidden="1" x14ac:dyDescent="0.25">
      <c r="A249" s="1994">
        <v>1</v>
      </c>
      <c r="B249" s="1994">
        <v>43601</v>
      </c>
      <c r="C249" s="1994" t="s">
        <v>3857</v>
      </c>
      <c r="D249" s="1994">
        <v>383165</v>
      </c>
      <c r="E249" s="1994" t="s">
        <v>1134</v>
      </c>
      <c r="F249" s="1994" t="s">
        <v>1133</v>
      </c>
      <c r="O249" s="1997">
        <v>74775</v>
      </c>
      <c r="X249" s="2012"/>
      <c r="Z249" s="2012"/>
      <c r="AC249" s="1496">
        <v>22500</v>
      </c>
      <c r="AD249" s="1995">
        <f t="shared" si="26"/>
        <v>22500</v>
      </c>
      <c r="AF249" s="1995">
        <f t="shared" si="22"/>
        <v>22500</v>
      </c>
      <c r="AG249" s="1995">
        <v>4387.5</v>
      </c>
    </row>
    <row r="250" spans="1:33" hidden="1" x14ac:dyDescent="0.25">
      <c r="A250" s="1994">
        <v>1</v>
      </c>
      <c r="B250" s="1994">
        <v>43601</v>
      </c>
      <c r="C250" s="1994" t="s">
        <v>3863</v>
      </c>
      <c r="D250" s="1994">
        <v>387541</v>
      </c>
      <c r="E250" s="1994" t="s">
        <v>140</v>
      </c>
      <c r="F250" s="1994" t="s">
        <v>293</v>
      </c>
      <c r="O250" s="1997">
        <v>36440</v>
      </c>
      <c r="X250" s="2012"/>
      <c r="Z250" s="2012"/>
      <c r="AC250" s="1496">
        <v>23534.17</v>
      </c>
      <c r="AD250" s="1995">
        <f t="shared" si="26"/>
        <v>23534.17</v>
      </c>
      <c r="AF250" s="1995">
        <f t="shared" si="22"/>
        <v>23534.17</v>
      </c>
      <c r="AG250" s="1994"/>
    </row>
    <row r="251" spans="1:33" hidden="1" x14ac:dyDescent="0.25">
      <c r="A251" s="1994">
        <v>1</v>
      </c>
      <c r="B251" s="1994">
        <v>43601</v>
      </c>
      <c r="C251" s="1994" t="s">
        <v>3880</v>
      </c>
      <c r="D251" s="1994">
        <v>410557</v>
      </c>
      <c r="E251" s="1994" t="s">
        <v>1296</v>
      </c>
      <c r="F251" s="1994" t="s">
        <v>3786</v>
      </c>
      <c r="O251" s="1997">
        <v>17247</v>
      </c>
      <c r="X251" s="2012"/>
      <c r="Z251" s="2012"/>
      <c r="AC251" s="1496">
        <v>6737.11</v>
      </c>
      <c r="AD251" s="1995">
        <f t="shared" si="26"/>
        <v>6737.11</v>
      </c>
      <c r="AF251" s="1995">
        <f t="shared" si="22"/>
        <v>6737.11</v>
      </c>
      <c r="AG251" s="1994"/>
    </row>
    <row r="252" spans="1:33" hidden="1" x14ac:dyDescent="0.25">
      <c r="A252" s="1994">
        <v>1</v>
      </c>
      <c r="B252" s="1994">
        <v>43601</v>
      </c>
      <c r="C252" s="1994" t="s">
        <v>2172</v>
      </c>
      <c r="D252" s="1994">
        <v>411244</v>
      </c>
      <c r="E252" s="1994" t="s">
        <v>3787</v>
      </c>
      <c r="F252" s="1994" t="s">
        <v>3788</v>
      </c>
      <c r="O252" s="1997">
        <v>23067</v>
      </c>
      <c r="X252" s="2012"/>
      <c r="Z252" s="2012"/>
      <c r="AC252" s="1496">
        <v>25378</v>
      </c>
      <c r="AD252" s="1995">
        <f t="shared" si="26"/>
        <v>25378</v>
      </c>
      <c r="AF252" s="1995">
        <f t="shared" si="22"/>
        <v>25378</v>
      </c>
      <c r="AG252" s="1994"/>
    </row>
    <row r="253" spans="1:33" hidden="1" x14ac:dyDescent="0.25">
      <c r="A253" s="1994">
        <v>1</v>
      </c>
      <c r="B253" s="1994">
        <v>43601</v>
      </c>
      <c r="C253" s="1994" t="s">
        <v>3881</v>
      </c>
      <c r="D253" s="1994">
        <v>421524</v>
      </c>
      <c r="E253" s="1994" t="s">
        <v>828</v>
      </c>
      <c r="F253" s="1994" t="s">
        <v>827</v>
      </c>
      <c r="O253" s="1997">
        <v>86915</v>
      </c>
      <c r="X253" s="2012"/>
      <c r="Z253" s="2012"/>
      <c r="AC253" s="1496">
        <v>57490.65</v>
      </c>
      <c r="AD253" s="1995">
        <f t="shared" si="26"/>
        <v>57490.65</v>
      </c>
      <c r="AF253" s="1995">
        <f t="shared" si="22"/>
        <v>57490.65</v>
      </c>
      <c r="AG253" s="1994"/>
    </row>
    <row r="254" spans="1:33" hidden="1" x14ac:dyDescent="0.25">
      <c r="A254" s="1994">
        <v>1</v>
      </c>
      <c r="B254" s="1994">
        <v>43601</v>
      </c>
      <c r="C254" s="1994" t="s">
        <v>3869</v>
      </c>
      <c r="D254" s="1994">
        <v>433609</v>
      </c>
      <c r="E254" s="1994" t="s">
        <v>3789</v>
      </c>
      <c r="F254" s="1994" t="s">
        <v>500</v>
      </c>
      <c r="O254" s="1997">
        <v>37591</v>
      </c>
      <c r="X254" s="2012"/>
      <c r="Z254" s="2012"/>
      <c r="AC254" s="1496">
        <v>37591</v>
      </c>
      <c r="AD254" s="1995">
        <f t="shared" si="26"/>
        <v>37591</v>
      </c>
      <c r="AF254" s="1995">
        <f t="shared" si="22"/>
        <v>37591</v>
      </c>
    </row>
    <row r="255" spans="1:33" hidden="1" x14ac:dyDescent="0.25">
      <c r="A255" s="1994">
        <v>1</v>
      </c>
      <c r="B255" s="1994">
        <v>43601</v>
      </c>
      <c r="C255" s="1994" t="s">
        <v>3710</v>
      </c>
      <c r="D255" s="1994">
        <v>438523</v>
      </c>
      <c r="E255" s="1994" t="s">
        <v>3790</v>
      </c>
      <c r="F255" s="1994" t="s">
        <v>3791</v>
      </c>
      <c r="O255" s="1997">
        <v>39804</v>
      </c>
      <c r="X255" s="2012"/>
      <c r="Z255" s="2012"/>
      <c r="AC255" s="1496">
        <v>39804</v>
      </c>
      <c r="AD255" s="1995">
        <f t="shared" si="26"/>
        <v>39804</v>
      </c>
      <c r="AF255" s="1995">
        <f t="shared" si="22"/>
        <v>39804</v>
      </c>
      <c r="AG255" s="1994"/>
    </row>
    <row r="256" spans="1:33" hidden="1" x14ac:dyDescent="0.25">
      <c r="A256" s="1994">
        <v>1</v>
      </c>
      <c r="B256" s="1994">
        <v>43601</v>
      </c>
      <c r="C256" s="1994" t="s">
        <v>3710</v>
      </c>
      <c r="D256" s="1994">
        <v>438601</v>
      </c>
      <c r="E256" s="1994" t="s">
        <v>3792</v>
      </c>
      <c r="F256" s="1994" t="s">
        <v>942</v>
      </c>
      <c r="O256" s="1997">
        <v>50210</v>
      </c>
      <c r="X256" s="2012"/>
      <c r="Z256" s="2012"/>
      <c r="AC256" s="1496">
        <v>50120</v>
      </c>
      <c r="AD256" s="1995">
        <f t="shared" si="26"/>
        <v>50120</v>
      </c>
      <c r="AF256" s="1995">
        <f t="shared" si="22"/>
        <v>50120</v>
      </c>
      <c r="AG256" s="1994"/>
    </row>
    <row r="257" spans="1:33" hidden="1" x14ac:dyDescent="0.25">
      <c r="A257" s="1994">
        <v>1</v>
      </c>
      <c r="B257" s="1994">
        <v>43606</v>
      </c>
      <c r="C257" s="1994" t="s">
        <v>1906</v>
      </c>
      <c r="D257" s="1994">
        <v>446515</v>
      </c>
      <c r="E257" s="1994" t="s">
        <v>1978</v>
      </c>
      <c r="F257" s="1994" t="s">
        <v>231</v>
      </c>
      <c r="O257" s="1997">
        <v>41737</v>
      </c>
      <c r="X257" s="2012"/>
      <c r="Z257" s="2012"/>
      <c r="AC257" s="1496">
        <v>27824.67</v>
      </c>
      <c r="AD257" s="1995">
        <f t="shared" si="26"/>
        <v>27824.67</v>
      </c>
      <c r="AF257" s="1995">
        <f t="shared" si="22"/>
        <v>27824.67</v>
      </c>
      <c r="AG257" s="1994"/>
    </row>
    <row r="258" spans="1:33" hidden="1" x14ac:dyDescent="0.25">
      <c r="A258" s="1994">
        <v>0</v>
      </c>
      <c r="B258" s="1994">
        <v>43606</v>
      </c>
      <c r="C258" s="1994" t="s">
        <v>1906</v>
      </c>
      <c r="D258" s="1994">
        <v>446515</v>
      </c>
      <c r="E258" s="1994" t="s">
        <v>1978</v>
      </c>
      <c r="F258" s="1994" t="s">
        <v>231</v>
      </c>
      <c r="O258" s="1997">
        <v>5346.48</v>
      </c>
      <c r="X258" s="2012"/>
      <c r="Z258" s="2012"/>
      <c r="AC258" s="1496">
        <v>1754.3</v>
      </c>
      <c r="AD258" s="1995">
        <f t="shared" si="26"/>
        <v>1754.3</v>
      </c>
      <c r="AF258" s="1995">
        <f t="shared" si="22"/>
        <v>1754.3</v>
      </c>
      <c r="AG258" s="1994"/>
    </row>
    <row r="259" spans="1:33" hidden="1" x14ac:dyDescent="0.25">
      <c r="A259" s="1994">
        <v>1</v>
      </c>
      <c r="B259" s="1994">
        <v>43601</v>
      </c>
      <c r="C259" s="1994" t="s">
        <v>3857</v>
      </c>
      <c r="D259" s="1994">
        <v>458645</v>
      </c>
      <c r="E259" s="1994" t="s">
        <v>3793</v>
      </c>
      <c r="F259" s="1994" t="s">
        <v>3794</v>
      </c>
      <c r="O259" s="1997">
        <v>0</v>
      </c>
      <c r="X259" s="2012"/>
      <c r="Z259" s="2012"/>
      <c r="AD259" s="1995">
        <f t="shared" si="26"/>
        <v>0</v>
      </c>
      <c r="AF259" s="1995">
        <f t="shared" si="22"/>
        <v>0</v>
      </c>
      <c r="AG259" s="1994"/>
    </row>
    <row r="260" spans="1:33" hidden="1" x14ac:dyDescent="0.25">
      <c r="A260" s="1994">
        <v>1</v>
      </c>
      <c r="B260" s="1994">
        <v>43601</v>
      </c>
      <c r="C260" s="1994" t="s">
        <v>3902</v>
      </c>
      <c r="D260" s="1994">
        <v>397093</v>
      </c>
      <c r="E260" s="1994" t="s">
        <v>3706</v>
      </c>
      <c r="F260" s="1994" t="s">
        <v>3707</v>
      </c>
      <c r="O260" s="1997">
        <v>6858</v>
      </c>
      <c r="X260" s="2012"/>
      <c r="Z260" s="2012"/>
      <c r="AC260" s="1496">
        <v>1100</v>
      </c>
      <c r="AD260" s="1995">
        <f t="shared" si="26"/>
        <v>1100</v>
      </c>
      <c r="AF260" s="1995">
        <f t="shared" si="22"/>
        <v>1100</v>
      </c>
      <c r="AG260" s="1994"/>
    </row>
    <row r="261" spans="1:33" hidden="1" x14ac:dyDescent="0.25">
      <c r="A261" s="1994">
        <v>1</v>
      </c>
      <c r="B261" s="1994">
        <v>43601</v>
      </c>
      <c r="C261" s="1994" t="s">
        <v>2172</v>
      </c>
      <c r="D261" s="1994">
        <v>332860</v>
      </c>
      <c r="E261" s="1994" t="s">
        <v>2145</v>
      </c>
      <c r="F261" s="1994" t="s">
        <v>3795</v>
      </c>
      <c r="O261" s="1997">
        <v>1500</v>
      </c>
      <c r="X261" s="2012"/>
      <c r="Z261" s="2012"/>
      <c r="AD261" s="1995">
        <f t="shared" si="26"/>
        <v>0</v>
      </c>
      <c r="AF261" s="1995">
        <f t="shared" si="22"/>
        <v>0</v>
      </c>
      <c r="AG261" s="1994"/>
    </row>
    <row r="262" spans="1:33" hidden="1" x14ac:dyDescent="0.25">
      <c r="A262" s="1994">
        <v>0</v>
      </c>
      <c r="B262" s="1994">
        <v>43601</v>
      </c>
      <c r="C262" s="1994" t="s">
        <v>2172</v>
      </c>
      <c r="D262" s="1994">
        <v>332861</v>
      </c>
      <c r="E262" s="1994" t="s">
        <v>2145</v>
      </c>
      <c r="F262" s="1994" t="s">
        <v>3795</v>
      </c>
      <c r="O262" s="1997">
        <v>3000</v>
      </c>
      <c r="X262" s="2012"/>
      <c r="Z262" s="2012"/>
      <c r="AD262" s="1995">
        <f t="shared" si="26"/>
        <v>0</v>
      </c>
      <c r="AF262" s="1995">
        <f t="shared" si="22"/>
        <v>0</v>
      </c>
      <c r="AG262" s="1994"/>
    </row>
    <row r="263" spans="1:33" hidden="1" x14ac:dyDescent="0.25">
      <c r="A263" s="1994">
        <v>1</v>
      </c>
      <c r="B263" s="1994">
        <v>43606</v>
      </c>
      <c r="C263" s="1994" t="s">
        <v>3796</v>
      </c>
      <c r="D263" s="1994">
        <v>414192</v>
      </c>
      <c r="E263" s="1994" t="s">
        <v>3797</v>
      </c>
      <c r="F263" s="1994" t="s">
        <v>3686</v>
      </c>
      <c r="O263" s="1997">
        <v>44080</v>
      </c>
      <c r="X263" s="2012"/>
      <c r="Z263" s="2012"/>
      <c r="AC263" s="1496">
        <v>14693.33</v>
      </c>
      <c r="AD263" s="1995">
        <f t="shared" si="26"/>
        <v>14693.33</v>
      </c>
      <c r="AF263" s="1995">
        <f t="shared" si="22"/>
        <v>14693.33</v>
      </c>
      <c r="AG263" s="1994"/>
    </row>
    <row r="264" spans="1:33" hidden="1" x14ac:dyDescent="0.25">
      <c r="A264" s="1994">
        <v>1</v>
      </c>
      <c r="B264" s="1994">
        <v>43601</v>
      </c>
      <c r="C264" s="1994" t="s">
        <v>3798</v>
      </c>
      <c r="D264" s="1994">
        <v>396469</v>
      </c>
      <c r="E264" s="1994" t="s">
        <v>3704</v>
      </c>
      <c r="F264" s="1994" t="s">
        <v>3799</v>
      </c>
      <c r="O264" s="1997">
        <v>82500</v>
      </c>
      <c r="X264" s="2012"/>
      <c r="Z264" s="2012"/>
      <c r="AC264" s="1496">
        <v>29218.75</v>
      </c>
      <c r="AD264" s="1995">
        <f t="shared" si="26"/>
        <v>29218.75</v>
      </c>
      <c r="AF264" s="1995">
        <f t="shared" si="22"/>
        <v>29218.75</v>
      </c>
      <c r="AG264" s="1994"/>
    </row>
    <row r="265" spans="1:33" hidden="1" x14ac:dyDescent="0.25">
      <c r="A265" s="1994">
        <v>1</v>
      </c>
      <c r="B265" s="1994">
        <v>43601</v>
      </c>
      <c r="C265" s="1994" t="s">
        <v>3800</v>
      </c>
      <c r="D265" s="1994">
        <v>405892</v>
      </c>
      <c r="E265" s="1994" t="s">
        <v>623</v>
      </c>
      <c r="F265" s="1994" t="s">
        <v>624</v>
      </c>
      <c r="O265" s="1997">
        <v>65311.73</v>
      </c>
      <c r="X265" s="2012"/>
      <c r="Z265" s="2012"/>
      <c r="AC265" s="1496">
        <v>29594.377656250002</v>
      </c>
      <c r="AD265" s="1995">
        <f t="shared" si="26"/>
        <v>29594.377656250002</v>
      </c>
      <c r="AF265" s="1995">
        <f t="shared" si="22"/>
        <v>29594.377656250002</v>
      </c>
      <c r="AG265" s="1994"/>
    </row>
    <row r="266" spans="1:33" hidden="1" x14ac:dyDescent="0.25">
      <c r="A266" s="1994">
        <v>1</v>
      </c>
      <c r="B266" s="1994">
        <v>43601</v>
      </c>
      <c r="C266" s="1994" t="s">
        <v>3798</v>
      </c>
      <c r="D266" s="1994">
        <v>452588</v>
      </c>
      <c r="E266" s="1994" t="s">
        <v>962</v>
      </c>
      <c r="F266" s="1994" t="s">
        <v>2822</v>
      </c>
      <c r="O266" s="1997">
        <v>96000</v>
      </c>
      <c r="X266" s="2012"/>
      <c r="Z266" s="2012"/>
      <c r="AD266" s="1995">
        <v>0</v>
      </c>
      <c r="AE266" s="1995">
        <v>20625</v>
      </c>
      <c r="AF266" s="1995">
        <f>AE266</f>
        <v>20625</v>
      </c>
      <c r="AG266" s="1994"/>
    </row>
    <row r="267" spans="1:33" hidden="1" x14ac:dyDescent="0.25">
      <c r="A267" s="1994" t="s">
        <v>32</v>
      </c>
      <c r="B267" s="1994">
        <v>43601</v>
      </c>
      <c r="C267" s="1994" t="s">
        <v>3798</v>
      </c>
      <c r="D267" s="1994">
        <v>418445</v>
      </c>
      <c r="E267" s="1994" t="s">
        <v>576</v>
      </c>
      <c r="F267" s="1994" t="s">
        <v>575</v>
      </c>
      <c r="O267" s="1997">
        <v>82500</v>
      </c>
      <c r="P267" s="1997">
        <v>0</v>
      </c>
      <c r="Q267" s="1997">
        <v>0</v>
      </c>
      <c r="X267" s="2012"/>
      <c r="Z267" s="2012"/>
      <c r="AE267" s="1995">
        <v>11171.88</v>
      </c>
      <c r="AF267" s="1995">
        <f t="shared" ref="AF267" si="29">AE267</f>
        <v>11171.88</v>
      </c>
      <c r="AG267" s="1994"/>
    </row>
    <row r="268" spans="1:33" hidden="1" x14ac:dyDescent="0.25">
      <c r="A268" s="1994">
        <v>1</v>
      </c>
      <c r="B268" s="1994">
        <v>43601</v>
      </c>
      <c r="C268" s="2047" t="s">
        <v>3710</v>
      </c>
      <c r="D268" s="1994">
        <v>409818</v>
      </c>
      <c r="E268" s="1994" t="s">
        <v>629</v>
      </c>
      <c r="F268" s="1994" t="s">
        <v>427</v>
      </c>
      <c r="O268" s="1997">
        <v>47457</v>
      </c>
      <c r="X268" s="2012"/>
      <c r="Z268" s="2012"/>
      <c r="AE268" s="1994"/>
      <c r="AF268" s="1995">
        <v>0</v>
      </c>
      <c r="AG268" s="1995">
        <v>13594.45</v>
      </c>
    </row>
    <row r="269" spans="1:33" hidden="1" x14ac:dyDescent="0.25">
      <c r="A269" s="1994">
        <v>1</v>
      </c>
      <c r="B269" s="1994">
        <v>43601</v>
      </c>
      <c r="C269" s="1994" t="s">
        <v>3710</v>
      </c>
      <c r="D269" s="1994">
        <v>395599</v>
      </c>
      <c r="E269" s="2047" t="s">
        <v>93</v>
      </c>
      <c r="F269" s="2047" t="s">
        <v>92</v>
      </c>
      <c r="O269" s="1997">
        <v>53562</v>
      </c>
      <c r="X269" s="2012"/>
      <c r="Z269" s="2012"/>
      <c r="AF269" s="1995">
        <v>0</v>
      </c>
      <c r="AG269" s="1994">
        <v>15622.25</v>
      </c>
    </row>
    <row r="270" spans="1:33" hidden="1" x14ac:dyDescent="0.25">
      <c r="A270" s="1994">
        <v>1</v>
      </c>
      <c r="B270" s="1994">
        <v>43601</v>
      </c>
      <c r="C270" s="2047" t="s">
        <v>3854</v>
      </c>
      <c r="D270" s="1994">
        <v>359587</v>
      </c>
      <c r="E270" s="2047" t="s">
        <v>2589</v>
      </c>
      <c r="F270" s="2047" t="s">
        <v>247</v>
      </c>
      <c r="O270" s="1997">
        <v>39700</v>
      </c>
      <c r="X270" s="2012"/>
      <c r="Z270" s="2012"/>
      <c r="AF270" s="1995">
        <v>0</v>
      </c>
      <c r="AG270" s="1994">
        <v>7443.75</v>
      </c>
    </row>
    <row r="271" spans="1:33" hidden="1" x14ac:dyDescent="0.25">
      <c r="C271" s="2048" t="s">
        <v>3860</v>
      </c>
      <c r="D271" s="1994">
        <v>368082</v>
      </c>
      <c r="E271" s="1994" t="s">
        <v>3859</v>
      </c>
      <c r="F271" s="1994" t="s">
        <v>1159</v>
      </c>
      <c r="O271" s="1997">
        <v>178820.43</v>
      </c>
      <c r="X271" s="2012"/>
      <c r="Z271" s="2012"/>
      <c r="AG271" s="1994">
        <v>86616.15</v>
      </c>
    </row>
    <row r="272" spans="1:33" hidden="1" x14ac:dyDescent="0.25">
      <c r="O272" s="1997"/>
      <c r="X272" s="2012"/>
      <c r="Z272" s="2012"/>
      <c r="AG272" s="1994"/>
    </row>
    <row r="273" spans="1:33" ht="15.75" hidden="1" thickBot="1" x14ac:dyDescent="0.3">
      <c r="A273" s="1994">
        <f>SUM(A6:A266)</f>
        <v>251</v>
      </c>
      <c r="D273" s="1994" t="s">
        <v>1884</v>
      </c>
      <c r="O273" s="2015">
        <f>SUM(O6:O245)</f>
        <v>12432239.986940648</v>
      </c>
      <c r="P273" s="2015">
        <f>SUM(P6:P245)</f>
        <v>12300870.986940648</v>
      </c>
      <c r="Q273" s="2015">
        <f>SUM(Q6:Q245)</f>
        <v>83936.51999999999</v>
      </c>
      <c r="R273" s="2002">
        <f>SUM(R6:R244)</f>
        <v>13153801</v>
      </c>
      <c r="S273" s="2002">
        <f>SUM(S6:S245)</f>
        <v>12216934.466940647</v>
      </c>
      <c r="T273" s="2002">
        <f>SUM(T6:T244)</f>
        <v>-897533.85</v>
      </c>
      <c r="U273" s="2002">
        <f>SUM(U6:U244)</f>
        <v>6753878.1299999971</v>
      </c>
      <c r="V273" s="2002">
        <f>SUM(V6:V244)</f>
        <v>6540628.5702739712</v>
      </c>
      <c r="W273" s="2002">
        <f>SUM(W6:W244)</f>
        <v>12396972.850273982</v>
      </c>
      <c r="X273" s="2002">
        <f>SUM(X6:X244)</f>
        <v>180038.38333333336</v>
      </c>
      <c r="Z273" s="2002">
        <f>SUM(Z6:Z244)</f>
        <v>13294506.700273978</v>
      </c>
      <c r="AA273" s="2016">
        <f>SUM(AA6:AA245)</f>
        <v>83936.51999999999</v>
      </c>
      <c r="AB273" s="2016">
        <f>SUM(AB6:AB245)</f>
        <v>12300870.986940648</v>
      </c>
      <c r="AC273" s="2016">
        <f>SUM(AC6:AC267)</f>
        <v>430393.18765625003</v>
      </c>
      <c r="AD273" s="2016">
        <f>SUM(AD6:AD267)</f>
        <v>12731264.174596898</v>
      </c>
      <c r="AE273" s="2017">
        <f>SUM(AE6:AE267)</f>
        <v>-8868.2800000000043</v>
      </c>
      <c r="AF273" s="2017">
        <f>SUM(AF6:AF268)</f>
        <v>12722395.894596899</v>
      </c>
      <c r="AG273" s="2017">
        <f>SUM(AG6:AG268)</f>
        <v>22482.363333333335</v>
      </c>
    </row>
    <row r="274" spans="1:33" x14ac:dyDescent="0.25">
      <c r="O274" s="1997"/>
      <c r="R274" s="2012"/>
      <c r="S274" s="2012"/>
      <c r="T274" s="2012"/>
      <c r="U274" s="2012"/>
      <c r="V274" s="2012"/>
      <c r="W274" s="2012"/>
      <c r="X274" s="2012"/>
      <c r="Z274" s="2012"/>
      <c r="AA274" s="2018"/>
      <c r="AB274" s="2018"/>
      <c r="AC274" s="2018"/>
      <c r="AD274" s="2018"/>
    </row>
    <row r="275" spans="1:33" x14ac:dyDescent="0.25">
      <c r="B275" s="1994" t="s">
        <v>3801</v>
      </c>
      <c r="C275" s="1994" t="s">
        <v>3802</v>
      </c>
      <c r="O275" s="1997"/>
      <c r="R275" s="2012"/>
      <c r="S275" s="2012"/>
      <c r="T275" s="2012"/>
      <c r="U275" s="2012"/>
      <c r="V275" s="2012"/>
      <c r="W275" s="2012"/>
      <c r="X275" s="2012"/>
      <c r="Z275" s="2012"/>
      <c r="AA275" s="2018"/>
      <c r="AB275" s="1995" t="s">
        <v>3803</v>
      </c>
      <c r="AD275" s="2019">
        <v>-281</v>
      </c>
      <c r="AE275" s="1995" t="s">
        <v>3804</v>
      </c>
    </row>
    <row r="276" spans="1:33" x14ac:dyDescent="0.25">
      <c r="C276" s="1994" t="s">
        <v>3805</v>
      </c>
      <c r="O276" s="1997"/>
      <c r="R276" s="2012"/>
      <c r="S276" s="2012"/>
      <c r="T276" s="2012"/>
      <c r="U276" s="2012"/>
      <c r="V276" s="2012"/>
      <c r="W276" s="2012"/>
      <c r="X276" s="2012"/>
      <c r="Z276" s="2012"/>
      <c r="AA276" s="2018"/>
      <c r="AB276" s="1995" t="s">
        <v>3806</v>
      </c>
      <c r="AC276" s="1496">
        <f>AC246+AC248+AC249+AC250+AC252+AC253+AC257+AC263+AC264+AC265</f>
        <v>283995.27765624999</v>
      </c>
      <c r="AD276" s="2019">
        <v>-31530</v>
      </c>
      <c r="AE276" s="1995" t="s">
        <v>3804</v>
      </c>
    </row>
    <row r="277" spans="1:33" x14ac:dyDescent="0.25">
      <c r="C277" s="1994" t="s">
        <v>3807</v>
      </c>
      <c r="O277" s="1997"/>
      <c r="R277" s="2012"/>
      <c r="S277" s="2012"/>
      <c r="T277" s="2012"/>
      <c r="U277" s="2012"/>
      <c r="V277" s="2012"/>
      <c r="W277" s="2012"/>
      <c r="X277" s="2012"/>
      <c r="Z277" s="2012"/>
      <c r="AA277" s="2018"/>
      <c r="AB277" s="1995" t="s">
        <v>3808</v>
      </c>
      <c r="AC277" s="1496">
        <f>AC27+AC51+AC52+AC122+AC251+AC254+AC255+AC256+AC260+AC258</f>
        <v>146397.90999999997</v>
      </c>
      <c r="AD277" s="2019">
        <v>-11259.5</v>
      </c>
      <c r="AE277" s="1995" t="s">
        <v>3804</v>
      </c>
    </row>
    <row r="278" spans="1:33" ht="15.75" thickBot="1" x14ac:dyDescent="0.3">
      <c r="C278" s="1994" t="s">
        <v>3809</v>
      </c>
      <c r="O278" s="1997"/>
      <c r="R278" s="2012"/>
      <c r="S278" s="2012"/>
      <c r="T278" s="2012"/>
      <c r="U278" s="2012"/>
      <c r="V278" s="2012"/>
      <c r="W278" s="2012"/>
      <c r="X278" s="2012"/>
      <c r="Z278" s="2012"/>
      <c r="AC278" s="1953">
        <f>SUBTOTAL(9,AC276:AC277)</f>
        <v>430393.18765624997</v>
      </c>
      <c r="AD278" s="2019">
        <v>-1387.97</v>
      </c>
      <c r="AE278" s="1995" t="s">
        <v>3804</v>
      </c>
    </row>
    <row r="279" spans="1:33" ht="15.75" thickTop="1" x14ac:dyDescent="0.25">
      <c r="O279" s="1997"/>
      <c r="R279" s="2012"/>
      <c r="S279" s="2012"/>
      <c r="T279" s="2012"/>
      <c r="U279" s="2012"/>
      <c r="V279" s="2012"/>
      <c r="W279" s="2012"/>
      <c r="X279" s="2012"/>
      <c r="Z279" s="2012"/>
      <c r="AD279" s="2020">
        <f>SUBTOTAL(9,AD275:AD278)</f>
        <v>-44458.47</v>
      </c>
    </row>
    <row r="280" spans="1:33" ht="15.75" thickBot="1" x14ac:dyDescent="0.3">
      <c r="D280" s="2021" t="s">
        <v>3810</v>
      </c>
      <c r="O280" s="1997"/>
      <c r="R280" s="2012"/>
      <c r="S280" s="2012"/>
      <c r="T280" s="2012"/>
      <c r="U280" s="2012"/>
      <c r="V280" s="2012"/>
      <c r="W280" s="2012"/>
      <c r="X280" s="2012"/>
      <c r="Z280" s="2012"/>
      <c r="AD280" s="2022">
        <f>SUM(AD273+AD279)</f>
        <v>12686805.704596898</v>
      </c>
    </row>
    <row r="281" spans="1:33" ht="15.75" hidden="1" thickTop="1" x14ac:dyDescent="0.25">
      <c r="O281" s="1997"/>
      <c r="R281" s="2012"/>
      <c r="S281" s="2012"/>
      <c r="T281" s="2012"/>
      <c r="U281" s="2012"/>
      <c r="V281" s="2012"/>
      <c r="W281" s="2012"/>
      <c r="X281" s="2012"/>
      <c r="Z281" s="2012"/>
      <c r="AC281" s="2018"/>
      <c r="AD281" s="2018"/>
      <c r="AG281" s="1994"/>
    </row>
    <row r="282" spans="1:33" ht="15.75" hidden="1" thickTop="1" x14ac:dyDescent="0.25">
      <c r="O282" s="1997"/>
      <c r="R282" s="2012"/>
      <c r="S282" s="2012"/>
      <c r="T282" s="2012"/>
      <c r="U282" s="2012"/>
      <c r="V282" s="2012"/>
      <c r="W282" s="2012"/>
      <c r="X282" s="2012"/>
      <c r="Z282" s="2012"/>
      <c r="AA282" s="2018"/>
      <c r="AB282" s="2018"/>
      <c r="AC282" s="2018"/>
      <c r="AD282" s="2018"/>
      <c r="AG282" s="1994"/>
    </row>
    <row r="283" spans="1:33" ht="15.75" thickTop="1" x14ac:dyDescent="0.25"/>
    <row r="284" spans="1:33" x14ac:dyDescent="0.25">
      <c r="E284" s="1994" t="s">
        <v>3039</v>
      </c>
      <c r="AA284" s="2018" t="s">
        <v>2617</v>
      </c>
      <c r="AE284" s="1995" t="s">
        <v>3811</v>
      </c>
    </row>
    <row r="285" spans="1:33" x14ac:dyDescent="0.25">
      <c r="E285" s="1994" t="s">
        <v>2398</v>
      </c>
      <c r="F285" s="1994">
        <v>43601</v>
      </c>
      <c r="O285" s="1996">
        <v>222</v>
      </c>
      <c r="P285" s="1997">
        <v>12034946.869999999</v>
      </c>
      <c r="AA285" s="1995" t="s">
        <v>2398</v>
      </c>
      <c r="AB285" s="1994">
        <v>43601</v>
      </c>
      <c r="AC285" s="1976">
        <f>COUNTIF(B:B,AB285)</f>
        <v>251</v>
      </c>
      <c r="AD285" s="1995">
        <f>SUMIF(B:B,AB285,AD:AD)</f>
        <v>12446936.134596894</v>
      </c>
      <c r="AF285" s="1995">
        <f>SUMIF(B:B,AB285,AF:AF)</f>
        <v>12438067.854596896</v>
      </c>
    </row>
    <row r="286" spans="1:33" x14ac:dyDescent="0.25">
      <c r="E286" s="1994" t="s">
        <v>3812</v>
      </c>
      <c r="F286" s="1994">
        <v>43606</v>
      </c>
      <c r="O286" s="1996">
        <v>11</v>
      </c>
      <c r="P286" s="1997">
        <v>265924.12</v>
      </c>
      <c r="AA286" s="1995" t="s">
        <v>3813</v>
      </c>
      <c r="AD286" s="1995">
        <f>AD279</f>
        <v>-44458.47</v>
      </c>
      <c r="AF286" s="1995">
        <f>AD279</f>
        <v>-44458.47</v>
      </c>
    </row>
    <row r="287" spans="1:33" ht="15.75" thickBot="1" x14ac:dyDescent="0.3">
      <c r="O287" s="1996">
        <f>SUM(O285:O286)</f>
        <v>233</v>
      </c>
      <c r="P287" s="2015">
        <f>SUM(P285:P286)</f>
        <v>12300870.989999998</v>
      </c>
      <c r="AA287" s="1995" t="s">
        <v>3814</v>
      </c>
      <c r="AB287" s="2023">
        <v>43601</v>
      </c>
      <c r="AD287" s="2024">
        <f>SUM(AD285:AD286)</f>
        <v>12402477.664596893</v>
      </c>
      <c r="AF287" s="2024">
        <f>SUM(AF285:AF286)</f>
        <v>12393609.384596895</v>
      </c>
      <c r="AG287" s="1995">
        <f>AF285+AF288</f>
        <v>12722395.894596897</v>
      </c>
    </row>
    <row r="288" spans="1:33" ht="15.75" thickTop="1" x14ac:dyDescent="0.25">
      <c r="AA288" s="1995" t="s">
        <v>3812</v>
      </c>
      <c r="AB288" s="1994">
        <v>43606</v>
      </c>
      <c r="AC288" s="1976">
        <f>COUNTIF(B:B,AB288)</f>
        <v>14</v>
      </c>
      <c r="AD288" s="1995">
        <f>SUMIF(B:B,AB288,AD:AD)</f>
        <v>284328.04000000004</v>
      </c>
      <c r="AF288" s="1995">
        <f>SUMIF(B:B,AB288,AF:AF)</f>
        <v>284328.04000000004</v>
      </c>
    </row>
    <row r="289" spans="5:32" ht="15.75" thickBot="1" x14ac:dyDescent="0.3">
      <c r="AA289" s="1995" t="s">
        <v>3815</v>
      </c>
      <c r="AB289" s="1994"/>
      <c r="AC289" s="1976">
        <f>SUM(AC285:AC288)</f>
        <v>265</v>
      </c>
      <c r="AD289" s="2017">
        <f>SUM(AD287:AD288)</f>
        <v>12686805.704596892</v>
      </c>
      <c r="AF289" s="2017">
        <f>SUM(AF287:AF288)</f>
        <v>12677937.424596895</v>
      </c>
    </row>
    <row r="290" spans="5:32" ht="15.75" thickTop="1" x14ac:dyDescent="0.25">
      <c r="E290" s="2025" t="s">
        <v>3816</v>
      </c>
      <c r="F290" s="2026"/>
      <c r="O290" s="2027"/>
      <c r="P290" s="2028"/>
    </row>
    <row r="291" spans="5:32" x14ac:dyDescent="0.25">
      <c r="E291" s="2029" t="s">
        <v>3817</v>
      </c>
      <c r="F291" s="2030"/>
      <c r="O291" s="2031"/>
      <c r="P291" s="2032">
        <v>46856</v>
      </c>
      <c r="AC291" s="1496" t="s">
        <v>3818</v>
      </c>
      <c r="AD291" s="1995">
        <f>AD289/249</f>
        <v>50951.026926091938</v>
      </c>
    </row>
    <row r="292" spans="5:32" x14ac:dyDescent="0.25">
      <c r="E292" s="2029" t="s">
        <v>3819</v>
      </c>
      <c r="F292" s="2030"/>
      <c r="O292" s="2031"/>
      <c r="P292" s="2032">
        <v>37080.519999999997</v>
      </c>
    </row>
    <row r="293" spans="5:32" ht="15.75" thickBot="1" x14ac:dyDescent="0.3">
      <c r="E293" s="2029"/>
      <c r="F293" s="2030"/>
      <c r="O293" s="2031"/>
      <c r="P293" s="2033">
        <f>SUBTOTAL(9,P291:P292)</f>
        <v>83936.51999999999</v>
      </c>
    </row>
    <row r="294" spans="5:32" ht="16.5" thickTop="1" thickBot="1" x14ac:dyDescent="0.3">
      <c r="E294" s="2034"/>
      <c r="F294" s="2035"/>
      <c r="O294" s="2036"/>
      <c r="P294" s="2037"/>
    </row>
    <row r="297" spans="5:32" x14ac:dyDescent="0.25">
      <c r="P297" s="1997" t="s">
        <v>3579</v>
      </c>
      <c r="Q297" s="1997" t="s">
        <v>3820</v>
      </c>
      <c r="AB297" s="1995" t="s">
        <v>3579</v>
      </c>
    </row>
    <row r="298" spans="5:32" x14ac:dyDescent="0.25">
      <c r="E298" s="1994" t="s">
        <v>2398</v>
      </c>
      <c r="F298" s="1994">
        <v>43601</v>
      </c>
      <c r="O298" s="1996">
        <f>COUNTIF($B:$B,F298)</f>
        <v>251</v>
      </c>
      <c r="P298" s="1997">
        <f>SUMIF($B:$B,F298,$O:$O)</f>
        <v>13130755.596940646</v>
      </c>
      <c r="Q298" s="1997">
        <f>P298/O298</f>
        <v>52313.76731848863</v>
      </c>
      <c r="AB298" s="1995">
        <f>SUMIF($B:$B,R298,$O:$O)</f>
        <v>0</v>
      </c>
    </row>
    <row r="299" spans="5:32" x14ac:dyDescent="0.25">
      <c r="E299" s="1994" t="s">
        <v>3812</v>
      </c>
      <c r="F299" s="1994">
        <v>43606</v>
      </c>
      <c r="O299" s="1996">
        <f>COUNTIF($B:$B,F299)</f>
        <v>14</v>
      </c>
      <c r="P299" s="1997">
        <f>SUMIF($B:$B,F299,$O:$O)</f>
        <v>357087.6</v>
      </c>
      <c r="Q299" s="1997">
        <f>P299/O299</f>
        <v>25506.257142857143</v>
      </c>
      <c r="AB299" s="1995">
        <f>SUMIF($B:$B,R299,$O:$O)</f>
        <v>0</v>
      </c>
    </row>
  </sheetData>
  <autoFilter ref="A5:AF273" xr:uid="{138DBDCA-DE82-470A-B640-F188F7DAE123}">
    <filterColumn colId="4">
      <filters>
        <filter val="Amin"/>
      </filters>
    </filterColumn>
  </autoFilter>
  <mergeCells count="2">
    <mergeCell ref="R2:S2"/>
    <mergeCell ref="T2:W2"/>
  </mergeCells>
  <conditionalFormatting sqref="D270:D1048576 D1:D268">
    <cfRule type="duplicateValues" dxfId="1" priority="1"/>
  </conditionalFormatting>
  <pageMargins left="0.7" right="0.7" top="0.75" bottom="0.75" header="0.3" footer="0.3"/>
  <headerFooter>
    <oddFooter>&amp;L_x000D_&amp;1#&amp;"Calibri"&amp;10&amp;K000000 Confidential: Information that needs to be handled with care to avoid loss, damage or inappropriate access. Information which incorrectly disseminated could cause some distress to a limited number of individuals.</oddFooter>
  </headerFooter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4E449A-6E61-48A6-9C2D-4C94455FDA92}">
  <sheetPr codeName="Sheet21">
    <tabColor rgb="FFFF0000"/>
  </sheetPr>
  <dimension ref="A1:BQ198"/>
  <sheetViews>
    <sheetView zoomScale="85" zoomScaleNormal="85" workbookViewId="0">
      <pane xSplit="11" ySplit="15" topLeftCell="BE74" activePane="bottomRight" state="frozen"/>
      <selection pane="topRight" activeCell="L1" sqref="L1"/>
      <selection pane="bottomLeft" activeCell="A15" sqref="A15"/>
      <selection pane="bottomRight" activeCell="D2" sqref="D2:D88"/>
    </sheetView>
  </sheetViews>
  <sheetFormatPr defaultColWidth="6.85546875" defaultRowHeight="12.75" x14ac:dyDescent="0.2"/>
  <cols>
    <col min="1" max="1" width="10.140625" style="173" bestFit="1" customWidth="1"/>
    <col min="2" max="2" width="6.85546875" style="173"/>
    <col min="3" max="3" width="12.42578125" style="201" customWidth="1"/>
    <col min="4" max="4" width="5.5703125" style="201" customWidth="1"/>
    <col min="5" max="5" width="11.5703125" style="202" customWidth="1"/>
    <col min="6" max="6" width="5.5703125" style="217" customWidth="1"/>
    <col min="7" max="7" width="13.42578125" style="202" customWidth="1"/>
    <col min="8" max="8" width="47.42578125" style="201" customWidth="1"/>
    <col min="9" max="9" width="15.42578125" style="201" customWidth="1"/>
    <col min="10" max="10" width="15.140625" style="201" customWidth="1"/>
    <col min="11" max="11" width="24.5703125" style="201" hidden="1" customWidth="1"/>
    <col min="12" max="12" width="7.5703125" style="202" customWidth="1"/>
    <col min="13" max="13" width="15.42578125" style="202" customWidth="1"/>
    <col min="14" max="14" width="9.42578125" style="205" customWidth="1"/>
    <col min="15" max="15" width="10.5703125" style="205" customWidth="1"/>
    <col min="16" max="16" width="6.42578125" style="206" customWidth="1"/>
    <col min="17" max="17" width="6.5703125" style="207" customWidth="1"/>
    <col min="18" max="18" width="5.42578125" style="201" customWidth="1"/>
    <col min="19" max="19" width="13.140625" style="323" customWidth="1"/>
    <col min="20" max="20" width="7.140625" style="201" customWidth="1"/>
    <col min="21" max="21" width="14" style="201" customWidth="1"/>
    <col min="22" max="22" width="9.42578125" style="208" customWidth="1"/>
    <col min="23" max="23" width="9.140625" style="201" customWidth="1"/>
    <col min="24" max="24" width="8.5703125" style="201" customWidth="1"/>
    <col min="25" max="25" width="13.42578125" style="201" customWidth="1"/>
    <col min="26" max="26" width="11.42578125" style="202" customWidth="1"/>
    <col min="27" max="28" width="13.5703125" style="209" customWidth="1"/>
    <col min="29" max="29" width="6.5703125" style="223" customWidth="1"/>
    <col min="30" max="30" width="7.42578125" style="324" customWidth="1"/>
    <col min="31" max="31" width="9.85546875" style="324" customWidth="1"/>
    <col min="32" max="33" width="14.85546875" style="209" customWidth="1"/>
    <col min="34" max="34" width="18.42578125" style="209" customWidth="1"/>
    <col min="35" max="35" width="21.42578125" style="209" customWidth="1"/>
    <col min="36" max="36" width="22.5703125" style="173" customWidth="1"/>
    <col min="37" max="37" width="19.85546875" style="173" customWidth="1"/>
    <col min="38" max="38" width="18.42578125" style="173" customWidth="1"/>
    <col min="39" max="39" width="11.42578125" style="173" customWidth="1"/>
    <col min="40" max="40" width="13.42578125" style="173" customWidth="1"/>
    <col min="41" max="41" width="11.42578125" style="130" customWidth="1"/>
    <col min="42" max="42" width="13.85546875" style="130" customWidth="1"/>
    <col min="43" max="43" width="24.42578125" style="173" customWidth="1"/>
    <col min="44" max="44" width="25.42578125" style="173" customWidth="1"/>
    <col min="45" max="45" width="23.42578125" style="173" customWidth="1"/>
    <col min="46" max="46" width="11.85546875" style="173" customWidth="1"/>
    <col min="47" max="47" width="13.42578125" style="173" customWidth="1"/>
    <col min="48" max="48" width="18.42578125" style="173" customWidth="1"/>
    <col min="49" max="49" width="16.42578125" style="173" customWidth="1"/>
    <col min="50" max="50" width="12.5703125" style="173" customWidth="1"/>
    <col min="51" max="51" width="18.5703125" style="173" customWidth="1"/>
    <col min="52" max="52" width="18.42578125" style="173" customWidth="1"/>
    <col min="53" max="53" width="17" style="309" customWidth="1"/>
    <col min="54" max="54" width="36.5703125" style="173" customWidth="1"/>
    <col min="55" max="55" width="25.42578125" style="173" customWidth="1"/>
    <col min="56" max="56" width="20.5703125" style="173" customWidth="1"/>
    <col min="57" max="57" width="9.5703125" style="173" customWidth="1"/>
    <col min="58" max="58" width="15.42578125" style="683" customWidth="1"/>
    <col min="59" max="59" width="11.5703125" style="173" customWidth="1"/>
    <col min="60" max="60" width="9.5703125" style="173" customWidth="1"/>
    <col min="61" max="61" width="13.85546875" style="173" customWidth="1"/>
    <col min="62" max="62" width="12.42578125" style="692" customWidth="1"/>
    <col min="63" max="63" width="9.85546875" style="683" bestFit="1" customWidth="1"/>
    <col min="64" max="64" width="11.85546875" style="683" customWidth="1"/>
    <col min="65" max="65" width="9.42578125" style="173" bestFit="1" customWidth="1"/>
    <col min="66" max="66" width="11.140625" style="173" bestFit="1" customWidth="1"/>
    <col min="67" max="67" width="7.42578125" style="173" bestFit="1" customWidth="1"/>
    <col min="68" max="68" width="10" style="173" customWidth="1"/>
    <col min="69" max="255" width="6.85546875" style="173"/>
    <col min="256" max="256" width="10.85546875" style="173" customWidth="1"/>
    <col min="257" max="257" width="7.85546875" style="173" customWidth="1"/>
    <col min="258" max="258" width="11.5703125" style="173" customWidth="1"/>
    <col min="259" max="259" width="13.42578125" style="173" customWidth="1"/>
    <col min="260" max="260" width="14" style="173" customWidth="1"/>
    <col min="261" max="261" width="49.42578125" style="173" customWidth="1"/>
    <col min="262" max="262" width="15.42578125" style="173" customWidth="1"/>
    <col min="263" max="263" width="15.140625" style="173" customWidth="1"/>
    <col min="264" max="264" width="24.5703125" style="173" customWidth="1"/>
    <col min="265" max="265" width="7.5703125" style="173" customWidth="1"/>
    <col min="266" max="266" width="15.42578125" style="173" customWidth="1"/>
    <col min="267" max="267" width="9.42578125" style="173" customWidth="1"/>
    <col min="268" max="268" width="6.42578125" style="173" customWidth="1"/>
    <col min="269" max="269" width="10" style="173" customWidth="1"/>
    <col min="270" max="270" width="8.42578125" style="173" customWidth="1"/>
    <col min="271" max="271" width="13.140625" style="173" customWidth="1"/>
    <col min="272" max="272" width="7.140625" style="173" customWidth="1"/>
    <col min="273" max="273" width="14" style="173" customWidth="1"/>
    <col min="274" max="274" width="9.42578125" style="173" customWidth="1"/>
    <col min="275" max="275" width="9.140625" style="173" customWidth="1"/>
    <col min="276" max="276" width="8.5703125" style="173" customWidth="1"/>
    <col min="277" max="277" width="14.42578125" style="173" customWidth="1"/>
    <col min="278" max="278" width="11.42578125" style="173" customWidth="1"/>
    <col min="279" max="279" width="13.5703125" style="173" customWidth="1"/>
    <col min="280" max="280" width="16.42578125" style="173" customWidth="1"/>
    <col min="281" max="281" width="17.5703125" style="173" customWidth="1"/>
    <col min="282" max="282" width="7.42578125" style="173" customWidth="1"/>
    <col min="283" max="283" width="9.85546875" style="173" customWidth="1"/>
    <col min="284" max="288" width="17.42578125" style="173" customWidth="1"/>
    <col min="289" max="289" width="17.5703125" style="173" customWidth="1"/>
    <col min="290" max="290" width="17" style="173" customWidth="1"/>
    <col min="291" max="291" width="6.85546875" style="173"/>
    <col min="292" max="293" width="24.42578125" style="173" customWidth="1"/>
    <col min="294" max="294" width="22.140625" style="173" customWidth="1"/>
    <col min="295" max="295" width="14.5703125" style="173" customWidth="1"/>
    <col min="296" max="296" width="22.5703125" style="173" customWidth="1"/>
    <col min="297" max="511" width="6.85546875" style="173"/>
    <col min="512" max="512" width="10.85546875" style="173" customWidth="1"/>
    <col min="513" max="513" width="7.85546875" style="173" customWidth="1"/>
    <col min="514" max="514" width="11.5703125" style="173" customWidth="1"/>
    <col min="515" max="515" width="13.42578125" style="173" customWidth="1"/>
    <col min="516" max="516" width="14" style="173" customWidth="1"/>
    <col min="517" max="517" width="49.42578125" style="173" customWidth="1"/>
    <col min="518" max="518" width="15.42578125" style="173" customWidth="1"/>
    <col min="519" max="519" width="15.140625" style="173" customWidth="1"/>
    <col min="520" max="520" width="24.5703125" style="173" customWidth="1"/>
    <col min="521" max="521" width="7.5703125" style="173" customWidth="1"/>
    <col min="522" max="522" width="15.42578125" style="173" customWidth="1"/>
    <col min="523" max="523" width="9.42578125" style="173" customWidth="1"/>
    <col min="524" max="524" width="6.42578125" style="173" customWidth="1"/>
    <col min="525" max="525" width="10" style="173" customWidth="1"/>
    <col min="526" max="526" width="8.42578125" style="173" customWidth="1"/>
    <col min="527" max="527" width="13.140625" style="173" customWidth="1"/>
    <col min="528" max="528" width="7.140625" style="173" customWidth="1"/>
    <col min="529" max="529" width="14" style="173" customWidth="1"/>
    <col min="530" max="530" width="9.42578125" style="173" customWidth="1"/>
    <col min="531" max="531" width="9.140625" style="173" customWidth="1"/>
    <col min="532" max="532" width="8.5703125" style="173" customWidth="1"/>
    <col min="533" max="533" width="14.42578125" style="173" customWidth="1"/>
    <col min="534" max="534" width="11.42578125" style="173" customWidth="1"/>
    <col min="535" max="535" width="13.5703125" style="173" customWidth="1"/>
    <col min="536" max="536" width="16.42578125" style="173" customWidth="1"/>
    <col min="537" max="537" width="17.5703125" style="173" customWidth="1"/>
    <col min="538" max="538" width="7.42578125" style="173" customWidth="1"/>
    <col min="539" max="539" width="9.85546875" style="173" customWidth="1"/>
    <col min="540" max="544" width="17.42578125" style="173" customWidth="1"/>
    <col min="545" max="545" width="17.5703125" style="173" customWidth="1"/>
    <col min="546" max="546" width="17" style="173" customWidth="1"/>
    <col min="547" max="547" width="6.85546875" style="173"/>
    <col min="548" max="549" width="24.42578125" style="173" customWidth="1"/>
    <col min="550" max="550" width="22.140625" style="173" customWidth="1"/>
    <col min="551" max="551" width="14.5703125" style="173" customWidth="1"/>
    <col min="552" max="552" width="22.5703125" style="173" customWidth="1"/>
    <col min="553" max="767" width="6.85546875" style="173"/>
    <col min="768" max="768" width="10.85546875" style="173" customWidth="1"/>
    <col min="769" max="769" width="7.85546875" style="173" customWidth="1"/>
    <col min="770" max="770" width="11.5703125" style="173" customWidth="1"/>
    <col min="771" max="771" width="13.42578125" style="173" customWidth="1"/>
    <col min="772" max="772" width="14" style="173" customWidth="1"/>
    <col min="773" max="773" width="49.42578125" style="173" customWidth="1"/>
    <col min="774" max="774" width="15.42578125" style="173" customWidth="1"/>
    <col min="775" max="775" width="15.140625" style="173" customWidth="1"/>
    <col min="776" max="776" width="24.5703125" style="173" customWidth="1"/>
    <col min="777" max="777" width="7.5703125" style="173" customWidth="1"/>
    <col min="778" max="778" width="15.42578125" style="173" customWidth="1"/>
    <col min="779" max="779" width="9.42578125" style="173" customWidth="1"/>
    <col min="780" max="780" width="6.42578125" style="173" customWidth="1"/>
    <col min="781" max="781" width="10" style="173" customWidth="1"/>
    <col min="782" max="782" width="8.42578125" style="173" customWidth="1"/>
    <col min="783" max="783" width="13.140625" style="173" customWidth="1"/>
    <col min="784" max="784" width="7.140625" style="173" customWidth="1"/>
    <col min="785" max="785" width="14" style="173" customWidth="1"/>
    <col min="786" max="786" width="9.42578125" style="173" customWidth="1"/>
    <col min="787" max="787" width="9.140625" style="173" customWidth="1"/>
    <col min="788" max="788" width="8.5703125" style="173" customWidth="1"/>
    <col min="789" max="789" width="14.42578125" style="173" customWidth="1"/>
    <col min="790" max="790" width="11.42578125" style="173" customWidth="1"/>
    <col min="791" max="791" width="13.5703125" style="173" customWidth="1"/>
    <col min="792" max="792" width="16.42578125" style="173" customWidth="1"/>
    <col min="793" max="793" width="17.5703125" style="173" customWidth="1"/>
    <col min="794" max="794" width="7.42578125" style="173" customWidth="1"/>
    <col min="795" max="795" width="9.85546875" style="173" customWidth="1"/>
    <col min="796" max="800" width="17.42578125" style="173" customWidth="1"/>
    <col min="801" max="801" width="17.5703125" style="173" customWidth="1"/>
    <col min="802" max="802" width="17" style="173" customWidth="1"/>
    <col min="803" max="803" width="6.85546875" style="173"/>
    <col min="804" max="805" width="24.42578125" style="173" customWidth="1"/>
    <col min="806" max="806" width="22.140625" style="173" customWidth="1"/>
    <col min="807" max="807" width="14.5703125" style="173" customWidth="1"/>
    <col min="808" max="808" width="22.5703125" style="173" customWidth="1"/>
    <col min="809" max="1023" width="6.85546875" style="173"/>
    <col min="1024" max="1024" width="10.85546875" style="173" customWidth="1"/>
    <col min="1025" max="1025" width="7.85546875" style="173" customWidth="1"/>
    <col min="1026" max="1026" width="11.5703125" style="173" customWidth="1"/>
    <col min="1027" max="1027" width="13.42578125" style="173" customWidth="1"/>
    <col min="1028" max="1028" width="14" style="173" customWidth="1"/>
    <col min="1029" max="1029" width="49.42578125" style="173" customWidth="1"/>
    <col min="1030" max="1030" width="15.42578125" style="173" customWidth="1"/>
    <col min="1031" max="1031" width="15.140625" style="173" customWidth="1"/>
    <col min="1032" max="1032" width="24.5703125" style="173" customWidth="1"/>
    <col min="1033" max="1033" width="7.5703125" style="173" customWidth="1"/>
    <col min="1034" max="1034" width="15.42578125" style="173" customWidth="1"/>
    <col min="1035" max="1035" width="9.42578125" style="173" customWidth="1"/>
    <col min="1036" max="1036" width="6.42578125" style="173" customWidth="1"/>
    <col min="1037" max="1037" width="10" style="173" customWidth="1"/>
    <col min="1038" max="1038" width="8.42578125" style="173" customWidth="1"/>
    <col min="1039" max="1039" width="13.140625" style="173" customWidth="1"/>
    <col min="1040" max="1040" width="7.140625" style="173" customWidth="1"/>
    <col min="1041" max="1041" width="14" style="173" customWidth="1"/>
    <col min="1042" max="1042" width="9.42578125" style="173" customWidth="1"/>
    <col min="1043" max="1043" width="9.140625" style="173" customWidth="1"/>
    <col min="1044" max="1044" width="8.5703125" style="173" customWidth="1"/>
    <col min="1045" max="1045" width="14.42578125" style="173" customWidth="1"/>
    <col min="1046" max="1046" width="11.42578125" style="173" customWidth="1"/>
    <col min="1047" max="1047" width="13.5703125" style="173" customWidth="1"/>
    <col min="1048" max="1048" width="16.42578125" style="173" customWidth="1"/>
    <col min="1049" max="1049" width="17.5703125" style="173" customWidth="1"/>
    <col min="1050" max="1050" width="7.42578125" style="173" customWidth="1"/>
    <col min="1051" max="1051" width="9.85546875" style="173" customWidth="1"/>
    <col min="1052" max="1056" width="17.42578125" style="173" customWidth="1"/>
    <col min="1057" max="1057" width="17.5703125" style="173" customWidth="1"/>
    <col min="1058" max="1058" width="17" style="173" customWidth="1"/>
    <col min="1059" max="1059" width="6.85546875" style="173"/>
    <col min="1060" max="1061" width="24.42578125" style="173" customWidth="1"/>
    <col min="1062" max="1062" width="22.140625" style="173" customWidth="1"/>
    <col min="1063" max="1063" width="14.5703125" style="173" customWidth="1"/>
    <col min="1064" max="1064" width="22.5703125" style="173" customWidth="1"/>
    <col min="1065" max="1279" width="6.85546875" style="173"/>
    <col min="1280" max="1280" width="10.85546875" style="173" customWidth="1"/>
    <col min="1281" max="1281" width="7.85546875" style="173" customWidth="1"/>
    <col min="1282" max="1282" width="11.5703125" style="173" customWidth="1"/>
    <col min="1283" max="1283" width="13.42578125" style="173" customWidth="1"/>
    <col min="1284" max="1284" width="14" style="173" customWidth="1"/>
    <col min="1285" max="1285" width="49.42578125" style="173" customWidth="1"/>
    <col min="1286" max="1286" width="15.42578125" style="173" customWidth="1"/>
    <col min="1287" max="1287" width="15.140625" style="173" customWidth="1"/>
    <col min="1288" max="1288" width="24.5703125" style="173" customWidth="1"/>
    <col min="1289" max="1289" width="7.5703125" style="173" customWidth="1"/>
    <col min="1290" max="1290" width="15.42578125" style="173" customWidth="1"/>
    <col min="1291" max="1291" width="9.42578125" style="173" customWidth="1"/>
    <col min="1292" max="1292" width="6.42578125" style="173" customWidth="1"/>
    <col min="1293" max="1293" width="10" style="173" customWidth="1"/>
    <col min="1294" max="1294" width="8.42578125" style="173" customWidth="1"/>
    <col min="1295" max="1295" width="13.140625" style="173" customWidth="1"/>
    <col min="1296" max="1296" width="7.140625" style="173" customWidth="1"/>
    <col min="1297" max="1297" width="14" style="173" customWidth="1"/>
    <col min="1298" max="1298" width="9.42578125" style="173" customWidth="1"/>
    <col min="1299" max="1299" width="9.140625" style="173" customWidth="1"/>
    <col min="1300" max="1300" width="8.5703125" style="173" customWidth="1"/>
    <col min="1301" max="1301" width="14.42578125" style="173" customWidth="1"/>
    <col min="1302" max="1302" width="11.42578125" style="173" customWidth="1"/>
    <col min="1303" max="1303" width="13.5703125" style="173" customWidth="1"/>
    <col min="1304" max="1304" width="16.42578125" style="173" customWidth="1"/>
    <col min="1305" max="1305" width="17.5703125" style="173" customWidth="1"/>
    <col min="1306" max="1306" width="7.42578125" style="173" customWidth="1"/>
    <col min="1307" max="1307" width="9.85546875" style="173" customWidth="1"/>
    <col min="1308" max="1312" width="17.42578125" style="173" customWidth="1"/>
    <col min="1313" max="1313" width="17.5703125" style="173" customWidth="1"/>
    <col min="1314" max="1314" width="17" style="173" customWidth="1"/>
    <col min="1315" max="1315" width="6.85546875" style="173"/>
    <col min="1316" max="1317" width="24.42578125" style="173" customWidth="1"/>
    <col min="1318" max="1318" width="22.140625" style="173" customWidth="1"/>
    <col min="1319" max="1319" width="14.5703125" style="173" customWidth="1"/>
    <col min="1320" max="1320" width="22.5703125" style="173" customWidth="1"/>
    <col min="1321" max="1535" width="6.85546875" style="173"/>
    <col min="1536" max="1536" width="10.85546875" style="173" customWidth="1"/>
    <col min="1537" max="1537" width="7.85546875" style="173" customWidth="1"/>
    <col min="1538" max="1538" width="11.5703125" style="173" customWidth="1"/>
    <col min="1539" max="1539" width="13.42578125" style="173" customWidth="1"/>
    <col min="1540" max="1540" width="14" style="173" customWidth="1"/>
    <col min="1541" max="1541" width="49.42578125" style="173" customWidth="1"/>
    <col min="1542" max="1542" width="15.42578125" style="173" customWidth="1"/>
    <col min="1543" max="1543" width="15.140625" style="173" customWidth="1"/>
    <col min="1544" max="1544" width="24.5703125" style="173" customWidth="1"/>
    <col min="1545" max="1545" width="7.5703125" style="173" customWidth="1"/>
    <col min="1546" max="1546" width="15.42578125" style="173" customWidth="1"/>
    <col min="1547" max="1547" width="9.42578125" style="173" customWidth="1"/>
    <col min="1548" max="1548" width="6.42578125" style="173" customWidth="1"/>
    <col min="1549" max="1549" width="10" style="173" customWidth="1"/>
    <col min="1550" max="1550" width="8.42578125" style="173" customWidth="1"/>
    <col min="1551" max="1551" width="13.140625" style="173" customWidth="1"/>
    <col min="1552" max="1552" width="7.140625" style="173" customWidth="1"/>
    <col min="1553" max="1553" width="14" style="173" customWidth="1"/>
    <col min="1554" max="1554" width="9.42578125" style="173" customWidth="1"/>
    <col min="1555" max="1555" width="9.140625" style="173" customWidth="1"/>
    <col min="1556" max="1556" width="8.5703125" style="173" customWidth="1"/>
    <col min="1557" max="1557" width="14.42578125" style="173" customWidth="1"/>
    <col min="1558" max="1558" width="11.42578125" style="173" customWidth="1"/>
    <col min="1559" max="1559" width="13.5703125" style="173" customWidth="1"/>
    <col min="1560" max="1560" width="16.42578125" style="173" customWidth="1"/>
    <col min="1561" max="1561" width="17.5703125" style="173" customWidth="1"/>
    <col min="1562" max="1562" width="7.42578125" style="173" customWidth="1"/>
    <col min="1563" max="1563" width="9.85546875" style="173" customWidth="1"/>
    <col min="1564" max="1568" width="17.42578125" style="173" customWidth="1"/>
    <col min="1569" max="1569" width="17.5703125" style="173" customWidth="1"/>
    <col min="1570" max="1570" width="17" style="173" customWidth="1"/>
    <col min="1571" max="1571" width="6.85546875" style="173"/>
    <col min="1572" max="1573" width="24.42578125" style="173" customWidth="1"/>
    <col min="1574" max="1574" width="22.140625" style="173" customWidth="1"/>
    <col min="1575" max="1575" width="14.5703125" style="173" customWidth="1"/>
    <col min="1576" max="1576" width="22.5703125" style="173" customWidth="1"/>
    <col min="1577" max="1791" width="6.85546875" style="173"/>
    <col min="1792" max="1792" width="10.85546875" style="173" customWidth="1"/>
    <col min="1793" max="1793" width="7.85546875" style="173" customWidth="1"/>
    <col min="1794" max="1794" width="11.5703125" style="173" customWidth="1"/>
    <col min="1795" max="1795" width="13.42578125" style="173" customWidth="1"/>
    <col min="1796" max="1796" width="14" style="173" customWidth="1"/>
    <col min="1797" max="1797" width="49.42578125" style="173" customWidth="1"/>
    <col min="1798" max="1798" width="15.42578125" style="173" customWidth="1"/>
    <col min="1799" max="1799" width="15.140625" style="173" customWidth="1"/>
    <col min="1800" max="1800" width="24.5703125" style="173" customWidth="1"/>
    <col min="1801" max="1801" width="7.5703125" style="173" customWidth="1"/>
    <col min="1802" max="1802" width="15.42578125" style="173" customWidth="1"/>
    <col min="1803" max="1803" width="9.42578125" style="173" customWidth="1"/>
    <col min="1804" max="1804" width="6.42578125" style="173" customWidth="1"/>
    <col min="1805" max="1805" width="10" style="173" customWidth="1"/>
    <col min="1806" max="1806" width="8.42578125" style="173" customWidth="1"/>
    <col min="1807" max="1807" width="13.140625" style="173" customWidth="1"/>
    <col min="1808" max="1808" width="7.140625" style="173" customWidth="1"/>
    <col min="1809" max="1809" width="14" style="173" customWidth="1"/>
    <col min="1810" max="1810" width="9.42578125" style="173" customWidth="1"/>
    <col min="1811" max="1811" width="9.140625" style="173" customWidth="1"/>
    <col min="1812" max="1812" width="8.5703125" style="173" customWidth="1"/>
    <col min="1813" max="1813" width="14.42578125" style="173" customWidth="1"/>
    <col min="1814" max="1814" width="11.42578125" style="173" customWidth="1"/>
    <col min="1815" max="1815" width="13.5703125" style="173" customWidth="1"/>
    <col min="1816" max="1816" width="16.42578125" style="173" customWidth="1"/>
    <col min="1817" max="1817" width="17.5703125" style="173" customWidth="1"/>
    <col min="1818" max="1818" width="7.42578125" style="173" customWidth="1"/>
    <col min="1819" max="1819" width="9.85546875" style="173" customWidth="1"/>
    <col min="1820" max="1824" width="17.42578125" style="173" customWidth="1"/>
    <col min="1825" max="1825" width="17.5703125" style="173" customWidth="1"/>
    <col min="1826" max="1826" width="17" style="173" customWidth="1"/>
    <col min="1827" max="1827" width="6.85546875" style="173"/>
    <col min="1828" max="1829" width="24.42578125" style="173" customWidth="1"/>
    <col min="1830" max="1830" width="22.140625" style="173" customWidth="1"/>
    <col min="1831" max="1831" width="14.5703125" style="173" customWidth="1"/>
    <col min="1832" max="1832" width="22.5703125" style="173" customWidth="1"/>
    <col min="1833" max="2047" width="6.85546875" style="173"/>
    <col min="2048" max="2048" width="10.85546875" style="173" customWidth="1"/>
    <col min="2049" max="2049" width="7.85546875" style="173" customWidth="1"/>
    <col min="2050" max="2050" width="11.5703125" style="173" customWidth="1"/>
    <col min="2051" max="2051" width="13.42578125" style="173" customWidth="1"/>
    <col min="2052" max="2052" width="14" style="173" customWidth="1"/>
    <col min="2053" max="2053" width="49.42578125" style="173" customWidth="1"/>
    <col min="2054" max="2054" width="15.42578125" style="173" customWidth="1"/>
    <col min="2055" max="2055" width="15.140625" style="173" customWidth="1"/>
    <col min="2056" max="2056" width="24.5703125" style="173" customWidth="1"/>
    <col min="2057" max="2057" width="7.5703125" style="173" customWidth="1"/>
    <col min="2058" max="2058" width="15.42578125" style="173" customWidth="1"/>
    <col min="2059" max="2059" width="9.42578125" style="173" customWidth="1"/>
    <col min="2060" max="2060" width="6.42578125" style="173" customWidth="1"/>
    <col min="2061" max="2061" width="10" style="173" customWidth="1"/>
    <col min="2062" max="2062" width="8.42578125" style="173" customWidth="1"/>
    <col min="2063" max="2063" width="13.140625" style="173" customWidth="1"/>
    <col min="2064" max="2064" width="7.140625" style="173" customWidth="1"/>
    <col min="2065" max="2065" width="14" style="173" customWidth="1"/>
    <col min="2066" max="2066" width="9.42578125" style="173" customWidth="1"/>
    <col min="2067" max="2067" width="9.140625" style="173" customWidth="1"/>
    <col min="2068" max="2068" width="8.5703125" style="173" customWidth="1"/>
    <col min="2069" max="2069" width="14.42578125" style="173" customWidth="1"/>
    <col min="2070" max="2070" width="11.42578125" style="173" customWidth="1"/>
    <col min="2071" max="2071" width="13.5703125" style="173" customWidth="1"/>
    <col min="2072" max="2072" width="16.42578125" style="173" customWidth="1"/>
    <col min="2073" max="2073" width="17.5703125" style="173" customWidth="1"/>
    <col min="2074" max="2074" width="7.42578125" style="173" customWidth="1"/>
    <col min="2075" max="2075" width="9.85546875" style="173" customWidth="1"/>
    <col min="2076" max="2080" width="17.42578125" style="173" customWidth="1"/>
    <col min="2081" max="2081" width="17.5703125" style="173" customWidth="1"/>
    <col min="2082" max="2082" width="17" style="173" customWidth="1"/>
    <col min="2083" max="2083" width="6.85546875" style="173"/>
    <col min="2084" max="2085" width="24.42578125" style="173" customWidth="1"/>
    <col min="2086" max="2086" width="22.140625" style="173" customWidth="1"/>
    <col min="2087" max="2087" width="14.5703125" style="173" customWidth="1"/>
    <col min="2088" max="2088" width="22.5703125" style="173" customWidth="1"/>
    <col min="2089" max="2303" width="6.85546875" style="173"/>
    <col min="2304" max="2304" width="10.85546875" style="173" customWidth="1"/>
    <col min="2305" max="2305" width="7.85546875" style="173" customWidth="1"/>
    <col min="2306" max="2306" width="11.5703125" style="173" customWidth="1"/>
    <col min="2307" max="2307" width="13.42578125" style="173" customWidth="1"/>
    <col min="2308" max="2308" width="14" style="173" customWidth="1"/>
    <col min="2309" max="2309" width="49.42578125" style="173" customWidth="1"/>
    <col min="2310" max="2310" width="15.42578125" style="173" customWidth="1"/>
    <col min="2311" max="2311" width="15.140625" style="173" customWidth="1"/>
    <col min="2312" max="2312" width="24.5703125" style="173" customWidth="1"/>
    <col min="2313" max="2313" width="7.5703125" style="173" customWidth="1"/>
    <col min="2314" max="2314" width="15.42578125" style="173" customWidth="1"/>
    <col min="2315" max="2315" width="9.42578125" style="173" customWidth="1"/>
    <col min="2316" max="2316" width="6.42578125" style="173" customWidth="1"/>
    <col min="2317" max="2317" width="10" style="173" customWidth="1"/>
    <col min="2318" max="2318" width="8.42578125" style="173" customWidth="1"/>
    <col min="2319" max="2319" width="13.140625" style="173" customWidth="1"/>
    <col min="2320" max="2320" width="7.140625" style="173" customWidth="1"/>
    <col min="2321" max="2321" width="14" style="173" customWidth="1"/>
    <col min="2322" max="2322" width="9.42578125" style="173" customWidth="1"/>
    <col min="2323" max="2323" width="9.140625" style="173" customWidth="1"/>
    <col min="2324" max="2324" width="8.5703125" style="173" customWidth="1"/>
    <col min="2325" max="2325" width="14.42578125" style="173" customWidth="1"/>
    <col min="2326" max="2326" width="11.42578125" style="173" customWidth="1"/>
    <col min="2327" max="2327" width="13.5703125" style="173" customWidth="1"/>
    <col min="2328" max="2328" width="16.42578125" style="173" customWidth="1"/>
    <col min="2329" max="2329" width="17.5703125" style="173" customWidth="1"/>
    <col min="2330" max="2330" width="7.42578125" style="173" customWidth="1"/>
    <col min="2331" max="2331" width="9.85546875" style="173" customWidth="1"/>
    <col min="2332" max="2336" width="17.42578125" style="173" customWidth="1"/>
    <col min="2337" max="2337" width="17.5703125" style="173" customWidth="1"/>
    <col min="2338" max="2338" width="17" style="173" customWidth="1"/>
    <col min="2339" max="2339" width="6.85546875" style="173"/>
    <col min="2340" max="2341" width="24.42578125" style="173" customWidth="1"/>
    <col min="2342" max="2342" width="22.140625" style="173" customWidth="1"/>
    <col min="2343" max="2343" width="14.5703125" style="173" customWidth="1"/>
    <col min="2344" max="2344" width="22.5703125" style="173" customWidth="1"/>
    <col min="2345" max="2559" width="6.85546875" style="173"/>
    <col min="2560" max="2560" width="10.85546875" style="173" customWidth="1"/>
    <col min="2561" max="2561" width="7.85546875" style="173" customWidth="1"/>
    <col min="2562" max="2562" width="11.5703125" style="173" customWidth="1"/>
    <col min="2563" max="2563" width="13.42578125" style="173" customWidth="1"/>
    <col min="2564" max="2564" width="14" style="173" customWidth="1"/>
    <col min="2565" max="2565" width="49.42578125" style="173" customWidth="1"/>
    <col min="2566" max="2566" width="15.42578125" style="173" customWidth="1"/>
    <col min="2567" max="2567" width="15.140625" style="173" customWidth="1"/>
    <col min="2568" max="2568" width="24.5703125" style="173" customWidth="1"/>
    <col min="2569" max="2569" width="7.5703125" style="173" customWidth="1"/>
    <col min="2570" max="2570" width="15.42578125" style="173" customWidth="1"/>
    <col min="2571" max="2571" width="9.42578125" style="173" customWidth="1"/>
    <col min="2572" max="2572" width="6.42578125" style="173" customWidth="1"/>
    <col min="2573" max="2573" width="10" style="173" customWidth="1"/>
    <col min="2574" max="2574" width="8.42578125" style="173" customWidth="1"/>
    <col min="2575" max="2575" width="13.140625" style="173" customWidth="1"/>
    <col min="2576" max="2576" width="7.140625" style="173" customWidth="1"/>
    <col min="2577" max="2577" width="14" style="173" customWidth="1"/>
    <col min="2578" max="2578" width="9.42578125" style="173" customWidth="1"/>
    <col min="2579" max="2579" width="9.140625" style="173" customWidth="1"/>
    <col min="2580" max="2580" width="8.5703125" style="173" customWidth="1"/>
    <col min="2581" max="2581" width="14.42578125" style="173" customWidth="1"/>
    <col min="2582" max="2582" width="11.42578125" style="173" customWidth="1"/>
    <col min="2583" max="2583" width="13.5703125" style="173" customWidth="1"/>
    <col min="2584" max="2584" width="16.42578125" style="173" customWidth="1"/>
    <col min="2585" max="2585" width="17.5703125" style="173" customWidth="1"/>
    <col min="2586" max="2586" width="7.42578125" style="173" customWidth="1"/>
    <col min="2587" max="2587" width="9.85546875" style="173" customWidth="1"/>
    <col min="2588" max="2592" width="17.42578125" style="173" customWidth="1"/>
    <col min="2593" max="2593" width="17.5703125" style="173" customWidth="1"/>
    <col min="2594" max="2594" width="17" style="173" customWidth="1"/>
    <col min="2595" max="2595" width="6.85546875" style="173"/>
    <col min="2596" max="2597" width="24.42578125" style="173" customWidth="1"/>
    <col min="2598" max="2598" width="22.140625" style="173" customWidth="1"/>
    <col min="2599" max="2599" width="14.5703125" style="173" customWidth="1"/>
    <col min="2600" max="2600" width="22.5703125" style="173" customWidth="1"/>
    <col min="2601" max="2815" width="6.85546875" style="173"/>
    <col min="2816" max="2816" width="10.85546875" style="173" customWidth="1"/>
    <col min="2817" max="2817" width="7.85546875" style="173" customWidth="1"/>
    <col min="2818" max="2818" width="11.5703125" style="173" customWidth="1"/>
    <col min="2819" max="2819" width="13.42578125" style="173" customWidth="1"/>
    <col min="2820" max="2820" width="14" style="173" customWidth="1"/>
    <col min="2821" max="2821" width="49.42578125" style="173" customWidth="1"/>
    <col min="2822" max="2822" width="15.42578125" style="173" customWidth="1"/>
    <col min="2823" max="2823" width="15.140625" style="173" customWidth="1"/>
    <col min="2824" max="2824" width="24.5703125" style="173" customWidth="1"/>
    <col min="2825" max="2825" width="7.5703125" style="173" customWidth="1"/>
    <col min="2826" max="2826" width="15.42578125" style="173" customWidth="1"/>
    <col min="2827" max="2827" width="9.42578125" style="173" customWidth="1"/>
    <col min="2828" max="2828" width="6.42578125" style="173" customWidth="1"/>
    <col min="2829" max="2829" width="10" style="173" customWidth="1"/>
    <col min="2830" max="2830" width="8.42578125" style="173" customWidth="1"/>
    <col min="2831" max="2831" width="13.140625" style="173" customWidth="1"/>
    <col min="2832" max="2832" width="7.140625" style="173" customWidth="1"/>
    <col min="2833" max="2833" width="14" style="173" customWidth="1"/>
    <col min="2834" max="2834" width="9.42578125" style="173" customWidth="1"/>
    <col min="2835" max="2835" width="9.140625" style="173" customWidth="1"/>
    <col min="2836" max="2836" width="8.5703125" style="173" customWidth="1"/>
    <col min="2837" max="2837" width="14.42578125" style="173" customWidth="1"/>
    <col min="2838" max="2838" width="11.42578125" style="173" customWidth="1"/>
    <col min="2839" max="2839" width="13.5703125" style="173" customWidth="1"/>
    <col min="2840" max="2840" width="16.42578125" style="173" customWidth="1"/>
    <col min="2841" max="2841" width="17.5703125" style="173" customWidth="1"/>
    <col min="2842" max="2842" width="7.42578125" style="173" customWidth="1"/>
    <col min="2843" max="2843" width="9.85546875" style="173" customWidth="1"/>
    <col min="2844" max="2848" width="17.42578125" style="173" customWidth="1"/>
    <col min="2849" max="2849" width="17.5703125" style="173" customWidth="1"/>
    <col min="2850" max="2850" width="17" style="173" customWidth="1"/>
    <col min="2851" max="2851" width="6.85546875" style="173"/>
    <col min="2852" max="2853" width="24.42578125" style="173" customWidth="1"/>
    <col min="2854" max="2854" width="22.140625" style="173" customWidth="1"/>
    <col min="2855" max="2855" width="14.5703125" style="173" customWidth="1"/>
    <col min="2856" max="2856" width="22.5703125" style="173" customWidth="1"/>
    <col min="2857" max="3071" width="6.85546875" style="173"/>
    <col min="3072" max="3072" width="10.85546875" style="173" customWidth="1"/>
    <col min="3073" max="3073" width="7.85546875" style="173" customWidth="1"/>
    <col min="3074" max="3074" width="11.5703125" style="173" customWidth="1"/>
    <col min="3075" max="3075" width="13.42578125" style="173" customWidth="1"/>
    <col min="3076" max="3076" width="14" style="173" customWidth="1"/>
    <col min="3077" max="3077" width="49.42578125" style="173" customWidth="1"/>
    <col min="3078" max="3078" width="15.42578125" style="173" customWidth="1"/>
    <col min="3079" max="3079" width="15.140625" style="173" customWidth="1"/>
    <col min="3080" max="3080" width="24.5703125" style="173" customWidth="1"/>
    <col min="3081" max="3081" width="7.5703125" style="173" customWidth="1"/>
    <col min="3082" max="3082" width="15.42578125" style="173" customWidth="1"/>
    <col min="3083" max="3083" width="9.42578125" style="173" customWidth="1"/>
    <col min="3084" max="3084" width="6.42578125" style="173" customWidth="1"/>
    <col min="3085" max="3085" width="10" style="173" customWidth="1"/>
    <col min="3086" max="3086" width="8.42578125" style="173" customWidth="1"/>
    <col min="3087" max="3087" width="13.140625" style="173" customWidth="1"/>
    <col min="3088" max="3088" width="7.140625" style="173" customWidth="1"/>
    <col min="3089" max="3089" width="14" style="173" customWidth="1"/>
    <col min="3090" max="3090" width="9.42578125" style="173" customWidth="1"/>
    <col min="3091" max="3091" width="9.140625" style="173" customWidth="1"/>
    <col min="3092" max="3092" width="8.5703125" style="173" customWidth="1"/>
    <col min="3093" max="3093" width="14.42578125" style="173" customWidth="1"/>
    <col min="3094" max="3094" width="11.42578125" style="173" customWidth="1"/>
    <col min="3095" max="3095" width="13.5703125" style="173" customWidth="1"/>
    <col min="3096" max="3096" width="16.42578125" style="173" customWidth="1"/>
    <col min="3097" max="3097" width="17.5703125" style="173" customWidth="1"/>
    <col min="3098" max="3098" width="7.42578125" style="173" customWidth="1"/>
    <col min="3099" max="3099" width="9.85546875" style="173" customWidth="1"/>
    <col min="3100" max="3104" width="17.42578125" style="173" customWidth="1"/>
    <col min="3105" max="3105" width="17.5703125" style="173" customWidth="1"/>
    <col min="3106" max="3106" width="17" style="173" customWidth="1"/>
    <col min="3107" max="3107" width="6.85546875" style="173"/>
    <col min="3108" max="3109" width="24.42578125" style="173" customWidth="1"/>
    <col min="3110" max="3110" width="22.140625" style="173" customWidth="1"/>
    <col min="3111" max="3111" width="14.5703125" style="173" customWidth="1"/>
    <col min="3112" max="3112" width="22.5703125" style="173" customWidth="1"/>
    <col min="3113" max="3327" width="6.85546875" style="173"/>
    <col min="3328" max="3328" width="10.85546875" style="173" customWidth="1"/>
    <col min="3329" max="3329" width="7.85546875" style="173" customWidth="1"/>
    <col min="3330" max="3330" width="11.5703125" style="173" customWidth="1"/>
    <col min="3331" max="3331" width="13.42578125" style="173" customWidth="1"/>
    <col min="3332" max="3332" width="14" style="173" customWidth="1"/>
    <col min="3333" max="3333" width="49.42578125" style="173" customWidth="1"/>
    <col min="3334" max="3334" width="15.42578125" style="173" customWidth="1"/>
    <col min="3335" max="3335" width="15.140625" style="173" customWidth="1"/>
    <col min="3336" max="3336" width="24.5703125" style="173" customWidth="1"/>
    <col min="3337" max="3337" width="7.5703125" style="173" customWidth="1"/>
    <col min="3338" max="3338" width="15.42578125" style="173" customWidth="1"/>
    <col min="3339" max="3339" width="9.42578125" style="173" customWidth="1"/>
    <col min="3340" max="3340" width="6.42578125" style="173" customWidth="1"/>
    <col min="3341" max="3341" width="10" style="173" customWidth="1"/>
    <col min="3342" max="3342" width="8.42578125" style="173" customWidth="1"/>
    <col min="3343" max="3343" width="13.140625" style="173" customWidth="1"/>
    <col min="3344" max="3344" width="7.140625" style="173" customWidth="1"/>
    <col min="3345" max="3345" width="14" style="173" customWidth="1"/>
    <col min="3346" max="3346" width="9.42578125" style="173" customWidth="1"/>
    <col min="3347" max="3347" width="9.140625" style="173" customWidth="1"/>
    <col min="3348" max="3348" width="8.5703125" style="173" customWidth="1"/>
    <col min="3349" max="3349" width="14.42578125" style="173" customWidth="1"/>
    <col min="3350" max="3350" width="11.42578125" style="173" customWidth="1"/>
    <col min="3351" max="3351" width="13.5703125" style="173" customWidth="1"/>
    <col min="3352" max="3352" width="16.42578125" style="173" customWidth="1"/>
    <col min="3353" max="3353" width="17.5703125" style="173" customWidth="1"/>
    <col min="3354" max="3354" width="7.42578125" style="173" customWidth="1"/>
    <col min="3355" max="3355" width="9.85546875" style="173" customWidth="1"/>
    <col min="3356" max="3360" width="17.42578125" style="173" customWidth="1"/>
    <col min="3361" max="3361" width="17.5703125" style="173" customWidth="1"/>
    <col min="3362" max="3362" width="17" style="173" customWidth="1"/>
    <col min="3363" max="3363" width="6.85546875" style="173"/>
    <col min="3364" max="3365" width="24.42578125" style="173" customWidth="1"/>
    <col min="3366" max="3366" width="22.140625" style="173" customWidth="1"/>
    <col min="3367" max="3367" width="14.5703125" style="173" customWidth="1"/>
    <col min="3368" max="3368" width="22.5703125" style="173" customWidth="1"/>
    <col min="3369" max="3583" width="6.85546875" style="173"/>
    <col min="3584" max="3584" width="10.85546875" style="173" customWidth="1"/>
    <col min="3585" max="3585" width="7.85546875" style="173" customWidth="1"/>
    <col min="3586" max="3586" width="11.5703125" style="173" customWidth="1"/>
    <col min="3587" max="3587" width="13.42578125" style="173" customWidth="1"/>
    <col min="3588" max="3588" width="14" style="173" customWidth="1"/>
    <col min="3589" max="3589" width="49.42578125" style="173" customWidth="1"/>
    <col min="3590" max="3590" width="15.42578125" style="173" customWidth="1"/>
    <col min="3591" max="3591" width="15.140625" style="173" customWidth="1"/>
    <col min="3592" max="3592" width="24.5703125" style="173" customWidth="1"/>
    <col min="3593" max="3593" width="7.5703125" style="173" customWidth="1"/>
    <col min="3594" max="3594" width="15.42578125" style="173" customWidth="1"/>
    <col min="3595" max="3595" width="9.42578125" style="173" customWidth="1"/>
    <col min="3596" max="3596" width="6.42578125" style="173" customWidth="1"/>
    <col min="3597" max="3597" width="10" style="173" customWidth="1"/>
    <col min="3598" max="3598" width="8.42578125" style="173" customWidth="1"/>
    <col min="3599" max="3599" width="13.140625" style="173" customWidth="1"/>
    <col min="3600" max="3600" width="7.140625" style="173" customWidth="1"/>
    <col min="3601" max="3601" width="14" style="173" customWidth="1"/>
    <col min="3602" max="3602" width="9.42578125" style="173" customWidth="1"/>
    <col min="3603" max="3603" width="9.140625" style="173" customWidth="1"/>
    <col min="3604" max="3604" width="8.5703125" style="173" customWidth="1"/>
    <col min="3605" max="3605" width="14.42578125" style="173" customWidth="1"/>
    <col min="3606" max="3606" width="11.42578125" style="173" customWidth="1"/>
    <col min="3607" max="3607" width="13.5703125" style="173" customWidth="1"/>
    <col min="3608" max="3608" width="16.42578125" style="173" customWidth="1"/>
    <col min="3609" max="3609" width="17.5703125" style="173" customWidth="1"/>
    <col min="3610" max="3610" width="7.42578125" style="173" customWidth="1"/>
    <col min="3611" max="3611" width="9.85546875" style="173" customWidth="1"/>
    <col min="3612" max="3616" width="17.42578125" style="173" customWidth="1"/>
    <col min="3617" max="3617" width="17.5703125" style="173" customWidth="1"/>
    <col min="3618" max="3618" width="17" style="173" customWidth="1"/>
    <col min="3619" max="3619" width="6.85546875" style="173"/>
    <col min="3620" max="3621" width="24.42578125" style="173" customWidth="1"/>
    <col min="3622" max="3622" width="22.140625" style="173" customWidth="1"/>
    <col min="3623" max="3623" width="14.5703125" style="173" customWidth="1"/>
    <col min="3624" max="3624" width="22.5703125" style="173" customWidth="1"/>
    <col min="3625" max="3839" width="6.85546875" style="173"/>
    <col min="3840" max="3840" width="10.85546875" style="173" customWidth="1"/>
    <col min="3841" max="3841" width="7.85546875" style="173" customWidth="1"/>
    <col min="3842" max="3842" width="11.5703125" style="173" customWidth="1"/>
    <col min="3843" max="3843" width="13.42578125" style="173" customWidth="1"/>
    <col min="3844" max="3844" width="14" style="173" customWidth="1"/>
    <col min="3845" max="3845" width="49.42578125" style="173" customWidth="1"/>
    <col min="3846" max="3846" width="15.42578125" style="173" customWidth="1"/>
    <col min="3847" max="3847" width="15.140625" style="173" customWidth="1"/>
    <col min="3848" max="3848" width="24.5703125" style="173" customWidth="1"/>
    <col min="3849" max="3849" width="7.5703125" style="173" customWidth="1"/>
    <col min="3850" max="3850" width="15.42578125" style="173" customWidth="1"/>
    <col min="3851" max="3851" width="9.42578125" style="173" customWidth="1"/>
    <col min="3852" max="3852" width="6.42578125" style="173" customWidth="1"/>
    <col min="3853" max="3853" width="10" style="173" customWidth="1"/>
    <col min="3854" max="3854" width="8.42578125" style="173" customWidth="1"/>
    <col min="3855" max="3855" width="13.140625" style="173" customWidth="1"/>
    <col min="3856" max="3856" width="7.140625" style="173" customWidth="1"/>
    <col min="3857" max="3857" width="14" style="173" customWidth="1"/>
    <col min="3858" max="3858" width="9.42578125" style="173" customWidth="1"/>
    <col min="3859" max="3859" width="9.140625" style="173" customWidth="1"/>
    <col min="3860" max="3860" width="8.5703125" style="173" customWidth="1"/>
    <col min="3861" max="3861" width="14.42578125" style="173" customWidth="1"/>
    <col min="3862" max="3862" width="11.42578125" style="173" customWidth="1"/>
    <col min="3863" max="3863" width="13.5703125" style="173" customWidth="1"/>
    <col min="3864" max="3864" width="16.42578125" style="173" customWidth="1"/>
    <col min="3865" max="3865" width="17.5703125" style="173" customWidth="1"/>
    <col min="3866" max="3866" width="7.42578125" style="173" customWidth="1"/>
    <col min="3867" max="3867" width="9.85546875" style="173" customWidth="1"/>
    <col min="3868" max="3872" width="17.42578125" style="173" customWidth="1"/>
    <col min="3873" max="3873" width="17.5703125" style="173" customWidth="1"/>
    <col min="3874" max="3874" width="17" style="173" customWidth="1"/>
    <col min="3875" max="3875" width="6.85546875" style="173"/>
    <col min="3876" max="3877" width="24.42578125" style="173" customWidth="1"/>
    <col min="3878" max="3878" width="22.140625" style="173" customWidth="1"/>
    <col min="3879" max="3879" width="14.5703125" style="173" customWidth="1"/>
    <col min="3880" max="3880" width="22.5703125" style="173" customWidth="1"/>
    <col min="3881" max="4095" width="6.85546875" style="173"/>
    <col min="4096" max="4096" width="10.85546875" style="173" customWidth="1"/>
    <col min="4097" max="4097" width="7.85546875" style="173" customWidth="1"/>
    <col min="4098" max="4098" width="11.5703125" style="173" customWidth="1"/>
    <col min="4099" max="4099" width="13.42578125" style="173" customWidth="1"/>
    <col min="4100" max="4100" width="14" style="173" customWidth="1"/>
    <col min="4101" max="4101" width="49.42578125" style="173" customWidth="1"/>
    <col min="4102" max="4102" width="15.42578125" style="173" customWidth="1"/>
    <col min="4103" max="4103" width="15.140625" style="173" customWidth="1"/>
    <col min="4104" max="4104" width="24.5703125" style="173" customWidth="1"/>
    <col min="4105" max="4105" width="7.5703125" style="173" customWidth="1"/>
    <col min="4106" max="4106" width="15.42578125" style="173" customWidth="1"/>
    <col min="4107" max="4107" width="9.42578125" style="173" customWidth="1"/>
    <col min="4108" max="4108" width="6.42578125" style="173" customWidth="1"/>
    <col min="4109" max="4109" width="10" style="173" customWidth="1"/>
    <col min="4110" max="4110" width="8.42578125" style="173" customWidth="1"/>
    <col min="4111" max="4111" width="13.140625" style="173" customWidth="1"/>
    <col min="4112" max="4112" width="7.140625" style="173" customWidth="1"/>
    <col min="4113" max="4113" width="14" style="173" customWidth="1"/>
    <col min="4114" max="4114" width="9.42578125" style="173" customWidth="1"/>
    <col min="4115" max="4115" width="9.140625" style="173" customWidth="1"/>
    <col min="4116" max="4116" width="8.5703125" style="173" customWidth="1"/>
    <col min="4117" max="4117" width="14.42578125" style="173" customWidth="1"/>
    <col min="4118" max="4118" width="11.42578125" style="173" customWidth="1"/>
    <col min="4119" max="4119" width="13.5703125" style="173" customWidth="1"/>
    <col min="4120" max="4120" width="16.42578125" style="173" customWidth="1"/>
    <col min="4121" max="4121" width="17.5703125" style="173" customWidth="1"/>
    <col min="4122" max="4122" width="7.42578125" style="173" customWidth="1"/>
    <col min="4123" max="4123" width="9.85546875" style="173" customWidth="1"/>
    <col min="4124" max="4128" width="17.42578125" style="173" customWidth="1"/>
    <col min="4129" max="4129" width="17.5703125" style="173" customWidth="1"/>
    <col min="4130" max="4130" width="17" style="173" customWidth="1"/>
    <col min="4131" max="4131" width="6.85546875" style="173"/>
    <col min="4132" max="4133" width="24.42578125" style="173" customWidth="1"/>
    <col min="4134" max="4134" width="22.140625" style="173" customWidth="1"/>
    <col min="4135" max="4135" width="14.5703125" style="173" customWidth="1"/>
    <col min="4136" max="4136" width="22.5703125" style="173" customWidth="1"/>
    <col min="4137" max="4351" width="6.85546875" style="173"/>
    <col min="4352" max="4352" width="10.85546875" style="173" customWidth="1"/>
    <col min="4353" max="4353" width="7.85546875" style="173" customWidth="1"/>
    <col min="4354" max="4354" width="11.5703125" style="173" customWidth="1"/>
    <col min="4355" max="4355" width="13.42578125" style="173" customWidth="1"/>
    <col min="4356" max="4356" width="14" style="173" customWidth="1"/>
    <col min="4357" max="4357" width="49.42578125" style="173" customWidth="1"/>
    <col min="4358" max="4358" width="15.42578125" style="173" customWidth="1"/>
    <col min="4359" max="4359" width="15.140625" style="173" customWidth="1"/>
    <col min="4360" max="4360" width="24.5703125" style="173" customWidth="1"/>
    <col min="4361" max="4361" width="7.5703125" style="173" customWidth="1"/>
    <col min="4362" max="4362" width="15.42578125" style="173" customWidth="1"/>
    <col min="4363" max="4363" width="9.42578125" style="173" customWidth="1"/>
    <col min="4364" max="4364" width="6.42578125" style="173" customWidth="1"/>
    <col min="4365" max="4365" width="10" style="173" customWidth="1"/>
    <col min="4366" max="4366" width="8.42578125" style="173" customWidth="1"/>
    <col min="4367" max="4367" width="13.140625" style="173" customWidth="1"/>
    <col min="4368" max="4368" width="7.140625" style="173" customWidth="1"/>
    <col min="4369" max="4369" width="14" style="173" customWidth="1"/>
    <col min="4370" max="4370" width="9.42578125" style="173" customWidth="1"/>
    <col min="4371" max="4371" width="9.140625" style="173" customWidth="1"/>
    <col min="4372" max="4372" width="8.5703125" style="173" customWidth="1"/>
    <col min="4373" max="4373" width="14.42578125" style="173" customWidth="1"/>
    <col min="4374" max="4374" width="11.42578125" style="173" customWidth="1"/>
    <col min="4375" max="4375" width="13.5703125" style="173" customWidth="1"/>
    <col min="4376" max="4376" width="16.42578125" style="173" customWidth="1"/>
    <col min="4377" max="4377" width="17.5703125" style="173" customWidth="1"/>
    <col min="4378" max="4378" width="7.42578125" style="173" customWidth="1"/>
    <col min="4379" max="4379" width="9.85546875" style="173" customWidth="1"/>
    <col min="4380" max="4384" width="17.42578125" style="173" customWidth="1"/>
    <col min="4385" max="4385" width="17.5703125" style="173" customWidth="1"/>
    <col min="4386" max="4386" width="17" style="173" customWidth="1"/>
    <col min="4387" max="4387" width="6.85546875" style="173"/>
    <col min="4388" max="4389" width="24.42578125" style="173" customWidth="1"/>
    <col min="4390" max="4390" width="22.140625" style="173" customWidth="1"/>
    <col min="4391" max="4391" width="14.5703125" style="173" customWidth="1"/>
    <col min="4392" max="4392" width="22.5703125" style="173" customWidth="1"/>
    <col min="4393" max="4607" width="6.85546875" style="173"/>
    <col min="4608" max="4608" width="10.85546875" style="173" customWidth="1"/>
    <col min="4609" max="4609" width="7.85546875" style="173" customWidth="1"/>
    <col min="4610" max="4610" width="11.5703125" style="173" customWidth="1"/>
    <col min="4611" max="4611" width="13.42578125" style="173" customWidth="1"/>
    <col min="4612" max="4612" width="14" style="173" customWidth="1"/>
    <col min="4613" max="4613" width="49.42578125" style="173" customWidth="1"/>
    <col min="4614" max="4614" width="15.42578125" style="173" customWidth="1"/>
    <col min="4615" max="4615" width="15.140625" style="173" customWidth="1"/>
    <col min="4616" max="4616" width="24.5703125" style="173" customWidth="1"/>
    <col min="4617" max="4617" width="7.5703125" style="173" customWidth="1"/>
    <col min="4618" max="4618" width="15.42578125" style="173" customWidth="1"/>
    <col min="4619" max="4619" width="9.42578125" style="173" customWidth="1"/>
    <col min="4620" max="4620" width="6.42578125" style="173" customWidth="1"/>
    <col min="4621" max="4621" width="10" style="173" customWidth="1"/>
    <col min="4622" max="4622" width="8.42578125" style="173" customWidth="1"/>
    <col min="4623" max="4623" width="13.140625" style="173" customWidth="1"/>
    <col min="4624" max="4624" width="7.140625" style="173" customWidth="1"/>
    <col min="4625" max="4625" width="14" style="173" customWidth="1"/>
    <col min="4626" max="4626" width="9.42578125" style="173" customWidth="1"/>
    <col min="4627" max="4627" width="9.140625" style="173" customWidth="1"/>
    <col min="4628" max="4628" width="8.5703125" style="173" customWidth="1"/>
    <col min="4629" max="4629" width="14.42578125" style="173" customWidth="1"/>
    <col min="4630" max="4630" width="11.42578125" style="173" customWidth="1"/>
    <col min="4631" max="4631" width="13.5703125" style="173" customWidth="1"/>
    <col min="4632" max="4632" width="16.42578125" style="173" customWidth="1"/>
    <col min="4633" max="4633" width="17.5703125" style="173" customWidth="1"/>
    <col min="4634" max="4634" width="7.42578125" style="173" customWidth="1"/>
    <col min="4635" max="4635" width="9.85546875" style="173" customWidth="1"/>
    <col min="4636" max="4640" width="17.42578125" style="173" customWidth="1"/>
    <col min="4641" max="4641" width="17.5703125" style="173" customWidth="1"/>
    <col min="4642" max="4642" width="17" style="173" customWidth="1"/>
    <col min="4643" max="4643" width="6.85546875" style="173"/>
    <col min="4644" max="4645" width="24.42578125" style="173" customWidth="1"/>
    <col min="4646" max="4646" width="22.140625" style="173" customWidth="1"/>
    <col min="4647" max="4647" width="14.5703125" style="173" customWidth="1"/>
    <col min="4648" max="4648" width="22.5703125" style="173" customWidth="1"/>
    <col min="4649" max="4863" width="6.85546875" style="173"/>
    <col min="4864" max="4864" width="10.85546875" style="173" customWidth="1"/>
    <col min="4865" max="4865" width="7.85546875" style="173" customWidth="1"/>
    <col min="4866" max="4866" width="11.5703125" style="173" customWidth="1"/>
    <col min="4867" max="4867" width="13.42578125" style="173" customWidth="1"/>
    <col min="4868" max="4868" width="14" style="173" customWidth="1"/>
    <col min="4869" max="4869" width="49.42578125" style="173" customWidth="1"/>
    <col min="4870" max="4870" width="15.42578125" style="173" customWidth="1"/>
    <col min="4871" max="4871" width="15.140625" style="173" customWidth="1"/>
    <col min="4872" max="4872" width="24.5703125" style="173" customWidth="1"/>
    <col min="4873" max="4873" width="7.5703125" style="173" customWidth="1"/>
    <col min="4874" max="4874" width="15.42578125" style="173" customWidth="1"/>
    <col min="4875" max="4875" width="9.42578125" style="173" customWidth="1"/>
    <col min="4876" max="4876" width="6.42578125" style="173" customWidth="1"/>
    <col min="4877" max="4877" width="10" style="173" customWidth="1"/>
    <col min="4878" max="4878" width="8.42578125" style="173" customWidth="1"/>
    <col min="4879" max="4879" width="13.140625" style="173" customWidth="1"/>
    <col min="4880" max="4880" width="7.140625" style="173" customWidth="1"/>
    <col min="4881" max="4881" width="14" style="173" customWidth="1"/>
    <col min="4882" max="4882" width="9.42578125" style="173" customWidth="1"/>
    <col min="4883" max="4883" width="9.140625" style="173" customWidth="1"/>
    <col min="4884" max="4884" width="8.5703125" style="173" customWidth="1"/>
    <col min="4885" max="4885" width="14.42578125" style="173" customWidth="1"/>
    <col min="4886" max="4886" width="11.42578125" style="173" customWidth="1"/>
    <col min="4887" max="4887" width="13.5703125" style="173" customWidth="1"/>
    <col min="4888" max="4888" width="16.42578125" style="173" customWidth="1"/>
    <col min="4889" max="4889" width="17.5703125" style="173" customWidth="1"/>
    <col min="4890" max="4890" width="7.42578125" style="173" customWidth="1"/>
    <col min="4891" max="4891" width="9.85546875" style="173" customWidth="1"/>
    <col min="4892" max="4896" width="17.42578125" style="173" customWidth="1"/>
    <col min="4897" max="4897" width="17.5703125" style="173" customWidth="1"/>
    <col min="4898" max="4898" width="17" style="173" customWidth="1"/>
    <col min="4899" max="4899" width="6.85546875" style="173"/>
    <col min="4900" max="4901" width="24.42578125" style="173" customWidth="1"/>
    <col min="4902" max="4902" width="22.140625" style="173" customWidth="1"/>
    <col min="4903" max="4903" width="14.5703125" style="173" customWidth="1"/>
    <col min="4904" max="4904" width="22.5703125" style="173" customWidth="1"/>
    <col min="4905" max="5119" width="6.85546875" style="173"/>
    <col min="5120" max="5120" width="10.85546875" style="173" customWidth="1"/>
    <col min="5121" max="5121" width="7.85546875" style="173" customWidth="1"/>
    <col min="5122" max="5122" width="11.5703125" style="173" customWidth="1"/>
    <col min="5123" max="5123" width="13.42578125" style="173" customWidth="1"/>
    <col min="5124" max="5124" width="14" style="173" customWidth="1"/>
    <col min="5125" max="5125" width="49.42578125" style="173" customWidth="1"/>
    <col min="5126" max="5126" width="15.42578125" style="173" customWidth="1"/>
    <col min="5127" max="5127" width="15.140625" style="173" customWidth="1"/>
    <col min="5128" max="5128" width="24.5703125" style="173" customWidth="1"/>
    <col min="5129" max="5129" width="7.5703125" style="173" customWidth="1"/>
    <col min="5130" max="5130" width="15.42578125" style="173" customWidth="1"/>
    <col min="5131" max="5131" width="9.42578125" style="173" customWidth="1"/>
    <col min="5132" max="5132" width="6.42578125" style="173" customWidth="1"/>
    <col min="5133" max="5133" width="10" style="173" customWidth="1"/>
    <col min="5134" max="5134" width="8.42578125" style="173" customWidth="1"/>
    <col min="5135" max="5135" width="13.140625" style="173" customWidth="1"/>
    <col min="5136" max="5136" width="7.140625" style="173" customWidth="1"/>
    <col min="5137" max="5137" width="14" style="173" customWidth="1"/>
    <col min="5138" max="5138" width="9.42578125" style="173" customWidth="1"/>
    <col min="5139" max="5139" width="9.140625" style="173" customWidth="1"/>
    <col min="5140" max="5140" width="8.5703125" style="173" customWidth="1"/>
    <col min="5141" max="5141" width="14.42578125" style="173" customWidth="1"/>
    <col min="5142" max="5142" width="11.42578125" style="173" customWidth="1"/>
    <col min="5143" max="5143" width="13.5703125" style="173" customWidth="1"/>
    <col min="5144" max="5144" width="16.42578125" style="173" customWidth="1"/>
    <col min="5145" max="5145" width="17.5703125" style="173" customWidth="1"/>
    <col min="5146" max="5146" width="7.42578125" style="173" customWidth="1"/>
    <col min="5147" max="5147" width="9.85546875" style="173" customWidth="1"/>
    <col min="5148" max="5152" width="17.42578125" style="173" customWidth="1"/>
    <col min="5153" max="5153" width="17.5703125" style="173" customWidth="1"/>
    <col min="5154" max="5154" width="17" style="173" customWidth="1"/>
    <col min="5155" max="5155" width="6.85546875" style="173"/>
    <col min="5156" max="5157" width="24.42578125" style="173" customWidth="1"/>
    <col min="5158" max="5158" width="22.140625" style="173" customWidth="1"/>
    <col min="5159" max="5159" width="14.5703125" style="173" customWidth="1"/>
    <col min="5160" max="5160" width="22.5703125" style="173" customWidth="1"/>
    <col min="5161" max="5375" width="6.85546875" style="173"/>
    <col min="5376" max="5376" width="10.85546875" style="173" customWidth="1"/>
    <col min="5377" max="5377" width="7.85546875" style="173" customWidth="1"/>
    <col min="5378" max="5378" width="11.5703125" style="173" customWidth="1"/>
    <col min="5379" max="5379" width="13.42578125" style="173" customWidth="1"/>
    <col min="5380" max="5380" width="14" style="173" customWidth="1"/>
    <col min="5381" max="5381" width="49.42578125" style="173" customWidth="1"/>
    <col min="5382" max="5382" width="15.42578125" style="173" customWidth="1"/>
    <col min="5383" max="5383" width="15.140625" style="173" customWidth="1"/>
    <col min="5384" max="5384" width="24.5703125" style="173" customWidth="1"/>
    <col min="5385" max="5385" width="7.5703125" style="173" customWidth="1"/>
    <col min="5386" max="5386" width="15.42578125" style="173" customWidth="1"/>
    <col min="5387" max="5387" width="9.42578125" style="173" customWidth="1"/>
    <col min="5388" max="5388" width="6.42578125" style="173" customWidth="1"/>
    <col min="5389" max="5389" width="10" style="173" customWidth="1"/>
    <col min="5390" max="5390" width="8.42578125" style="173" customWidth="1"/>
    <col min="5391" max="5391" width="13.140625" style="173" customWidth="1"/>
    <col min="5392" max="5392" width="7.140625" style="173" customWidth="1"/>
    <col min="5393" max="5393" width="14" style="173" customWidth="1"/>
    <col min="5394" max="5394" width="9.42578125" style="173" customWidth="1"/>
    <col min="5395" max="5395" width="9.140625" style="173" customWidth="1"/>
    <col min="5396" max="5396" width="8.5703125" style="173" customWidth="1"/>
    <col min="5397" max="5397" width="14.42578125" style="173" customWidth="1"/>
    <col min="5398" max="5398" width="11.42578125" style="173" customWidth="1"/>
    <col min="5399" max="5399" width="13.5703125" style="173" customWidth="1"/>
    <col min="5400" max="5400" width="16.42578125" style="173" customWidth="1"/>
    <col min="5401" max="5401" width="17.5703125" style="173" customWidth="1"/>
    <col min="5402" max="5402" width="7.42578125" style="173" customWidth="1"/>
    <col min="5403" max="5403" width="9.85546875" style="173" customWidth="1"/>
    <col min="5404" max="5408" width="17.42578125" style="173" customWidth="1"/>
    <col min="5409" max="5409" width="17.5703125" style="173" customWidth="1"/>
    <col min="5410" max="5410" width="17" style="173" customWidth="1"/>
    <col min="5411" max="5411" width="6.85546875" style="173"/>
    <col min="5412" max="5413" width="24.42578125" style="173" customWidth="1"/>
    <col min="5414" max="5414" width="22.140625" style="173" customWidth="1"/>
    <col min="5415" max="5415" width="14.5703125" style="173" customWidth="1"/>
    <col min="5416" max="5416" width="22.5703125" style="173" customWidth="1"/>
    <col min="5417" max="5631" width="6.85546875" style="173"/>
    <col min="5632" max="5632" width="10.85546875" style="173" customWidth="1"/>
    <col min="5633" max="5633" width="7.85546875" style="173" customWidth="1"/>
    <col min="5634" max="5634" width="11.5703125" style="173" customWidth="1"/>
    <col min="5635" max="5635" width="13.42578125" style="173" customWidth="1"/>
    <col min="5636" max="5636" width="14" style="173" customWidth="1"/>
    <col min="5637" max="5637" width="49.42578125" style="173" customWidth="1"/>
    <col min="5638" max="5638" width="15.42578125" style="173" customWidth="1"/>
    <col min="5639" max="5639" width="15.140625" style="173" customWidth="1"/>
    <col min="5640" max="5640" width="24.5703125" style="173" customWidth="1"/>
    <col min="5641" max="5641" width="7.5703125" style="173" customWidth="1"/>
    <col min="5642" max="5642" width="15.42578125" style="173" customWidth="1"/>
    <col min="5643" max="5643" width="9.42578125" style="173" customWidth="1"/>
    <col min="5644" max="5644" width="6.42578125" style="173" customWidth="1"/>
    <col min="5645" max="5645" width="10" style="173" customWidth="1"/>
    <col min="5646" max="5646" width="8.42578125" style="173" customWidth="1"/>
    <col min="5647" max="5647" width="13.140625" style="173" customWidth="1"/>
    <col min="5648" max="5648" width="7.140625" style="173" customWidth="1"/>
    <col min="5649" max="5649" width="14" style="173" customWidth="1"/>
    <col min="5650" max="5650" width="9.42578125" style="173" customWidth="1"/>
    <col min="5651" max="5651" width="9.140625" style="173" customWidth="1"/>
    <col min="5652" max="5652" width="8.5703125" style="173" customWidth="1"/>
    <col min="5653" max="5653" width="14.42578125" style="173" customWidth="1"/>
    <col min="5654" max="5654" width="11.42578125" style="173" customWidth="1"/>
    <col min="5655" max="5655" width="13.5703125" style="173" customWidth="1"/>
    <col min="5656" max="5656" width="16.42578125" style="173" customWidth="1"/>
    <col min="5657" max="5657" width="17.5703125" style="173" customWidth="1"/>
    <col min="5658" max="5658" width="7.42578125" style="173" customWidth="1"/>
    <col min="5659" max="5659" width="9.85546875" style="173" customWidth="1"/>
    <col min="5660" max="5664" width="17.42578125" style="173" customWidth="1"/>
    <col min="5665" max="5665" width="17.5703125" style="173" customWidth="1"/>
    <col min="5666" max="5666" width="17" style="173" customWidth="1"/>
    <col min="5667" max="5667" width="6.85546875" style="173"/>
    <col min="5668" max="5669" width="24.42578125" style="173" customWidth="1"/>
    <col min="5670" max="5670" width="22.140625" style="173" customWidth="1"/>
    <col min="5671" max="5671" width="14.5703125" style="173" customWidth="1"/>
    <col min="5672" max="5672" width="22.5703125" style="173" customWidth="1"/>
    <col min="5673" max="5887" width="6.85546875" style="173"/>
    <col min="5888" max="5888" width="10.85546875" style="173" customWidth="1"/>
    <col min="5889" max="5889" width="7.85546875" style="173" customWidth="1"/>
    <col min="5890" max="5890" width="11.5703125" style="173" customWidth="1"/>
    <col min="5891" max="5891" width="13.42578125" style="173" customWidth="1"/>
    <col min="5892" max="5892" width="14" style="173" customWidth="1"/>
    <col min="5893" max="5893" width="49.42578125" style="173" customWidth="1"/>
    <col min="5894" max="5894" width="15.42578125" style="173" customWidth="1"/>
    <col min="5895" max="5895" width="15.140625" style="173" customWidth="1"/>
    <col min="5896" max="5896" width="24.5703125" style="173" customWidth="1"/>
    <col min="5897" max="5897" width="7.5703125" style="173" customWidth="1"/>
    <col min="5898" max="5898" width="15.42578125" style="173" customWidth="1"/>
    <col min="5899" max="5899" width="9.42578125" style="173" customWidth="1"/>
    <col min="5900" max="5900" width="6.42578125" style="173" customWidth="1"/>
    <col min="5901" max="5901" width="10" style="173" customWidth="1"/>
    <col min="5902" max="5902" width="8.42578125" style="173" customWidth="1"/>
    <col min="5903" max="5903" width="13.140625" style="173" customWidth="1"/>
    <col min="5904" max="5904" width="7.140625" style="173" customWidth="1"/>
    <col min="5905" max="5905" width="14" style="173" customWidth="1"/>
    <col min="5906" max="5906" width="9.42578125" style="173" customWidth="1"/>
    <col min="5907" max="5907" width="9.140625" style="173" customWidth="1"/>
    <col min="5908" max="5908" width="8.5703125" style="173" customWidth="1"/>
    <col min="5909" max="5909" width="14.42578125" style="173" customWidth="1"/>
    <col min="5910" max="5910" width="11.42578125" style="173" customWidth="1"/>
    <col min="5911" max="5911" width="13.5703125" style="173" customWidth="1"/>
    <col min="5912" max="5912" width="16.42578125" style="173" customWidth="1"/>
    <col min="5913" max="5913" width="17.5703125" style="173" customWidth="1"/>
    <col min="5914" max="5914" width="7.42578125" style="173" customWidth="1"/>
    <col min="5915" max="5915" width="9.85546875" style="173" customWidth="1"/>
    <col min="5916" max="5920" width="17.42578125" style="173" customWidth="1"/>
    <col min="5921" max="5921" width="17.5703125" style="173" customWidth="1"/>
    <col min="5922" max="5922" width="17" style="173" customWidth="1"/>
    <col min="5923" max="5923" width="6.85546875" style="173"/>
    <col min="5924" max="5925" width="24.42578125" style="173" customWidth="1"/>
    <col min="5926" max="5926" width="22.140625" style="173" customWidth="1"/>
    <col min="5927" max="5927" width="14.5703125" style="173" customWidth="1"/>
    <col min="5928" max="5928" width="22.5703125" style="173" customWidth="1"/>
    <col min="5929" max="6143" width="6.85546875" style="173"/>
    <col min="6144" max="6144" width="10.85546875" style="173" customWidth="1"/>
    <col min="6145" max="6145" width="7.85546875" style="173" customWidth="1"/>
    <col min="6146" max="6146" width="11.5703125" style="173" customWidth="1"/>
    <col min="6147" max="6147" width="13.42578125" style="173" customWidth="1"/>
    <col min="6148" max="6148" width="14" style="173" customWidth="1"/>
    <col min="6149" max="6149" width="49.42578125" style="173" customWidth="1"/>
    <col min="6150" max="6150" width="15.42578125" style="173" customWidth="1"/>
    <col min="6151" max="6151" width="15.140625" style="173" customWidth="1"/>
    <col min="6152" max="6152" width="24.5703125" style="173" customWidth="1"/>
    <col min="6153" max="6153" width="7.5703125" style="173" customWidth="1"/>
    <col min="6154" max="6154" width="15.42578125" style="173" customWidth="1"/>
    <col min="6155" max="6155" width="9.42578125" style="173" customWidth="1"/>
    <col min="6156" max="6156" width="6.42578125" style="173" customWidth="1"/>
    <col min="6157" max="6157" width="10" style="173" customWidth="1"/>
    <col min="6158" max="6158" width="8.42578125" style="173" customWidth="1"/>
    <col min="6159" max="6159" width="13.140625" style="173" customWidth="1"/>
    <col min="6160" max="6160" width="7.140625" style="173" customWidth="1"/>
    <col min="6161" max="6161" width="14" style="173" customWidth="1"/>
    <col min="6162" max="6162" width="9.42578125" style="173" customWidth="1"/>
    <col min="6163" max="6163" width="9.140625" style="173" customWidth="1"/>
    <col min="6164" max="6164" width="8.5703125" style="173" customWidth="1"/>
    <col min="6165" max="6165" width="14.42578125" style="173" customWidth="1"/>
    <col min="6166" max="6166" width="11.42578125" style="173" customWidth="1"/>
    <col min="6167" max="6167" width="13.5703125" style="173" customWidth="1"/>
    <col min="6168" max="6168" width="16.42578125" style="173" customWidth="1"/>
    <col min="6169" max="6169" width="17.5703125" style="173" customWidth="1"/>
    <col min="6170" max="6170" width="7.42578125" style="173" customWidth="1"/>
    <col min="6171" max="6171" width="9.85546875" style="173" customWidth="1"/>
    <col min="6172" max="6176" width="17.42578125" style="173" customWidth="1"/>
    <col min="6177" max="6177" width="17.5703125" style="173" customWidth="1"/>
    <col min="6178" max="6178" width="17" style="173" customWidth="1"/>
    <col min="6179" max="6179" width="6.85546875" style="173"/>
    <col min="6180" max="6181" width="24.42578125" style="173" customWidth="1"/>
    <col min="6182" max="6182" width="22.140625" style="173" customWidth="1"/>
    <col min="6183" max="6183" width="14.5703125" style="173" customWidth="1"/>
    <col min="6184" max="6184" width="22.5703125" style="173" customWidth="1"/>
    <col min="6185" max="6399" width="6.85546875" style="173"/>
    <col min="6400" max="6400" width="10.85546875" style="173" customWidth="1"/>
    <col min="6401" max="6401" width="7.85546875" style="173" customWidth="1"/>
    <col min="6402" max="6402" width="11.5703125" style="173" customWidth="1"/>
    <col min="6403" max="6403" width="13.42578125" style="173" customWidth="1"/>
    <col min="6404" max="6404" width="14" style="173" customWidth="1"/>
    <col min="6405" max="6405" width="49.42578125" style="173" customWidth="1"/>
    <col min="6406" max="6406" width="15.42578125" style="173" customWidth="1"/>
    <col min="6407" max="6407" width="15.140625" style="173" customWidth="1"/>
    <col min="6408" max="6408" width="24.5703125" style="173" customWidth="1"/>
    <col min="6409" max="6409" width="7.5703125" style="173" customWidth="1"/>
    <col min="6410" max="6410" width="15.42578125" style="173" customWidth="1"/>
    <col min="6411" max="6411" width="9.42578125" style="173" customWidth="1"/>
    <col min="6412" max="6412" width="6.42578125" style="173" customWidth="1"/>
    <col min="6413" max="6413" width="10" style="173" customWidth="1"/>
    <col min="6414" max="6414" width="8.42578125" style="173" customWidth="1"/>
    <col min="6415" max="6415" width="13.140625" style="173" customWidth="1"/>
    <col min="6416" max="6416" width="7.140625" style="173" customWidth="1"/>
    <col min="6417" max="6417" width="14" style="173" customWidth="1"/>
    <col min="6418" max="6418" width="9.42578125" style="173" customWidth="1"/>
    <col min="6419" max="6419" width="9.140625" style="173" customWidth="1"/>
    <col min="6420" max="6420" width="8.5703125" style="173" customWidth="1"/>
    <col min="6421" max="6421" width="14.42578125" style="173" customWidth="1"/>
    <col min="6422" max="6422" width="11.42578125" style="173" customWidth="1"/>
    <col min="6423" max="6423" width="13.5703125" style="173" customWidth="1"/>
    <col min="6424" max="6424" width="16.42578125" style="173" customWidth="1"/>
    <col min="6425" max="6425" width="17.5703125" style="173" customWidth="1"/>
    <col min="6426" max="6426" width="7.42578125" style="173" customWidth="1"/>
    <col min="6427" max="6427" width="9.85546875" style="173" customWidth="1"/>
    <col min="6428" max="6432" width="17.42578125" style="173" customWidth="1"/>
    <col min="6433" max="6433" width="17.5703125" style="173" customWidth="1"/>
    <col min="6434" max="6434" width="17" style="173" customWidth="1"/>
    <col min="6435" max="6435" width="6.85546875" style="173"/>
    <col min="6436" max="6437" width="24.42578125" style="173" customWidth="1"/>
    <col min="6438" max="6438" width="22.140625" style="173" customWidth="1"/>
    <col min="6439" max="6439" width="14.5703125" style="173" customWidth="1"/>
    <col min="6440" max="6440" width="22.5703125" style="173" customWidth="1"/>
    <col min="6441" max="6655" width="6.85546875" style="173"/>
    <col min="6656" max="6656" width="10.85546875" style="173" customWidth="1"/>
    <col min="6657" max="6657" width="7.85546875" style="173" customWidth="1"/>
    <col min="6658" max="6658" width="11.5703125" style="173" customWidth="1"/>
    <col min="6659" max="6659" width="13.42578125" style="173" customWidth="1"/>
    <col min="6660" max="6660" width="14" style="173" customWidth="1"/>
    <col min="6661" max="6661" width="49.42578125" style="173" customWidth="1"/>
    <col min="6662" max="6662" width="15.42578125" style="173" customWidth="1"/>
    <col min="6663" max="6663" width="15.140625" style="173" customWidth="1"/>
    <col min="6664" max="6664" width="24.5703125" style="173" customWidth="1"/>
    <col min="6665" max="6665" width="7.5703125" style="173" customWidth="1"/>
    <col min="6666" max="6666" width="15.42578125" style="173" customWidth="1"/>
    <col min="6667" max="6667" width="9.42578125" style="173" customWidth="1"/>
    <col min="6668" max="6668" width="6.42578125" style="173" customWidth="1"/>
    <col min="6669" max="6669" width="10" style="173" customWidth="1"/>
    <col min="6670" max="6670" width="8.42578125" style="173" customWidth="1"/>
    <col min="6671" max="6671" width="13.140625" style="173" customWidth="1"/>
    <col min="6672" max="6672" width="7.140625" style="173" customWidth="1"/>
    <col min="6673" max="6673" width="14" style="173" customWidth="1"/>
    <col min="6674" max="6674" width="9.42578125" style="173" customWidth="1"/>
    <col min="6675" max="6675" width="9.140625" style="173" customWidth="1"/>
    <col min="6676" max="6676" width="8.5703125" style="173" customWidth="1"/>
    <col min="6677" max="6677" width="14.42578125" style="173" customWidth="1"/>
    <col min="6678" max="6678" width="11.42578125" style="173" customWidth="1"/>
    <col min="6679" max="6679" width="13.5703125" style="173" customWidth="1"/>
    <col min="6680" max="6680" width="16.42578125" style="173" customWidth="1"/>
    <col min="6681" max="6681" width="17.5703125" style="173" customWidth="1"/>
    <col min="6682" max="6682" width="7.42578125" style="173" customWidth="1"/>
    <col min="6683" max="6683" width="9.85546875" style="173" customWidth="1"/>
    <col min="6684" max="6688" width="17.42578125" style="173" customWidth="1"/>
    <col min="6689" max="6689" width="17.5703125" style="173" customWidth="1"/>
    <col min="6690" max="6690" width="17" style="173" customWidth="1"/>
    <col min="6691" max="6691" width="6.85546875" style="173"/>
    <col min="6692" max="6693" width="24.42578125" style="173" customWidth="1"/>
    <col min="6694" max="6694" width="22.140625" style="173" customWidth="1"/>
    <col min="6695" max="6695" width="14.5703125" style="173" customWidth="1"/>
    <col min="6696" max="6696" width="22.5703125" style="173" customWidth="1"/>
    <col min="6697" max="6911" width="6.85546875" style="173"/>
    <col min="6912" max="6912" width="10.85546875" style="173" customWidth="1"/>
    <col min="6913" max="6913" width="7.85546875" style="173" customWidth="1"/>
    <col min="6914" max="6914" width="11.5703125" style="173" customWidth="1"/>
    <col min="6915" max="6915" width="13.42578125" style="173" customWidth="1"/>
    <col min="6916" max="6916" width="14" style="173" customWidth="1"/>
    <col min="6917" max="6917" width="49.42578125" style="173" customWidth="1"/>
    <col min="6918" max="6918" width="15.42578125" style="173" customWidth="1"/>
    <col min="6919" max="6919" width="15.140625" style="173" customWidth="1"/>
    <col min="6920" max="6920" width="24.5703125" style="173" customWidth="1"/>
    <col min="6921" max="6921" width="7.5703125" style="173" customWidth="1"/>
    <col min="6922" max="6922" width="15.42578125" style="173" customWidth="1"/>
    <col min="6923" max="6923" width="9.42578125" style="173" customWidth="1"/>
    <col min="6924" max="6924" width="6.42578125" style="173" customWidth="1"/>
    <col min="6925" max="6925" width="10" style="173" customWidth="1"/>
    <col min="6926" max="6926" width="8.42578125" style="173" customWidth="1"/>
    <col min="6927" max="6927" width="13.140625" style="173" customWidth="1"/>
    <col min="6928" max="6928" width="7.140625" style="173" customWidth="1"/>
    <col min="6929" max="6929" width="14" style="173" customWidth="1"/>
    <col min="6930" max="6930" width="9.42578125" style="173" customWidth="1"/>
    <col min="6931" max="6931" width="9.140625" style="173" customWidth="1"/>
    <col min="6932" max="6932" width="8.5703125" style="173" customWidth="1"/>
    <col min="6933" max="6933" width="14.42578125" style="173" customWidth="1"/>
    <col min="6934" max="6934" width="11.42578125" style="173" customWidth="1"/>
    <col min="6935" max="6935" width="13.5703125" style="173" customWidth="1"/>
    <col min="6936" max="6936" width="16.42578125" style="173" customWidth="1"/>
    <col min="6937" max="6937" width="17.5703125" style="173" customWidth="1"/>
    <col min="6938" max="6938" width="7.42578125" style="173" customWidth="1"/>
    <col min="6939" max="6939" width="9.85546875" style="173" customWidth="1"/>
    <col min="6940" max="6944" width="17.42578125" style="173" customWidth="1"/>
    <col min="6945" max="6945" width="17.5703125" style="173" customWidth="1"/>
    <col min="6946" max="6946" width="17" style="173" customWidth="1"/>
    <col min="6947" max="6947" width="6.85546875" style="173"/>
    <col min="6948" max="6949" width="24.42578125" style="173" customWidth="1"/>
    <col min="6950" max="6950" width="22.140625" style="173" customWidth="1"/>
    <col min="6951" max="6951" width="14.5703125" style="173" customWidth="1"/>
    <col min="6952" max="6952" width="22.5703125" style="173" customWidth="1"/>
    <col min="6953" max="7167" width="6.85546875" style="173"/>
    <col min="7168" max="7168" width="10.85546875" style="173" customWidth="1"/>
    <col min="7169" max="7169" width="7.85546875" style="173" customWidth="1"/>
    <col min="7170" max="7170" width="11.5703125" style="173" customWidth="1"/>
    <col min="7171" max="7171" width="13.42578125" style="173" customWidth="1"/>
    <col min="7172" max="7172" width="14" style="173" customWidth="1"/>
    <col min="7173" max="7173" width="49.42578125" style="173" customWidth="1"/>
    <col min="7174" max="7174" width="15.42578125" style="173" customWidth="1"/>
    <col min="7175" max="7175" width="15.140625" style="173" customWidth="1"/>
    <col min="7176" max="7176" width="24.5703125" style="173" customWidth="1"/>
    <col min="7177" max="7177" width="7.5703125" style="173" customWidth="1"/>
    <col min="7178" max="7178" width="15.42578125" style="173" customWidth="1"/>
    <col min="7179" max="7179" width="9.42578125" style="173" customWidth="1"/>
    <col min="7180" max="7180" width="6.42578125" style="173" customWidth="1"/>
    <col min="7181" max="7181" width="10" style="173" customWidth="1"/>
    <col min="7182" max="7182" width="8.42578125" style="173" customWidth="1"/>
    <col min="7183" max="7183" width="13.140625" style="173" customWidth="1"/>
    <col min="7184" max="7184" width="7.140625" style="173" customWidth="1"/>
    <col min="7185" max="7185" width="14" style="173" customWidth="1"/>
    <col min="7186" max="7186" width="9.42578125" style="173" customWidth="1"/>
    <col min="7187" max="7187" width="9.140625" style="173" customWidth="1"/>
    <col min="7188" max="7188" width="8.5703125" style="173" customWidth="1"/>
    <col min="7189" max="7189" width="14.42578125" style="173" customWidth="1"/>
    <col min="7190" max="7190" width="11.42578125" style="173" customWidth="1"/>
    <col min="7191" max="7191" width="13.5703125" style="173" customWidth="1"/>
    <col min="7192" max="7192" width="16.42578125" style="173" customWidth="1"/>
    <col min="7193" max="7193" width="17.5703125" style="173" customWidth="1"/>
    <col min="7194" max="7194" width="7.42578125" style="173" customWidth="1"/>
    <col min="7195" max="7195" width="9.85546875" style="173" customWidth="1"/>
    <col min="7196" max="7200" width="17.42578125" style="173" customWidth="1"/>
    <col min="7201" max="7201" width="17.5703125" style="173" customWidth="1"/>
    <col min="7202" max="7202" width="17" style="173" customWidth="1"/>
    <col min="7203" max="7203" width="6.85546875" style="173"/>
    <col min="7204" max="7205" width="24.42578125" style="173" customWidth="1"/>
    <col min="7206" max="7206" width="22.140625" style="173" customWidth="1"/>
    <col min="7207" max="7207" width="14.5703125" style="173" customWidth="1"/>
    <col min="7208" max="7208" width="22.5703125" style="173" customWidth="1"/>
    <col min="7209" max="7423" width="6.85546875" style="173"/>
    <col min="7424" max="7424" width="10.85546875" style="173" customWidth="1"/>
    <col min="7425" max="7425" width="7.85546875" style="173" customWidth="1"/>
    <col min="7426" max="7426" width="11.5703125" style="173" customWidth="1"/>
    <col min="7427" max="7427" width="13.42578125" style="173" customWidth="1"/>
    <col min="7428" max="7428" width="14" style="173" customWidth="1"/>
    <col min="7429" max="7429" width="49.42578125" style="173" customWidth="1"/>
    <col min="7430" max="7430" width="15.42578125" style="173" customWidth="1"/>
    <col min="7431" max="7431" width="15.140625" style="173" customWidth="1"/>
    <col min="7432" max="7432" width="24.5703125" style="173" customWidth="1"/>
    <col min="7433" max="7433" width="7.5703125" style="173" customWidth="1"/>
    <col min="7434" max="7434" width="15.42578125" style="173" customWidth="1"/>
    <col min="7435" max="7435" width="9.42578125" style="173" customWidth="1"/>
    <col min="7436" max="7436" width="6.42578125" style="173" customWidth="1"/>
    <col min="7437" max="7437" width="10" style="173" customWidth="1"/>
    <col min="7438" max="7438" width="8.42578125" style="173" customWidth="1"/>
    <col min="7439" max="7439" width="13.140625" style="173" customWidth="1"/>
    <col min="7440" max="7440" width="7.140625" style="173" customWidth="1"/>
    <col min="7441" max="7441" width="14" style="173" customWidth="1"/>
    <col min="7442" max="7442" width="9.42578125" style="173" customWidth="1"/>
    <col min="7443" max="7443" width="9.140625" style="173" customWidth="1"/>
    <col min="7444" max="7444" width="8.5703125" style="173" customWidth="1"/>
    <col min="7445" max="7445" width="14.42578125" style="173" customWidth="1"/>
    <col min="7446" max="7446" width="11.42578125" style="173" customWidth="1"/>
    <col min="7447" max="7447" width="13.5703125" style="173" customWidth="1"/>
    <col min="7448" max="7448" width="16.42578125" style="173" customWidth="1"/>
    <col min="7449" max="7449" width="17.5703125" style="173" customWidth="1"/>
    <col min="7450" max="7450" width="7.42578125" style="173" customWidth="1"/>
    <col min="7451" max="7451" width="9.85546875" style="173" customWidth="1"/>
    <col min="7452" max="7456" width="17.42578125" style="173" customWidth="1"/>
    <col min="7457" max="7457" width="17.5703125" style="173" customWidth="1"/>
    <col min="7458" max="7458" width="17" style="173" customWidth="1"/>
    <col min="7459" max="7459" width="6.85546875" style="173"/>
    <col min="7460" max="7461" width="24.42578125" style="173" customWidth="1"/>
    <col min="7462" max="7462" width="22.140625" style="173" customWidth="1"/>
    <col min="7463" max="7463" width="14.5703125" style="173" customWidth="1"/>
    <col min="7464" max="7464" width="22.5703125" style="173" customWidth="1"/>
    <col min="7465" max="7679" width="6.85546875" style="173"/>
    <col min="7680" max="7680" width="10.85546875" style="173" customWidth="1"/>
    <col min="7681" max="7681" width="7.85546875" style="173" customWidth="1"/>
    <col min="7682" max="7682" width="11.5703125" style="173" customWidth="1"/>
    <col min="7683" max="7683" width="13.42578125" style="173" customWidth="1"/>
    <col min="7684" max="7684" width="14" style="173" customWidth="1"/>
    <col min="7685" max="7685" width="49.42578125" style="173" customWidth="1"/>
    <col min="7686" max="7686" width="15.42578125" style="173" customWidth="1"/>
    <col min="7687" max="7687" width="15.140625" style="173" customWidth="1"/>
    <col min="7688" max="7688" width="24.5703125" style="173" customWidth="1"/>
    <col min="7689" max="7689" width="7.5703125" style="173" customWidth="1"/>
    <col min="7690" max="7690" width="15.42578125" style="173" customWidth="1"/>
    <col min="7691" max="7691" width="9.42578125" style="173" customWidth="1"/>
    <col min="7692" max="7692" width="6.42578125" style="173" customWidth="1"/>
    <col min="7693" max="7693" width="10" style="173" customWidth="1"/>
    <col min="7694" max="7694" width="8.42578125" style="173" customWidth="1"/>
    <col min="7695" max="7695" width="13.140625" style="173" customWidth="1"/>
    <col min="7696" max="7696" width="7.140625" style="173" customWidth="1"/>
    <col min="7697" max="7697" width="14" style="173" customWidth="1"/>
    <col min="7698" max="7698" width="9.42578125" style="173" customWidth="1"/>
    <col min="7699" max="7699" width="9.140625" style="173" customWidth="1"/>
    <col min="7700" max="7700" width="8.5703125" style="173" customWidth="1"/>
    <col min="7701" max="7701" width="14.42578125" style="173" customWidth="1"/>
    <col min="7702" max="7702" width="11.42578125" style="173" customWidth="1"/>
    <col min="7703" max="7703" width="13.5703125" style="173" customWidth="1"/>
    <col min="7704" max="7704" width="16.42578125" style="173" customWidth="1"/>
    <col min="7705" max="7705" width="17.5703125" style="173" customWidth="1"/>
    <col min="7706" max="7706" width="7.42578125" style="173" customWidth="1"/>
    <col min="7707" max="7707" width="9.85546875" style="173" customWidth="1"/>
    <col min="7708" max="7712" width="17.42578125" style="173" customWidth="1"/>
    <col min="7713" max="7713" width="17.5703125" style="173" customWidth="1"/>
    <col min="7714" max="7714" width="17" style="173" customWidth="1"/>
    <col min="7715" max="7715" width="6.85546875" style="173"/>
    <col min="7716" max="7717" width="24.42578125" style="173" customWidth="1"/>
    <col min="7718" max="7718" width="22.140625" style="173" customWidth="1"/>
    <col min="7719" max="7719" width="14.5703125" style="173" customWidth="1"/>
    <col min="7720" max="7720" width="22.5703125" style="173" customWidth="1"/>
    <col min="7721" max="7935" width="6.85546875" style="173"/>
    <col min="7936" max="7936" width="10.85546875" style="173" customWidth="1"/>
    <col min="7937" max="7937" width="7.85546875" style="173" customWidth="1"/>
    <col min="7938" max="7938" width="11.5703125" style="173" customWidth="1"/>
    <col min="7939" max="7939" width="13.42578125" style="173" customWidth="1"/>
    <col min="7940" max="7940" width="14" style="173" customWidth="1"/>
    <col min="7941" max="7941" width="49.42578125" style="173" customWidth="1"/>
    <col min="7942" max="7942" width="15.42578125" style="173" customWidth="1"/>
    <col min="7943" max="7943" width="15.140625" style="173" customWidth="1"/>
    <col min="7944" max="7944" width="24.5703125" style="173" customWidth="1"/>
    <col min="7945" max="7945" width="7.5703125" style="173" customWidth="1"/>
    <col min="7946" max="7946" width="15.42578125" style="173" customWidth="1"/>
    <col min="7947" max="7947" width="9.42578125" style="173" customWidth="1"/>
    <col min="7948" max="7948" width="6.42578125" style="173" customWidth="1"/>
    <col min="7949" max="7949" width="10" style="173" customWidth="1"/>
    <col min="7950" max="7950" width="8.42578125" style="173" customWidth="1"/>
    <col min="7951" max="7951" width="13.140625" style="173" customWidth="1"/>
    <col min="7952" max="7952" width="7.140625" style="173" customWidth="1"/>
    <col min="7953" max="7953" width="14" style="173" customWidth="1"/>
    <col min="7954" max="7954" width="9.42578125" style="173" customWidth="1"/>
    <col min="7955" max="7955" width="9.140625" style="173" customWidth="1"/>
    <col min="7956" max="7956" width="8.5703125" style="173" customWidth="1"/>
    <col min="7957" max="7957" width="14.42578125" style="173" customWidth="1"/>
    <col min="7958" max="7958" width="11.42578125" style="173" customWidth="1"/>
    <col min="7959" max="7959" width="13.5703125" style="173" customWidth="1"/>
    <col min="7960" max="7960" width="16.42578125" style="173" customWidth="1"/>
    <col min="7961" max="7961" width="17.5703125" style="173" customWidth="1"/>
    <col min="7962" max="7962" width="7.42578125" style="173" customWidth="1"/>
    <col min="7963" max="7963" width="9.85546875" style="173" customWidth="1"/>
    <col min="7964" max="7968" width="17.42578125" style="173" customWidth="1"/>
    <col min="7969" max="7969" width="17.5703125" style="173" customWidth="1"/>
    <col min="7970" max="7970" width="17" style="173" customWidth="1"/>
    <col min="7971" max="7971" width="6.85546875" style="173"/>
    <col min="7972" max="7973" width="24.42578125" style="173" customWidth="1"/>
    <col min="7974" max="7974" width="22.140625" style="173" customWidth="1"/>
    <col min="7975" max="7975" width="14.5703125" style="173" customWidth="1"/>
    <col min="7976" max="7976" width="22.5703125" style="173" customWidth="1"/>
    <col min="7977" max="8191" width="6.85546875" style="173"/>
    <col min="8192" max="8192" width="10.85546875" style="173" customWidth="1"/>
    <col min="8193" max="8193" width="7.85546875" style="173" customWidth="1"/>
    <col min="8194" max="8194" width="11.5703125" style="173" customWidth="1"/>
    <col min="8195" max="8195" width="13.42578125" style="173" customWidth="1"/>
    <col min="8196" max="8196" width="14" style="173" customWidth="1"/>
    <col min="8197" max="8197" width="49.42578125" style="173" customWidth="1"/>
    <col min="8198" max="8198" width="15.42578125" style="173" customWidth="1"/>
    <col min="8199" max="8199" width="15.140625" style="173" customWidth="1"/>
    <col min="8200" max="8200" width="24.5703125" style="173" customWidth="1"/>
    <col min="8201" max="8201" width="7.5703125" style="173" customWidth="1"/>
    <col min="8202" max="8202" width="15.42578125" style="173" customWidth="1"/>
    <col min="8203" max="8203" width="9.42578125" style="173" customWidth="1"/>
    <col min="8204" max="8204" width="6.42578125" style="173" customWidth="1"/>
    <col min="8205" max="8205" width="10" style="173" customWidth="1"/>
    <col min="8206" max="8206" width="8.42578125" style="173" customWidth="1"/>
    <col min="8207" max="8207" width="13.140625" style="173" customWidth="1"/>
    <col min="8208" max="8208" width="7.140625" style="173" customWidth="1"/>
    <col min="8209" max="8209" width="14" style="173" customWidth="1"/>
    <col min="8210" max="8210" width="9.42578125" style="173" customWidth="1"/>
    <col min="8211" max="8211" width="9.140625" style="173" customWidth="1"/>
    <col min="8212" max="8212" width="8.5703125" style="173" customWidth="1"/>
    <col min="8213" max="8213" width="14.42578125" style="173" customWidth="1"/>
    <col min="8214" max="8214" width="11.42578125" style="173" customWidth="1"/>
    <col min="8215" max="8215" width="13.5703125" style="173" customWidth="1"/>
    <col min="8216" max="8216" width="16.42578125" style="173" customWidth="1"/>
    <col min="8217" max="8217" width="17.5703125" style="173" customWidth="1"/>
    <col min="8218" max="8218" width="7.42578125" style="173" customWidth="1"/>
    <col min="8219" max="8219" width="9.85546875" style="173" customWidth="1"/>
    <col min="8220" max="8224" width="17.42578125" style="173" customWidth="1"/>
    <col min="8225" max="8225" width="17.5703125" style="173" customWidth="1"/>
    <col min="8226" max="8226" width="17" style="173" customWidth="1"/>
    <col min="8227" max="8227" width="6.85546875" style="173"/>
    <col min="8228" max="8229" width="24.42578125" style="173" customWidth="1"/>
    <col min="8230" max="8230" width="22.140625" style="173" customWidth="1"/>
    <col min="8231" max="8231" width="14.5703125" style="173" customWidth="1"/>
    <col min="8232" max="8232" width="22.5703125" style="173" customWidth="1"/>
    <col min="8233" max="8447" width="6.85546875" style="173"/>
    <col min="8448" max="8448" width="10.85546875" style="173" customWidth="1"/>
    <col min="8449" max="8449" width="7.85546875" style="173" customWidth="1"/>
    <col min="8450" max="8450" width="11.5703125" style="173" customWidth="1"/>
    <col min="8451" max="8451" width="13.42578125" style="173" customWidth="1"/>
    <col min="8452" max="8452" width="14" style="173" customWidth="1"/>
    <col min="8453" max="8453" width="49.42578125" style="173" customWidth="1"/>
    <col min="8454" max="8454" width="15.42578125" style="173" customWidth="1"/>
    <col min="8455" max="8455" width="15.140625" style="173" customWidth="1"/>
    <col min="8456" max="8456" width="24.5703125" style="173" customWidth="1"/>
    <col min="8457" max="8457" width="7.5703125" style="173" customWidth="1"/>
    <col min="8458" max="8458" width="15.42578125" style="173" customWidth="1"/>
    <col min="8459" max="8459" width="9.42578125" style="173" customWidth="1"/>
    <col min="8460" max="8460" width="6.42578125" style="173" customWidth="1"/>
    <col min="8461" max="8461" width="10" style="173" customWidth="1"/>
    <col min="8462" max="8462" width="8.42578125" style="173" customWidth="1"/>
    <col min="8463" max="8463" width="13.140625" style="173" customWidth="1"/>
    <col min="8464" max="8464" width="7.140625" style="173" customWidth="1"/>
    <col min="8465" max="8465" width="14" style="173" customWidth="1"/>
    <col min="8466" max="8466" width="9.42578125" style="173" customWidth="1"/>
    <col min="8467" max="8467" width="9.140625" style="173" customWidth="1"/>
    <col min="8468" max="8468" width="8.5703125" style="173" customWidth="1"/>
    <col min="8469" max="8469" width="14.42578125" style="173" customWidth="1"/>
    <col min="8470" max="8470" width="11.42578125" style="173" customWidth="1"/>
    <col min="8471" max="8471" width="13.5703125" style="173" customWidth="1"/>
    <col min="8472" max="8472" width="16.42578125" style="173" customWidth="1"/>
    <col min="8473" max="8473" width="17.5703125" style="173" customWidth="1"/>
    <col min="8474" max="8474" width="7.42578125" style="173" customWidth="1"/>
    <col min="8475" max="8475" width="9.85546875" style="173" customWidth="1"/>
    <col min="8476" max="8480" width="17.42578125" style="173" customWidth="1"/>
    <col min="8481" max="8481" width="17.5703125" style="173" customWidth="1"/>
    <col min="8482" max="8482" width="17" style="173" customWidth="1"/>
    <col min="8483" max="8483" width="6.85546875" style="173"/>
    <col min="8484" max="8485" width="24.42578125" style="173" customWidth="1"/>
    <col min="8486" max="8486" width="22.140625" style="173" customWidth="1"/>
    <col min="8487" max="8487" width="14.5703125" style="173" customWidth="1"/>
    <col min="8488" max="8488" width="22.5703125" style="173" customWidth="1"/>
    <col min="8489" max="8703" width="6.85546875" style="173"/>
    <col min="8704" max="8704" width="10.85546875" style="173" customWidth="1"/>
    <col min="8705" max="8705" width="7.85546875" style="173" customWidth="1"/>
    <col min="8706" max="8706" width="11.5703125" style="173" customWidth="1"/>
    <col min="8707" max="8707" width="13.42578125" style="173" customWidth="1"/>
    <col min="8708" max="8708" width="14" style="173" customWidth="1"/>
    <col min="8709" max="8709" width="49.42578125" style="173" customWidth="1"/>
    <col min="8710" max="8710" width="15.42578125" style="173" customWidth="1"/>
    <col min="8711" max="8711" width="15.140625" style="173" customWidth="1"/>
    <col min="8712" max="8712" width="24.5703125" style="173" customWidth="1"/>
    <col min="8713" max="8713" width="7.5703125" style="173" customWidth="1"/>
    <col min="8714" max="8714" width="15.42578125" style="173" customWidth="1"/>
    <col min="8715" max="8715" width="9.42578125" style="173" customWidth="1"/>
    <col min="8716" max="8716" width="6.42578125" style="173" customWidth="1"/>
    <col min="8717" max="8717" width="10" style="173" customWidth="1"/>
    <col min="8718" max="8718" width="8.42578125" style="173" customWidth="1"/>
    <col min="8719" max="8719" width="13.140625" style="173" customWidth="1"/>
    <col min="8720" max="8720" width="7.140625" style="173" customWidth="1"/>
    <col min="8721" max="8721" width="14" style="173" customWidth="1"/>
    <col min="8722" max="8722" width="9.42578125" style="173" customWidth="1"/>
    <col min="8723" max="8723" width="9.140625" style="173" customWidth="1"/>
    <col min="8724" max="8724" width="8.5703125" style="173" customWidth="1"/>
    <col min="8725" max="8725" width="14.42578125" style="173" customWidth="1"/>
    <col min="8726" max="8726" width="11.42578125" style="173" customWidth="1"/>
    <col min="8727" max="8727" width="13.5703125" style="173" customWidth="1"/>
    <col min="8728" max="8728" width="16.42578125" style="173" customWidth="1"/>
    <col min="8729" max="8729" width="17.5703125" style="173" customWidth="1"/>
    <col min="8730" max="8730" width="7.42578125" style="173" customWidth="1"/>
    <col min="8731" max="8731" width="9.85546875" style="173" customWidth="1"/>
    <col min="8732" max="8736" width="17.42578125" style="173" customWidth="1"/>
    <col min="8737" max="8737" width="17.5703125" style="173" customWidth="1"/>
    <col min="8738" max="8738" width="17" style="173" customWidth="1"/>
    <col min="8739" max="8739" width="6.85546875" style="173"/>
    <col min="8740" max="8741" width="24.42578125" style="173" customWidth="1"/>
    <col min="8742" max="8742" width="22.140625" style="173" customWidth="1"/>
    <col min="8743" max="8743" width="14.5703125" style="173" customWidth="1"/>
    <col min="8744" max="8744" width="22.5703125" style="173" customWidth="1"/>
    <col min="8745" max="8959" width="6.85546875" style="173"/>
    <col min="8960" max="8960" width="10.85546875" style="173" customWidth="1"/>
    <col min="8961" max="8961" width="7.85546875" style="173" customWidth="1"/>
    <col min="8962" max="8962" width="11.5703125" style="173" customWidth="1"/>
    <col min="8963" max="8963" width="13.42578125" style="173" customWidth="1"/>
    <col min="8964" max="8964" width="14" style="173" customWidth="1"/>
    <col min="8965" max="8965" width="49.42578125" style="173" customWidth="1"/>
    <col min="8966" max="8966" width="15.42578125" style="173" customWidth="1"/>
    <col min="8967" max="8967" width="15.140625" style="173" customWidth="1"/>
    <col min="8968" max="8968" width="24.5703125" style="173" customWidth="1"/>
    <col min="8969" max="8969" width="7.5703125" style="173" customWidth="1"/>
    <col min="8970" max="8970" width="15.42578125" style="173" customWidth="1"/>
    <col min="8971" max="8971" width="9.42578125" style="173" customWidth="1"/>
    <col min="8972" max="8972" width="6.42578125" style="173" customWidth="1"/>
    <col min="8973" max="8973" width="10" style="173" customWidth="1"/>
    <col min="8974" max="8974" width="8.42578125" style="173" customWidth="1"/>
    <col min="8975" max="8975" width="13.140625" style="173" customWidth="1"/>
    <col min="8976" max="8976" width="7.140625" style="173" customWidth="1"/>
    <col min="8977" max="8977" width="14" style="173" customWidth="1"/>
    <col min="8978" max="8978" width="9.42578125" style="173" customWidth="1"/>
    <col min="8979" max="8979" width="9.140625" style="173" customWidth="1"/>
    <col min="8980" max="8980" width="8.5703125" style="173" customWidth="1"/>
    <col min="8981" max="8981" width="14.42578125" style="173" customWidth="1"/>
    <col min="8982" max="8982" width="11.42578125" style="173" customWidth="1"/>
    <col min="8983" max="8983" width="13.5703125" style="173" customWidth="1"/>
    <col min="8984" max="8984" width="16.42578125" style="173" customWidth="1"/>
    <col min="8985" max="8985" width="17.5703125" style="173" customWidth="1"/>
    <col min="8986" max="8986" width="7.42578125" style="173" customWidth="1"/>
    <col min="8987" max="8987" width="9.85546875" style="173" customWidth="1"/>
    <col min="8988" max="8992" width="17.42578125" style="173" customWidth="1"/>
    <col min="8993" max="8993" width="17.5703125" style="173" customWidth="1"/>
    <col min="8994" max="8994" width="17" style="173" customWidth="1"/>
    <col min="8995" max="8995" width="6.85546875" style="173"/>
    <col min="8996" max="8997" width="24.42578125" style="173" customWidth="1"/>
    <col min="8998" max="8998" width="22.140625" style="173" customWidth="1"/>
    <col min="8999" max="8999" width="14.5703125" style="173" customWidth="1"/>
    <col min="9000" max="9000" width="22.5703125" style="173" customWidth="1"/>
    <col min="9001" max="9215" width="6.85546875" style="173"/>
    <col min="9216" max="9216" width="10.85546875" style="173" customWidth="1"/>
    <col min="9217" max="9217" width="7.85546875" style="173" customWidth="1"/>
    <col min="9218" max="9218" width="11.5703125" style="173" customWidth="1"/>
    <col min="9219" max="9219" width="13.42578125" style="173" customWidth="1"/>
    <col min="9220" max="9220" width="14" style="173" customWidth="1"/>
    <col min="9221" max="9221" width="49.42578125" style="173" customWidth="1"/>
    <col min="9222" max="9222" width="15.42578125" style="173" customWidth="1"/>
    <col min="9223" max="9223" width="15.140625" style="173" customWidth="1"/>
    <col min="9224" max="9224" width="24.5703125" style="173" customWidth="1"/>
    <col min="9225" max="9225" width="7.5703125" style="173" customWidth="1"/>
    <col min="9226" max="9226" width="15.42578125" style="173" customWidth="1"/>
    <col min="9227" max="9227" width="9.42578125" style="173" customWidth="1"/>
    <col min="9228" max="9228" width="6.42578125" style="173" customWidth="1"/>
    <col min="9229" max="9229" width="10" style="173" customWidth="1"/>
    <col min="9230" max="9230" width="8.42578125" style="173" customWidth="1"/>
    <col min="9231" max="9231" width="13.140625" style="173" customWidth="1"/>
    <col min="9232" max="9232" width="7.140625" style="173" customWidth="1"/>
    <col min="9233" max="9233" width="14" style="173" customWidth="1"/>
    <col min="9234" max="9234" width="9.42578125" style="173" customWidth="1"/>
    <col min="9235" max="9235" width="9.140625" style="173" customWidth="1"/>
    <col min="9236" max="9236" width="8.5703125" style="173" customWidth="1"/>
    <col min="9237" max="9237" width="14.42578125" style="173" customWidth="1"/>
    <col min="9238" max="9238" width="11.42578125" style="173" customWidth="1"/>
    <col min="9239" max="9239" width="13.5703125" style="173" customWidth="1"/>
    <col min="9240" max="9240" width="16.42578125" style="173" customWidth="1"/>
    <col min="9241" max="9241" width="17.5703125" style="173" customWidth="1"/>
    <col min="9242" max="9242" width="7.42578125" style="173" customWidth="1"/>
    <col min="9243" max="9243" width="9.85546875" style="173" customWidth="1"/>
    <col min="9244" max="9248" width="17.42578125" style="173" customWidth="1"/>
    <col min="9249" max="9249" width="17.5703125" style="173" customWidth="1"/>
    <col min="9250" max="9250" width="17" style="173" customWidth="1"/>
    <col min="9251" max="9251" width="6.85546875" style="173"/>
    <col min="9252" max="9253" width="24.42578125" style="173" customWidth="1"/>
    <col min="9254" max="9254" width="22.140625" style="173" customWidth="1"/>
    <col min="9255" max="9255" width="14.5703125" style="173" customWidth="1"/>
    <col min="9256" max="9256" width="22.5703125" style="173" customWidth="1"/>
    <col min="9257" max="9471" width="6.85546875" style="173"/>
    <col min="9472" max="9472" width="10.85546875" style="173" customWidth="1"/>
    <col min="9473" max="9473" width="7.85546875" style="173" customWidth="1"/>
    <col min="9474" max="9474" width="11.5703125" style="173" customWidth="1"/>
    <col min="9475" max="9475" width="13.42578125" style="173" customWidth="1"/>
    <col min="9476" max="9476" width="14" style="173" customWidth="1"/>
    <col min="9477" max="9477" width="49.42578125" style="173" customWidth="1"/>
    <col min="9478" max="9478" width="15.42578125" style="173" customWidth="1"/>
    <col min="9479" max="9479" width="15.140625" style="173" customWidth="1"/>
    <col min="9480" max="9480" width="24.5703125" style="173" customWidth="1"/>
    <col min="9481" max="9481" width="7.5703125" style="173" customWidth="1"/>
    <col min="9482" max="9482" width="15.42578125" style="173" customWidth="1"/>
    <col min="9483" max="9483" width="9.42578125" style="173" customWidth="1"/>
    <col min="9484" max="9484" width="6.42578125" style="173" customWidth="1"/>
    <col min="9485" max="9485" width="10" style="173" customWidth="1"/>
    <col min="9486" max="9486" width="8.42578125" style="173" customWidth="1"/>
    <col min="9487" max="9487" width="13.140625" style="173" customWidth="1"/>
    <col min="9488" max="9488" width="7.140625" style="173" customWidth="1"/>
    <col min="9489" max="9489" width="14" style="173" customWidth="1"/>
    <col min="9490" max="9490" width="9.42578125" style="173" customWidth="1"/>
    <col min="9491" max="9491" width="9.140625" style="173" customWidth="1"/>
    <col min="9492" max="9492" width="8.5703125" style="173" customWidth="1"/>
    <col min="9493" max="9493" width="14.42578125" style="173" customWidth="1"/>
    <col min="9494" max="9494" width="11.42578125" style="173" customWidth="1"/>
    <col min="9495" max="9495" width="13.5703125" style="173" customWidth="1"/>
    <col min="9496" max="9496" width="16.42578125" style="173" customWidth="1"/>
    <col min="9497" max="9497" width="17.5703125" style="173" customWidth="1"/>
    <col min="9498" max="9498" width="7.42578125" style="173" customWidth="1"/>
    <col min="9499" max="9499" width="9.85546875" style="173" customWidth="1"/>
    <col min="9500" max="9504" width="17.42578125" style="173" customWidth="1"/>
    <col min="9505" max="9505" width="17.5703125" style="173" customWidth="1"/>
    <col min="9506" max="9506" width="17" style="173" customWidth="1"/>
    <col min="9507" max="9507" width="6.85546875" style="173"/>
    <col min="9508" max="9509" width="24.42578125" style="173" customWidth="1"/>
    <col min="9510" max="9510" width="22.140625" style="173" customWidth="1"/>
    <col min="9511" max="9511" width="14.5703125" style="173" customWidth="1"/>
    <col min="9512" max="9512" width="22.5703125" style="173" customWidth="1"/>
    <col min="9513" max="9727" width="6.85546875" style="173"/>
    <col min="9728" max="9728" width="10.85546875" style="173" customWidth="1"/>
    <col min="9729" max="9729" width="7.85546875" style="173" customWidth="1"/>
    <col min="9730" max="9730" width="11.5703125" style="173" customWidth="1"/>
    <col min="9731" max="9731" width="13.42578125" style="173" customWidth="1"/>
    <col min="9732" max="9732" width="14" style="173" customWidth="1"/>
    <col min="9733" max="9733" width="49.42578125" style="173" customWidth="1"/>
    <col min="9734" max="9734" width="15.42578125" style="173" customWidth="1"/>
    <col min="9735" max="9735" width="15.140625" style="173" customWidth="1"/>
    <col min="9736" max="9736" width="24.5703125" style="173" customWidth="1"/>
    <col min="9737" max="9737" width="7.5703125" style="173" customWidth="1"/>
    <col min="9738" max="9738" width="15.42578125" style="173" customWidth="1"/>
    <col min="9739" max="9739" width="9.42578125" style="173" customWidth="1"/>
    <col min="9740" max="9740" width="6.42578125" style="173" customWidth="1"/>
    <col min="9741" max="9741" width="10" style="173" customWidth="1"/>
    <col min="9742" max="9742" width="8.42578125" style="173" customWidth="1"/>
    <col min="9743" max="9743" width="13.140625" style="173" customWidth="1"/>
    <col min="9744" max="9744" width="7.140625" style="173" customWidth="1"/>
    <col min="9745" max="9745" width="14" style="173" customWidth="1"/>
    <col min="9746" max="9746" width="9.42578125" style="173" customWidth="1"/>
    <col min="9747" max="9747" width="9.140625" style="173" customWidth="1"/>
    <col min="9748" max="9748" width="8.5703125" style="173" customWidth="1"/>
    <col min="9749" max="9749" width="14.42578125" style="173" customWidth="1"/>
    <col min="9750" max="9750" width="11.42578125" style="173" customWidth="1"/>
    <col min="9751" max="9751" width="13.5703125" style="173" customWidth="1"/>
    <col min="9752" max="9752" width="16.42578125" style="173" customWidth="1"/>
    <col min="9753" max="9753" width="17.5703125" style="173" customWidth="1"/>
    <col min="9754" max="9754" width="7.42578125" style="173" customWidth="1"/>
    <col min="9755" max="9755" width="9.85546875" style="173" customWidth="1"/>
    <col min="9756" max="9760" width="17.42578125" style="173" customWidth="1"/>
    <col min="9761" max="9761" width="17.5703125" style="173" customWidth="1"/>
    <col min="9762" max="9762" width="17" style="173" customWidth="1"/>
    <col min="9763" max="9763" width="6.85546875" style="173"/>
    <col min="9764" max="9765" width="24.42578125" style="173" customWidth="1"/>
    <col min="9766" max="9766" width="22.140625" style="173" customWidth="1"/>
    <col min="9767" max="9767" width="14.5703125" style="173" customWidth="1"/>
    <col min="9768" max="9768" width="22.5703125" style="173" customWidth="1"/>
    <col min="9769" max="9983" width="6.85546875" style="173"/>
    <col min="9984" max="9984" width="10.85546875" style="173" customWidth="1"/>
    <col min="9985" max="9985" width="7.85546875" style="173" customWidth="1"/>
    <col min="9986" max="9986" width="11.5703125" style="173" customWidth="1"/>
    <col min="9987" max="9987" width="13.42578125" style="173" customWidth="1"/>
    <col min="9988" max="9988" width="14" style="173" customWidth="1"/>
    <col min="9989" max="9989" width="49.42578125" style="173" customWidth="1"/>
    <col min="9990" max="9990" width="15.42578125" style="173" customWidth="1"/>
    <col min="9991" max="9991" width="15.140625" style="173" customWidth="1"/>
    <col min="9992" max="9992" width="24.5703125" style="173" customWidth="1"/>
    <col min="9993" max="9993" width="7.5703125" style="173" customWidth="1"/>
    <col min="9994" max="9994" width="15.42578125" style="173" customWidth="1"/>
    <col min="9995" max="9995" width="9.42578125" style="173" customWidth="1"/>
    <col min="9996" max="9996" width="6.42578125" style="173" customWidth="1"/>
    <col min="9997" max="9997" width="10" style="173" customWidth="1"/>
    <col min="9998" max="9998" width="8.42578125" style="173" customWidth="1"/>
    <col min="9999" max="9999" width="13.140625" style="173" customWidth="1"/>
    <col min="10000" max="10000" width="7.140625" style="173" customWidth="1"/>
    <col min="10001" max="10001" width="14" style="173" customWidth="1"/>
    <col min="10002" max="10002" width="9.42578125" style="173" customWidth="1"/>
    <col min="10003" max="10003" width="9.140625" style="173" customWidth="1"/>
    <col min="10004" max="10004" width="8.5703125" style="173" customWidth="1"/>
    <col min="10005" max="10005" width="14.42578125" style="173" customWidth="1"/>
    <col min="10006" max="10006" width="11.42578125" style="173" customWidth="1"/>
    <col min="10007" max="10007" width="13.5703125" style="173" customWidth="1"/>
    <col min="10008" max="10008" width="16.42578125" style="173" customWidth="1"/>
    <col min="10009" max="10009" width="17.5703125" style="173" customWidth="1"/>
    <col min="10010" max="10010" width="7.42578125" style="173" customWidth="1"/>
    <col min="10011" max="10011" width="9.85546875" style="173" customWidth="1"/>
    <col min="10012" max="10016" width="17.42578125" style="173" customWidth="1"/>
    <col min="10017" max="10017" width="17.5703125" style="173" customWidth="1"/>
    <col min="10018" max="10018" width="17" style="173" customWidth="1"/>
    <col min="10019" max="10019" width="6.85546875" style="173"/>
    <col min="10020" max="10021" width="24.42578125" style="173" customWidth="1"/>
    <col min="10022" max="10022" width="22.140625" style="173" customWidth="1"/>
    <col min="10023" max="10023" width="14.5703125" style="173" customWidth="1"/>
    <col min="10024" max="10024" width="22.5703125" style="173" customWidth="1"/>
    <col min="10025" max="10239" width="6.85546875" style="173"/>
    <col min="10240" max="10240" width="10.85546875" style="173" customWidth="1"/>
    <col min="10241" max="10241" width="7.85546875" style="173" customWidth="1"/>
    <col min="10242" max="10242" width="11.5703125" style="173" customWidth="1"/>
    <col min="10243" max="10243" width="13.42578125" style="173" customWidth="1"/>
    <col min="10244" max="10244" width="14" style="173" customWidth="1"/>
    <col min="10245" max="10245" width="49.42578125" style="173" customWidth="1"/>
    <col min="10246" max="10246" width="15.42578125" style="173" customWidth="1"/>
    <col min="10247" max="10247" width="15.140625" style="173" customWidth="1"/>
    <col min="10248" max="10248" width="24.5703125" style="173" customWidth="1"/>
    <col min="10249" max="10249" width="7.5703125" style="173" customWidth="1"/>
    <col min="10250" max="10250" width="15.42578125" style="173" customWidth="1"/>
    <col min="10251" max="10251" width="9.42578125" style="173" customWidth="1"/>
    <col min="10252" max="10252" width="6.42578125" style="173" customWidth="1"/>
    <col min="10253" max="10253" width="10" style="173" customWidth="1"/>
    <col min="10254" max="10254" width="8.42578125" style="173" customWidth="1"/>
    <col min="10255" max="10255" width="13.140625" style="173" customWidth="1"/>
    <col min="10256" max="10256" width="7.140625" style="173" customWidth="1"/>
    <col min="10257" max="10257" width="14" style="173" customWidth="1"/>
    <col min="10258" max="10258" width="9.42578125" style="173" customWidth="1"/>
    <col min="10259" max="10259" width="9.140625" style="173" customWidth="1"/>
    <col min="10260" max="10260" width="8.5703125" style="173" customWidth="1"/>
    <col min="10261" max="10261" width="14.42578125" style="173" customWidth="1"/>
    <col min="10262" max="10262" width="11.42578125" style="173" customWidth="1"/>
    <col min="10263" max="10263" width="13.5703125" style="173" customWidth="1"/>
    <col min="10264" max="10264" width="16.42578125" style="173" customWidth="1"/>
    <col min="10265" max="10265" width="17.5703125" style="173" customWidth="1"/>
    <col min="10266" max="10266" width="7.42578125" style="173" customWidth="1"/>
    <col min="10267" max="10267" width="9.85546875" style="173" customWidth="1"/>
    <col min="10268" max="10272" width="17.42578125" style="173" customWidth="1"/>
    <col min="10273" max="10273" width="17.5703125" style="173" customWidth="1"/>
    <col min="10274" max="10274" width="17" style="173" customWidth="1"/>
    <col min="10275" max="10275" width="6.85546875" style="173"/>
    <col min="10276" max="10277" width="24.42578125" style="173" customWidth="1"/>
    <col min="10278" max="10278" width="22.140625" style="173" customWidth="1"/>
    <col min="10279" max="10279" width="14.5703125" style="173" customWidth="1"/>
    <col min="10280" max="10280" width="22.5703125" style="173" customWidth="1"/>
    <col min="10281" max="10495" width="6.85546875" style="173"/>
    <col min="10496" max="10496" width="10.85546875" style="173" customWidth="1"/>
    <col min="10497" max="10497" width="7.85546875" style="173" customWidth="1"/>
    <col min="10498" max="10498" width="11.5703125" style="173" customWidth="1"/>
    <col min="10499" max="10499" width="13.42578125" style="173" customWidth="1"/>
    <col min="10500" max="10500" width="14" style="173" customWidth="1"/>
    <col min="10501" max="10501" width="49.42578125" style="173" customWidth="1"/>
    <col min="10502" max="10502" width="15.42578125" style="173" customWidth="1"/>
    <col min="10503" max="10503" width="15.140625" style="173" customWidth="1"/>
    <col min="10504" max="10504" width="24.5703125" style="173" customWidth="1"/>
    <col min="10505" max="10505" width="7.5703125" style="173" customWidth="1"/>
    <col min="10506" max="10506" width="15.42578125" style="173" customWidth="1"/>
    <col min="10507" max="10507" width="9.42578125" style="173" customWidth="1"/>
    <col min="10508" max="10508" width="6.42578125" style="173" customWidth="1"/>
    <col min="10509" max="10509" width="10" style="173" customWidth="1"/>
    <col min="10510" max="10510" width="8.42578125" style="173" customWidth="1"/>
    <col min="10511" max="10511" width="13.140625" style="173" customWidth="1"/>
    <col min="10512" max="10512" width="7.140625" style="173" customWidth="1"/>
    <col min="10513" max="10513" width="14" style="173" customWidth="1"/>
    <col min="10514" max="10514" width="9.42578125" style="173" customWidth="1"/>
    <col min="10515" max="10515" width="9.140625" style="173" customWidth="1"/>
    <col min="10516" max="10516" width="8.5703125" style="173" customWidth="1"/>
    <col min="10517" max="10517" width="14.42578125" style="173" customWidth="1"/>
    <col min="10518" max="10518" width="11.42578125" style="173" customWidth="1"/>
    <col min="10519" max="10519" width="13.5703125" style="173" customWidth="1"/>
    <col min="10520" max="10520" width="16.42578125" style="173" customWidth="1"/>
    <col min="10521" max="10521" width="17.5703125" style="173" customWidth="1"/>
    <col min="10522" max="10522" width="7.42578125" style="173" customWidth="1"/>
    <col min="10523" max="10523" width="9.85546875" style="173" customWidth="1"/>
    <col min="10524" max="10528" width="17.42578125" style="173" customWidth="1"/>
    <col min="10529" max="10529" width="17.5703125" style="173" customWidth="1"/>
    <col min="10530" max="10530" width="17" style="173" customWidth="1"/>
    <col min="10531" max="10531" width="6.85546875" style="173"/>
    <col min="10532" max="10533" width="24.42578125" style="173" customWidth="1"/>
    <col min="10534" max="10534" width="22.140625" style="173" customWidth="1"/>
    <col min="10535" max="10535" width="14.5703125" style="173" customWidth="1"/>
    <col min="10536" max="10536" width="22.5703125" style="173" customWidth="1"/>
    <col min="10537" max="10751" width="6.85546875" style="173"/>
    <col min="10752" max="10752" width="10.85546875" style="173" customWidth="1"/>
    <col min="10753" max="10753" width="7.85546875" style="173" customWidth="1"/>
    <col min="10754" max="10754" width="11.5703125" style="173" customWidth="1"/>
    <col min="10755" max="10755" width="13.42578125" style="173" customWidth="1"/>
    <col min="10756" max="10756" width="14" style="173" customWidth="1"/>
    <col min="10757" max="10757" width="49.42578125" style="173" customWidth="1"/>
    <col min="10758" max="10758" width="15.42578125" style="173" customWidth="1"/>
    <col min="10759" max="10759" width="15.140625" style="173" customWidth="1"/>
    <col min="10760" max="10760" width="24.5703125" style="173" customWidth="1"/>
    <col min="10761" max="10761" width="7.5703125" style="173" customWidth="1"/>
    <col min="10762" max="10762" width="15.42578125" style="173" customWidth="1"/>
    <col min="10763" max="10763" width="9.42578125" style="173" customWidth="1"/>
    <col min="10764" max="10764" width="6.42578125" style="173" customWidth="1"/>
    <col min="10765" max="10765" width="10" style="173" customWidth="1"/>
    <col min="10766" max="10766" width="8.42578125" style="173" customWidth="1"/>
    <col min="10767" max="10767" width="13.140625" style="173" customWidth="1"/>
    <col min="10768" max="10768" width="7.140625" style="173" customWidth="1"/>
    <col min="10769" max="10769" width="14" style="173" customWidth="1"/>
    <col min="10770" max="10770" width="9.42578125" style="173" customWidth="1"/>
    <col min="10771" max="10771" width="9.140625" style="173" customWidth="1"/>
    <col min="10772" max="10772" width="8.5703125" style="173" customWidth="1"/>
    <col min="10773" max="10773" width="14.42578125" style="173" customWidth="1"/>
    <col min="10774" max="10774" width="11.42578125" style="173" customWidth="1"/>
    <col min="10775" max="10775" width="13.5703125" style="173" customWidth="1"/>
    <col min="10776" max="10776" width="16.42578125" style="173" customWidth="1"/>
    <col min="10777" max="10777" width="17.5703125" style="173" customWidth="1"/>
    <col min="10778" max="10778" width="7.42578125" style="173" customWidth="1"/>
    <col min="10779" max="10779" width="9.85546875" style="173" customWidth="1"/>
    <col min="10780" max="10784" width="17.42578125" style="173" customWidth="1"/>
    <col min="10785" max="10785" width="17.5703125" style="173" customWidth="1"/>
    <col min="10786" max="10786" width="17" style="173" customWidth="1"/>
    <col min="10787" max="10787" width="6.85546875" style="173"/>
    <col min="10788" max="10789" width="24.42578125" style="173" customWidth="1"/>
    <col min="10790" max="10790" width="22.140625" style="173" customWidth="1"/>
    <col min="10791" max="10791" width="14.5703125" style="173" customWidth="1"/>
    <col min="10792" max="10792" width="22.5703125" style="173" customWidth="1"/>
    <col min="10793" max="11007" width="6.85546875" style="173"/>
    <col min="11008" max="11008" width="10.85546875" style="173" customWidth="1"/>
    <col min="11009" max="11009" width="7.85546875" style="173" customWidth="1"/>
    <col min="11010" max="11010" width="11.5703125" style="173" customWidth="1"/>
    <col min="11011" max="11011" width="13.42578125" style="173" customWidth="1"/>
    <col min="11012" max="11012" width="14" style="173" customWidth="1"/>
    <col min="11013" max="11013" width="49.42578125" style="173" customWidth="1"/>
    <col min="11014" max="11014" width="15.42578125" style="173" customWidth="1"/>
    <col min="11015" max="11015" width="15.140625" style="173" customWidth="1"/>
    <col min="11016" max="11016" width="24.5703125" style="173" customWidth="1"/>
    <col min="11017" max="11017" width="7.5703125" style="173" customWidth="1"/>
    <col min="11018" max="11018" width="15.42578125" style="173" customWidth="1"/>
    <col min="11019" max="11019" width="9.42578125" style="173" customWidth="1"/>
    <col min="11020" max="11020" width="6.42578125" style="173" customWidth="1"/>
    <col min="11021" max="11021" width="10" style="173" customWidth="1"/>
    <col min="11022" max="11022" width="8.42578125" style="173" customWidth="1"/>
    <col min="11023" max="11023" width="13.140625" style="173" customWidth="1"/>
    <col min="11024" max="11024" width="7.140625" style="173" customWidth="1"/>
    <col min="11025" max="11025" width="14" style="173" customWidth="1"/>
    <col min="11026" max="11026" width="9.42578125" style="173" customWidth="1"/>
    <col min="11027" max="11027" width="9.140625" style="173" customWidth="1"/>
    <col min="11028" max="11028" width="8.5703125" style="173" customWidth="1"/>
    <col min="11029" max="11029" width="14.42578125" style="173" customWidth="1"/>
    <col min="11030" max="11030" width="11.42578125" style="173" customWidth="1"/>
    <col min="11031" max="11031" width="13.5703125" style="173" customWidth="1"/>
    <col min="11032" max="11032" width="16.42578125" style="173" customWidth="1"/>
    <col min="11033" max="11033" width="17.5703125" style="173" customWidth="1"/>
    <col min="11034" max="11034" width="7.42578125" style="173" customWidth="1"/>
    <col min="11035" max="11035" width="9.85546875" style="173" customWidth="1"/>
    <col min="11036" max="11040" width="17.42578125" style="173" customWidth="1"/>
    <col min="11041" max="11041" width="17.5703125" style="173" customWidth="1"/>
    <col min="11042" max="11042" width="17" style="173" customWidth="1"/>
    <col min="11043" max="11043" width="6.85546875" style="173"/>
    <col min="11044" max="11045" width="24.42578125" style="173" customWidth="1"/>
    <col min="11046" max="11046" width="22.140625" style="173" customWidth="1"/>
    <col min="11047" max="11047" width="14.5703125" style="173" customWidth="1"/>
    <col min="11048" max="11048" width="22.5703125" style="173" customWidth="1"/>
    <col min="11049" max="11263" width="6.85546875" style="173"/>
    <col min="11264" max="11264" width="10.85546875" style="173" customWidth="1"/>
    <col min="11265" max="11265" width="7.85546875" style="173" customWidth="1"/>
    <col min="11266" max="11266" width="11.5703125" style="173" customWidth="1"/>
    <col min="11267" max="11267" width="13.42578125" style="173" customWidth="1"/>
    <col min="11268" max="11268" width="14" style="173" customWidth="1"/>
    <col min="11269" max="11269" width="49.42578125" style="173" customWidth="1"/>
    <col min="11270" max="11270" width="15.42578125" style="173" customWidth="1"/>
    <col min="11271" max="11271" width="15.140625" style="173" customWidth="1"/>
    <col min="11272" max="11272" width="24.5703125" style="173" customWidth="1"/>
    <col min="11273" max="11273" width="7.5703125" style="173" customWidth="1"/>
    <col min="11274" max="11274" width="15.42578125" style="173" customWidth="1"/>
    <col min="11275" max="11275" width="9.42578125" style="173" customWidth="1"/>
    <col min="11276" max="11276" width="6.42578125" style="173" customWidth="1"/>
    <col min="11277" max="11277" width="10" style="173" customWidth="1"/>
    <col min="11278" max="11278" width="8.42578125" style="173" customWidth="1"/>
    <col min="11279" max="11279" width="13.140625" style="173" customWidth="1"/>
    <col min="11280" max="11280" width="7.140625" style="173" customWidth="1"/>
    <col min="11281" max="11281" width="14" style="173" customWidth="1"/>
    <col min="11282" max="11282" width="9.42578125" style="173" customWidth="1"/>
    <col min="11283" max="11283" width="9.140625" style="173" customWidth="1"/>
    <col min="11284" max="11284" width="8.5703125" style="173" customWidth="1"/>
    <col min="11285" max="11285" width="14.42578125" style="173" customWidth="1"/>
    <col min="11286" max="11286" width="11.42578125" style="173" customWidth="1"/>
    <col min="11287" max="11287" width="13.5703125" style="173" customWidth="1"/>
    <col min="11288" max="11288" width="16.42578125" style="173" customWidth="1"/>
    <col min="11289" max="11289" width="17.5703125" style="173" customWidth="1"/>
    <col min="11290" max="11290" width="7.42578125" style="173" customWidth="1"/>
    <col min="11291" max="11291" width="9.85546875" style="173" customWidth="1"/>
    <col min="11292" max="11296" width="17.42578125" style="173" customWidth="1"/>
    <col min="11297" max="11297" width="17.5703125" style="173" customWidth="1"/>
    <col min="11298" max="11298" width="17" style="173" customWidth="1"/>
    <col min="11299" max="11299" width="6.85546875" style="173"/>
    <col min="11300" max="11301" width="24.42578125" style="173" customWidth="1"/>
    <col min="11302" max="11302" width="22.140625" style="173" customWidth="1"/>
    <col min="11303" max="11303" width="14.5703125" style="173" customWidth="1"/>
    <col min="11304" max="11304" width="22.5703125" style="173" customWidth="1"/>
    <col min="11305" max="11519" width="6.85546875" style="173"/>
    <col min="11520" max="11520" width="10.85546875" style="173" customWidth="1"/>
    <col min="11521" max="11521" width="7.85546875" style="173" customWidth="1"/>
    <col min="11522" max="11522" width="11.5703125" style="173" customWidth="1"/>
    <col min="11523" max="11523" width="13.42578125" style="173" customWidth="1"/>
    <col min="11524" max="11524" width="14" style="173" customWidth="1"/>
    <col min="11525" max="11525" width="49.42578125" style="173" customWidth="1"/>
    <col min="11526" max="11526" width="15.42578125" style="173" customWidth="1"/>
    <col min="11527" max="11527" width="15.140625" style="173" customWidth="1"/>
    <col min="11528" max="11528" width="24.5703125" style="173" customWidth="1"/>
    <col min="11529" max="11529" width="7.5703125" style="173" customWidth="1"/>
    <col min="11530" max="11530" width="15.42578125" style="173" customWidth="1"/>
    <col min="11531" max="11531" width="9.42578125" style="173" customWidth="1"/>
    <col min="11532" max="11532" width="6.42578125" style="173" customWidth="1"/>
    <col min="11533" max="11533" width="10" style="173" customWidth="1"/>
    <col min="11534" max="11534" width="8.42578125" style="173" customWidth="1"/>
    <col min="11535" max="11535" width="13.140625" style="173" customWidth="1"/>
    <col min="11536" max="11536" width="7.140625" style="173" customWidth="1"/>
    <col min="11537" max="11537" width="14" style="173" customWidth="1"/>
    <col min="11538" max="11538" width="9.42578125" style="173" customWidth="1"/>
    <col min="11539" max="11539" width="9.140625" style="173" customWidth="1"/>
    <col min="11540" max="11540" width="8.5703125" style="173" customWidth="1"/>
    <col min="11541" max="11541" width="14.42578125" style="173" customWidth="1"/>
    <col min="11542" max="11542" width="11.42578125" style="173" customWidth="1"/>
    <col min="11543" max="11543" width="13.5703125" style="173" customWidth="1"/>
    <col min="11544" max="11544" width="16.42578125" style="173" customWidth="1"/>
    <col min="11545" max="11545" width="17.5703125" style="173" customWidth="1"/>
    <col min="11546" max="11546" width="7.42578125" style="173" customWidth="1"/>
    <col min="11547" max="11547" width="9.85546875" style="173" customWidth="1"/>
    <col min="11548" max="11552" width="17.42578125" style="173" customWidth="1"/>
    <col min="11553" max="11553" width="17.5703125" style="173" customWidth="1"/>
    <col min="11554" max="11554" width="17" style="173" customWidth="1"/>
    <col min="11555" max="11555" width="6.85546875" style="173"/>
    <col min="11556" max="11557" width="24.42578125" style="173" customWidth="1"/>
    <col min="11558" max="11558" width="22.140625" style="173" customWidth="1"/>
    <col min="11559" max="11559" width="14.5703125" style="173" customWidth="1"/>
    <col min="11560" max="11560" width="22.5703125" style="173" customWidth="1"/>
    <col min="11561" max="11775" width="6.85546875" style="173"/>
    <col min="11776" max="11776" width="10.85546875" style="173" customWidth="1"/>
    <col min="11777" max="11777" width="7.85546875" style="173" customWidth="1"/>
    <col min="11778" max="11778" width="11.5703125" style="173" customWidth="1"/>
    <col min="11779" max="11779" width="13.42578125" style="173" customWidth="1"/>
    <col min="11780" max="11780" width="14" style="173" customWidth="1"/>
    <col min="11781" max="11781" width="49.42578125" style="173" customWidth="1"/>
    <col min="11782" max="11782" width="15.42578125" style="173" customWidth="1"/>
    <col min="11783" max="11783" width="15.140625" style="173" customWidth="1"/>
    <col min="11784" max="11784" width="24.5703125" style="173" customWidth="1"/>
    <col min="11785" max="11785" width="7.5703125" style="173" customWidth="1"/>
    <col min="11786" max="11786" width="15.42578125" style="173" customWidth="1"/>
    <col min="11787" max="11787" width="9.42578125" style="173" customWidth="1"/>
    <col min="11788" max="11788" width="6.42578125" style="173" customWidth="1"/>
    <col min="11789" max="11789" width="10" style="173" customWidth="1"/>
    <col min="11790" max="11790" width="8.42578125" style="173" customWidth="1"/>
    <col min="11791" max="11791" width="13.140625" style="173" customWidth="1"/>
    <col min="11792" max="11792" width="7.140625" style="173" customWidth="1"/>
    <col min="11793" max="11793" width="14" style="173" customWidth="1"/>
    <col min="11794" max="11794" width="9.42578125" style="173" customWidth="1"/>
    <col min="11795" max="11795" width="9.140625" style="173" customWidth="1"/>
    <col min="11796" max="11796" width="8.5703125" style="173" customWidth="1"/>
    <col min="11797" max="11797" width="14.42578125" style="173" customWidth="1"/>
    <col min="11798" max="11798" width="11.42578125" style="173" customWidth="1"/>
    <col min="11799" max="11799" width="13.5703125" style="173" customWidth="1"/>
    <col min="11800" max="11800" width="16.42578125" style="173" customWidth="1"/>
    <col min="11801" max="11801" width="17.5703125" style="173" customWidth="1"/>
    <col min="11802" max="11802" width="7.42578125" style="173" customWidth="1"/>
    <col min="11803" max="11803" width="9.85546875" style="173" customWidth="1"/>
    <col min="11804" max="11808" width="17.42578125" style="173" customWidth="1"/>
    <col min="11809" max="11809" width="17.5703125" style="173" customWidth="1"/>
    <col min="11810" max="11810" width="17" style="173" customWidth="1"/>
    <col min="11811" max="11811" width="6.85546875" style="173"/>
    <col min="11812" max="11813" width="24.42578125" style="173" customWidth="1"/>
    <col min="11814" max="11814" width="22.140625" style="173" customWidth="1"/>
    <col min="11815" max="11815" width="14.5703125" style="173" customWidth="1"/>
    <col min="11816" max="11816" width="22.5703125" style="173" customWidth="1"/>
    <col min="11817" max="12031" width="6.85546875" style="173"/>
    <col min="12032" max="12032" width="10.85546875" style="173" customWidth="1"/>
    <col min="12033" max="12033" width="7.85546875" style="173" customWidth="1"/>
    <col min="12034" max="12034" width="11.5703125" style="173" customWidth="1"/>
    <col min="12035" max="12035" width="13.42578125" style="173" customWidth="1"/>
    <col min="12036" max="12036" width="14" style="173" customWidth="1"/>
    <col min="12037" max="12037" width="49.42578125" style="173" customWidth="1"/>
    <col min="12038" max="12038" width="15.42578125" style="173" customWidth="1"/>
    <col min="12039" max="12039" width="15.140625" style="173" customWidth="1"/>
    <col min="12040" max="12040" width="24.5703125" style="173" customWidth="1"/>
    <col min="12041" max="12041" width="7.5703125" style="173" customWidth="1"/>
    <col min="12042" max="12042" width="15.42578125" style="173" customWidth="1"/>
    <col min="12043" max="12043" width="9.42578125" style="173" customWidth="1"/>
    <col min="12044" max="12044" width="6.42578125" style="173" customWidth="1"/>
    <col min="12045" max="12045" width="10" style="173" customWidth="1"/>
    <col min="12046" max="12046" width="8.42578125" style="173" customWidth="1"/>
    <col min="12047" max="12047" width="13.140625" style="173" customWidth="1"/>
    <col min="12048" max="12048" width="7.140625" style="173" customWidth="1"/>
    <col min="12049" max="12049" width="14" style="173" customWidth="1"/>
    <col min="12050" max="12050" width="9.42578125" style="173" customWidth="1"/>
    <col min="12051" max="12051" width="9.140625" style="173" customWidth="1"/>
    <col min="12052" max="12052" width="8.5703125" style="173" customWidth="1"/>
    <col min="12053" max="12053" width="14.42578125" style="173" customWidth="1"/>
    <col min="12054" max="12054" width="11.42578125" style="173" customWidth="1"/>
    <col min="12055" max="12055" width="13.5703125" style="173" customWidth="1"/>
    <col min="12056" max="12056" width="16.42578125" style="173" customWidth="1"/>
    <col min="12057" max="12057" width="17.5703125" style="173" customWidth="1"/>
    <col min="12058" max="12058" width="7.42578125" style="173" customWidth="1"/>
    <col min="12059" max="12059" width="9.85546875" style="173" customWidth="1"/>
    <col min="12060" max="12064" width="17.42578125" style="173" customWidth="1"/>
    <col min="12065" max="12065" width="17.5703125" style="173" customWidth="1"/>
    <col min="12066" max="12066" width="17" style="173" customWidth="1"/>
    <col min="12067" max="12067" width="6.85546875" style="173"/>
    <col min="12068" max="12069" width="24.42578125" style="173" customWidth="1"/>
    <col min="12070" max="12070" width="22.140625" style="173" customWidth="1"/>
    <col min="12071" max="12071" width="14.5703125" style="173" customWidth="1"/>
    <col min="12072" max="12072" width="22.5703125" style="173" customWidth="1"/>
    <col min="12073" max="12287" width="6.85546875" style="173"/>
    <col min="12288" max="12288" width="10.85546875" style="173" customWidth="1"/>
    <col min="12289" max="12289" width="7.85546875" style="173" customWidth="1"/>
    <col min="12290" max="12290" width="11.5703125" style="173" customWidth="1"/>
    <col min="12291" max="12291" width="13.42578125" style="173" customWidth="1"/>
    <col min="12292" max="12292" width="14" style="173" customWidth="1"/>
    <col min="12293" max="12293" width="49.42578125" style="173" customWidth="1"/>
    <col min="12294" max="12294" width="15.42578125" style="173" customWidth="1"/>
    <col min="12295" max="12295" width="15.140625" style="173" customWidth="1"/>
    <col min="12296" max="12296" width="24.5703125" style="173" customWidth="1"/>
    <col min="12297" max="12297" width="7.5703125" style="173" customWidth="1"/>
    <col min="12298" max="12298" width="15.42578125" style="173" customWidth="1"/>
    <col min="12299" max="12299" width="9.42578125" style="173" customWidth="1"/>
    <col min="12300" max="12300" width="6.42578125" style="173" customWidth="1"/>
    <col min="12301" max="12301" width="10" style="173" customWidth="1"/>
    <col min="12302" max="12302" width="8.42578125" style="173" customWidth="1"/>
    <col min="12303" max="12303" width="13.140625" style="173" customWidth="1"/>
    <col min="12304" max="12304" width="7.140625" style="173" customWidth="1"/>
    <col min="12305" max="12305" width="14" style="173" customWidth="1"/>
    <col min="12306" max="12306" width="9.42578125" style="173" customWidth="1"/>
    <col min="12307" max="12307" width="9.140625" style="173" customWidth="1"/>
    <col min="12308" max="12308" width="8.5703125" style="173" customWidth="1"/>
    <col min="12309" max="12309" width="14.42578125" style="173" customWidth="1"/>
    <col min="12310" max="12310" width="11.42578125" style="173" customWidth="1"/>
    <col min="12311" max="12311" width="13.5703125" style="173" customWidth="1"/>
    <col min="12312" max="12312" width="16.42578125" style="173" customWidth="1"/>
    <col min="12313" max="12313" width="17.5703125" style="173" customWidth="1"/>
    <col min="12314" max="12314" width="7.42578125" style="173" customWidth="1"/>
    <col min="12315" max="12315" width="9.85546875" style="173" customWidth="1"/>
    <col min="12316" max="12320" width="17.42578125" style="173" customWidth="1"/>
    <col min="12321" max="12321" width="17.5703125" style="173" customWidth="1"/>
    <col min="12322" max="12322" width="17" style="173" customWidth="1"/>
    <col min="12323" max="12323" width="6.85546875" style="173"/>
    <col min="12324" max="12325" width="24.42578125" style="173" customWidth="1"/>
    <col min="12326" max="12326" width="22.140625" style="173" customWidth="1"/>
    <col min="12327" max="12327" width="14.5703125" style="173" customWidth="1"/>
    <col min="12328" max="12328" width="22.5703125" style="173" customWidth="1"/>
    <col min="12329" max="12543" width="6.85546875" style="173"/>
    <col min="12544" max="12544" width="10.85546875" style="173" customWidth="1"/>
    <col min="12545" max="12545" width="7.85546875" style="173" customWidth="1"/>
    <col min="12546" max="12546" width="11.5703125" style="173" customWidth="1"/>
    <col min="12547" max="12547" width="13.42578125" style="173" customWidth="1"/>
    <col min="12548" max="12548" width="14" style="173" customWidth="1"/>
    <col min="12549" max="12549" width="49.42578125" style="173" customWidth="1"/>
    <col min="12550" max="12550" width="15.42578125" style="173" customWidth="1"/>
    <col min="12551" max="12551" width="15.140625" style="173" customWidth="1"/>
    <col min="12552" max="12552" width="24.5703125" style="173" customWidth="1"/>
    <col min="12553" max="12553" width="7.5703125" style="173" customWidth="1"/>
    <col min="12554" max="12554" width="15.42578125" style="173" customWidth="1"/>
    <col min="12555" max="12555" width="9.42578125" style="173" customWidth="1"/>
    <col min="12556" max="12556" width="6.42578125" style="173" customWidth="1"/>
    <col min="12557" max="12557" width="10" style="173" customWidth="1"/>
    <col min="12558" max="12558" width="8.42578125" style="173" customWidth="1"/>
    <col min="12559" max="12559" width="13.140625" style="173" customWidth="1"/>
    <col min="12560" max="12560" width="7.140625" style="173" customWidth="1"/>
    <col min="12561" max="12561" width="14" style="173" customWidth="1"/>
    <col min="12562" max="12562" width="9.42578125" style="173" customWidth="1"/>
    <col min="12563" max="12563" width="9.140625" style="173" customWidth="1"/>
    <col min="12564" max="12564" width="8.5703125" style="173" customWidth="1"/>
    <col min="12565" max="12565" width="14.42578125" style="173" customWidth="1"/>
    <col min="12566" max="12566" width="11.42578125" style="173" customWidth="1"/>
    <col min="12567" max="12567" width="13.5703125" style="173" customWidth="1"/>
    <col min="12568" max="12568" width="16.42578125" style="173" customWidth="1"/>
    <col min="12569" max="12569" width="17.5703125" style="173" customWidth="1"/>
    <col min="12570" max="12570" width="7.42578125" style="173" customWidth="1"/>
    <col min="12571" max="12571" width="9.85546875" style="173" customWidth="1"/>
    <col min="12572" max="12576" width="17.42578125" style="173" customWidth="1"/>
    <col min="12577" max="12577" width="17.5703125" style="173" customWidth="1"/>
    <col min="12578" max="12578" width="17" style="173" customWidth="1"/>
    <col min="12579" max="12579" width="6.85546875" style="173"/>
    <col min="12580" max="12581" width="24.42578125" style="173" customWidth="1"/>
    <col min="12582" max="12582" width="22.140625" style="173" customWidth="1"/>
    <col min="12583" max="12583" width="14.5703125" style="173" customWidth="1"/>
    <col min="12584" max="12584" width="22.5703125" style="173" customWidth="1"/>
    <col min="12585" max="12799" width="6.85546875" style="173"/>
    <col min="12800" max="12800" width="10.85546875" style="173" customWidth="1"/>
    <col min="12801" max="12801" width="7.85546875" style="173" customWidth="1"/>
    <col min="12802" max="12802" width="11.5703125" style="173" customWidth="1"/>
    <col min="12803" max="12803" width="13.42578125" style="173" customWidth="1"/>
    <col min="12804" max="12804" width="14" style="173" customWidth="1"/>
    <col min="12805" max="12805" width="49.42578125" style="173" customWidth="1"/>
    <col min="12806" max="12806" width="15.42578125" style="173" customWidth="1"/>
    <col min="12807" max="12807" width="15.140625" style="173" customWidth="1"/>
    <col min="12808" max="12808" width="24.5703125" style="173" customWidth="1"/>
    <col min="12809" max="12809" width="7.5703125" style="173" customWidth="1"/>
    <col min="12810" max="12810" width="15.42578125" style="173" customWidth="1"/>
    <col min="12811" max="12811" width="9.42578125" style="173" customWidth="1"/>
    <col min="12812" max="12812" width="6.42578125" style="173" customWidth="1"/>
    <col min="12813" max="12813" width="10" style="173" customWidth="1"/>
    <col min="12814" max="12814" width="8.42578125" style="173" customWidth="1"/>
    <col min="12815" max="12815" width="13.140625" style="173" customWidth="1"/>
    <col min="12816" max="12816" width="7.140625" style="173" customWidth="1"/>
    <col min="12817" max="12817" width="14" style="173" customWidth="1"/>
    <col min="12818" max="12818" width="9.42578125" style="173" customWidth="1"/>
    <col min="12819" max="12819" width="9.140625" style="173" customWidth="1"/>
    <col min="12820" max="12820" width="8.5703125" style="173" customWidth="1"/>
    <col min="12821" max="12821" width="14.42578125" style="173" customWidth="1"/>
    <col min="12822" max="12822" width="11.42578125" style="173" customWidth="1"/>
    <col min="12823" max="12823" width="13.5703125" style="173" customWidth="1"/>
    <col min="12824" max="12824" width="16.42578125" style="173" customWidth="1"/>
    <col min="12825" max="12825" width="17.5703125" style="173" customWidth="1"/>
    <col min="12826" max="12826" width="7.42578125" style="173" customWidth="1"/>
    <col min="12827" max="12827" width="9.85546875" style="173" customWidth="1"/>
    <col min="12828" max="12832" width="17.42578125" style="173" customWidth="1"/>
    <col min="12833" max="12833" width="17.5703125" style="173" customWidth="1"/>
    <col min="12834" max="12834" width="17" style="173" customWidth="1"/>
    <col min="12835" max="12835" width="6.85546875" style="173"/>
    <col min="12836" max="12837" width="24.42578125" style="173" customWidth="1"/>
    <col min="12838" max="12838" width="22.140625" style="173" customWidth="1"/>
    <col min="12839" max="12839" width="14.5703125" style="173" customWidth="1"/>
    <col min="12840" max="12840" width="22.5703125" style="173" customWidth="1"/>
    <col min="12841" max="13055" width="6.85546875" style="173"/>
    <col min="13056" max="13056" width="10.85546875" style="173" customWidth="1"/>
    <col min="13057" max="13057" width="7.85546875" style="173" customWidth="1"/>
    <col min="13058" max="13058" width="11.5703125" style="173" customWidth="1"/>
    <col min="13059" max="13059" width="13.42578125" style="173" customWidth="1"/>
    <col min="13060" max="13060" width="14" style="173" customWidth="1"/>
    <col min="13061" max="13061" width="49.42578125" style="173" customWidth="1"/>
    <col min="13062" max="13062" width="15.42578125" style="173" customWidth="1"/>
    <col min="13063" max="13063" width="15.140625" style="173" customWidth="1"/>
    <col min="13064" max="13064" width="24.5703125" style="173" customWidth="1"/>
    <col min="13065" max="13065" width="7.5703125" style="173" customWidth="1"/>
    <col min="13066" max="13066" width="15.42578125" style="173" customWidth="1"/>
    <col min="13067" max="13067" width="9.42578125" style="173" customWidth="1"/>
    <col min="13068" max="13068" width="6.42578125" style="173" customWidth="1"/>
    <col min="13069" max="13069" width="10" style="173" customWidth="1"/>
    <col min="13070" max="13070" width="8.42578125" style="173" customWidth="1"/>
    <col min="13071" max="13071" width="13.140625" style="173" customWidth="1"/>
    <col min="13072" max="13072" width="7.140625" style="173" customWidth="1"/>
    <col min="13073" max="13073" width="14" style="173" customWidth="1"/>
    <col min="13074" max="13074" width="9.42578125" style="173" customWidth="1"/>
    <col min="13075" max="13075" width="9.140625" style="173" customWidth="1"/>
    <col min="13076" max="13076" width="8.5703125" style="173" customWidth="1"/>
    <col min="13077" max="13077" width="14.42578125" style="173" customWidth="1"/>
    <col min="13078" max="13078" width="11.42578125" style="173" customWidth="1"/>
    <col min="13079" max="13079" width="13.5703125" style="173" customWidth="1"/>
    <col min="13080" max="13080" width="16.42578125" style="173" customWidth="1"/>
    <col min="13081" max="13081" width="17.5703125" style="173" customWidth="1"/>
    <col min="13082" max="13082" width="7.42578125" style="173" customWidth="1"/>
    <col min="13083" max="13083" width="9.85546875" style="173" customWidth="1"/>
    <col min="13084" max="13088" width="17.42578125" style="173" customWidth="1"/>
    <col min="13089" max="13089" width="17.5703125" style="173" customWidth="1"/>
    <col min="13090" max="13090" width="17" style="173" customWidth="1"/>
    <col min="13091" max="13091" width="6.85546875" style="173"/>
    <col min="13092" max="13093" width="24.42578125" style="173" customWidth="1"/>
    <col min="13094" max="13094" width="22.140625" style="173" customWidth="1"/>
    <col min="13095" max="13095" width="14.5703125" style="173" customWidth="1"/>
    <col min="13096" max="13096" width="22.5703125" style="173" customWidth="1"/>
    <col min="13097" max="13311" width="6.85546875" style="173"/>
    <col min="13312" max="13312" width="10.85546875" style="173" customWidth="1"/>
    <col min="13313" max="13313" width="7.85546875" style="173" customWidth="1"/>
    <col min="13314" max="13314" width="11.5703125" style="173" customWidth="1"/>
    <col min="13315" max="13315" width="13.42578125" style="173" customWidth="1"/>
    <col min="13316" max="13316" width="14" style="173" customWidth="1"/>
    <col min="13317" max="13317" width="49.42578125" style="173" customWidth="1"/>
    <col min="13318" max="13318" width="15.42578125" style="173" customWidth="1"/>
    <col min="13319" max="13319" width="15.140625" style="173" customWidth="1"/>
    <col min="13320" max="13320" width="24.5703125" style="173" customWidth="1"/>
    <col min="13321" max="13321" width="7.5703125" style="173" customWidth="1"/>
    <col min="13322" max="13322" width="15.42578125" style="173" customWidth="1"/>
    <col min="13323" max="13323" width="9.42578125" style="173" customWidth="1"/>
    <col min="13324" max="13324" width="6.42578125" style="173" customWidth="1"/>
    <col min="13325" max="13325" width="10" style="173" customWidth="1"/>
    <col min="13326" max="13326" width="8.42578125" style="173" customWidth="1"/>
    <col min="13327" max="13327" width="13.140625" style="173" customWidth="1"/>
    <col min="13328" max="13328" width="7.140625" style="173" customWidth="1"/>
    <col min="13329" max="13329" width="14" style="173" customWidth="1"/>
    <col min="13330" max="13330" width="9.42578125" style="173" customWidth="1"/>
    <col min="13331" max="13331" width="9.140625" style="173" customWidth="1"/>
    <col min="13332" max="13332" width="8.5703125" style="173" customWidth="1"/>
    <col min="13333" max="13333" width="14.42578125" style="173" customWidth="1"/>
    <col min="13334" max="13334" width="11.42578125" style="173" customWidth="1"/>
    <col min="13335" max="13335" width="13.5703125" style="173" customWidth="1"/>
    <col min="13336" max="13336" width="16.42578125" style="173" customWidth="1"/>
    <col min="13337" max="13337" width="17.5703125" style="173" customWidth="1"/>
    <col min="13338" max="13338" width="7.42578125" style="173" customWidth="1"/>
    <col min="13339" max="13339" width="9.85546875" style="173" customWidth="1"/>
    <col min="13340" max="13344" width="17.42578125" style="173" customWidth="1"/>
    <col min="13345" max="13345" width="17.5703125" style="173" customWidth="1"/>
    <col min="13346" max="13346" width="17" style="173" customWidth="1"/>
    <col min="13347" max="13347" width="6.85546875" style="173"/>
    <col min="13348" max="13349" width="24.42578125" style="173" customWidth="1"/>
    <col min="13350" max="13350" width="22.140625" style="173" customWidth="1"/>
    <col min="13351" max="13351" width="14.5703125" style="173" customWidth="1"/>
    <col min="13352" max="13352" width="22.5703125" style="173" customWidth="1"/>
    <col min="13353" max="13567" width="6.85546875" style="173"/>
    <col min="13568" max="13568" width="10.85546875" style="173" customWidth="1"/>
    <col min="13569" max="13569" width="7.85546875" style="173" customWidth="1"/>
    <col min="13570" max="13570" width="11.5703125" style="173" customWidth="1"/>
    <col min="13571" max="13571" width="13.42578125" style="173" customWidth="1"/>
    <col min="13572" max="13572" width="14" style="173" customWidth="1"/>
    <col min="13573" max="13573" width="49.42578125" style="173" customWidth="1"/>
    <col min="13574" max="13574" width="15.42578125" style="173" customWidth="1"/>
    <col min="13575" max="13575" width="15.140625" style="173" customWidth="1"/>
    <col min="13576" max="13576" width="24.5703125" style="173" customWidth="1"/>
    <col min="13577" max="13577" width="7.5703125" style="173" customWidth="1"/>
    <col min="13578" max="13578" width="15.42578125" style="173" customWidth="1"/>
    <col min="13579" max="13579" width="9.42578125" style="173" customWidth="1"/>
    <col min="13580" max="13580" width="6.42578125" style="173" customWidth="1"/>
    <col min="13581" max="13581" width="10" style="173" customWidth="1"/>
    <col min="13582" max="13582" width="8.42578125" style="173" customWidth="1"/>
    <col min="13583" max="13583" width="13.140625" style="173" customWidth="1"/>
    <col min="13584" max="13584" width="7.140625" style="173" customWidth="1"/>
    <col min="13585" max="13585" width="14" style="173" customWidth="1"/>
    <col min="13586" max="13586" width="9.42578125" style="173" customWidth="1"/>
    <col min="13587" max="13587" width="9.140625" style="173" customWidth="1"/>
    <col min="13588" max="13588" width="8.5703125" style="173" customWidth="1"/>
    <col min="13589" max="13589" width="14.42578125" style="173" customWidth="1"/>
    <col min="13590" max="13590" width="11.42578125" style="173" customWidth="1"/>
    <col min="13591" max="13591" width="13.5703125" style="173" customWidth="1"/>
    <col min="13592" max="13592" width="16.42578125" style="173" customWidth="1"/>
    <col min="13593" max="13593" width="17.5703125" style="173" customWidth="1"/>
    <col min="13594" max="13594" width="7.42578125" style="173" customWidth="1"/>
    <col min="13595" max="13595" width="9.85546875" style="173" customWidth="1"/>
    <col min="13596" max="13600" width="17.42578125" style="173" customWidth="1"/>
    <col min="13601" max="13601" width="17.5703125" style="173" customWidth="1"/>
    <col min="13602" max="13602" width="17" style="173" customWidth="1"/>
    <col min="13603" max="13603" width="6.85546875" style="173"/>
    <col min="13604" max="13605" width="24.42578125" style="173" customWidth="1"/>
    <col min="13606" max="13606" width="22.140625" style="173" customWidth="1"/>
    <col min="13607" max="13607" width="14.5703125" style="173" customWidth="1"/>
    <col min="13608" max="13608" width="22.5703125" style="173" customWidth="1"/>
    <col min="13609" max="13823" width="6.85546875" style="173"/>
    <col min="13824" max="13824" width="10.85546875" style="173" customWidth="1"/>
    <col min="13825" max="13825" width="7.85546875" style="173" customWidth="1"/>
    <col min="13826" max="13826" width="11.5703125" style="173" customWidth="1"/>
    <col min="13827" max="13827" width="13.42578125" style="173" customWidth="1"/>
    <col min="13828" max="13828" width="14" style="173" customWidth="1"/>
    <col min="13829" max="13829" width="49.42578125" style="173" customWidth="1"/>
    <col min="13830" max="13830" width="15.42578125" style="173" customWidth="1"/>
    <col min="13831" max="13831" width="15.140625" style="173" customWidth="1"/>
    <col min="13832" max="13832" width="24.5703125" style="173" customWidth="1"/>
    <col min="13833" max="13833" width="7.5703125" style="173" customWidth="1"/>
    <col min="13834" max="13834" width="15.42578125" style="173" customWidth="1"/>
    <col min="13835" max="13835" width="9.42578125" style="173" customWidth="1"/>
    <col min="13836" max="13836" width="6.42578125" style="173" customWidth="1"/>
    <col min="13837" max="13837" width="10" style="173" customWidth="1"/>
    <col min="13838" max="13838" width="8.42578125" style="173" customWidth="1"/>
    <col min="13839" max="13839" width="13.140625" style="173" customWidth="1"/>
    <col min="13840" max="13840" width="7.140625" style="173" customWidth="1"/>
    <col min="13841" max="13841" width="14" style="173" customWidth="1"/>
    <col min="13842" max="13842" width="9.42578125" style="173" customWidth="1"/>
    <col min="13843" max="13843" width="9.140625" style="173" customWidth="1"/>
    <col min="13844" max="13844" width="8.5703125" style="173" customWidth="1"/>
    <col min="13845" max="13845" width="14.42578125" style="173" customWidth="1"/>
    <col min="13846" max="13846" width="11.42578125" style="173" customWidth="1"/>
    <col min="13847" max="13847" width="13.5703125" style="173" customWidth="1"/>
    <col min="13848" max="13848" width="16.42578125" style="173" customWidth="1"/>
    <col min="13849" max="13849" width="17.5703125" style="173" customWidth="1"/>
    <col min="13850" max="13850" width="7.42578125" style="173" customWidth="1"/>
    <col min="13851" max="13851" width="9.85546875" style="173" customWidth="1"/>
    <col min="13852" max="13856" width="17.42578125" style="173" customWidth="1"/>
    <col min="13857" max="13857" width="17.5703125" style="173" customWidth="1"/>
    <col min="13858" max="13858" width="17" style="173" customWidth="1"/>
    <col min="13859" max="13859" width="6.85546875" style="173"/>
    <col min="13860" max="13861" width="24.42578125" style="173" customWidth="1"/>
    <col min="13862" max="13862" width="22.140625" style="173" customWidth="1"/>
    <col min="13863" max="13863" width="14.5703125" style="173" customWidth="1"/>
    <col min="13864" max="13864" width="22.5703125" style="173" customWidth="1"/>
    <col min="13865" max="14079" width="6.85546875" style="173"/>
    <col min="14080" max="14080" width="10.85546875" style="173" customWidth="1"/>
    <col min="14081" max="14081" width="7.85546875" style="173" customWidth="1"/>
    <col min="14082" max="14082" width="11.5703125" style="173" customWidth="1"/>
    <col min="14083" max="14083" width="13.42578125" style="173" customWidth="1"/>
    <col min="14084" max="14084" width="14" style="173" customWidth="1"/>
    <col min="14085" max="14085" width="49.42578125" style="173" customWidth="1"/>
    <col min="14086" max="14086" width="15.42578125" style="173" customWidth="1"/>
    <col min="14087" max="14087" width="15.140625" style="173" customWidth="1"/>
    <col min="14088" max="14088" width="24.5703125" style="173" customWidth="1"/>
    <col min="14089" max="14089" width="7.5703125" style="173" customWidth="1"/>
    <col min="14090" max="14090" width="15.42578125" style="173" customWidth="1"/>
    <col min="14091" max="14091" width="9.42578125" style="173" customWidth="1"/>
    <col min="14092" max="14092" width="6.42578125" style="173" customWidth="1"/>
    <col min="14093" max="14093" width="10" style="173" customWidth="1"/>
    <col min="14094" max="14094" width="8.42578125" style="173" customWidth="1"/>
    <col min="14095" max="14095" width="13.140625" style="173" customWidth="1"/>
    <col min="14096" max="14096" width="7.140625" style="173" customWidth="1"/>
    <col min="14097" max="14097" width="14" style="173" customWidth="1"/>
    <col min="14098" max="14098" width="9.42578125" style="173" customWidth="1"/>
    <col min="14099" max="14099" width="9.140625" style="173" customWidth="1"/>
    <col min="14100" max="14100" width="8.5703125" style="173" customWidth="1"/>
    <col min="14101" max="14101" width="14.42578125" style="173" customWidth="1"/>
    <col min="14102" max="14102" width="11.42578125" style="173" customWidth="1"/>
    <col min="14103" max="14103" width="13.5703125" style="173" customWidth="1"/>
    <col min="14104" max="14104" width="16.42578125" style="173" customWidth="1"/>
    <col min="14105" max="14105" width="17.5703125" style="173" customWidth="1"/>
    <col min="14106" max="14106" width="7.42578125" style="173" customWidth="1"/>
    <col min="14107" max="14107" width="9.85546875" style="173" customWidth="1"/>
    <col min="14108" max="14112" width="17.42578125" style="173" customWidth="1"/>
    <col min="14113" max="14113" width="17.5703125" style="173" customWidth="1"/>
    <col min="14114" max="14114" width="17" style="173" customWidth="1"/>
    <col min="14115" max="14115" width="6.85546875" style="173"/>
    <col min="14116" max="14117" width="24.42578125" style="173" customWidth="1"/>
    <col min="14118" max="14118" width="22.140625" style="173" customWidth="1"/>
    <col min="14119" max="14119" width="14.5703125" style="173" customWidth="1"/>
    <col min="14120" max="14120" width="22.5703125" style="173" customWidth="1"/>
    <col min="14121" max="14335" width="6.85546875" style="173"/>
    <col min="14336" max="14336" width="10.85546875" style="173" customWidth="1"/>
    <col min="14337" max="14337" width="7.85546875" style="173" customWidth="1"/>
    <col min="14338" max="14338" width="11.5703125" style="173" customWidth="1"/>
    <col min="14339" max="14339" width="13.42578125" style="173" customWidth="1"/>
    <col min="14340" max="14340" width="14" style="173" customWidth="1"/>
    <col min="14341" max="14341" width="49.42578125" style="173" customWidth="1"/>
    <col min="14342" max="14342" width="15.42578125" style="173" customWidth="1"/>
    <col min="14343" max="14343" width="15.140625" style="173" customWidth="1"/>
    <col min="14344" max="14344" width="24.5703125" style="173" customWidth="1"/>
    <col min="14345" max="14345" width="7.5703125" style="173" customWidth="1"/>
    <col min="14346" max="14346" width="15.42578125" style="173" customWidth="1"/>
    <col min="14347" max="14347" width="9.42578125" style="173" customWidth="1"/>
    <col min="14348" max="14348" width="6.42578125" style="173" customWidth="1"/>
    <col min="14349" max="14349" width="10" style="173" customWidth="1"/>
    <col min="14350" max="14350" width="8.42578125" style="173" customWidth="1"/>
    <col min="14351" max="14351" width="13.140625" style="173" customWidth="1"/>
    <col min="14352" max="14352" width="7.140625" style="173" customWidth="1"/>
    <col min="14353" max="14353" width="14" style="173" customWidth="1"/>
    <col min="14354" max="14354" width="9.42578125" style="173" customWidth="1"/>
    <col min="14355" max="14355" width="9.140625" style="173" customWidth="1"/>
    <col min="14356" max="14356" width="8.5703125" style="173" customWidth="1"/>
    <col min="14357" max="14357" width="14.42578125" style="173" customWidth="1"/>
    <col min="14358" max="14358" width="11.42578125" style="173" customWidth="1"/>
    <col min="14359" max="14359" width="13.5703125" style="173" customWidth="1"/>
    <col min="14360" max="14360" width="16.42578125" style="173" customWidth="1"/>
    <col min="14361" max="14361" width="17.5703125" style="173" customWidth="1"/>
    <col min="14362" max="14362" width="7.42578125" style="173" customWidth="1"/>
    <col min="14363" max="14363" width="9.85546875" style="173" customWidth="1"/>
    <col min="14364" max="14368" width="17.42578125" style="173" customWidth="1"/>
    <col min="14369" max="14369" width="17.5703125" style="173" customWidth="1"/>
    <col min="14370" max="14370" width="17" style="173" customWidth="1"/>
    <col min="14371" max="14371" width="6.85546875" style="173"/>
    <col min="14372" max="14373" width="24.42578125" style="173" customWidth="1"/>
    <col min="14374" max="14374" width="22.140625" style="173" customWidth="1"/>
    <col min="14375" max="14375" width="14.5703125" style="173" customWidth="1"/>
    <col min="14376" max="14376" width="22.5703125" style="173" customWidth="1"/>
    <col min="14377" max="14591" width="6.85546875" style="173"/>
    <col min="14592" max="14592" width="10.85546875" style="173" customWidth="1"/>
    <col min="14593" max="14593" width="7.85546875" style="173" customWidth="1"/>
    <col min="14594" max="14594" width="11.5703125" style="173" customWidth="1"/>
    <col min="14595" max="14595" width="13.42578125" style="173" customWidth="1"/>
    <col min="14596" max="14596" width="14" style="173" customWidth="1"/>
    <col min="14597" max="14597" width="49.42578125" style="173" customWidth="1"/>
    <col min="14598" max="14598" width="15.42578125" style="173" customWidth="1"/>
    <col min="14599" max="14599" width="15.140625" style="173" customWidth="1"/>
    <col min="14600" max="14600" width="24.5703125" style="173" customWidth="1"/>
    <col min="14601" max="14601" width="7.5703125" style="173" customWidth="1"/>
    <col min="14602" max="14602" width="15.42578125" style="173" customWidth="1"/>
    <col min="14603" max="14603" width="9.42578125" style="173" customWidth="1"/>
    <col min="14604" max="14604" width="6.42578125" style="173" customWidth="1"/>
    <col min="14605" max="14605" width="10" style="173" customWidth="1"/>
    <col min="14606" max="14606" width="8.42578125" style="173" customWidth="1"/>
    <col min="14607" max="14607" width="13.140625" style="173" customWidth="1"/>
    <col min="14608" max="14608" width="7.140625" style="173" customWidth="1"/>
    <col min="14609" max="14609" width="14" style="173" customWidth="1"/>
    <col min="14610" max="14610" width="9.42578125" style="173" customWidth="1"/>
    <col min="14611" max="14611" width="9.140625" style="173" customWidth="1"/>
    <col min="14612" max="14612" width="8.5703125" style="173" customWidth="1"/>
    <col min="14613" max="14613" width="14.42578125" style="173" customWidth="1"/>
    <col min="14614" max="14614" width="11.42578125" style="173" customWidth="1"/>
    <col min="14615" max="14615" width="13.5703125" style="173" customWidth="1"/>
    <col min="14616" max="14616" width="16.42578125" style="173" customWidth="1"/>
    <col min="14617" max="14617" width="17.5703125" style="173" customWidth="1"/>
    <col min="14618" max="14618" width="7.42578125" style="173" customWidth="1"/>
    <col min="14619" max="14619" width="9.85546875" style="173" customWidth="1"/>
    <col min="14620" max="14624" width="17.42578125" style="173" customWidth="1"/>
    <col min="14625" max="14625" width="17.5703125" style="173" customWidth="1"/>
    <col min="14626" max="14626" width="17" style="173" customWidth="1"/>
    <col min="14627" max="14627" width="6.85546875" style="173"/>
    <col min="14628" max="14629" width="24.42578125" style="173" customWidth="1"/>
    <col min="14630" max="14630" width="22.140625" style="173" customWidth="1"/>
    <col min="14631" max="14631" width="14.5703125" style="173" customWidth="1"/>
    <col min="14632" max="14632" width="22.5703125" style="173" customWidth="1"/>
    <col min="14633" max="14847" width="6.85546875" style="173"/>
    <col min="14848" max="14848" width="10.85546875" style="173" customWidth="1"/>
    <col min="14849" max="14849" width="7.85546875" style="173" customWidth="1"/>
    <col min="14850" max="14850" width="11.5703125" style="173" customWidth="1"/>
    <col min="14851" max="14851" width="13.42578125" style="173" customWidth="1"/>
    <col min="14852" max="14852" width="14" style="173" customWidth="1"/>
    <col min="14853" max="14853" width="49.42578125" style="173" customWidth="1"/>
    <col min="14854" max="14854" width="15.42578125" style="173" customWidth="1"/>
    <col min="14855" max="14855" width="15.140625" style="173" customWidth="1"/>
    <col min="14856" max="14856" width="24.5703125" style="173" customWidth="1"/>
    <col min="14857" max="14857" width="7.5703125" style="173" customWidth="1"/>
    <col min="14858" max="14858" width="15.42578125" style="173" customWidth="1"/>
    <col min="14859" max="14859" width="9.42578125" style="173" customWidth="1"/>
    <col min="14860" max="14860" width="6.42578125" style="173" customWidth="1"/>
    <col min="14861" max="14861" width="10" style="173" customWidth="1"/>
    <col min="14862" max="14862" width="8.42578125" style="173" customWidth="1"/>
    <col min="14863" max="14863" width="13.140625" style="173" customWidth="1"/>
    <col min="14864" max="14864" width="7.140625" style="173" customWidth="1"/>
    <col min="14865" max="14865" width="14" style="173" customWidth="1"/>
    <col min="14866" max="14866" width="9.42578125" style="173" customWidth="1"/>
    <col min="14867" max="14867" width="9.140625" style="173" customWidth="1"/>
    <col min="14868" max="14868" width="8.5703125" style="173" customWidth="1"/>
    <col min="14869" max="14869" width="14.42578125" style="173" customWidth="1"/>
    <col min="14870" max="14870" width="11.42578125" style="173" customWidth="1"/>
    <col min="14871" max="14871" width="13.5703125" style="173" customWidth="1"/>
    <col min="14872" max="14872" width="16.42578125" style="173" customWidth="1"/>
    <col min="14873" max="14873" width="17.5703125" style="173" customWidth="1"/>
    <col min="14874" max="14874" width="7.42578125" style="173" customWidth="1"/>
    <col min="14875" max="14875" width="9.85546875" style="173" customWidth="1"/>
    <col min="14876" max="14880" width="17.42578125" style="173" customWidth="1"/>
    <col min="14881" max="14881" width="17.5703125" style="173" customWidth="1"/>
    <col min="14882" max="14882" width="17" style="173" customWidth="1"/>
    <col min="14883" max="14883" width="6.85546875" style="173"/>
    <col min="14884" max="14885" width="24.42578125" style="173" customWidth="1"/>
    <col min="14886" max="14886" width="22.140625" style="173" customWidth="1"/>
    <col min="14887" max="14887" width="14.5703125" style="173" customWidth="1"/>
    <col min="14888" max="14888" width="22.5703125" style="173" customWidth="1"/>
    <col min="14889" max="15103" width="6.85546875" style="173"/>
    <col min="15104" max="15104" width="10.85546875" style="173" customWidth="1"/>
    <col min="15105" max="15105" width="7.85546875" style="173" customWidth="1"/>
    <col min="15106" max="15106" width="11.5703125" style="173" customWidth="1"/>
    <col min="15107" max="15107" width="13.42578125" style="173" customWidth="1"/>
    <col min="15108" max="15108" width="14" style="173" customWidth="1"/>
    <col min="15109" max="15109" width="49.42578125" style="173" customWidth="1"/>
    <col min="15110" max="15110" width="15.42578125" style="173" customWidth="1"/>
    <col min="15111" max="15111" width="15.140625" style="173" customWidth="1"/>
    <col min="15112" max="15112" width="24.5703125" style="173" customWidth="1"/>
    <col min="15113" max="15113" width="7.5703125" style="173" customWidth="1"/>
    <col min="15114" max="15114" width="15.42578125" style="173" customWidth="1"/>
    <col min="15115" max="15115" width="9.42578125" style="173" customWidth="1"/>
    <col min="15116" max="15116" width="6.42578125" style="173" customWidth="1"/>
    <col min="15117" max="15117" width="10" style="173" customWidth="1"/>
    <col min="15118" max="15118" width="8.42578125" style="173" customWidth="1"/>
    <col min="15119" max="15119" width="13.140625" style="173" customWidth="1"/>
    <col min="15120" max="15120" width="7.140625" style="173" customWidth="1"/>
    <col min="15121" max="15121" width="14" style="173" customWidth="1"/>
    <col min="15122" max="15122" width="9.42578125" style="173" customWidth="1"/>
    <col min="15123" max="15123" width="9.140625" style="173" customWidth="1"/>
    <col min="15124" max="15124" width="8.5703125" style="173" customWidth="1"/>
    <col min="15125" max="15125" width="14.42578125" style="173" customWidth="1"/>
    <col min="15126" max="15126" width="11.42578125" style="173" customWidth="1"/>
    <col min="15127" max="15127" width="13.5703125" style="173" customWidth="1"/>
    <col min="15128" max="15128" width="16.42578125" style="173" customWidth="1"/>
    <col min="15129" max="15129" width="17.5703125" style="173" customWidth="1"/>
    <col min="15130" max="15130" width="7.42578125" style="173" customWidth="1"/>
    <col min="15131" max="15131" width="9.85546875" style="173" customWidth="1"/>
    <col min="15132" max="15136" width="17.42578125" style="173" customWidth="1"/>
    <col min="15137" max="15137" width="17.5703125" style="173" customWidth="1"/>
    <col min="15138" max="15138" width="17" style="173" customWidth="1"/>
    <col min="15139" max="15139" width="6.85546875" style="173"/>
    <col min="15140" max="15141" width="24.42578125" style="173" customWidth="1"/>
    <col min="15142" max="15142" width="22.140625" style="173" customWidth="1"/>
    <col min="15143" max="15143" width="14.5703125" style="173" customWidth="1"/>
    <col min="15144" max="15144" width="22.5703125" style="173" customWidth="1"/>
    <col min="15145" max="15359" width="6.85546875" style="173"/>
    <col min="15360" max="15360" width="10.85546875" style="173" customWidth="1"/>
    <col min="15361" max="15361" width="7.85546875" style="173" customWidth="1"/>
    <col min="15362" max="15362" width="11.5703125" style="173" customWidth="1"/>
    <col min="15363" max="15363" width="13.42578125" style="173" customWidth="1"/>
    <col min="15364" max="15364" width="14" style="173" customWidth="1"/>
    <col min="15365" max="15365" width="49.42578125" style="173" customWidth="1"/>
    <col min="15366" max="15366" width="15.42578125" style="173" customWidth="1"/>
    <col min="15367" max="15367" width="15.140625" style="173" customWidth="1"/>
    <col min="15368" max="15368" width="24.5703125" style="173" customWidth="1"/>
    <col min="15369" max="15369" width="7.5703125" style="173" customWidth="1"/>
    <col min="15370" max="15370" width="15.42578125" style="173" customWidth="1"/>
    <col min="15371" max="15371" width="9.42578125" style="173" customWidth="1"/>
    <col min="15372" max="15372" width="6.42578125" style="173" customWidth="1"/>
    <col min="15373" max="15373" width="10" style="173" customWidth="1"/>
    <col min="15374" max="15374" width="8.42578125" style="173" customWidth="1"/>
    <col min="15375" max="15375" width="13.140625" style="173" customWidth="1"/>
    <col min="15376" max="15376" width="7.140625" style="173" customWidth="1"/>
    <col min="15377" max="15377" width="14" style="173" customWidth="1"/>
    <col min="15378" max="15378" width="9.42578125" style="173" customWidth="1"/>
    <col min="15379" max="15379" width="9.140625" style="173" customWidth="1"/>
    <col min="15380" max="15380" width="8.5703125" style="173" customWidth="1"/>
    <col min="15381" max="15381" width="14.42578125" style="173" customWidth="1"/>
    <col min="15382" max="15382" width="11.42578125" style="173" customWidth="1"/>
    <col min="15383" max="15383" width="13.5703125" style="173" customWidth="1"/>
    <col min="15384" max="15384" width="16.42578125" style="173" customWidth="1"/>
    <col min="15385" max="15385" width="17.5703125" style="173" customWidth="1"/>
    <col min="15386" max="15386" width="7.42578125" style="173" customWidth="1"/>
    <col min="15387" max="15387" width="9.85546875" style="173" customWidth="1"/>
    <col min="15388" max="15392" width="17.42578125" style="173" customWidth="1"/>
    <col min="15393" max="15393" width="17.5703125" style="173" customWidth="1"/>
    <col min="15394" max="15394" width="17" style="173" customWidth="1"/>
    <col min="15395" max="15395" width="6.85546875" style="173"/>
    <col min="15396" max="15397" width="24.42578125" style="173" customWidth="1"/>
    <col min="15398" max="15398" width="22.140625" style="173" customWidth="1"/>
    <col min="15399" max="15399" width="14.5703125" style="173" customWidth="1"/>
    <col min="15400" max="15400" width="22.5703125" style="173" customWidth="1"/>
    <col min="15401" max="15615" width="6.85546875" style="173"/>
    <col min="15616" max="15616" width="10.85546875" style="173" customWidth="1"/>
    <col min="15617" max="15617" width="7.85546875" style="173" customWidth="1"/>
    <col min="15618" max="15618" width="11.5703125" style="173" customWidth="1"/>
    <col min="15619" max="15619" width="13.42578125" style="173" customWidth="1"/>
    <col min="15620" max="15620" width="14" style="173" customWidth="1"/>
    <col min="15621" max="15621" width="49.42578125" style="173" customWidth="1"/>
    <col min="15622" max="15622" width="15.42578125" style="173" customWidth="1"/>
    <col min="15623" max="15623" width="15.140625" style="173" customWidth="1"/>
    <col min="15624" max="15624" width="24.5703125" style="173" customWidth="1"/>
    <col min="15625" max="15625" width="7.5703125" style="173" customWidth="1"/>
    <col min="15626" max="15626" width="15.42578125" style="173" customWidth="1"/>
    <col min="15627" max="15627" width="9.42578125" style="173" customWidth="1"/>
    <col min="15628" max="15628" width="6.42578125" style="173" customWidth="1"/>
    <col min="15629" max="15629" width="10" style="173" customWidth="1"/>
    <col min="15630" max="15630" width="8.42578125" style="173" customWidth="1"/>
    <col min="15631" max="15631" width="13.140625" style="173" customWidth="1"/>
    <col min="15632" max="15632" width="7.140625" style="173" customWidth="1"/>
    <col min="15633" max="15633" width="14" style="173" customWidth="1"/>
    <col min="15634" max="15634" width="9.42578125" style="173" customWidth="1"/>
    <col min="15635" max="15635" width="9.140625" style="173" customWidth="1"/>
    <col min="15636" max="15636" width="8.5703125" style="173" customWidth="1"/>
    <col min="15637" max="15637" width="14.42578125" style="173" customWidth="1"/>
    <col min="15638" max="15638" width="11.42578125" style="173" customWidth="1"/>
    <col min="15639" max="15639" width="13.5703125" style="173" customWidth="1"/>
    <col min="15640" max="15640" width="16.42578125" style="173" customWidth="1"/>
    <col min="15641" max="15641" width="17.5703125" style="173" customWidth="1"/>
    <col min="15642" max="15642" width="7.42578125" style="173" customWidth="1"/>
    <col min="15643" max="15643" width="9.85546875" style="173" customWidth="1"/>
    <col min="15644" max="15648" width="17.42578125" style="173" customWidth="1"/>
    <col min="15649" max="15649" width="17.5703125" style="173" customWidth="1"/>
    <col min="15650" max="15650" width="17" style="173" customWidth="1"/>
    <col min="15651" max="15651" width="6.85546875" style="173"/>
    <col min="15652" max="15653" width="24.42578125" style="173" customWidth="1"/>
    <col min="15654" max="15654" width="22.140625" style="173" customWidth="1"/>
    <col min="15655" max="15655" width="14.5703125" style="173" customWidth="1"/>
    <col min="15656" max="15656" width="22.5703125" style="173" customWidth="1"/>
    <col min="15657" max="15871" width="6.85546875" style="173"/>
    <col min="15872" max="15872" width="10.85546875" style="173" customWidth="1"/>
    <col min="15873" max="15873" width="7.85546875" style="173" customWidth="1"/>
    <col min="15874" max="15874" width="11.5703125" style="173" customWidth="1"/>
    <col min="15875" max="15875" width="13.42578125" style="173" customWidth="1"/>
    <col min="15876" max="15876" width="14" style="173" customWidth="1"/>
    <col min="15877" max="15877" width="49.42578125" style="173" customWidth="1"/>
    <col min="15878" max="15878" width="15.42578125" style="173" customWidth="1"/>
    <col min="15879" max="15879" width="15.140625" style="173" customWidth="1"/>
    <col min="15880" max="15880" width="24.5703125" style="173" customWidth="1"/>
    <col min="15881" max="15881" width="7.5703125" style="173" customWidth="1"/>
    <col min="15882" max="15882" width="15.42578125" style="173" customWidth="1"/>
    <col min="15883" max="15883" width="9.42578125" style="173" customWidth="1"/>
    <col min="15884" max="15884" width="6.42578125" style="173" customWidth="1"/>
    <col min="15885" max="15885" width="10" style="173" customWidth="1"/>
    <col min="15886" max="15886" width="8.42578125" style="173" customWidth="1"/>
    <col min="15887" max="15887" width="13.140625" style="173" customWidth="1"/>
    <col min="15888" max="15888" width="7.140625" style="173" customWidth="1"/>
    <col min="15889" max="15889" width="14" style="173" customWidth="1"/>
    <col min="15890" max="15890" width="9.42578125" style="173" customWidth="1"/>
    <col min="15891" max="15891" width="9.140625" style="173" customWidth="1"/>
    <col min="15892" max="15892" width="8.5703125" style="173" customWidth="1"/>
    <col min="15893" max="15893" width="14.42578125" style="173" customWidth="1"/>
    <col min="15894" max="15894" width="11.42578125" style="173" customWidth="1"/>
    <col min="15895" max="15895" width="13.5703125" style="173" customWidth="1"/>
    <col min="15896" max="15896" width="16.42578125" style="173" customWidth="1"/>
    <col min="15897" max="15897" width="17.5703125" style="173" customWidth="1"/>
    <col min="15898" max="15898" width="7.42578125" style="173" customWidth="1"/>
    <col min="15899" max="15899" width="9.85546875" style="173" customWidth="1"/>
    <col min="15900" max="15904" width="17.42578125" style="173" customWidth="1"/>
    <col min="15905" max="15905" width="17.5703125" style="173" customWidth="1"/>
    <col min="15906" max="15906" width="17" style="173" customWidth="1"/>
    <col min="15907" max="15907" width="6.85546875" style="173"/>
    <col min="15908" max="15909" width="24.42578125" style="173" customWidth="1"/>
    <col min="15910" max="15910" width="22.140625" style="173" customWidth="1"/>
    <col min="15911" max="15911" width="14.5703125" style="173" customWidth="1"/>
    <col min="15912" max="15912" width="22.5703125" style="173" customWidth="1"/>
    <col min="15913" max="16127" width="6.85546875" style="173"/>
    <col min="16128" max="16128" width="10.85546875" style="173" customWidth="1"/>
    <col min="16129" max="16129" width="7.85546875" style="173" customWidth="1"/>
    <col min="16130" max="16130" width="11.5703125" style="173" customWidth="1"/>
    <col min="16131" max="16131" width="13.42578125" style="173" customWidth="1"/>
    <col min="16132" max="16132" width="14" style="173" customWidth="1"/>
    <col min="16133" max="16133" width="49.42578125" style="173" customWidth="1"/>
    <col min="16134" max="16134" width="15.42578125" style="173" customWidth="1"/>
    <col min="16135" max="16135" width="15.140625" style="173" customWidth="1"/>
    <col min="16136" max="16136" width="24.5703125" style="173" customWidth="1"/>
    <col min="16137" max="16137" width="7.5703125" style="173" customWidth="1"/>
    <col min="16138" max="16138" width="15.42578125" style="173" customWidth="1"/>
    <col min="16139" max="16139" width="9.42578125" style="173" customWidth="1"/>
    <col min="16140" max="16140" width="6.42578125" style="173" customWidth="1"/>
    <col min="16141" max="16141" width="10" style="173" customWidth="1"/>
    <col min="16142" max="16142" width="8.42578125" style="173" customWidth="1"/>
    <col min="16143" max="16143" width="13.140625" style="173" customWidth="1"/>
    <col min="16144" max="16144" width="7.140625" style="173" customWidth="1"/>
    <col min="16145" max="16145" width="14" style="173" customWidth="1"/>
    <col min="16146" max="16146" width="9.42578125" style="173" customWidth="1"/>
    <col min="16147" max="16147" width="9.140625" style="173" customWidth="1"/>
    <col min="16148" max="16148" width="8.5703125" style="173" customWidth="1"/>
    <col min="16149" max="16149" width="14.42578125" style="173" customWidth="1"/>
    <col min="16150" max="16150" width="11.42578125" style="173" customWidth="1"/>
    <col min="16151" max="16151" width="13.5703125" style="173" customWidth="1"/>
    <col min="16152" max="16152" width="16.42578125" style="173" customWidth="1"/>
    <col min="16153" max="16153" width="17.5703125" style="173" customWidth="1"/>
    <col min="16154" max="16154" width="7.42578125" style="173" customWidth="1"/>
    <col min="16155" max="16155" width="9.85546875" style="173" customWidth="1"/>
    <col min="16156" max="16160" width="17.42578125" style="173" customWidth="1"/>
    <col min="16161" max="16161" width="17.5703125" style="173" customWidth="1"/>
    <col min="16162" max="16162" width="17" style="173" customWidth="1"/>
    <col min="16163" max="16163" width="6.85546875" style="173"/>
    <col min="16164" max="16165" width="24.42578125" style="173" customWidth="1"/>
    <col min="16166" max="16166" width="22.140625" style="173" customWidth="1"/>
    <col min="16167" max="16167" width="14.5703125" style="173" customWidth="1"/>
    <col min="16168" max="16168" width="22.5703125" style="173" customWidth="1"/>
    <col min="16169" max="16384" width="6.85546875" style="173"/>
  </cols>
  <sheetData>
    <row r="1" spans="1:68" ht="126" customHeight="1" x14ac:dyDescent="0.2">
      <c r="A1" s="177" t="s">
        <v>2353</v>
      </c>
      <c r="B1" s="177" t="s">
        <v>1910</v>
      </c>
      <c r="C1" s="158" t="s">
        <v>1909</v>
      </c>
      <c r="D1" s="406" t="s">
        <v>1910</v>
      </c>
      <c r="E1" s="407" t="s">
        <v>1911</v>
      </c>
      <c r="F1" s="408" t="s">
        <v>1912</v>
      </c>
      <c r="G1" s="407" t="s">
        <v>8</v>
      </c>
      <c r="H1" s="409" t="s">
        <v>9</v>
      </c>
      <c r="I1" s="409" t="s">
        <v>10</v>
      </c>
      <c r="J1" s="409" t="s">
        <v>11</v>
      </c>
      <c r="K1" s="410" t="s">
        <v>12</v>
      </c>
      <c r="L1" s="411" t="s">
        <v>1913</v>
      </c>
      <c r="M1" s="411" t="s">
        <v>13</v>
      </c>
      <c r="N1" s="158" t="s">
        <v>14</v>
      </c>
      <c r="O1" s="411" t="s">
        <v>2383</v>
      </c>
      <c r="P1" s="412" t="s">
        <v>15</v>
      </c>
      <c r="Q1" s="411" t="s">
        <v>16</v>
      </c>
      <c r="R1" s="411" t="s">
        <v>17</v>
      </c>
      <c r="S1" s="413" t="s">
        <v>1914</v>
      </c>
      <c r="T1" s="414" t="s">
        <v>19</v>
      </c>
      <c r="U1" s="411" t="s">
        <v>1915</v>
      </c>
      <c r="V1" s="415" t="s">
        <v>21</v>
      </c>
      <c r="W1" s="411" t="s">
        <v>22</v>
      </c>
      <c r="X1" s="411" t="s">
        <v>23</v>
      </c>
      <c r="Y1" s="411" t="s">
        <v>24</v>
      </c>
      <c r="Z1" s="411" t="s">
        <v>25</v>
      </c>
      <c r="AA1" s="416" t="s">
        <v>26</v>
      </c>
      <c r="AB1" s="416" t="s">
        <v>27</v>
      </c>
      <c r="AC1" s="417" t="s">
        <v>28</v>
      </c>
      <c r="AD1" s="418" t="s">
        <v>29</v>
      </c>
      <c r="AE1" s="419" t="s">
        <v>30</v>
      </c>
      <c r="AF1" s="420" t="s">
        <v>1916</v>
      </c>
      <c r="AG1" s="437" t="s">
        <v>2433</v>
      </c>
      <c r="AH1" s="437" t="s">
        <v>2434</v>
      </c>
      <c r="AI1" s="437" t="s">
        <v>2436</v>
      </c>
      <c r="AJ1" s="459" t="s">
        <v>2435</v>
      </c>
      <c r="AK1" s="460" t="s">
        <v>2437</v>
      </c>
      <c r="AL1" s="255" t="s">
        <v>2185</v>
      </c>
      <c r="AM1" s="255" t="s">
        <v>2191</v>
      </c>
      <c r="AN1" s="256" t="s">
        <v>2188</v>
      </c>
      <c r="AO1" s="257" t="s">
        <v>2189</v>
      </c>
      <c r="AP1" s="257" t="s">
        <v>2190</v>
      </c>
      <c r="AQ1" s="405" t="s">
        <v>2444</v>
      </c>
      <c r="AR1" s="462" t="s">
        <v>2453</v>
      </c>
      <c r="AS1" s="485" t="s">
        <v>2452</v>
      </c>
      <c r="AT1" s="618" t="s">
        <v>2508</v>
      </c>
      <c r="AU1" s="619" t="s">
        <v>2509</v>
      </c>
      <c r="AV1" s="620" t="s">
        <v>2510</v>
      </c>
      <c r="AW1" s="619" t="s">
        <v>2511</v>
      </c>
      <c r="AX1" s="619" t="s">
        <v>2190</v>
      </c>
      <c r="AY1" s="619" t="s">
        <v>2444</v>
      </c>
      <c r="AZ1" s="621" t="s">
        <v>2512</v>
      </c>
      <c r="BA1" s="630" t="s">
        <v>2513</v>
      </c>
      <c r="BB1" s="618" t="s">
        <v>2514</v>
      </c>
      <c r="BC1" s="618" t="s">
        <v>2573</v>
      </c>
      <c r="BD1" s="621" t="s">
        <v>2571</v>
      </c>
      <c r="BE1" s="680" t="s">
        <v>2572</v>
      </c>
      <c r="BF1" s="681" t="s">
        <v>2592</v>
      </c>
      <c r="BG1" s="619" t="s">
        <v>2593</v>
      </c>
      <c r="BH1" s="682" t="s">
        <v>2594</v>
      </c>
      <c r="BI1" s="173" t="s">
        <v>2596</v>
      </c>
      <c r="BJ1" s="691" t="s">
        <v>2612</v>
      </c>
      <c r="BK1" s="683" t="s">
        <v>2672</v>
      </c>
      <c r="BL1" s="683" t="s">
        <v>2617</v>
      </c>
      <c r="BM1" s="173" t="s">
        <v>2596</v>
      </c>
      <c r="BN1" s="965" t="s">
        <v>2665</v>
      </c>
      <c r="BP1" s="965" t="s">
        <v>2673</v>
      </c>
    </row>
    <row r="2" spans="1:68" s="714" customFormat="1" ht="18" customHeight="1" x14ac:dyDescent="0.2">
      <c r="A2" s="713">
        <v>45047</v>
      </c>
      <c r="B2" s="714" t="s">
        <v>2422</v>
      </c>
      <c r="C2" s="715">
        <v>41120</v>
      </c>
      <c r="D2" s="716">
        <v>1</v>
      </c>
      <c r="E2" s="717">
        <v>43011</v>
      </c>
      <c r="F2" s="717" t="s">
        <v>1883</v>
      </c>
      <c r="G2" s="718">
        <v>442252</v>
      </c>
      <c r="H2" s="719" t="s">
        <v>852</v>
      </c>
      <c r="I2" s="719" t="s">
        <v>1975</v>
      </c>
      <c r="J2" s="719" t="s">
        <v>1976</v>
      </c>
      <c r="K2" s="719" t="str">
        <f>I2&amp;J2</f>
        <v>Lilah-JeanVilla</v>
      </c>
      <c r="L2" s="720" t="s">
        <v>1977</v>
      </c>
      <c r="M2" s="721">
        <v>43471</v>
      </c>
      <c r="N2" s="722">
        <f t="shared" ref="N2:N39" ca="1" si="0">(TODAY()-M2)/365.25</f>
        <v>6.71047227926078</v>
      </c>
      <c r="O2" s="722" t="s">
        <v>2378</v>
      </c>
      <c r="P2" s="723">
        <v>-1</v>
      </c>
      <c r="Q2" s="720">
        <v>872</v>
      </c>
      <c r="R2" s="720">
        <v>872</v>
      </c>
      <c r="S2" s="724">
        <v>45017</v>
      </c>
      <c r="T2" s="725">
        <v>1</v>
      </c>
      <c r="U2" s="726">
        <v>45128</v>
      </c>
      <c r="V2" s="725">
        <v>63</v>
      </c>
      <c r="W2" s="725">
        <f t="shared" ref="W2:W9" si="1">V2-T2+1</f>
        <v>63</v>
      </c>
      <c r="X2" s="727">
        <f t="shared" ref="X2:X39" si="2">W2/192</f>
        <v>0.328125</v>
      </c>
      <c r="Y2" s="724" t="s">
        <v>36</v>
      </c>
      <c r="Z2" s="728">
        <v>30</v>
      </c>
      <c r="AA2" s="729">
        <v>0</v>
      </c>
      <c r="AB2" s="730">
        <f t="shared" ref="AB2:AB7" si="3">Z2*$AA$121</f>
        <v>14183.099999999999</v>
      </c>
      <c r="AC2" s="731" t="s">
        <v>128</v>
      </c>
      <c r="AD2" s="732">
        <v>1</v>
      </c>
      <c r="AE2" s="733">
        <f t="shared" ref="AE2:AE33" si="4">X2*AD2</f>
        <v>0.328125</v>
      </c>
      <c r="AF2" s="734">
        <f t="shared" ref="AF2:AF54" si="5">AB2*AE2</f>
        <v>4653.8296874999996</v>
      </c>
      <c r="AG2" s="734">
        <v>4653.8296874999996</v>
      </c>
      <c r="AH2" s="734">
        <v>14183.099999999999</v>
      </c>
      <c r="AI2" s="734">
        <v>9529.2703124999989</v>
      </c>
      <c r="AJ2" s="735">
        <v>14183.1</v>
      </c>
      <c r="AK2" s="735">
        <f t="shared" ref="AK2:AK9" si="6">AH2-AJ2</f>
        <v>0</v>
      </c>
      <c r="AL2" s="714" t="s">
        <v>2650</v>
      </c>
      <c r="AO2" s="736"/>
      <c r="AP2" s="736"/>
      <c r="AQ2" s="737">
        <f t="shared" ref="AQ2:AQ7" si="7">AP2/192*127</f>
        <v>0</v>
      </c>
      <c r="AR2" s="738">
        <f t="shared" ref="AR2:AR9" si="8">AH2+AQ2</f>
        <v>14183.099999999999</v>
      </c>
      <c r="AS2" s="739">
        <f t="shared" ref="AS2:AS9" si="9">AR2-AJ2</f>
        <v>0</v>
      </c>
      <c r="AZ2" s="740">
        <f t="shared" ref="AZ2:AZ9" si="10">AF2+AQ2+AY2</f>
        <v>4653.8296874999996</v>
      </c>
      <c r="BA2" s="741">
        <f t="shared" ref="BA2:BA9" si="11">AZ2-AR2</f>
        <v>-9529.2703124999989</v>
      </c>
      <c r="BD2" s="742">
        <f t="shared" ref="BD2:BD9" si="12">AZ2+BC2</f>
        <v>4653.8296874999996</v>
      </c>
      <c r="BE2" s="742">
        <f t="shared" ref="BE2:BE39" si="13">BD2-AZ2</f>
        <v>0</v>
      </c>
      <c r="BG2" s="742">
        <f>BD2+BF2</f>
        <v>4653.8296874999996</v>
      </c>
      <c r="BH2" s="742">
        <f>SUM(BG2)-BD2</f>
        <v>0</v>
      </c>
      <c r="BI2" s="714">
        <v>-9529.27</v>
      </c>
      <c r="BJ2" s="692">
        <f>BG2+BI2</f>
        <v>-4875.4403125000008</v>
      </c>
      <c r="BL2" s="692">
        <f>BG2</f>
        <v>4653.8296874999996</v>
      </c>
      <c r="BN2" s="692">
        <f>BL2+BM2</f>
        <v>4653.8296874999996</v>
      </c>
    </row>
    <row r="3" spans="1:68" s="714" customFormat="1" ht="19.350000000000001" customHeight="1" x14ac:dyDescent="0.2">
      <c r="A3" s="713">
        <v>45047</v>
      </c>
      <c r="B3" s="714" t="s">
        <v>2422</v>
      </c>
      <c r="C3" s="731">
        <v>41401</v>
      </c>
      <c r="D3" s="743">
        <v>1</v>
      </c>
      <c r="E3" s="720">
        <v>43011</v>
      </c>
      <c r="F3" s="720" t="s">
        <v>1883</v>
      </c>
      <c r="G3" s="744">
        <v>442063</v>
      </c>
      <c r="H3" s="743" t="s">
        <v>1921</v>
      </c>
      <c r="I3" s="743" t="s">
        <v>1922</v>
      </c>
      <c r="J3" s="743" t="s">
        <v>1923</v>
      </c>
      <c r="K3" s="745" t="s">
        <v>1924</v>
      </c>
      <c r="L3" s="746" t="s">
        <v>1925</v>
      </c>
      <c r="M3" s="726">
        <v>43542</v>
      </c>
      <c r="N3" s="722">
        <f t="shared" ca="1" si="0"/>
        <v>6.5160848733744015</v>
      </c>
      <c r="O3" s="747" t="s">
        <v>2378</v>
      </c>
      <c r="P3" s="748">
        <v>-1</v>
      </c>
      <c r="Q3" s="746">
        <v>872</v>
      </c>
      <c r="R3" s="746">
        <v>872</v>
      </c>
      <c r="S3" s="726">
        <v>45017</v>
      </c>
      <c r="T3" s="725">
        <v>1</v>
      </c>
      <c r="U3" s="726">
        <v>45135</v>
      </c>
      <c r="V3" s="725">
        <v>63</v>
      </c>
      <c r="W3" s="725">
        <f t="shared" si="1"/>
        <v>63</v>
      </c>
      <c r="X3" s="749">
        <f t="shared" si="2"/>
        <v>0.328125</v>
      </c>
      <c r="Y3" s="726">
        <v>45135</v>
      </c>
      <c r="Z3" s="750">
        <v>15</v>
      </c>
      <c r="AA3" s="729">
        <v>0</v>
      </c>
      <c r="AB3" s="730">
        <f t="shared" si="3"/>
        <v>7091.5499999999993</v>
      </c>
      <c r="AC3" s="751"/>
      <c r="AD3" s="752">
        <v>1</v>
      </c>
      <c r="AE3" s="733">
        <f t="shared" si="4"/>
        <v>0.328125</v>
      </c>
      <c r="AF3" s="753">
        <f t="shared" si="5"/>
        <v>2326.9148437499998</v>
      </c>
      <c r="AG3" s="753">
        <v>2326.9148437499998</v>
      </c>
      <c r="AH3" s="734">
        <v>2326.9148437499998</v>
      </c>
      <c r="AI3" s="734">
        <v>0</v>
      </c>
      <c r="AJ3" s="735">
        <v>2326.9148437499998</v>
      </c>
      <c r="AK3" s="735">
        <f t="shared" si="6"/>
        <v>0</v>
      </c>
      <c r="AL3" s="714" t="s">
        <v>2619</v>
      </c>
      <c r="AO3" s="737"/>
      <c r="AP3" s="737">
        <v>5819.25</v>
      </c>
      <c r="AQ3" s="737">
        <f t="shared" si="7"/>
        <v>3849.19140625</v>
      </c>
      <c r="AR3" s="738">
        <f t="shared" si="8"/>
        <v>6176.1062499999998</v>
      </c>
      <c r="AS3" s="739">
        <f t="shared" si="9"/>
        <v>3849.19140625</v>
      </c>
      <c r="AZ3" s="740">
        <f t="shared" si="10"/>
        <v>6176.1062499999998</v>
      </c>
      <c r="BA3" s="741">
        <f t="shared" si="11"/>
        <v>0</v>
      </c>
      <c r="BD3" s="742">
        <f t="shared" si="12"/>
        <v>6176.1062499999998</v>
      </c>
      <c r="BE3" s="742">
        <f t="shared" si="13"/>
        <v>0</v>
      </c>
      <c r="BG3" s="742">
        <f t="shared" ref="BG3:BG70" si="14">BD3+BF3</f>
        <v>6176.1062499999998</v>
      </c>
      <c r="BH3" s="742">
        <f t="shared" ref="BH3:BH70" si="15">SUM(BG3)-BD3</f>
        <v>0</v>
      </c>
      <c r="BI3" s="714">
        <v>-3849.2</v>
      </c>
      <c r="BJ3" s="692">
        <f>BG3+BI3</f>
        <v>2326.90625</v>
      </c>
      <c r="BL3" s="692">
        <f>BJ3</f>
        <v>2326.90625</v>
      </c>
      <c r="BN3" s="692">
        <f t="shared" ref="BN3:BN66" si="16">BL3+BM3</f>
        <v>2326.90625</v>
      </c>
    </row>
    <row r="4" spans="1:68" s="651" customFormat="1" ht="15" customHeight="1" x14ac:dyDescent="0.2">
      <c r="A4" s="650">
        <v>45047</v>
      </c>
      <c r="B4" s="651" t="s">
        <v>2422</v>
      </c>
      <c r="C4" s="652">
        <v>41401</v>
      </c>
      <c r="D4" s="653">
        <v>1</v>
      </c>
      <c r="E4" s="654">
        <v>43011</v>
      </c>
      <c r="F4" s="654" t="s">
        <v>1883</v>
      </c>
      <c r="G4" s="655">
        <v>442051</v>
      </c>
      <c r="H4" s="754" t="s">
        <v>1926</v>
      </c>
      <c r="I4" s="755" t="s">
        <v>1927</v>
      </c>
      <c r="J4" s="755" t="s">
        <v>1928</v>
      </c>
      <c r="K4" s="755" t="s">
        <v>1929</v>
      </c>
      <c r="L4" s="756" t="s">
        <v>1930</v>
      </c>
      <c r="M4" s="757">
        <v>43566</v>
      </c>
      <c r="N4" s="657">
        <f t="shared" ca="1" si="0"/>
        <v>6.4503764544832309</v>
      </c>
      <c r="O4" s="657" t="s">
        <v>2379</v>
      </c>
      <c r="P4" s="758">
        <v>-1</v>
      </c>
      <c r="Q4" s="759">
        <v>872</v>
      </c>
      <c r="R4" s="759">
        <v>872</v>
      </c>
      <c r="S4" s="661">
        <v>45017</v>
      </c>
      <c r="T4" s="660">
        <v>1</v>
      </c>
      <c r="U4" s="661">
        <v>45138</v>
      </c>
      <c r="V4" s="660">
        <v>63</v>
      </c>
      <c r="W4" s="660">
        <f t="shared" si="1"/>
        <v>63</v>
      </c>
      <c r="X4" s="662">
        <f t="shared" si="2"/>
        <v>0.328125</v>
      </c>
      <c r="Y4" s="760">
        <v>45138</v>
      </c>
      <c r="Z4" s="761">
        <v>15</v>
      </c>
      <c r="AA4" s="664">
        <v>0</v>
      </c>
      <c r="AB4" s="665">
        <f t="shared" si="3"/>
        <v>7091.5499999999993</v>
      </c>
      <c r="AC4" s="710" t="s">
        <v>37</v>
      </c>
      <c r="AD4" s="762">
        <v>1</v>
      </c>
      <c r="AE4" s="667">
        <f t="shared" si="4"/>
        <v>0.328125</v>
      </c>
      <c r="AF4" s="668">
        <f t="shared" si="5"/>
        <v>2326.9148437499998</v>
      </c>
      <c r="AG4" s="668">
        <v>2326.9148437499998</v>
      </c>
      <c r="AH4" s="669">
        <v>2326.9148437499998</v>
      </c>
      <c r="AI4" s="669">
        <v>0</v>
      </c>
      <c r="AJ4" s="670">
        <v>2326.9148437499998</v>
      </c>
      <c r="AK4" s="670">
        <f t="shared" si="6"/>
        <v>0</v>
      </c>
      <c r="AL4" s="651" t="s">
        <v>2618</v>
      </c>
      <c r="AO4" s="671"/>
      <c r="AP4" s="671">
        <v>5819.25</v>
      </c>
      <c r="AQ4" s="671">
        <f t="shared" si="7"/>
        <v>3849.19140625</v>
      </c>
      <c r="AR4" s="672">
        <f t="shared" si="8"/>
        <v>6176.1062499999998</v>
      </c>
      <c r="AS4" s="673">
        <f t="shared" si="9"/>
        <v>3849.19140625</v>
      </c>
      <c r="AV4" s="651" t="s">
        <v>2541</v>
      </c>
      <c r="AW4" s="651">
        <v>43012</v>
      </c>
      <c r="AZ4" s="674">
        <f t="shared" si="10"/>
        <v>6176.1062499999998</v>
      </c>
      <c r="BA4" s="675">
        <f t="shared" si="11"/>
        <v>0</v>
      </c>
      <c r="BD4" s="676">
        <f t="shared" si="12"/>
        <v>6176.1062499999998</v>
      </c>
      <c r="BE4" s="676">
        <f t="shared" si="13"/>
        <v>0</v>
      </c>
      <c r="BG4" s="676">
        <f t="shared" si="14"/>
        <v>6176.1062499999998</v>
      </c>
      <c r="BH4" s="676">
        <f t="shared" si="15"/>
        <v>0</v>
      </c>
      <c r="BI4" s="651">
        <v>-3849.2</v>
      </c>
      <c r="BJ4" s="712">
        <f>BG4+BI4</f>
        <v>2326.90625</v>
      </c>
      <c r="BK4" s="651">
        <v>775.64</v>
      </c>
      <c r="BL4" s="712">
        <f>BK4+BJ4</f>
        <v>3102.5462499999999</v>
      </c>
      <c r="BN4" s="692">
        <f t="shared" si="16"/>
        <v>3102.5462499999999</v>
      </c>
    </row>
    <row r="5" spans="1:68" s="714" customFormat="1" ht="14.45" customHeight="1" x14ac:dyDescent="0.2">
      <c r="A5" s="713">
        <v>45047</v>
      </c>
      <c r="B5" s="714" t="s">
        <v>2422</v>
      </c>
      <c r="C5" s="731">
        <v>41401</v>
      </c>
      <c r="D5" s="743">
        <v>1</v>
      </c>
      <c r="E5" s="720">
        <v>43011</v>
      </c>
      <c r="F5" s="720" t="s">
        <v>1883</v>
      </c>
      <c r="G5" s="744">
        <v>441944</v>
      </c>
      <c r="H5" s="719" t="s">
        <v>1926</v>
      </c>
      <c r="I5" s="716" t="s">
        <v>1931</v>
      </c>
      <c r="J5" s="716" t="s">
        <v>1932</v>
      </c>
      <c r="K5" s="763" t="s">
        <v>1933</v>
      </c>
      <c r="L5" s="764" t="s">
        <v>1934</v>
      </c>
      <c r="M5" s="765">
        <v>43496</v>
      </c>
      <c r="N5" s="722">
        <f t="shared" ca="1" si="0"/>
        <v>6.6420260095824775</v>
      </c>
      <c r="O5" s="722" t="s">
        <v>2378</v>
      </c>
      <c r="P5" s="748">
        <v>-1</v>
      </c>
      <c r="Q5" s="746">
        <v>872</v>
      </c>
      <c r="R5" s="746">
        <v>872</v>
      </c>
      <c r="S5" s="726">
        <v>45017</v>
      </c>
      <c r="T5" s="725">
        <v>1</v>
      </c>
      <c r="U5" s="726">
        <v>45128</v>
      </c>
      <c r="V5" s="725">
        <v>63</v>
      </c>
      <c r="W5" s="725">
        <f t="shared" si="1"/>
        <v>63</v>
      </c>
      <c r="X5" s="749">
        <f t="shared" si="2"/>
        <v>0.328125</v>
      </c>
      <c r="Y5" s="724">
        <v>45128</v>
      </c>
      <c r="Z5" s="750">
        <v>15</v>
      </c>
      <c r="AA5" s="729">
        <v>0</v>
      </c>
      <c r="AB5" s="730">
        <f t="shared" si="3"/>
        <v>7091.5499999999993</v>
      </c>
      <c r="AC5" s="751"/>
      <c r="AD5" s="752">
        <v>1</v>
      </c>
      <c r="AE5" s="733">
        <f t="shared" si="4"/>
        <v>0.328125</v>
      </c>
      <c r="AF5" s="753">
        <f t="shared" si="5"/>
        <v>2326.9148437499998</v>
      </c>
      <c r="AG5" s="753">
        <v>2326.9148437499998</v>
      </c>
      <c r="AH5" s="734">
        <v>7091.5499999999993</v>
      </c>
      <c r="AI5" s="734">
        <v>4764.6351562499995</v>
      </c>
      <c r="AJ5" s="735">
        <v>7091.5499999999993</v>
      </c>
      <c r="AK5" s="735">
        <f t="shared" si="6"/>
        <v>0</v>
      </c>
      <c r="AL5" s="714" t="s">
        <v>2636</v>
      </c>
      <c r="AO5" s="737"/>
      <c r="AP5" s="737"/>
      <c r="AQ5" s="737">
        <f t="shared" si="7"/>
        <v>0</v>
      </c>
      <c r="AR5" s="738">
        <f t="shared" si="8"/>
        <v>7091.5499999999993</v>
      </c>
      <c r="AS5" s="739">
        <f t="shared" si="9"/>
        <v>0</v>
      </c>
      <c r="AZ5" s="740">
        <f t="shared" si="10"/>
        <v>2326.9148437499998</v>
      </c>
      <c r="BA5" s="741">
        <f t="shared" si="11"/>
        <v>-4764.6351562499995</v>
      </c>
      <c r="BD5" s="742">
        <f t="shared" si="12"/>
        <v>2326.9148437499998</v>
      </c>
      <c r="BE5" s="742">
        <f t="shared" si="13"/>
        <v>0</v>
      </c>
      <c r="BG5" s="742">
        <f t="shared" si="14"/>
        <v>2326.9148437499998</v>
      </c>
      <c r="BH5" s="742">
        <f t="shared" si="15"/>
        <v>0</v>
      </c>
      <c r="BI5" s="714">
        <v>-4767.6400000000003</v>
      </c>
      <c r="BJ5" s="692">
        <f>BG5+BI5</f>
        <v>-2440.7251562500005</v>
      </c>
      <c r="BL5" s="692">
        <v>2326.91</v>
      </c>
      <c r="BN5" s="692">
        <f t="shared" si="16"/>
        <v>2326.91</v>
      </c>
    </row>
    <row r="6" spans="1:68" s="714" customFormat="1" ht="14.45" customHeight="1" x14ac:dyDescent="0.2">
      <c r="A6" s="713">
        <v>45047</v>
      </c>
      <c r="B6" s="714" t="s">
        <v>2422</v>
      </c>
      <c r="C6" s="715">
        <v>41401</v>
      </c>
      <c r="D6" s="743">
        <v>1</v>
      </c>
      <c r="E6" s="717">
        <v>43011</v>
      </c>
      <c r="F6" s="717" t="s">
        <v>1883</v>
      </c>
      <c r="G6" s="744">
        <v>449055</v>
      </c>
      <c r="H6" s="719" t="s">
        <v>1926</v>
      </c>
      <c r="I6" s="719" t="s">
        <v>1935</v>
      </c>
      <c r="J6" s="719" t="s">
        <v>1936</v>
      </c>
      <c r="K6" s="719" t="s">
        <v>1937</v>
      </c>
      <c r="L6" s="717" t="s">
        <v>1938</v>
      </c>
      <c r="M6" s="766">
        <v>43508</v>
      </c>
      <c r="N6" s="722">
        <f t="shared" ca="1" si="0"/>
        <v>6.6091718001368926</v>
      </c>
      <c r="O6" s="747" t="s">
        <v>2378</v>
      </c>
      <c r="P6" s="767">
        <v>-1</v>
      </c>
      <c r="Q6" s="764">
        <v>872</v>
      </c>
      <c r="R6" s="718">
        <v>872</v>
      </c>
      <c r="S6" s="726">
        <v>45017</v>
      </c>
      <c r="T6" s="725">
        <v>1</v>
      </c>
      <c r="U6" s="726">
        <v>45063</v>
      </c>
      <c r="V6" s="725">
        <v>21</v>
      </c>
      <c r="W6" s="768">
        <f t="shared" si="1"/>
        <v>21</v>
      </c>
      <c r="X6" s="749">
        <f t="shared" si="2"/>
        <v>0.109375</v>
      </c>
      <c r="Y6" s="724" t="s">
        <v>36</v>
      </c>
      <c r="Z6" s="750">
        <v>15</v>
      </c>
      <c r="AA6" s="729">
        <v>0</v>
      </c>
      <c r="AB6" s="730">
        <f t="shared" si="3"/>
        <v>7091.5499999999993</v>
      </c>
      <c r="AC6" s="731" t="s">
        <v>37</v>
      </c>
      <c r="AD6" s="752">
        <v>1</v>
      </c>
      <c r="AE6" s="733">
        <f t="shared" si="4"/>
        <v>0.109375</v>
      </c>
      <c r="AF6" s="753">
        <f t="shared" si="5"/>
        <v>775.63828124999986</v>
      </c>
      <c r="AG6" s="753">
        <v>2326.9148437499998</v>
      </c>
      <c r="AH6" s="734">
        <v>7091.5499999999993</v>
      </c>
      <c r="AI6" s="734">
        <v>4764.6351562499995</v>
      </c>
      <c r="AJ6" s="735">
        <v>7091.5499999999993</v>
      </c>
      <c r="AK6" s="735">
        <f t="shared" si="6"/>
        <v>0</v>
      </c>
      <c r="AL6" s="714" t="s">
        <v>2636</v>
      </c>
      <c r="AO6" s="737"/>
      <c r="AP6" s="737"/>
      <c r="AQ6" s="737">
        <f t="shared" si="7"/>
        <v>0</v>
      </c>
      <c r="AR6" s="738">
        <f t="shared" si="8"/>
        <v>7091.5499999999993</v>
      </c>
      <c r="AS6" s="739">
        <f t="shared" si="9"/>
        <v>0</v>
      </c>
      <c r="AZ6" s="740">
        <f t="shared" si="10"/>
        <v>775.63828124999986</v>
      </c>
      <c r="BA6" s="741">
        <f t="shared" si="11"/>
        <v>-6315.9117187499996</v>
      </c>
      <c r="BD6" s="742">
        <f t="shared" si="12"/>
        <v>775.63828124999986</v>
      </c>
      <c r="BE6" s="742">
        <f t="shared" si="13"/>
        <v>0</v>
      </c>
      <c r="BG6" s="742">
        <f t="shared" si="14"/>
        <v>775.63828124999986</v>
      </c>
      <c r="BH6" s="742">
        <f t="shared" si="15"/>
        <v>0</v>
      </c>
      <c r="BI6" s="714">
        <v>-4767.6400000000003</v>
      </c>
      <c r="BJ6" s="692">
        <f>BG6+BI6</f>
        <v>-3992.0017187500007</v>
      </c>
      <c r="BL6" s="692">
        <v>2336.91</v>
      </c>
      <c r="BN6" s="692">
        <f t="shared" si="16"/>
        <v>2336.91</v>
      </c>
    </row>
    <row r="7" spans="1:68" s="770" customFormat="1" ht="14.45" customHeight="1" x14ac:dyDescent="0.2">
      <c r="A7" s="769">
        <v>45047</v>
      </c>
      <c r="B7" s="770" t="s">
        <v>2422</v>
      </c>
      <c r="C7" s="771">
        <v>41401</v>
      </c>
      <c r="D7" s="772">
        <v>1</v>
      </c>
      <c r="E7" s="773">
        <v>43011</v>
      </c>
      <c r="F7" s="773" t="s">
        <v>1883</v>
      </c>
      <c r="G7" s="774">
        <v>438488</v>
      </c>
      <c r="H7" s="775" t="s">
        <v>1939</v>
      </c>
      <c r="I7" s="775" t="s">
        <v>1940</v>
      </c>
      <c r="J7" s="775" t="s">
        <v>1941</v>
      </c>
      <c r="K7" s="775" t="s">
        <v>1942</v>
      </c>
      <c r="L7" s="773" t="s">
        <v>1943</v>
      </c>
      <c r="M7" s="776">
        <v>43396</v>
      </c>
      <c r="N7" s="777">
        <f t="shared" ca="1" si="0"/>
        <v>6.9158110882956878</v>
      </c>
      <c r="O7" s="778" t="s">
        <v>2380</v>
      </c>
      <c r="P7" s="779">
        <v>-1</v>
      </c>
      <c r="Q7" s="780">
        <v>872</v>
      </c>
      <c r="R7" s="781">
        <v>872</v>
      </c>
      <c r="S7" s="782">
        <v>45017</v>
      </c>
      <c r="T7" s="783">
        <v>1</v>
      </c>
      <c r="U7" s="782">
        <v>45128</v>
      </c>
      <c r="V7" s="783">
        <v>63</v>
      </c>
      <c r="W7" s="784">
        <f t="shared" si="1"/>
        <v>63</v>
      </c>
      <c r="X7" s="785">
        <f t="shared" si="2"/>
        <v>0.328125</v>
      </c>
      <c r="Y7" s="786">
        <v>45128</v>
      </c>
      <c r="Z7" s="787">
        <v>30</v>
      </c>
      <c r="AA7" s="788">
        <v>0</v>
      </c>
      <c r="AB7" s="789">
        <f t="shared" si="3"/>
        <v>14183.099999999999</v>
      </c>
      <c r="AC7" s="790"/>
      <c r="AD7" s="791">
        <v>1</v>
      </c>
      <c r="AE7" s="792">
        <f t="shared" si="4"/>
        <v>0.328125</v>
      </c>
      <c r="AF7" s="793">
        <f t="shared" si="5"/>
        <v>4653.8296874999996</v>
      </c>
      <c r="AG7" s="793">
        <v>4653.8296874999996</v>
      </c>
      <c r="AH7" s="794">
        <v>4653.8296874999996</v>
      </c>
      <c r="AI7" s="794">
        <v>0</v>
      </c>
      <c r="AJ7" s="795">
        <v>4653.8296874999996</v>
      </c>
      <c r="AK7" s="795">
        <f t="shared" si="6"/>
        <v>0</v>
      </c>
      <c r="AL7" s="770" t="s">
        <v>2620</v>
      </c>
      <c r="AO7" s="796"/>
      <c r="AP7" s="796">
        <v>5819.25</v>
      </c>
      <c r="AQ7" s="796">
        <f t="shared" si="7"/>
        <v>3849.19140625</v>
      </c>
      <c r="AR7" s="797">
        <f t="shared" si="8"/>
        <v>8503.0210937499996</v>
      </c>
      <c r="AS7" s="798">
        <f t="shared" si="9"/>
        <v>3849.19140625</v>
      </c>
      <c r="AZ7" s="799">
        <f t="shared" si="10"/>
        <v>8503.0210937499996</v>
      </c>
      <c r="BA7" s="800">
        <f t="shared" si="11"/>
        <v>0</v>
      </c>
      <c r="BD7" s="801">
        <f t="shared" si="12"/>
        <v>8503.0210937499996</v>
      </c>
      <c r="BE7" s="801">
        <f t="shared" si="13"/>
        <v>0</v>
      </c>
      <c r="BG7" s="801">
        <f t="shared" si="14"/>
        <v>8503.0210937499996</v>
      </c>
      <c r="BH7" s="801">
        <f t="shared" si="15"/>
        <v>0</v>
      </c>
      <c r="BI7" s="802">
        <v>-3849.19</v>
      </c>
      <c r="BJ7" s="803">
        <f t="shared" ref="BJ7:BJ9" si="17">BG7+BI7</f>
        <v>4653.8310937499991</v>
      </c>
      <c r="BK7" s="803"/>
      <c r="BL7" s="803">
        <v>4653.83</v>
      </c>
      <c r="BN7" s="692">
        <f t="shared" si="16"/>
        <v>4653.83</v>
      </c>
    </row>
    <row r="8" spans="1:68" s="770" customFormat="1" ht="14.45" customHeight="1" x14ac:dyDescent="0.2">
      <c r="A8" s="769"/>
      <c r="C8" s="771">
        <v>41401</v>
      </c>
      <c r="D8" s="772">
        <v>1</v>
      </c>
      <c r="E8" s="773">
        <v>43011</v>
      </c>
      <c r="F8" s="889" t="s">
        <v>1883</v>
      </c>
      <c r="G8" s="774">
        <v>454536</v>
      </c>
      <c r="H8" s="775" t="s">
        <v>1926</v>
      </c>
      <c r="I8" s="775" t="s">
        <v>838</v>
      </c>
      <c r="J8" s="775" t="s">
        <v>2633</v>
      </c>
      <c r="K8" s="775" t="s">
        <v>2634</v>
      </c>
      <c r="L8" s="773" t="s">
        <v>81</v>
      </c>
      <c r="M8" s="776">
        <v>43913</v>
      </c>
      <c r="N8" s="777">
        <f t="shared" ca="1" si="0"/>
        <v>5.5003422313483918</v>
      </c>
      <c r="O8" s="778" t="s">
        <v>2635</v>
      </c>
      <c r="P8" s="779">
        <v>-1</v>
      </c>
      <c r="Q8" s="780">
        <v>872</v>
      </c>
      <c r="R8" s="781">
        <v>872</v>
      </c>
      <c r="S8" s="782">
        <v>45217</v>
      </c>
      <c r="T8" s="783">
        <v>97</v>
      </c>
      <c r="U8" s="782">
        <v>45275</v>
      </c>
      <c r="V8" s="783">
        <v>134</v>
      </c>
      <c r="W8" s="784">
        <v>38</v>
      </c>
      <c r="X8" s="785">
        <v>0.19791666666666666</v>
      </c>
      <c r="Y8" s="786" t="s">
        <v>36</v>
      </c>
      <c r="Z8" s="787">
        <v>15</v>
      </c>
      <c r="AA8" s="788">
        <v>0</v>
      </c>
      <c r="AB8" s="789">
        <v>7091.5499999999993</v>
      </c>
      <c r="AC8" s="790"/>
      <c r="AD8" s="791">
        <v>1</v>
      </c>
      <c r="AE8" s="792">
        <f t="shared" si="4"/>
        <v>0.19791666666666666</v>
      </c>
      <c r="AF8" s="793">
        <f t="shared" si="5"/>
        <v>1403.5359374999998</v>
      </c>
      <c r="AG8" s="793"/>
      <c r="AH8" s="794"/>
      <c r="AI8" s="794"/>
      <c r="AJ8" s="795"/>
      <c r="AK8" s="795"/>
      <c r="AO8" s="796"/>
      <c r="AP8" s="796"/>
      <c r="AQ8" s="796"/>
      <c r="AR8" s="797"/>
      <c r="AS8" s="798"/>
      <c r="AZ8" s="799"/>
      <c r="BA8" s="800"/>
      <c r="BD8" s="801"/>
      <c r="BE8" s="801"/>
      <c r="BG8" s="801"/>
      <c r="BH8" s="801"/>
      <c r="BI8" s="802"/>
      <c r="BJ8" s="803">
        <v>0</v>
      </c>
      <c r="BK8" s="803">
        <f>AF8</f>
        <v>1403.5359374999998</v>
      </c>
      <c r="BL8" s="803">
        <f>BJ8+BK8</f>
        <v>1403.5359374999998</v>
      </c>
      <c r="BM8" s="770">
        <v>2142.2399999999998</v>
      </c>
      <c r="BN8" s="692">
        <f t="shared" si="16"/>
        <v>3545.7759374999996</v>
      </c>
    </row>
    <row r="9" spans="1:68" s="770" customFormat="1" ht="14.45" customHeight="1" x14ac:dyDescent="0.2">
      <c r="A9" s="769">
        <v>45047</v>
      </c>
      <c r="B9" s="770" t="s">
        <v>2422</v>
      </c>
      <c r="C9" s="790">
        <f>VLOOKUP(H9,$H$128:$I$186,2,FALSE)</f>
        <v>203112</v>
      </c>
      <c r="D9" s="772">
        <v>1</v>
      </c>
      <c r="E9" s="804">
        <v>43012</v>
      </c>
      <c r="F9" s="805" t="s">
        <v>1882</v>
      </c>
      <c r="G9" s="774">
        <v>444584</v>
      </c>
      <c r="H9" s="772" t="s">
        <v>1903</v>
      </c>
      <c r="I9" s="772" t="s">
        <v>1917</v>
      </c>
      <c r="J9" s="772" t="s">
        <v>1918</v>
      </c>
      <c r="K9" s="806" t="s">
        <v>1919</v>
      </c>
      <c r="L9" s="807" t="s">
        <v>1920</v>
      </c>
      <c r="M9" s="782">
        <v>43400</v>
      </c>
      <c r="N9" s="777">
        <f t="shared" ca="1" si="0"/>
        <v>6.9048596851471595</v>
      </c>
      <c r="O9" s="778" t="s">
        <v>2380</v>
      </c>
      <c r="P9" s="808">
        <v>-1</v>
      </c>
      <c r="Q9" s="807">
        <v>872</v>
      </c>
      <c r="R9" s="807">
        <v>872</v>
      </c>
      <c r="S9" s="782">
        <v>45019</v>
      </c>
      <c r="T9" s="783">
        <v>1</v>
      </c>
      <c r="U9" s="782">
        <v>45128</v>
      </c>
      <c r="V9" s="783">
        <v>63</v>
      </c>
      <c r="W9" s="783">
        <f t="shared" si="1"/>
        <v>63</v>
      </c>
      <c r="X9" s="785">
        <f t="shared" si="2"/>
        <v>0.328125</v>
      </c>
      <c r="Y9" s="782">
        <v>45128</v>
      </c>
      <c r="Z9" s="787">
        <v>15</v>
      </c>
      <c r="AA9" s="788">
        <v>0</v>
      </c>
      <c r="AB9" s="789">
        <f>Z9*$AA$121</f>
        <v>7091.5499999999993</v>
      </c>
      <c r="AC9" s="809"/>
      <c r="AD9" s="791">
        <v>1</v>
      </c>
      <c r="AE9" s="792">
        <f t="shared" si="4"/>
        <v>0.328125</v>
      </c>
      <c r="AF9" s="793">
        <f t="shared" si="5"/>
        <v>2326.9148437499998</v>
      </c>
      <c r="AG9" s="793">
        <v>2326.9148437499998</v>
      </c>
      <c r="AH9" s="794">
        <v>2326.9148437499998</v>
      </c>
      <c r="AI9" s="794">
        <v>0</v>
      </c>
      <c r="AJ9" s="795">
        <v>2326.9148437499998</v>
      </c>
      <c r="AK9" s="795">
        <f t="shared" si="6"/>
        <v>0</v>
      </c>
      <c r="AL9" s="770" t="s">
        <v>2181</v>
      </c>
      <c r="AM9" s="770">
        <v>43012</v>
      </c>
      <c r="AN9" s="770" t="s">
        <v>2182</v>
      </c>
      <c r="AO9" s="810"/>
      <c r="AP9" s="810"/>
      <c r="AQ9" s="796"/>
      <c r="AR9" s="797">
        <f t="shared" si="8"/>
        <v>2326.9148437499998</v>
      </c>
      <c r="AS9" s="798">
        <f t="shared" si="9"/>
        <v>0</v>
      </c>
      <c r="AT9" s="770" t="s">
        <v>2406</v>
      </c>
      <c r="AV9" s="770" t="s">
        <v>2181</v>
      </c>
      <c r="AW9" s="770">
        <v>43012</v>
      </c>
      <c r="AX9" s="770" t="s">
        <v>2182</v>
      </c>
      <c r="AZ9" s="799">
        <f t="shared" si="10"/>
        <v>2326.9148437499998</v>
      </c>
      <c r="BA9" s="800">
        <f t="shared" si="11"/>
        <v>0</v>
      </c>
      <c r="BD9" s="801">
        <f t="shared" si="12"/>
        <v>2326.9148437499998</v>
      </c>
      <c r="BE9" s="801">
        <f t="shared" si="13"/>
        <v>0</v>
      </c>
      <c r="BG9" s="801">
        <f t="shared" si="14"/>
        <v>2326.9148437499998</v>
      </c>
      <c r="BH9" s="801">
        <f t="shared" si="15"/>
        <v>0</v>
      </c>
      <c r="BI9" s="770">
        <v>0</v>
      </c>
      <c r="BJ9" s="803">
        <f t="shared" si="17"/>
        <v>2326.9148437499998</v>
      </c>
      <c r="BL9" s="803">
        <f>BJ9</f>
        <v>2326.9148437499998</v>
      </c>
      <c r="BN9" s="692">
        <f t="shared" si="16"/>
        <v>2326.9148437499998</v>
      </c>
    </row>
    <row r="10" spans="1:68" s="770" customFormat="1" ht="14.45" customHeight="1" x14ac:dyDescent="0.2">
      <c r="A10" s="769"/>
      <c r="B10" s="770" t="s">
        <v>2422</v>
      </c>
      <c r="C10" s="790">
        <f>VLOOKUP(H10,$H$128:$I$186,2,FALSE)</f>
        <v>203112</v>
      </c>
      <c r="D10" s="772">
        <v>1</v>
      </c>
      <c r="E10" s="804">
        <v>43012</v>
      </c>
      <c r="F10" s="805" t="s">
        <v>1882</v>
      </c>
      <c r="G10" s="774">
        <v>444584</v>
      </c>
      <c r="H10" s="772" t="s">
        <v>1903</v>
      </c>
      <c r="I10" s="811" t="s">
        <v>2574</v>
      </c>
      <c r="J10" s="811" t="s">
        <v>386</v>
      </c>
      <c r="K10" s="811" t="s">
        <v>2575</v>
      </c>
      <c r="L10" s="812" t="s">
        <v>1970</v>
      </c>
      <c r="M10" s="813">
        <v>43803</v>
      </c>
      <c r="N10" s="777">
        <f t="shared" ca="1" si="0"/>
        <v>5.8015058179329229</v>
      </c>
      <c r="O10" s="778" t="s">
        <v>2380</v>
      </c>
      <c r="P10" s="814">
        <v>-2</v>
      </c>
      <c r="Q10" s="812">
        <v>872</v>
      </c>
      <c r="R10" s="812">
        <v>872</v>
      </c>
      <c r="S10" s="782">
        <v>45170</v>
      </c>
      <c r="T10" s="783">
        <v>65</v>
      </c>
      <c r="U10" s="782">
        <v>45275</v>
      </c>
      <c r="V10" s="783">
        <v>134</v>
      </c>
      <c r="W10" s="815">
        <v>64</v>
      </c>
      <c r="X10" s="785">
        <f t="shared" si="2"/>
        <v>0.33333333333333331</v>
      </c>
      <c r="Y10" s="782" t="s">
        <v>36</v>
      </c>
      <c r="Z10" s="816">
        <v>30</v>
      </c>
      <c r="AA10" s="788">
        <v>8000</v>
      </c>
      <c r="AB10" s="789">
        <f>Z10*$AA$121</f>
        <v>14183.099999999999</v>
      </c>
      <c r="AC10" s="809"/>
      <c r="AD10" s="817">
        <v>0.2</v>
      </c>
      <c r="AE10" s="792">
        <f t="shared" si="4"/>
        <v>6.6666666666666666E-2</v>
      </c>
      <c r="AF10" s="793">
        <f t="shared" si="5"/>
        <v>945.53999999999985</v>
      </c>
      <c r="AG10" s="793"/>
      <c r="AH10" s="794"/>
      <c r="AI10" s="794"/>
      <c r="AJ10" s="795"/>
      <c r="AK10" s="795"/>
      <c r="AL10" s="770" t="s">
        <v>2181</v>
      </c>
      <c r="AO10" s="810"/>
      <c r="AP10" s="810"/>
      <c r="AQ10" s="796"/>
      <c r="AR10" s="797"/>
      <c r="AS10" s="798"/>
      <c r="AZ10" s="799"/>
      <c r="BA10" s="800"/>
      <c r="BD10" s="801">
        <f>AF10</f>
        <v>945.53999999999985</v>
      </c>
      <c r="BE10" s="801">
        <f t="shared" si="13"/>
        <v>945.53999999999985</v>
      </c>
      <c r="BF10" s="803"/>
      <c r="BG10" s="801">
        <f t="shared" si="14"/>
        <v>945.53999999999985</v>
      </c>
      <c r="BH10" s="801">
        <f t="shared" si="15"/>
        <v>0</v>
      </c>
      <c r="BI10" s="770">
        <v>103.42</v>
      </c>
      <c r="BJ10" s="803">
        <f>BG10+BI10</f>
        <v>1048.9599999999998</v>
      </c>
      <c r="BL10" s="803">
        <v>1398.61</v>
      </c>
      <c r="BM10" s="770">
        <v>507</v>
      </c>
      <c r="BN10" s="692">
        <f t="shared" si="16"/>
        <v>1905.61</v>
      </c>
      <c r="BP10" s="770" t="s">
        <v>2219</v>
      </c>
    </row>
    <row r="11" spans="1:68" s="651" customFormat="1" ht="14.45" customHeight="1" x14ac:dyDescent="0.2">
      <c r="A11" s="650"/>
      <c r="B11" s="651" t="s">
        <v>2420</v>
      </c>
      <c r="C11" s="697">
        <f>VLOOKUP(H11,$H$128:$I$186,2,FALSE)</f>
        <v>203512</v>
      </c>
      <c r="D11" s="698">
        <v>1</v>
      </c>
      <c r="E11" s="699">
        <v>43012</v>
      </c>
      <c r="F11" s="700" t="s">
        <v>1882</v>
      </c>
      <c r="G11" s="701">
        <v>439256</v>
      </c>
      <c r="H11" s="698" t="s">
        <v>1904</v>
      </c>
      <c r="I11" s="698" t="s">
        <v>189</v>
      </c>
      <c r="J11" s="698" t="s">
        <v>1721</v>
      </c>
      <c r="K11" s="678" t="s">
        <v>189</v>
      </c>
      <c r="L11" s="702" t="s">
        <v>2328</v>
      </c>
      <c r="M11" s="703">
        <v>43507</v>
      </c>
      <c r="N11" s="704">
        <f t="shared" ca="1" si="0"/>
        <v>6.6119096509240247</v>
      </c>
      <c r="O11" s="705" t="s">
        <v>2526</v>
      </c>
      <c r="P11" s="706">
        <v>-1</v>
      </c>
      <c r="Q11" s="707">
        <v>872</v>
      </c>
      <c r="R11" s="707">
        <v>872</v>
      </c>
      <c r="S11" s="661">
        <v>45173</v>
      </c>
      <c r="T11" s="660">
        <v>66</v>
      </c>
      <c r="U11" s="661">
        <v>45275</v>
      </c>
      <c r="V11" s="660">
        <v>192</v>
      </c>
      <c r="W11" s="708">
        <f t="shared" ref="W11:W12" si="18">V11-T11+1</f>
        <v>127</v>
      </c>
      <c r="X11" s="662">
        <f t="shared" si="2"/>
        <v>0.66145833333333337</v>
      </c>
      <c r="Y11" s="661">
        <v>45133</v>
      </c>
      <c r="Z11" s="709" t="s">
        <v>91</v>
      </c>
      <c r="AA11" s="664">
        <v>0</v>
      </c>
      <c r="AB11" s="665">
        <v>3780</v>
      </c>
      <c r="AC11" s="710"/>
      <c r="AD11" s="711">
        <v>1</v>
      </c>
      <c r="AE11" s="667">
        <v>0.36</v>
      </c>
      <c r="AF11" s="668">
        <f t="shared" si="5"/>
        <v>1360.8</v>
      </c>
      <c r="AG11" s="668"/>
      <c r="AH11" s="669"/>
      <c r="AI11" s="669"/>
      <c r="AJ11" s="670"/>
      <c r="AK11" s="670"/>
      <c r="AO11" s="679"/>
      <c r="AP11" s="679"/>
      <c r="AQ11" s="671"/>
      <c r="AR11" s="672"/>
      <c r="AS11" s="673"/>
      <c r="AZ11" s="674"/>
      <c r="BA11" s="675"/>
      <c r="BD11" s="676"/>
      <c r="BE11" s="676"/>
      <c r="BF11" s="712">
        <f>AF11</f>
        <v>1360.8</v>
      </c>
      <c r="BG11" s="676">
        <f t="shared" si="14"/>
        <v>1360.8</v>
      </c>
      <c r="BH11" s="676">
        <f t="shared" si="15"/>
        <v>1360.8</v>
      </c>
      <c r="BI11" s="651">
        <v>478.02</v>
      </c>
      <c r="BJ11" s="712">
        <f t="shared" ref="BJ11:BJ19" si="19">BG11+BI11</f>
        <v>1838.82</v>
      </c>
      <c r="BL11" s="712">
        <f>BH11</f>
        <v>1360.8</v>
      </c>
      <c r="BM11" s="651">
        <v>1141.8800000000001</v>
      </c>
      <c r="BN11" s="692">
        <f t="shared" si="16"/>
        <v>2502.6800000000003</v>
      </c>
      <c r="BO11" s="651" t="s">
        <v>2666</v>
      </c>
      <c r="BP11" s="651" t="s">
        <v>1495</v>
      </c>
    </row>
    <row r="12" spans="1:68" s="651" customFormat="1" ht="14.45" customHeight="1" x14ac:dyDescent="0.2">
      <c r="A12" s="650"/>
      <c r="B12" s="651" t="s">
        <v>2420</v>
      </c>
      <c r="C12" s="697">
        <f>VLOOKUP(H12,$H$128:$I$186,2,FALSE)</f>
        <v>203512</v>
      </c>
      <c r="D12" s="698">
        <v>1</v>
      </c>
      <c r="E12" s="699">
        <v>43012</v>
      </c>
      <c r="F12" s="700" t="s">
        <v>1882</v>
      </c>
      <c r="G12" s="701">
        <v>439256</v>
      </c>
      <c r="H12" s="698" t="s">
        <v>1904</v>
      </c>
      <c r="I12" s="698" t="s">
        <v>189</v>
      </c>
      <c r="J12" s="698" t="s">
        <v>1721</v>
      </c>
      <c r="K12" s="678" t="s">
        <v>189</v>
      </c>
      <c r="L12" s="702" t="s">
        <v>2328</v>
      </c>
      <c r="M12" s="703">
        <v>43507</v>
      </c>
      <c r="N12" s="704">
        <f ca="1">(TODAY()-M12)/365.25</f>
        <v>6.6119096509240247</v>
      </c>
      <c r="O12" s="705" t="s">
        <v>2384</v>
      </c>
      <c r="P12" s="706">
        <v>-1</v>
      </c>
      <c r="Q12" s="707">
        <v>872</v>
      </c>
      <c r="R12" s="707">
        <v>872</v>
      </c>
      <c r="S12" s="661">
        <v>45173</v>
      </c>
      <c r="T12" s="660">
        <v>66</v>
      </c>
      <c r="U12" s="661">
        <v>45275</v>
      </c>
      <c r="V12" s="660">
        <v>192</v>
      </c>
      <c r="W12" s="708">
        <f t="shared" si="18"/>
        <v>127</v>
      </c>
      <c r="X12" s="662">
        <f t="shared" si="2"/>
        <v>0.66145833333333337</v>
      </c>
      <c r="Y12" s="661" t="s">
        <v>36</v>
      </c>
      <c r="Z12" s="709">
        <v>30</v>
      </c>
      <c r="AA12" s="664">
        <v>0</v>
      </c>
      <c r="AB12" s="665">
        <f t="shared" ref="AB12:AB37" si="20">Z12*$AA$121</f>
        <v>14183.099999999999</v>
      </c>
      <c r="AC12" s="710"/>
      <c r="AD12" s="711">
        <v>1</v>
      </c>
      <c r="AE12" s="667">
        <v>0.36</v>
      </c>
      <c r="AF12" s="668">
        <f t="shared" si="5"/>
        <v>5105.9159999999993</v>
      </c>
      <c r="AG12" s="668"/>
      <c r="AH12" s="669"/>
      <c r="AI12" s="669"/>
      <c r="AJ12" s="670"/>
      <c r="AK12" s="670"/>
      <c r="AO12" s="679"/>
      <c r="AP12" s="679"/>
      <c r="AQ12" s="671"/>
      <c r="AR12" s="672"/>
      <c r="AS12" s="673"/>
      <c r="AZ12" s="674"/>
      <c r="BA12" s="675"/>
      <c r="BD12" s="676"/>
      <c r="BE12" s="676"/>
      <c r="BF12" s="712">
        <f>+AF12</f>
        <v>5105.9159999999993</v>
      </c>
      <c r="BG12" s="676">
        <f t="shared" si="14"/>
        <v>5105.9159999999993</v>
      </c>
      <c r="BH12" s="676">
        <f t="shared" si="15"/>
        <v>5105.9159999999993</v>
      </c>
      <c r="BJ12" s="712">
        <f t="shared" si="19"/>
        <v>5105.9159999999993</v>
      </c>
      <c r="BL12" s="712">
        <f>BH12</f>
        <v>5105.9159999999993</v>
      </c>
      <c r="BN12" s="692">
        <f t="shared" si="16"/>
        <v>5105.9159999999993</v>
      </c>
      <c r="BO12" s="651" t="s">
        <v>2666</v>
      </c>
      <c r="BP12" s="651" t="s">
        <v>1495</v>
      </c>
    </row>
    <row r="13" spans="1:68" s="770" customFormat="1" ht="14.45" customHeight="1" x14ac:dyDescent="0.2">
      <c r="A13" s="769">
        <v>45047</v>
      </c>
      <c r="B13" s="770" t="s">
        <v>2422</v>
      </c>
      <c r="C13" s="818">
        <f>VLOOKUP(H13,$H$128:$I$186,2,FALSE)</f>
        <v>203512</v>
      </c>
      <c r="D13" s="772">
        <v>1</v>
      </c>
      <c r="E13" s="805">
        <v>43012</v>
      </c>
      <c r="F13" s="805" t="s">
        <v>1882</v>
      </c>
      <c r="G13" s="774">
        <v>444431</v>
      </c>
      <c r="H13" s="811" t="s">
        <v>1904</v>
      </c>
      <c r="I13" s="811" t="s">
        <v>122</v>
      </c>
      <c r="J13" s="811" t="s">
        <v>1944</v>
      </c>
      <c r="K13" s="819" t="s">
        <v>1945</v>
      </c>
      <c r="L13" s="812" t="s">
        <v>1946</v>
      </c>
      <c r="M13" s="813">
        <v>43442</v>
      </c>
      <c r="N13" s="777">
        <f t="shared" ca="1" si="0"/>
        <v>6.7898699520876109</v>
      </c>
      <c r="O13" s="778" t="s">
        <v>2380</v>
      </c>
      <c r="P13" s="814">
        <v>-1</v>
      </c>
      <c r="Q13" s="812">
        <v>872</v>
      </c>
      <c r="R13" s="812">
        <v>872</v>
      </c>
      <c r="S13" s="782">
        <v>45017</v>
      </c>
      <c r="T13" s="783">
        <v>1</v>
      </c>
      <c r="U13" s="782">
        <v>45128</v>
      </c>
      <c r="V13" s="783">
        <v>63</v>
      </c>
      <c r="W13" s="815">
        <f>V13-T13+1</f>
        <v>63</v>
      </c>
      <c r="X13" s="785">
        <f t="shared" si="2"/>
        <v>0.328125</v>
      </c>
      <c r="Y13" s="782" t="s">
        <v>36</v>
      </c>
      <c r="Z13" s="820">
        <v>28</v>
      </c>
      <c r="AA13" s="788">
        <v>0</v>
      </c>
      <c r="AB13" s="789">
        <f t="shared" si="20"/>
        <v>13237.56</v>
      </c>
      <c r="AC13" s="809"/>
      <c r="AD13" s="821">
        <v>1</v>
      </c>
      <c r="AE13" s="792">
        <f t="shared" si="4"/>
        <v>0.328125</v>
      </c>
      <c r="AF13" s="793">
        <f t="shared" si="5"/>
        <v>4343.5743750000001</v>
      </c>
      <c r="AG13" s="793">
        <v>4343.5743750000001</v>
      </c>
      <c r="AH13" s="794">
        <v>4343.5743750000001</v>
      </c>
      <c r="AI13" s="794">
        <v>0</v>
      </c>
      <c r="AJ13" s="795">
        <v>13237.56</v>
      </c>
      <c r="AK13" s="795">
        <f>AH13-AJ13</f>
        <v>-8893.9856249999993</v>
      </c>
      <c r="AL13" s="770" t="s">
        <v>2636</v>
      </c>
      <c r="AO13" s="796"/>
      <c r="AP13" s="796">
        <v>5819.25</v>
      </c>
      <c r="AQ13" s="796">
        <f>AP13/192*127</f>
        <v>3849.19140625</v>
      </c>
      <c r="AR13" s="797">
        <f>AH13+AQ13</f>
        <v>8192.7657812500001</v>
      </c>
      <c r="AS13" s="798">
        <f>AR13-AJ13</f>
        <v>-5044.7942187499993</v>
      </c>
      <c r="AZ13" s="799">
        <f>AF13+AQ13+AY13</f>
        <v>8192.7657812500001</v>
      </c>
      <c r="BA13" s="800">
        <f>AZ13-AR13</f>
        <v>0</v>
      </c>
      <c r="BD13" s="801">
        <f>AZ13+BC13</f>
        <v>8192.7657812500001</v>
      </c>
      <c r="BE13" s="801">
        <f t="shared" si="13"/>
        <v>0</v>
      </c>
      <c r="BG13" s="801">
        <f t="shared" si="14"/>
        <v>8192.7657812500001</v>
      </c>
      <c r="BH13" s="801">
        <f t="shared" si="15"/>
        <v>0</v>
      </c>
      <c r="BI13" s="770">
        <v>-3849.2</v>
      </c>
      <c r="BJ13" s="803">
        <f t="shared" si="19"/>
        <v>4343.5657812500003</v>
      </c>
      <c r="BL13" s="803">
        <f t="shared" ref="BL13:BL23" si="21">BJ13</f>
        <v>4343.5657812500003</v>
      </c>
      <c r="BN13" s="692">
        <f t="shared" si="16"/>
        <v>4343.5657812500003</v>
      </c>
    </row>
    <row r="14" spans="1:68" s="651" customFormat="1" ht="14.45" customHeight="1" x14ac:dyDescent="0.2">
      <c r="A14" s="650">
        <v>45047</v>
      </c>
      <c r="B14" s="651" t="s">
        <v>2422</v>
      </c>
      <c r="C14" s="697">
        <v>201999</v>
      </c>
      <c r="D14" s="653">
        <v>1</v>
      </c>
      <c r="E14" s="822">
        <v>43012</v>
      </c>
      <c r="F14" s="822" t="s">
        <v>1882</v>
      </c>
      <c r="G14" s="655">
        <v>441597</v>
      </c>
      <c r="H14" s="823" t="s">
        <v>1905</v>
      </c>
      <c r="I14" s="824" t="s">
        <v>115</v>
      </c>
      <c r="J14" s="824" t="s">
        <v>1947</v>
      </c>
      <c r="K14" s="824" t="s">
        <v>1948</v>
      </c>
      <c r="L14" s="822" t="s">
        <v>1949</v>
      </c>
      <c r="M14" s="825">
        <v>43580</v>
      </c>
      <c r="N14" s="657">
        <f t="shared" ca="1" si="0"/>
        <v>6.4120465434633811</v>
      </c>
      <c r="O14" s="826" t="s">
        <v>2379</v>
      </c>
      <c r="P14" s="827">
        <v>-1</v>
      </c>
      <c r="Q14" s="822">
        <v>872</v>
      </c>
      <c r="R14" s="822">
        <v>872</v>
      </c>
      <c r="S14" s="661">
        <v>45017</v>
      </c>
      <c r="T14" s="660">
        <v>1</v>
      </c>
      <c r="U14" s="661">
        <v>45382</v>
      </c>
      <c r="V14" s="660">
        <v>192</v>
      </c>
      <c r="W14" s="708">
        <f>V14-T14+1</f>
        <v>192</v>
      </c>
      <c r="X14" s="662">
        <f t="shared" si="2"/>
        <v>1</v>
      </c>
      <c r="Y14" s="659" t="s">
        <v>36</v>
      </c>
      <c r="Z14" s="828">
        <v>30</v>
      </c>
      <c r="AA14" s="664">
        <v>0</v>
      </c>
      <c r="AB14" s="665">
        <f t="shared" si="20"/>
        <v>14183.099999999999</v>
      </c>
      <c r="AC14" s="652" t="s">
        <v>56</v>
      </c>
      <c r="AD14" s="829">
        <v>1</v>
      </c>
      <c r="AE14" s="667">
        <f t="shared" si="4"/>
        <v>1</v>
      </c>
      <c r="AF14" s="668">
        <f t="shared" si="5"/>
        <v>14183.099999999999</v>
      </c>
      <c r="AG14" s="668">
        <v>4653.8296874999996</v>
      </c>
      <c r="AH14" s="669">
        <v>14183.099999999999</v>
      </c>
      <c r="AI14" s="669">
        <v>9529.2703124999989</v>
      </c>
      <c r="AJ14" s="670">
        <v>14183.099999999999</v>
      </c>
      <c r="AK14" s="670">
        <f>AH14-AJ14</f>
        <v>0</v>
      </c>
      <c r="AL14" s="651" t="s">
        <v>2637</v>
      </c>
      <c r="AO14" s="671"/>
      <c r="AP14" s="671"/>
      <c r="AR14" s="672">
        <f>AH14+AQ14</f>
        <v>14183.099999999999</v>
      </c>
      <c r="AS14" s="673">
        <f>AR14-AJ14</f>
        <v>0</v>
      </c>
      <c r="AV14" s="651" t="s">
        <v>2621</v>
      </c>
      <c r="AZ14" s="674">
        <f>AF14+AQ14+AY14</f>
        <v>14183.099999999999</v>
      </c>
      <c r="BA14" s="675">
        <f>AZ14-AR14</f>
        <v>0</v>
      </c>
      <c r="BD14" s="676">
        <f>AZ14+BC14</f>
        <v>14183.099999999999</v>
      </c>
      <c r="BE14" s="676">
        <f t="shared" si="13"/>
        <v>0</v>
      </c>
      <c r="BG14" s="676">
        <f t="shared" si="14"/>
        <v>14183.099999999999</v>
      </c>
      <c r="BH14" s="676">
        <f t="shared" si="15"/>
        <v>0</v>
      </c>
      <c r="BI14" s="651">
        <v>-12011.3</v>
      </c>
      <c r="BJ14" s="712">
        <f t="shared" si="19"/>
        <v>2171.7999999999993</v>
      </c>
      <c r="BL14" s="712">
        <f t="shared" si="21"/>
        <v>2171.7999999999993</v>
      </c>
      <c r="BN14" s="692">
        <f t="shared" si="16"/>
        <v>2171.7999999999993</v>
      </c>
    </row>
    <row r="15" spans="1:68" s="770" customFormat="1" ht="14.45" customHeight="1" x14ac:dyDescent="0.2">
      <c r="A15" s="769">
        <v>45047</v>
      </c>
      <c r="B15" s="770" t="s">
        <v>2422</v>
      </c>
      <c r="C15" s="818">
        <v>201999</v>
      </c>
      <c r="D15" s="772">
        <v>1</v>
      </c>
      <c r="E15" s="805">
        <v>43012</v>
      </c>
      <c r="F15" s="805" t="s">
        <v>1882</v>
      </c>
      <c r="G15" s="774">
        <v>446784</v>
      </c>
      <c r="H15" s="832" t="s">
        <v>1905</v>
      </c>
      <c r="I15" s="832" t="s">
        <v>654</v>
      </c>
      <c r="J15" s="832" t="s">
        <v>684</v>
      </c>
      <c r="K15" s="832" t="s">
        <v>1950</v>
      </c>
      <c r="L15" s="805" t="s">
        <v>1951</v>
      </c>
      <c r="M15" s="833">
        <v>43535</v>
      </c>
      <c r="N15" s="777">
        <f t="shared" ca="1" si="0"/>
        <v>6.5352498288843259</v>
      </c>
      <c r="O15" s="834" t="s">
        <v>2380</v>
      </c>
      <c r="P15" s="835">
        <v>-1</v>
      </c>
      <c r="Q15" s="805">
        <v>872</v>
      </c>
      <c r="R15" s="805">
        <v>872</v>
      </c>
      <c r="S15" s="836">
        <v>45017</v>
      </c>
      <c r="T15" s="783">
        <v>1</v>
      </c>
      <c r="U15" s="836">
        <v>45128</v>
      </c>
      <c r="V15" s="783">
        <v>63</v>
      </c>
      <c r="W15" s="815">
        <f>V15-T15+1</f>
        <v>63</v>
      </c>
      <c r="X15" s="785">
        <f t="shared" si="2"/>
        <v>0.328125</v>
      </c>
      <c r="Y15" s="836">
        <v>45128</v>
      </c>
      <c r="Z15" s="820">
        <v>8.5</v>
      </c>
      <c r="AA15" s="788">
        <v>0</v>
      </c>
      <c r="AB15" s="789">
        <f t="shared" si="20"/>
        <v>4018.5450000000001</v>
      </c>
      <c r="AC15" s="790" t="s">
        <v>56</v>
      </c>
      <c r="AD15" s="821">
        <v>1</v>
      </c>
      <c r="AE15" s="792">
        <f t="shared" si="4"/>
        <v>0.328125</v>
      </c>
      <c r="AF15" s="793">
        <f t="shared" si="5"/>
        <v>1318.5850781250001</v>
      </c>
      <c r="AG15" s="793">
        <v>1318.5850781250001</v>
      </c>
      <c r="AH15" s="794">
        <v>1318.5850781250001</v>
      </c>
      <c r="AI15" s="794">
        <v>0</v>
      </c>
      <c r="AJ15" s="795">
        <v>1318.5850781250001</v>
      </c>
      <c r="AK15" s="795">
        <f>AH15-AJ15</f>
        <v>0</v>
      </c>
      <c r="AL15" s="770" t="s">
        <v>2423</v>
      </c>
      <c r="AM15" s="770">
        <v>43012</v>
      </c>
      <c r="AN15" s="770" t="s">
        <v>2184</v>
      </c>
      <c r="AO15" s="796">
        <f>AP15/192*127</f>
        <v>5412.7796875000004</v>
      </c>
      <c r="AP15" s="796">
        <v>8183.1</v>
      </c>
      <c r="AQ15" s="796">
        <f>AO15</f>
        <v>5412.7796875000004</v>
      </c>
      <c r="AR15" s="797">
        <f>AH15+AQ15</f>
        <v>6731.3647656250005</v>
      </c>
      <c r="AS15" s="798">
        <f>AR15-AJ15</f>
        <v>5412.7796875000004</v>
      </c>
      <c r="AT15" s="770" t="s">
        <v>2424</v>
      </c>
      <c r="AV15" s="770" t="s">
        <v>2423</v>
      </c>
      <c r="AW15" s="770">
        <v>43012</v>
      </c>
      <c r="AX15" s="770" t="s">
        <v>2184</v>
      </c>
      <c r="AY15" s="801">
        <f>AQ15*-1</f>
        <v>-5412.7796875000004</v>
      </c>
      <c r="AZ15" s="799">
        <f>AF15+AQ15+AY15</f>
        <v>1318.5850781250001</v>
      </c>
      <c r="BA15" s="800">
        <f>AZ15-AR15</f>
        <v>-5412.7796875000004</v>
      </c>
      <c r="BB15" s="770" t="s">
        <v>2543</v>
      </c>
      <c r="BD15" s="801">
        <f>AZ15+BC15</f>
        <v>1318.5850781250001</v>
      </c>
      <c r="BE15" s="801">
        <f t="shared" si="13"/>
        <v>0</v>
      </c>
      <c r="BG15" s="801">
        <f t="shared" si="14"/>
        <v>1318.5850781250001</v>
      </c>
      <c r="BH15" s="801">
        <f t="shared" si="15"/>
        <v>0</v>
      </c>
      <c r="BI15" s="770">
        <v>0</v>
      </c>
      <c r="BJ15" s="803">
        <f t="shared" si="19"/>
        <v>1318.5850781250001</v>
      </c>
      <c r="BL15" s="803">
        <f t="shared" si="21"/>
        <v>1318.5850781250001</v>
      </c>
      <c r="BN15" s="692">
        <f t="shared" si="16"/>
        <v>1318.5850781250001</v>
      </c>
    </row>
    <row r="16" spans="1:68" s="651" customFormat="1" ht="14.45" customHeight="1" x14ac:dyDescent="0.2">
      <c r="A16" s="650"/>
      <c r="B16" s="651" t="s">
        <v>2420</v>
      </c>
      <c r="C16" s="697">
        <v>201999</v>
      </c>
      <c r="D16" s="653">
        <v>1</v>
      </c>
      <c r="E16" s="822">
        <v>43012</v>
      </c>
      <c r="F16" s="822" t="s">
        <v>1882</v>
      </c>
      <c r="G16" s="655">
        <v>446784</v>
      </c>
      <c r="H16" s="824" t="s">
        <v>1905</v>
      </c>
      <c r="I16" s="824" t="s">
        <v>1692</v>
      </c>
      <c r="J16" s="824" t="s">
        <v>2576</v>
      </c>
      <c r="K16" s="824" t="s">
        <v>2577</v>
      </c>
      <c r="L16" s="822" t="s">
        <v>2578</v>
      </c>
      <c r="M16" s="825">
        <v>44005</v>
      </c>
      <c r="N16" s="657">
        <f t="shared" ca="1" si="0"/>
        <v>5.248459958932238</v>
      </c>
      <c r="O16" s="837" t="s">
        <v>2526</v>
      </c>
      <c r="P16" s="827">
        <v>-2</v>
      </c>
      <c r="Q16" s="822">
        <v>872</v>
      </c>
      <c r="R16" s="822">
        <v>872</v>
      </c>
      <c r="S16" s="659">
        <v>45135</v>
      </c>
      <c r="T16" s="660">
        <v>63</v>
      </c>
      <c r="U16" s="659">
        <v>45128</v>
      </c>
      <c r="V16" s="660">
        <v>63</v>
      </c>
      <c r="W16" s="708">
        <v>63</v>
      </c>
      <c r="X16" s="662">
        <f t="shared" si="2"/>
        <v>0.328125</v>
      </c>
      <c r="Y16" s="659" t="s">
        <v>36</v>
      </c>
      <c r="Z16" s="828">
        <v>30</v>
      </c>
      <c r="AA16" s="664"/>
      <c r="AB16" s="665">
        <f t="shared" si="20"/>
        <v>14183.099999999999</v>
      </c>
      <c r="AC16" s="652"/>
      <c r="AD16" s="829">
        <v>1</v>
      </c>
      <c r="AE16" s="667">
        <f t="shared" si="4"/>
        <v>0.328125</v>
      </c>
      <c r="AF16" s="668">
        <f t="shared" si="5"/>
        <v>4653.8296874999996</v>
      </c>
      <c r="AG16" s="668"/>
      <c r="AH16" s="669"/>
      <c r="AI16" s="669"/>
      <c r="AJ16" s="670"/>
      <c r="AK16" s="670"/>
      <c r="AO16" s="671"/>
      <c r="AP16" s="671"/>
      <c r="AQ16" s="671"/>
      <c r="AR16" s="672"/>
      <c r="AS16" s="673"/>
      <c r="AY16" s="676"/>
      <c r="AZ16" s="674"/>
      <c r="BA16" s="675"/>
      <c r="BD16" s="676">
        <f>AF16</f>
        <v>4653.8296874999996</v>
      </c>
      <c r="BE16" s="676">
        <f t="shared" si="13"/>
        <v>4653.8296874999996</v>
      </c>
      <c r="BF16" s="712"/>
      <c r="BG16" s="676">
        <f t="shared" si="14"/>
        <v>4653.8296874999996</v>
      </c>
      <c r="BH16" s="676">
        <f t="shared" si="15"/>
        <v>0</v>
      </c>
      <c r="BI16" s="651">
        <v>-3590.1</v>
      </c>
      <c r="BJ16" s="712">
        <f t="shared" si="19"/>
        <v>1063.7296874999997</v>
      </c>
      <c r="BL16" s="712">
        <f t="shared" si="21"/>
        <v>1063.7296874999997</v>
      </c>
      <c r="BM16" s="651">
        <v>856</v>
      </c>
      <c r="BN16" s="692">
        <f t="shared" si="16"/>
        <v>1919.7296874999997</v>
      </c>
      <c r="BO16" s="651" t="s">
        <v>2666</v>
      </c>
      <c r="BP16" s="651" t="s">
        <v>2674</v>
      </c>
    </row>
    <row r="17" spans="1:68" s="770" customFormat="1" ht="14.45" customHeight="1" x14ac:dyDescent="0.2">
      <c r="A17" s="769">
        <v>45047</v>
      </c>
      <c r="B17" s="770" t="s">
        <v>2422</v>
      </c>
      <c r="C17" s="818">
        <v>201999</v>
      </c>
      <c r="D17" s="772">
        <v>1</v>
      </c>
      <c r="E17" s="805">
        <v>43012</v>
      </c>
      <c r="F17" s="805" t="s">
        <v>1882</v>
      </c>
      <c r="G17" s="774">
        <v>437649</v>
      </c>
      <c r="H17" s="832" t="s">
        <v>1905</v>
      </c>
      <c r="I17" s="832" t="s">
        <v>99</v>
      </c>
      <c r="J17" s="832" t="s">
        <v>1952</v>
      </c>
      <c r="K17" s="832" t="s">
        <v>1953</v>
      </c>
      <c r="L17" s="805" t="s">
        <v>1954</v>
      </c>
      <c r="M17" s="833">
        <v>43256</v>
      </c>
      <c r="N17" s="777">
        <f t="shared" ca="1" si="0"/>
        <v>7.2991101984941817</v>
      </c>
      <c r="O17" s="834" t="s">
        <v>2380</v>
      </c>
      <c r="P17" s="835">
        <v>0</v>
      </c>
      <c r="Q17" s="805">
        <v>872</v>
      </c>
      <c r="R17" s="805">
        <v>872</v>
      </c>
      <c r="S17" s="836">
        <v>45017</v>
      </c>
      <c r="T17" s="783">
        <v>1</v>
      </c>
      <c r="U17" s="782">
        <v>45128</v>
      </c>
      <c r="V17" s="783">
        <v>63</v>
      </c>
      <c r="W17" s="815">
        <f t="shared" ref="W17:W35" si="22">V17-T17+1</f>
        <v>63</v>
      </c>
      <c r="X17" s="785">
        <f t="shared" si="2"/>
        <v>0.328125</v>
      </c>
      <c r="Y17" s="836" t="s">
        <v>36</v>
      </c>
      <c r="Z17" s="838">
        <v>15</v>
      </c>
      <c r="AA17" s="788">
        <v>0</v>
      </c>
      <c r="AB17" s="789">
        <f t="shared" si="20"/>
        <v>7091.5499999999993</v>
      </c>
      <c r="AC17" s="790" t="s">
        <v>1955</v>
      </c>
      <c r="AD17" s="839">
        <v>1</v>
      </c>
      <c r="AE17" s="792">
        <f t="shared" si="4"/>
        <v>0.328125</v>
      </c>
      <c r="AF17" s="793">
        <f t="shared" si="5"/>
        <v>2326.9148437499998</v>
      </c>
      <c r="AG17" s="793">
        <v>2326.9148437499998</v>
      </c>
      <c r="AH17" s="794">
        <v>2326.9148437499998</v>
      </c>
      <c r="AI17" s="794">
        <v>0</v>
      </c>
      <c r="AJ17" s="795">
        <v>7091.5499999999993</v>
      </c>
      <c r="AK17" s="795">
        <f>AH17-AJ17</f>
        <v>-4764.6351562499995</v>
      </c>
      <c r="AL17" s="770" t="s">
        <v>2637</v>
      </c>
      <c r="AO17" s="796"/>
      <c r="AP17" s="796">
        <v>5819.25</v>
      </c>
      <c r="AQ17" s="796">
        <f>AP17/192*127</f>
        <v>3849.19140625</v>
      </c>
      <c r="AR17" s="797">
        <f t="shared" ref="AR17:AR51" si="23">AH17+AQ17</f>
        <v>6176.1062499999998</v>
      </c>
      <c r="AS17" s="798">
        <f t="shared" ref="AS17:AS51" si="24">AR17-AJ17</f>
        <v>-915.44374999999945</v>
      </c>
      <c r="AZ17" s="799">
        <f t="shared" ref="AZ17:AZ51" si="25">AF17+AQ17+AY17</f>
        <v>6176.1062499999998</v>
      </c>
      <c r="BA17" s="800">
        <f t="shared" ref="BA17:BA51" si="26">AZ17-AR17</f>
        <v>0</v>
      </c>
      <c r="BD17" s="801">
        <f t="shared" ref="BD17:BD51" si="27">AZ17+BC17</f>
        <v>6176.1062499999998</v>
      </c>
      <c r="BE17" s="801">
        <f t="shared" si="13"/>
        <v>0</v>
      </c>
      <c r="BG17" s="801">
        <f t="shared" si="14"/>
        <v>6176.1062499999998</v>
      </c>
      <c r="BH17" s="801">
        <f t="shared" si="15"/>
        <v>0</v>
      </c>
      <c r="BI17" s="770">
        <v>-3849.2</v>
      </c>
      <c r="BJ17" s="803">
        <f t="shared" si="19"/>
        <v>2326.90625</v>
      </c>
      <c r="BL17" s="803">
        <f t="shared" si="21"/>
        <v>2326.90625</v>
      </c>
      <c r="BN17" s="692">
        <f t="shared" si="16"/>
        <v>2326.90625</v>
      </c>
    </row>
    <row r="18" spans="1:68" s="770" customFormat="1" ht="14.45" customHeight="1" x14ac:dyDescent="0.2">
      <c r="A18" s="769">
        <v>45047</v>
      </c>
      <c r="B18" s="770" t="s">
        <v>2420</v>
      </c>
      <c r="C18" s="790">
        <v>201999</v>
      </c>
      <c r="D18" s="772">
        <v>1</v>
      </c>
      <c r="E18" s="804">
        <v>43012</v>
      </c>
      <c r="F18" s="805" t="s">
        <v>1882</v>
      </c>
      <c r="G18" s="774">
        <v>449451</v>
      </c>
      <c r="H18" s="840" t="s">
        <v>1905</v>
      </c>
      <c r="I18" s="840" t="s">
        <v>1956</v>
      </c>
      <c r="J18" s="840" t="s">
        <v>1957</v>
      </c>
      <c r="K18" s="177" t="s">
        <v>1958</v>
      </c>
      <c r="L18" s="804" t="s">
        <v>1959</v>
      </c>
      <c r="M18" s="841">
        <v>43765</v>
      </c>
      <c r="N18" s="777">
        <f t="shared" ca="1" si="0"/>
        <v>5.9055441478439423</v>
      </c>
      <c r="O18" s="777" t="s">
        <v>2381</v>
      </c>
      <c r="P18" s="842">
        <v>-2</v>
      </c>
      <c r="Q18" s="804">
        <v>872</v>
      </c>
      <c r="R18" s="804">
        <v>872</v>
      </c>
      <c r="S18" s="836">
        <v>45017</v>
      </c>
      <c r="T18" s="783">
        <v>1</v>
      </c>
      <c r="U18" s="782">
        <v>45382</v>
      </c>
      <c r="V18" s="783">
        <v>192</v>
      </c>
      <c r="W18" s="783">
        <f t="shared" si="22"/>
        <v>192</v>
      </c>
      <c r="X18" s="785">
        <f t="shared" si="2"/>
        <v>1</v>
      </c>
      <c r="Y18" s="836" t="s">
        <v>36</v>
      </c>
      <c r="Z18" s="787">
        <v>5.5</v>
      </c>
      <c r="AA18" s="788">
        <v>0</v>
      </c>
      <c r="AB18" s="789">
        <f t="shared" si="20"/>
        <v>2600.2349999999997</v>
      </c>
      <c r="AC18" s="771" t="s">
        <v>1960</v>
      </c>
      <c r="AD18" s="791">
        <v>1</v>
      </c>
      <c r="AE18" s="843">
        <f t="shared" si="4"/>
        <v>1</v>
      </c>
      <c r="AF18" s="793">
        <f t="shared" si="5"/>
        <v>2600.2349999999997</v>
      </c>
      <c r="AG18" s="793">
        <v>853.20210937499985</v>
      </c>
      <c r="AH18" s="794">
        <v>2600.2349999999997</v>
      </c>
      <c r="AI18" s="794">
        <v>1747.0328906249997</v>
      </c>
      <c r="AJ18" s="795">
        <v>2600.2349999999997</v>
      </c>
      <c r="AK18" s="795">
        <f>AH18-AJ18</f>
        <v>0</v>
      </c>
      <c r="AO18" s="796"/>
      <c r="AP18" s="796"/>
      <c r="AR18" s="797">
        <f t="shared" si="23"/>
        <v>2600.2349999999997</v>
      </c>
      <c r="AS18" s="798">
        <f t="shared" si="24"/>
        <v>0</v>
      </c>
      <c r="AZ18" s="799">
        <f t="shared" si="25"/>
        <v>2600.2349999999997</v>
      </c>
      <c r="BA18" s="800">
        <f t="shared" si="26"/>
        <v>0</v>
      </c>
      <c r="BD18" s="801">
        <f t="shared" si="27"/>
        <v>2600.2349999999997</v>
      </c>
      <c r="BE18" s="801">
        <f t="shared" si="13"/>
        <v>0</v>
      </c>
      <c r="BF18" s="803"/>
      <c r="BG18" s="801">
        <f t="shared" si="14"/>
        <v>2600.2349999999997</v>
      </c>
      <c r="BH18" s="801">
        <f t="shared" si="15"/>
        <v>0</v>
      </c>
      <c r="BI18" s="770">
        <v>-785.49</v>
      </c>
      <c r="BJ18" s="803">
        <f t="shared" si="19"/>
        <v>1814.7449999999997</v>
      </c>
      <c r="BL18" s="803">
        <f t="shared" si="21"/>
        <v>1814.7449999999997</v>
      </c>
      <c r="BM18" s="770">
        <v>785.49</v>
      </c>
      <c r="BN18" s="692">
        <f t="shared" si="16"/>
        <v>2600.2349999999997</v>
      </c>
      <c r="BO18" s="770" t="s">
        <v>2666</v>
      </c>
      <c r="BP18" s="770" t="s">
        <v>2219</v>
      </c>
    </row>
    <row r="19" spans="1:68" s="854" customFormat="1" ht="14.45" customHeight="1" x14ac:dyDescent="0.2">
      <c r="A19" s="853">
        <v>45047</v>
      </c>
      <c r="B19" s="854" t="s">
        <v>2420</v>
      </c>
      <c r="C19" s="855">
        <f>VLOOKUP(H19,$H$128:$I$186,2,FALSE)</f>
        <v>201999</v>
      </c>
      <c r="D19" s="856">
        <v>1</v>
      </c>
      <c r="E19" s="857">
        <v>43012</v>
      </c>
      <c r="F19" s="858" t="s">
        <v>1882</v>
      </c>
      <c r="G19" s="859">
        <v>449926</v>
      </c>
      <c r="H19" s="856" t="s">
        <v>1905</v>
      </c>
      <c r="I19" s="856" t="s">
        <v>1961</v>
      </c>
      <c r="J19" s="856" t="s">
        <v>1962</v>
      </c>
      <c r="K19" s="860" t="s">
        <v>1963</v>
      </c>
      <c r="L19" s="861" t="s">
        <v>1964</v>
      </c>
      <c r="M19" s="862">
        <v>43924</v>
      </c>
      <c r="N19" s="863">
        <f t="shared" ca="1" si="0"/>
        <v>5.4702258726899382</v>
      </c>
      <c r="O19" s="863" t="s">
        <v>2384</v>
      </c>
      <c r="P19" s="864">
        <v>-2</v>
      </c>
      <c r="Q19" s="861">
        <v>872</v>
      </c>
      <c r="R19" s="861">
        <v>872</v>
      </c>
      <c r="S19" s="862">
        <v>45020</v>
      </c>
      <c r="T19" s="865">
        <v>1</v>
      </c>
      <c r="U19" s="862">
        <v>45382</v>
      </c>
      <c r="V19" s="865">
        <v>192</v>
      </c>
      <c r="W19" s="865">
        <f t="shared" si="22"/>
        <v>192</v>
      </c>
      <c r="X19" s="866">
        <f t="shared" si="2"/>
        <v>1</v>
      </c>
      <c r="Y19" s="862" t="s">
        <v>36</v>
      </c>
      <c r="Z19" s="867">
        <v>30</v>
      </c>
      <c r="AA19" s="868">
        <v>0</v>
      </c>
      <c r="AB19" s="869">
        <f t="shared" si="20"/>
        <v>14183.099999999999</v>
      </c>
      <c r="AC19" s="870"/>
      <c r="AD19" s="871">
        <v>1</v>
      </c>
      <c r="AE19" s="872">
        <f t="shared" si="4"/>
        <v>1</v>
      </c>
      <c r="AF19" s="873">
        <f t="shared" si="5"/>
        <v>14183.099999999999</v>
      </c>
      <c r="AG19" s="873">
        <v>4653.8296874999996</v>
      </c>
      <c r="AH19" s="874">
        <v>14183.099999999999</v>
      </c>
      <c r="AI19" s="874">
        <v>9529.2703124999989</v>
      </c>
      <c r="AJ19" s="875">
        <v>14183.099999999999</v>
      </c>
      <c r="AK19" s="875">
        <f>AH19-AJ19</f>
        <v>0</v>
      </c>
      <c r="AO19" s="876"/>
      <c r="AP19" s="876"/>
      <c r="AR19" s="877">
        <f t="shared" si="23"/>
        <v>14183.099999999999</v>
      </c>
      <c r="AS19" s="878">
        <f t="shared" si="24"/>
        <v>0</v>
      </c>
      <c r="AZ19" s="879">
        <f t="shared" si="25"/>
        <v>14183.099999999999</v>
      </c>
      <c r="BA19" s="880">
        <f t="shared" si="26"/>
        <v>0</v>
      </c>
      <c r="BD19" s="881">
        <f t="shared" si="27"/>
        <v>14183.099999999999</v>
      </c>
      <c r="BE19" s="881">
        <f t="shared" si="13"/>
        <v>0</v>
      </c>
      <c r="BF19" s="882"/>
      <c r="BG19" s="881">
        <f t="shared" si="14"/>
        <v>14183.099999999999</v>
      </c>
      <c r="BH19" s="881">
        <f t="shared" si="15"/>
        <v>0</v>
      </c>
      <c r="BI19" s="854">
        <v>-12203.38</v>
      </c>
      <c r="BJ19" s="882">
        <f t="shared" si="19"/>
        <v>1979.7199999999993</v>
      </c>
      <c r="BL19" s="882">
        <f t="shared" si="21"/>
        <v>1979.7199999999993</v>
      </c>
      <c r="BM19" s="854">
        <v>856.9</v>
      </c>
      <c r="BN19" s="692">
        <f t="shared" si="16"/>
        <v>2836.6199999999994</v>
      </c>
      <c r="BO19" s="854" t="s">
        <v>2666</v>
      </c>
      <c r="BP19" s="854" t="s">
        <v>2675</v>
      </c>
    </row>
    <row r="20" spans="1:68" s="770" customFormat="1" ht="14.45" customHeight="1" x14ac:dyDescent="0.2">
      <c r="A20" s="769">
        <v>45047</v>
      </c>
      <c r="B20" s="770" t="s">
        <v>2422</v>
      </c>
      <c r="C20" s="790">
        <f>VLOOKUP(H20,$H$128:$I$186,2,FALSE)</f>
        <v>201999</v>
      </c>
      <c r="D20" s="772">
        <v>1</v>
      </c>
      <c r="E20" s="804">
        <v>43012</v>
      </c>
      <c r="F20" s="804" t="s">
        <v>1882</v>
      </c>
      <c r="G20" s="774">
        <v>449681</v>
      </c>
      <c r="H20" s="772" t="s">
        <v>1905</v>
      </c>
      <c r="I20" s="772" t="s">
        <v>325</v>
      </c>
      <c r="J20" s="772" t="s">
        <v>329</v>
      </c>
      <c r="K20" s="806" t="s">
        <v>1406</v>
      </c>
      <c r="L20" s="807" t="s">
        <v>1965</v>
      </c>
      <c r="M20" s="782">
        <v>43359</v>
      </c>
      <c r="N20" s="777">
        <f t="shared" ca="1" si="0"/>
        <v>7.0171115674195752</v>
      </c>
      <c r="O20" s="846" t="s">
        <v>2380</v>
      </c>
      <c r="P20" s="808">
        <v>-1</v>
      </c>
      <c r="Q20" s="807">
        <v>872</v>
      </c>
      <c r="R20" s="807">
        <v>872</v>
      </c>
      <c r="S20" s="813">
        <v>45035</v>
      </c>
      <c r="T20" s="783">
        <v>3</v>
      </c>
      <c r="U20" s="782">
        <v>45128</v>
      </c>
      <c r="V20" s="783">
        <v>63</v>
      </c>
      <c r="W20" s="815">
        <f t="shared" si="22"/>
        <v>61</v>
      </c>
      <c r="X20" s="785">
        <f t="shared" si="2"/>
        <v>0.31770833333333331</v>
      </c>
      <c r="Y20" s="782" t="s">
        <v>36</v>
      </c>
      <c r="Z20" s="838">
        <v>30</v>
      </c>
      <c r="AA20" s="788">
        <v>0</v>
      </c>
      <c r="AB20" s="789">
        <f t="shared" si="20"/>
        <v>14183.099999999999</v>
      </c>
      <c r="AC20" s="809"/>
      <c r="AD20" s="845">
        <v>1</v>
      </c>
      <c r="AE20" s="792">
        <f t="shared" si="4"/>
        <v>0.31770833333333331</v>
      </c>
      <c r="AF20" s="793">
        <f t="shared" si="5"/>
        <v>4506.0890624999993</v>
      </c>
      <c r="AG20" s="793">
        <v>4506.0890624999993</v>
      </c>
      <c r="AH20" s="794">
        <v>4506.0890624999993</v>
      </c>
      <c r="AI20" s="794">
        <v>0</v>
      </c>
      <c r="AJ20" s="795">
        <v>14183.099999999999</v>
      </c>
      <c r="AK20" s="795">
        <f>AH20-AI20</f>
        <v>4506.0890624999993</v>
      </c>
      <c r="AL20" s="770" t="s">
        <v>2442</v>
      </c>
      <c r="AO20" s="796"/>
      <c r="AP20" s="796"/>
      <c r="AR20" s="797">
        <f t="shared" si="23"/>
        <v>4506.0890624999993</v>
      </c>
      <c r="AS20" s="798">
        <f t="shared" si="24"/>
        <v>-9677.0109374999993</v>
      </c>
      <c r="AT20" s="770" t="s">
        <v>2406</v>
      </c>
      <c r="AU20" s="847" t="s">
        <v>2445</v>
      </c>
      <c r="AZ20" s="799">
        <f t="shared" si="25"/>
        <v>4506.0890624999993</v>
      </c>
      <c r="BA20" s="800">
        <f t="shared" si="26"/>
        <v>0</v>
      </c>
      <c r="BD20" s="801">
        <f t="shared" si="27"/>
        <v>4506.0890624999993</v>
      </c>
      <c r="BE20" s="801">
        <f t="shared" si="13"/>
        <v>0</v>
      </c>
      <c r="BG20" s="801">
        <f t="shared" si="14"/>
        <v>4506.0890624999993</v>
      </c>
      <c r="BH20" s="801">
        <f t="shared" si="15"/>
        <v>0</v>
      </c>
      <c r="BI20" s="801">
        <f t="shared" ref="BI20:BI22" si="28">(BG20-BJ20)*-1</f>
        <v>0</v>
      </c>
      <c r="BJ20" s="803">
        <f>BG20</f>
        <v>4506.0890624999993</v>
      </c>
      <c r="BL20" s="803">
        <f t="shared" si="21"/>
        <v>4506.0890624999993</v>
      </c>
      <c r="BN20" s="692">
        <f t="shared" si="16"/>
        <v>4506.0890624999993</v>
      </c>
    </row>
    <row r="21" spans="1:68" s="770" customFormat="1" ht="14.45" customHeight="1" x14ac:dyDescent="0.2">
      <c r="A21" s="769">
        <v>45047</v>
      </c>
      <c r="B21" s="770" t="s">
        <v>2422</v>
      </c>
      <c r="C21" s="790">
        <v>203513</v>
      </c>
      <c r="D21" s="772">
        <v>1</v>
      </c>
      <c r="E21" s="804">
        <v>43012</v>
      </c>
      <c r="F21" s="804" t="s">
        <v>1882</v>
      </c>
      <c r="G21" s="774">
        <v>444019</v>
      </c>
      <c r="H21" s="840" t="s">
        <v>1899</v>
      </c>
      <c r="I21" s="840" t="s">
        <v>1966</v>
      </c>
      <c r="J21" s="840" t="s">
        <v>962</v>
      </c>
      <c r="K21" s="848" t="s">
        <v>1967</v>
      </c>
      <c r="L21" s="849" t="s">
        <v>1968</v>
      </c>
      <c r="M21" s="849">
        <v>43354</v>
      </c>
      <c r="N21" s="777">
        <f t="shared" ca="1" si="0"/>
        <v>7.0308008213552364</v>
      </c>
      <c r="O21" s="846" t="s">
        <v>2380</v>
      </c>
      <c r="P21" s="842">
        <v>-1</v>
      </c>
      <c r="Q21" s="804">
        <v>872</v>
      </c>
      <c r="R21" s="804">
        <v>872</v>
      </c>
      <c r="S21" s="844">
        <v>45017</v>
      </c>
      <c r="T21" s="783">
        <v>1</v>
      </c>
      <c r="U21" s="782">
        <v>45128</v>
      </c>
      <c r="V21" s="783">
        <v>63</v>
      </c>
      <c r="W21" s="815">
        <f t="shared" si="22"/>
        <v>63</v>
      </c>
      <c r="X21" s="785">
        <f t="shared" si="2"/>
        <v>0.328125</v>
      </c>
      <c r="Y21" s="836" t="s">
        <v>36</v>
      </c>
      <c r="Z21" s="838">
        <v>25</v>
      </c>
      <c r="AA21" s="788">
        <v>0</v>
      </c>
      <c r="AB21" s="789">
        <f t="shared" si="20"/>
        <v>11819.25</v>
      </c>
      <c r="AC21" s="790" t="s">
        <v>43</v>
      </c>
      <c r="AD21" s="845">
        <v>1</v>
      </c>
      <c r="AE21" s="792">
        <f t="shared" si="4"/>
        <v>0.328125</v>
      </c>
      <c r="AF21" s="793">
        <f t="shared" si="5"/>
        <v>3878.19140625</v>
      </c>
      <c r="AG21" s="793">
        <v>3878.19140625</v>
      </c>
      <c r="AH21" s="794">
        <v>3878.19140625</v>
      </c>
      <c r="AI21" s="794">
        <v>0</v>
      </c>
      <c r="AJ21" s="795">
        <v>11819.25</v>
      </c>
      <c r="AK21" s="795">
        <f t="shared" ref="AK21:AK69" si="29">AH21-AJ21</f>
        <v>-7941.05859375</v>
      </c>
      <c r="AL21" s="770" t="s">
        <v>2638</v>
      </c>
      <c r="AO21" s="796"/>
      <c r="AP21" s="796">
        <v>5819.25</v>
      </c>
      <c r="AQ21" s="796">
        <f>AP21/192*127</f>
        <v>3849.19140625</v>
      </c>
      <c r="AR21" s="797">
        <f t="shared" si="23"/>
        <v>7727.3828125</v>
      </c>
      <c r="AS21" s="798">
        <f t="shared" si="24"/>
        <v>-4091.8671875</v>
      </c>
      <c r="AU21" s="847"/>
      <c r="AZ21" s="799">
        <f t="shared" si="25"/>
        <v>7727.3828125</v>
      </c>
      <c r="BA21" s="800">
        <f t="shared" si="26"/>
        <v>0</v>
      </c>
      <c r="BD21" s="801">
        <f t="shared" si="27"/>
        <v>7727.3828125</v>
      </c>
      <c r="BE21" s="801">
        <f t="shared" si="13"/>
        <v>0</v>
      </c>
      <c r="BG21" s="801">
        <f t="shared" si="14"/>
        <v>7727.3828125</v>
      </c>
      <c r="BH21" s="801">
        <f t="shared" si="15"/>
        <v>0</v>
      </c>
      <c r="BI21" s="801">
        <f t="shared" si="28"/>
        <v>-7727.3828125</v>
      </c>
      <c r="BJ21" s="803"/>
      <c r="BK21" s="803">
        <v>4653.83</v>
      </c>
      <c r="BL21" s="803">
        <f>BJ21+BK21</f>
        <v>4653.83</v>
      </c>
      <c r="BN21" s="692">
        <f t="shared" si="16"/>
        <v>4653.83</v>
      </c>
    </row>
    <row r="22" spans="1:68" s="651" customFormat="1" ht="14.45" customHeight="1" x14ac:dyDescent="0.2">
      <c r="A22" s="650">
        <v>45047</v>
      </c>
      <c r="B22" s="651" t="s">
        <v>2422</v>
      </c>
      <c r="C22" s="652">
        <v>203144</v>
      </c>
      <c r="D22" s="653">
        <v>1</v>
      </c>
      <c r="E22" s="654">
        <v>43012</v>
      </c>
      <c r="F22" s="654" t="s">
        <v>1882</v>
      </c>
      <c r="G22" s="655">
        <v>450079</v>
      </c>
      <c r="H22" s="823" t="s">
        <v>1969</v>
      </c>
      <c r="I22" s="823" t="s">
        <v>638</v>
      </c>
      <c r="J22" s="823" t="s">
        <v>379</v>
      </c>
      <c r="K22" s="823" t="str">
        <f>I22&amp;J22</f>
        <v>MohammadAhmed</v>
      </c>
      <c r="L22" s="654" t="s">
        <v>1970</v>
      </c>
      <c r="M22" s="850">
        <v>43614</v>
      </c>
      <c r="N22" s="657">
        <f t="shared" ca="1" si="0"/>
        <v>6.3189596167008899</v>
      </c>
      <c r="O22" s="657" t="s">
        <v>2379</v>
      </c>
      <c r="P22" s="658">
        <v>-1</v>
      </c>
      <c r="Q22" s="654">
        <v>872</v>
      </c>
      <c r="R22" s="654">
        <v>872</v>
      </c>
      <c r="S22" s="851">
        <v>45020</v>
      </c>
      <c r="T22" s="660">
        <v>1</v>
      </c>
      <c r="U22" s="760">
        <v>45128</v>
      </c>
      <c r="V22" s="660">
        <v>63</v>
      </c>
      <c r="W22" s="708">
        <f t="shared" si="22"/>
        <v>63</v>
      </c>
      <c r="X22" s="662">
        <f t="shared" si="2"/>
        <v>0.328125</v>
      </c>
      <c r="Y22" s="659">
        <v>45128</v>
      </c>
      <c r="Z22" s="663">
        <f>30*0.6</f>
        <v>18</v>
      </c>
      <c r="AA22" s="664">
        <v>0</v>
      </c>
      <c r="AB22" s="665">
        <f t="shared" si="20"/>
        <v>8509.86</v>
      </c>
      <c r="AC22" s="652"/>
      <c r="AD22" s="666">
        <v>1</v>
      </c>
      <c r="AE22" s="667">
        <f t="shared" si="4"/>
        <v>0.328125</v>
      </c>
      <c r="AF22" s="668">
        <f t="shared" si="5"/>
        <v>2792.2978125</v>
      </c>
      <c r="AG22" s="668">
        <v>2792.2978125</v>
      </c>
      <c r="AH22" s="669">
        <v>2792.2978125</v>
      </c>
      <c r="AI22" s="669">
        <v>0</v>
      </c>
      <c r="AJ22" s="670">
        <v>8509.86</v>
      </c>
      <c r="AK22" s="670">
        <f t="shared" si="29"/>
        <v>-5717.5621875000006</v>
      </c>
      <c r="AL22" s="651" t="s">
        <v>2186</v>
      </c>
      <c r="AM22" s="651">
        <v>43011</v>
      </c>
      <c r="AN22" s="651" t="s">
        <v>2187</v>
      </c>
      <c r="AO22" s="671"/>
      <c r="AP22" s="671"/>
      <c r="AR22" s="672">
        <f t="shared" si="23"/>
        <v>2792.2978125</v>
      </c>
      <c r="AS22" s="673">
        <f t="shared" si="24"/>
        <v>-5717.5621875000006</v>
      </c>
      <c r="AT22" s="651" t="s">
        <v>2406</v>
      </c>
      <c r="AU22" s="852" t="s">
        <v>2451</v>
      </c>
      <c r="AV22" s="651" t="s">
        <v>2186</v>
      </c>
      <c r="AW22" s="651">
        <v>43011</v>
      </c>
      <c r="AX22" s="651" t="s">
        <v>2187</v>
      </c>
      <c r="AZ22" s="674">
        <f t="shared" si="25"/>
        <v>2792.2978125</v>
      </c>
      <c r="BA22" s="675">
        <f t="shared" si="26"/>
        <v>0</v>
      </c>
      <c r="BD22" s="676">
        <f t="shared" si="27"/>
        <v>2792.2978125</v>
      </c>
      <c r="BE22" s="676">
        <f t="shared" si="13"/>
        <v>0</v>
      </c>
      <c r="BG22" s="676">
        <f t="shared" si="14"/>
        <v>2792.2978125</v>
      </c>
      <c r="BH22" s="676">
        <f t="shared" si="15"/>
        <v>0</v>
      </c>
      <c r="BI22" s="676">
        <f t="shared" si="28"/>
        <v>0</v>
      </c>
      <c r="BJ22" s="712">
        <f>BG22</f>
        <v>2792.2978125</v>
      </c>
      <c r="BL22" s="712">
        <f t="shared" si="21"/>
        <v>2792.2978125</v>
      </c>
      <c r="BN22" s="692">
        <f t="shared" si="16"/>
        <v>2792.2978125</v>
      </c>
    </row>
    <row r="23" spans="1:68" s="770" customFormat="1" ht="14.45" customHeight="1" x14ac:dyDescent="0.2">
      <c r="A23" s="769">
        <v>45047</v>
      </c>
      <c r="B23" s="770" t="s">
        <v>2420</v>
      </c>
      <c r="C23" s="790">
        <v>203572</v>
      </c>
      <c r="D23" s="772">
        <v>1</v>
      </c>
      <c r="E23" s="804">
        <v>43012</v>
      </c>
      <c r="F23" s="804" t="s">
        <v>1882</v>
      </c>
      <c r="G23" s="774">
        <v>449451</v>
      </c>
      <c r="H23" s="840" t="s">
        <v>1971</v>
      </c>
      <c r="I23" s="840" t="s">
        <v>1956</v>
      </c>
      <c r="J23" s="840" t="s">
        <v>1957</v>
      </c>
      <c r="K23" s="177" t="s">
        <v>1958</v>
      </c>
      <c r="L23" s="804" t="s">
        <v>1959</v>
      </c>
      <c r="M23" s="841">
        <v>43765</v>
      </c>
      <c r="N23" s="777">
        <f t="shared" ca="1" si="0"/>
        <v>5.9055441478439423</v>
      </c>
      <c r="O23" s="777" t="s">
        <v>2381</v>
      </c>
      <c r="P23" s="842">
        <v>-2</v>
      </c>
      <c r="Q23" s="804">
        <v>872</v>
      </c>
      <c r="R23" s="804">
        <v>872</v>
      </c>
      <c r="S23" s="844">
        <v>45017</v>
      </c>
      <c r="T23" s="783">
        <v>1</v>
      </c>
      <c r="U23" s="782">
        <v>45382</v>
      </c>
      <c r="V23" s="783">
        <v>192</v>
      </c>
      <c r="W23" s="815">
        <f t="shared" si="22"/>
        <v>192</v>
      </c>
      <c r="X23" s="785">
        <f t="shared" si="2"/>
        <v>1</v>
      </c>
      <c r="Y23" s="836" t="s">
        <v>36</v>
      </c>
      <c r="Z23" s="838">
        <v>24</v>
      </c>
      <c r="AA23" s="788">
        <v>0</v>
      </c>
      <c r="AB23" s="789">
        <f t="shared" si="20"/>
        <v>11346.48</v>
      </c>
      <c r="AC23" s="790" t="s">
        <v>1960</v>
      </c>
      <c r="AD23" s="845">
        <v>1</v>
      </c>
      <c r="AE23" s="792">
        <f t="shared" si="4"/>
        <v>1</v>
      </c>
      <c r="AF23" s="793">
        <f t="shared" si="5"/>
        <v>11346.48</v>
      </c>
      <c r="AG23" s="793">
        <v>3723.0637499999998</v>
      </c>
      <c r="AH23" s="794">
        <v>11346.48</v>
      </c>
      <c r="AI23" s="794">
        <v>7623.4162500000002</v>
      </c>
      <c r="AJ23" s="795">
        <v>11346.48</v>
      </c>
      <c r="AK23" s="795">
        <f t="shared" si="29"/>
        <v>0</v>
      </c>
      <c r="AO23" s="796"/>
      <c r="AP23" s="796"/>
      <c r="AR23" s="797">
        <f t="shared" si="23"/>
        <v>11346.48</v>
      </c>
      <c r="AS23" s="798">
        <f t="shared" si="24"/>
        <v>0</v>
      </c>
      <c r="AZ23" s="799">
        <f t="shared" si="25"/>
        <v>11346.48</v>
      </c>
      <c r="BA23" s="800">
        <f t="shared" si="26"/>
        <v>0</v>
      </c>
      <c r="BD23" s="801">
        <f t="shared" si="27"/>
        <v>11346.48</v>
      </c>
      <c r="BE23" s="801">
        <f t="shared" si="13"/>
        <v>0</v>
      </c>
      <c r="BF23" s="803"/>
      <c r="BG23" s="801">
        <f t="shared" si="14"/>
        <v>11346.48</v>
      </c>
      <c r="BH23" s="801">
        <f t="shared" si="15"/>
        <v>0</v>
      </c>
      <c r="BI23" s="801">
        <f t="shared" ref="BI23:BI28" si="30">(BG23-BJ23)*-1</f>
        <v>0</v>
      </c>
      <c r="BJ23" s="803">
        <f>BG23</f>
        <v>11346.48</v>
      </c>
      <c r="BL23" s="803">
        <f t="shared" si="21"/>
        <v>11346.48</v>
      </c>
      <c r="BN23" s="692">
        <f t="shared" si="16"/>
        <v>11346.48</v>
      </c>
      <c r="BO23" s="770" t="s">
        <v>2666</v>
      </c>
      <c r="BP23" s="770" t="s">
        <v>2219</v>
      </c>
    </row>
    <row r="24" spans="1:68" s="770" customFormat="1" ht="14.45" customHeight="1" x14ac:dyDescent="0.2">
      <c r="A24" s="769">
        <v>45047</v>
      </c>
      <c r="B24" s="770" t="s">
        <v>2422</v>
      </c>
      <c r="C24" s="790">
        <v>202139</v>
      </c>
      <c r="D24" s="772">
        <v>1</v>
      </c>
      <c r="E24" s="804">
        <v>43012</v>
      </c>
      <c r="F24" s="804" t="s">
        <v>1882</v>
      </c>
      <c r="G24" s="774">
        <v>444329</v>
      </c>
      <c r="H24" s="840" t="s">
        <v>1900</v>
      </c>
      <c r="I24" s="840" t="s">
        <v>1972</v>
      </c>
      <c r="J24" s="840" t="s">
        <v>1973</v>
      </c>
      <c r="K24" s="177" t="s">
        <v>1974</v>
      </c>
      <c r="L24" s="804" t="s">
        <v>1946</v>
      </c>
      <c r="M24" s="841">
        <v>43407</v>
      </c>
      <c r="N24" s="777">
        <f t="shared" ca="1" si="0"/>
        <v>6.8856947296372351</v>
      </c>
      <c r="O24" s="896" t="s">
        <v>2380</v>
      </c>
      <c r="P24" s="842">
        <v>-1</v>
      </c>
      <c r="Q24" s="804">
        <v>872</v>
      </c>
      <c r="R24" s="804">
        <v>872</v>
      </c>
      <c r="S24" s="844">
        <v>45017</v>
      </c>
      <c r="T24" s="783">
        <v>1</v>
      </c>
      <c r="U24" s="782">
        <v>45128</v>
      </c>
      <c r="V24" s="783">
        <v>63</v>
      </c>
      <c r="W24" s="815">
        <f t="shared" si="22"/>
        <v>63</v>
      </c>
      <c r="X24" s="785">
        <f t="shared" si="2"/>
        <v>0.328125</v>
      </c>
      <c r="Y24" s="836" t="s">
        <v>36</v>
      </c>
      <c r="Z24" s="838">
        <v>19.5</v>
      </c>
      <c r="AA24" s="788">
        <v>0</v>
      </c>
      <c r="AB24" s="789">
        <f t="shared" si="20"/>
        <v>9219.0149999999994</v>
      </c>
      <c r="AC24" s="790"/>
      <c r="AD24" s="845">
        <v>1</v>
      </c>
      <c r="AE24" s="792">
        <f t="shared" si="4"/>
        <v>0.328125</v>
      </c>
      <c r="AF24" s="793">
        <f t="shared" si="5"/>
        <v>3024.989296875</v>
      </c>
      <c r="AG24" s="793">
        <v>3024.989296875</v>
      </c>
      <c r="AH24" s="794">
        <v>3024.989296875</v>
      </c>
      <c r="AI24" s="794">
        <v>0</v>
      </c>
      <c r="AJ24" s="795">
        <v>9219.0149999999994</v>
      </c>
      <c r="AK24" s="795">
        <f t="shared" si="29"/>
        <v>-6194.0257031249994</v>
      </c>
      <c r="AL24" s="770" t="s">
        <v>2639</v>
      </c>
      <c r="AO24" s="796"/>
      <c r="AP24" s="796">
        <v>5819.25</v>
      </c>
      <c r="AQ24" s="796">
        <f>AP24/192*127</f>
        <v>3849.19140625</v>
      </c>
      <c r="AR24" s="797">
        <f t="shared" si="23"/>
        <v>6874.180703125</v>
      </c>
      <c r="AS24" s="798">
        <f t="shared" si="24"/>
        <v>-2344.8342968749994</v>
      </c>
      <c r="AZ24" s="799">
        <f t="shared" si="25"/>
        <v>6874.180703125</v>
      </c>
      <c r="BA24" s="800">
        <f t="shared" si="26"/>
        <v>0</v>
      </c>
      <c r="BD24" s="801">
        <f t="shared" si="27"/>
        <v>6874.180703125</v>
      </c>
      <c r="BE24" s="801">
        <f t="shared" si="13"/>
        <v>0</v>
      </c>
      <c r="BG24" s="801">
        <f t="shared" si="14"/>
        <v>6874.180703125</v>
      </c>
      <c r="BH24" s="801">
        <f t="shared" si="15"/>
        <v>0</v>
      </c>
      <c r="BI24" s="801">
        <f t="shared" si="30"/>
        <v>0</v>
      </c>
      <c r="BJ24" s="803">
        <f>BG24</f>
        <v>6874.180703125</v>
      </c>
      <c r="BK24" s="770">
        <v>-3849.19</v>
      </c>
      <c r="BL24" s="803">
        <f>SUM(BJ24+BK24)</f>
        <v>3024.990703125</v>
      </c>
      <c r="BN24" s="692">
        <f t="shared" si="16"/>
        <v>3024.990703125</v>
      </c>
    </row>
    <row r="25" spans="1:68" s="770" customFormat="1" ht="14.45" customHeight="1" x14ac:dyDescent="0.2">
      <c r="A25" s="769">
        <v>45047</v>
      </c>
      <c r="B25" s="770" t="s">
        <v>2422</v>
      </c>
      <c r="C25" s="790">
        <f>VLOOKUP(H25,$H$128:$I$186,2,FALSE)</f>
        <v>200100</v>
      </c>
      <c r="D25" s="772">
        <v>1</v>
      </c>
      <c r="E25" s="804">
        <v>43012</v>
      </c>
      <c r="F25" s="805" t="s">
        <v>1882</v>
      </c>
      <c r="G25" s="804">
        <v>444736</v>
      </c>
      <c r="H25" s="840" t="s">
        <v>1907</v>
      </c>
      <c r="I25" s="840" t="s">
        <v>1981</v>
      </c>
      <c r="J25" s="840" t="s">
        <v>1982</v>
      </c>
      <c r="K25" s="177" t="s">
        <v>1983</v>
      </c>
      <c r="L25" s="804" t="s">
        <v>1984</v>
      </c>
      <c r="M25" s="782">
        <v>43374</v>
      </c>
      <c r="N25" s="777">
        <f t="shared" ca="1" si="0"/>
        <v>6.9760438056125942</v>
      </c>
      <c r="O25" s="897" t="s">
        <v>2380</v>
      </c>
      <c r="P25" s="842">
        <v>-1</v>
      </c>
      <c r="Q25" s="804">
        <v>872</v>
      </c>
      <c r="R25" s="804">
        <v>872</v>
      </c>
      <c r="S25" s="782">
        <v>45017</v>
      </c>
      <c r="T25" s="783">
        <v>1</v>
      </c>
      <c r="U25" s="898">
        <v>45039</v>
      </c>
      <c r="V25" s="783">
        <v>5</v>
      </c>
      <c r="W25" s="815">
        <f t="shared" si="22"/>
        <v>5</v>
      </c>
      <c r="X25" s="785">
        <f t="shared" si="2"/>
        <v>2.6041666666666668E-2</v>
      </c>
      <c r="Y25" s="836">
        <v>45039</v>
      </c>
      <c r="Z25" s="838">
        <v>18.600000000000001</v>
      </c>
      <c r="AA25" s="788">
        <v>0</v>
      </c>
      <c r="AB25" s="789">
        <f t="shared" si="20"/>
        <v>8793.5220000000008</v>
      </c>
      <c r="AC25" s="790"/>
      <c r="AD25" s="845">
        <v>1</v>
      </c>
      <c r="AE25" s="792">
        <f t="shared" si="4"/>
        <v>2.6041666666666668E-2</v>
      </c>
      <c r="AF25" s="793">
        <f t="shared" si="5"/>
        <v>228.99796875000004</v>
      </c>
      <c r="AG25" s="793">
        <v>229</v>
      </c>
      <c r="AH25" s="794">
        <v>228.99796875000004</v>
      </c>
      <c r="AI25" s="794">
        <v>-2.0312499999590727E-3</v>
      </c>
      <c r="AJ25" s="795">
        <v>228.99796875000004</v>
      </c>
      <c r="AK25" s="795">
        <f t="shared" si="29"/>
        <v>0</v>
      </c>
      <c r="AL25" s="770" t="s">
        <v>2640</v>
      </c>
      <c r="AO25" s="796"/>
      <c r="AP25" s="796">
        <v>5819.25</v>
      </c>
      <c r="AQ25" s="796">
        <f>AP25/192*127</f>
        <v>3849.19140625</v>
      </c>
      <c r="AR25" s="797">
        <f t="shared" si="23"/>
        <v>4078.1893749999999</v>
      </c>
      <c r="AS25" s="798">
        <f t="shared" si="24"/>
        <v>3849.19140625</v>
      </c>
      <c r="AZ25" s="799">
        <f t="shared" si="25"/>
        <v>4078.1893749999999</v>
      </c>
      <c r="BA25" s="800">
        <f t="shared" si="26"/>
        <v>0</v>
      </c>
      <c r="BD25" s="801">
        <f t="shared" si="27"/>
        <v>4078.1893749999999</v>
      </c>
      <c r="BE25" s="801">
        <f t="shared" si="13"/>
        <v>0</v>
      </c>
      <c r="BG25" s="801">
        <f t="shared" si="14"/>
        <v>4078.1893749999999</v>
      </c>
      <c r="BH25" s="801">
        <f t="shared" si="15"/>
        <v>0</v>
      </c>
      <c r="BI25" s="801"/>
      <c r="BJ25" s="803">
        <f t="shared" ref="BJ25:BJ26" si="31">BG25</f>
        <v>4078.1893749999999</v>
      </c>
      <c r="BL25" s="803">
        <v>229</v>
      </c>
      <c r="BN25" s="692">
        <f t="shared" si="16"/>
        <v>229</v>
      </c>
    </row>
    <row r="26" spans="1:68" s="770" customFormat="1" ht="14.45" customHeight="1" x14ac:dyDescent="0.2">
      <c r="A26" s="769">
        <v>45047</v>
      </c>
      <c r="B26" s="770" t="s">
        <v>2422</v>
      </c>
      <c r="C26" s="790">
        <f>VLOOKUP(H26,$H$128:$I$186,2,FALSE)</f>
        <v>200100</v>
      </c>
      <c r="D26" s="772">
        <v>1</v>
      </c>
      <c r="E26" s="804">
        <v>43012</v>
      </c>
      <c r="F26" s="805" t="s">
        <v>1882</v>
      </c>
      <c r="G26" s="804">
        <v>444736</v>
      </c>
      <c r="H26" s="840" t="s">
        <v>1907</v>
      </c>
      <c r="I26" s="840" t="s">
        <v>1981</v>
      </c>
      <c r="J26" s="840" t="s">
        <v>1982</v>
      </c>
      <c r="K26" s="177" t="s">
        <v>1983</v>
      </c>
      <c r="L26" s="804" t="s">
        <v>1984</v>
      </c>
      <c r="M26" s="782">
        <v>43374</v>
      </c>
      <c r="N26" s="777">
        <f t="shared" ca="1" si="0"/>
        <v>6.9760438056125942</v>
      </c>
      <c r="O26" s="897" t="s">
        <v>2380</v>
      </c>
      <c r="P26" s="842">
        <v>-1</v>
      </c>
      <c r="Q26" s="804">
        <v>872</v>
      </c>
      <c r="R26" s="804">
        <v>872</v>
      </c>
      <c r="S26" s="836">
        <v>45040</v>
      </c>
      <c r="T26" s="783">
        <v>6</v>
      </c>
      <c r="U26" s="813">
        <v>45128</v>
      </c>
      <c r="V26" s="783">
        <v>63</v>
      </c>
      <c r="W26" s="815">
        <f t="shared" si="22"/>
        <v>58</v>
      </c>
      <c r="X26" s="785">
        <f t="shared" si="2"/>
        <v>0.30208333333333331</v>
      </c>
      <c r="Y26" s="844">
        <v>45128</v>
      </c>
      <c r="Z26" s="838">
        <v>22.37</v>
      </c>
      <c r="AA26" s="788">
        <v>0</v>
      </c>
      <c r="AB26" s="789">
        <f t="shared" si="20"/>
        <v>10575.8649</v>
      </c>
      <c r="AC26" s="790"/>
      <c r="AD26" s="845">
        <v>1</v>
      </c>
      <c r="AE26" s="792">
        <f t="shared" si="4"/>
        <v>0.30208333333333331</v>
      </c>
      <c r="AF26" s="793">
        <f t="shared" si="5"/>
        <v>3194.7925218750001</v>
      </c>
      <c r="AG26" s="793">
        <v>3194.7925218750001</v>
      </c>
      <c r="AH26" s="794">
        <v>3194.7925218750001</v>
      </c>
      <c r="AI26" s="794">
        <v>0</v>
      </c>
      <c r="AJ26" s="795">
        <v>3194.7925218750001</v>
      </c>
      <c r="AK26" s="795">
        <f t="shared" si="29"/>
        <v>0</v>
      </c>
      <c r="AL26" s="770" t="s">
        <v>2640</v>
      </c>
      <c r="AO26" s="796"/>
      <c r="AP26" s="796">
        <v>5819.25</v>
      </c>
      <c r="AQ26" s="796">
        <f>AP26/192*127</f>
        <v>3849.19140625</v>
      </c>
      <c r="AR26" s="797">
        <f t="shared" si="23"/>
        <v>7043.9839281250006</v>
      </c>
      <c r="AS26" s="798">
        <f t="shared" si="24"/>
        <v>3849.1914062500005</v>
      </c>
      <c r="AZ26" s="799">
        <f t="shared" si="25"/>
        <v>7043.9839281250006</v>
      </c>
      <c r="BA26" s="800">
        <f t="shared" si="26"/>
        <v>0</v>
      </c>
      <c r="BD26" s="801">
        <f t="shared" si="27"/>
        <v>7043.9839281250006</v>
      </c>
      <c r="BE26" s="801">
        <f t="shared" si="13"/>
        <v>0</v>
      </c>
      <c r="BG26" s="801">
        <f t="shared" si="14"/>
        <v>7043.9839281250006</v>
      </c>
      <c r="BH26" s="801">
        <f t="shared" si="15"/>
        <v>0</v>
      </c>
      <c r="BI26" s="801"/>
      <c r="BJ26" s="803">
        <f t="shared" si="31"/>
        <v>7043.9839281250006</v>
      </c>
      <c r="BL26" s="803">
        <v>3194.79</v>
      </c>
      <c r="BN26" s="692">
        <f t="shared" si="16"/>
        <v>3194.79</v>
      </c>
    </row>
    <row r="27" spans="1:68" s="770" customFormat="1" ht="14.45" customHeight="1" x14ac:dyDescent="0.2">
      <c r="A27" s="769">
        <v>45047</v>
      </c>
      <c r="B27" s="770" t="s">
        <v>2422</v>
      </c>
      <c r="C27" s="790">
        <v>200875</v>
      </c>
      <c r="D27" s="772">
        <v>1</v>
      </c>
      <c r="E27" s="804">
        <v>43012</v>
      </c>
      <c r="F27" s="805" t="s">
        <v>1882</v>
      </c>
      <c r="G27" s="774">
        <v>446598</v>
      </c>
      <c r="H27" s="840" t="s">
        <v>1985</v>
      </c>
      <c r="I27" s="840" t="s">
        <v>1617</v>
      </c>
      <c r="J27" s="840" t="s">
        <v>666</v>
      </c>
      <c r="K27" s="177" t="s">
        <v>1986</v>
      </c>
      <c r="L27" s="804" t="s">
        <v>1987</v>
      </c>
      <c r="M27" s="841">
        <v>43478</v>
      </c>
      <c r="N27" s="777">
        <f t="shared" ca="1" si="0"/>
        <v>6.6913073237508556</v>
      </c>
      <c r="O27" s="777" t="s">
        <v>2378</v>
      </c>
      <c r="P27" s="842">
        <v>-1</v>
      </c>
      <c r="Q27" s="804">
        <v>872</v>
      </c>
      <c r="R27" s="804">
        <v>872</v>
      </c>
      <c r="S27" s="844">
        <v>45017</v>
      </c>
      <c r="T27" s="783">
        <v>1</v>
      </c>
      <c r="U27" s="836">
        <v>45128</v>
      </c>
      <c r="V27" s="783">
        <v>63</v>
      </c>
      <c r="W27" s="815">
        <f t="shared" si="22"/>
        <v>63</v>
      </c>
      <c r="X27" s="785">
        <f t="shared" si="2"/>
        <v>0.328125</v>
      </c>
      <c r="Y27" s="836">
        <v>45130</v>
      </c>
      <c r="Z27" s="838">
        <v>27</v>
      </c>
      <c r="AA27" s="788">
        <v>0</v>
      </c>
      <c r="AB27" s="789">
        <f t="shared" si="20"/>
        <v>12764.789999999999</v>
      </c>
      <c r="AC27" s="790" t="s">
        <v>37</v>
      </c>
      <c r="AD27" s="845">
        <v>1</v>
      </c>
      <c r="AE27" s="792">
        <f t="shared" si="4"/>
        <v>0.328125</v>
      </c>
      <c r="AF27" s="793">
        <f t="shared" si="5"/>
        <v>4188.4467187499995</v>
      </c>
      <c r="AG27" s="793">
        <v>4188.4467187499995</v>
      </c>
      <c r="AH27" s="794">
        <v>4188.4467187499995</v>
      </c>
      <c r="AI27" s="794">
        <v>0</v>
      </c>
      <c r="AJ27" s="795">
        <v>4188.4467187499995</v>
      </c>
      <c r="AK27" s="795">
        <f t="shared" si="29"/>
        <v>0</v>
      </c>
      <c r="AL27" s="770" t="s">
        <v>2651</v>
      </c>
      <c r="AO27" s="796"/>
      <c r="AP27" s="796">
        <v>5819.25</v>
      </c>
      <c r="AQ27" s="796">
        <f>AP27/192*127</f>
        <v>3849.19140625</v>
      </c>
      <c r="AR27" s="797">
        <f t="shared" si="23"/>
        <v>8037.6381249999995</v>
      </c>
      <c r="AS27" s="798">
        <f t="shared" si="24"/>
        <v>3849.19140625</v>
      </c>
      <c r="AV27" s="770" t="s">
        <v>2623</v>
      </c>
      <c r="AW27" s="770" t="s">
        <v>2390</v>
      </c>
      <c r="AZ27" s="799">
        <f t="shared" si="25"/>
        <v>8037.6381249999995</v>
      </c>
      <c r="BA27" s="800">
        <f t="shared" si="26"/>
        <v>0</v>
      </c>
      <c r="BB27" s="947" t="s">
        <v>2544</v>
      </c>
      <c r="BC27" s="947"/>
      <c r="BD27" s="801">
        <f t="shared" si="27"/>
        <v>8037.6381249999995</v>
      </c>
      <c r="BE27" s="801">
        <f t="shared" si="13"/>
        <v>0</v>
      </c>
      <c r="BG27" s="801">
        <f t="shared" si="14"/>
        <v>8037.6381249999995</v>
      </c>
      <c r="BH27" s="801">
        <f t="shared" si="15"/>
        <v>0</v>
      </c>
      <c r="BI27" s="801">
        <f t="shared" si="30"/>
        <v>-8037.6381249999995</v>
      </c>
      <c r="BJ27" s="803"/>
      <c r="BL27" s="803">
        <v>4188.45</v>
      </c>
      <c r="BN27" s="692">
        <f t="shared" si="16"/>
        <v>4188.45</v>
      </c>
    </row>
    <row r="28" spans="1:68" s="770" customFormat="1" ht="14.45" customHeight="1" x14ac:dyDescent="0.2">
      <c r="A28" s="769">
        <v>45047</v>
      </c>
      <c r="B28" s="770" t="s">
        <v>2422</v>
      </c>
      <c r="C28" s="790">
        <v>209230</v>
      </c>
      <c r="D28" s="772">
        <v>1</v>
      </c>
      <c r="E28" s="804">
        <v>43012</v>
      </c>
      <c r="F28" s="804" t="s">
        <v>1882</v>
      </c>
      <c r="G28" s="774">
        <v>437270</v>
      </c>
      <c r="H28" s="840" t="s">
        <v>1988</v>
      </c>
      <c r="I28" s="840" t="s">
        <v>777</v>
      </c>
      <c r="J28" s="840" t="s">
        <v>1989</v>
      </c>
      <c r="K28" s="177" t="s">
        <v>1990</v>
      </c>
      <c r="L28" s="804" t="s">
        <v>1954</v>
      </c>
      <c r="M28" s="841">
        <v>43425</v>
      </c>
      <c r="N28" s="777">
        <f t="shared" ca="1" si="0"/>
        <v>6.8364134154688569</v>
      </c>
      <c r="O28" s="896" t="s">
        <v>2380</v>
      </c>
      <c r="P28" s="842">
        <v>-1</v>
      </c>
      <c r="Q28" s="804">
        <v>872</v>
      </c>
      <c r="R28" s="804">
        <v>872</v>
      </c>
      <c r="S28" s="844">
        <v>45017</v>
      </c>
      <c r="T28" s="783">
        <v>1</v>
      </c>
      <c r="U28" s="844">
        <v>45128</v>
      </c>
      <c r="V28" s="783">
        <v>63</v>
      </c>
      <c r="W28" s="815">
        <f t="shared" si="22"/>
        <v>63</v>
      </c>
      <c r="X28" s="785">
        <f t="shared" si="2"/>
        <v>0.328125</v>
      </c>
      <c r="Y28" s="844" t="s">
        <v>36</v>
      </c>
      <c r="Z28" s="838">
        <v>11</v>
      </c>
      <c r="AA28" s="788">
        <v>0</v>
      </c>
      <c r="AB28" s="789">
        <f t="shared" si="20"/>
        <v>5200.4699999999993</v>
      </c>
      <c r="AC28" s="790"/>
      <c r="AD28" s="845">
        <v>1</v>
      </c>
      <c r="AE28" s="792">
        <f t="shared" si="4"/>
        <v>0.328125</v>
      </c>
      <c r="AF28" s="793">
        <f t="shared" si="5"/>
        <v>1706.4042187499997</v>
      </c>
      <c r="AG28" s="793">
        <v>1706.4042187499997</v>
      </c>
      <c r="AH28" s="794">
        <v>1706.4042187499997</v>
      </c>
      <c r="AI28" s="794">
        <v>0</v>
      </c>
      <c r="AJ28" s="795">
        <v>5200.4699999999993</v>
      </c>
      <c r="AK28" s="795">
        <f t="shared" si="29"/>
        <v>-3494.0657812499994</v>
      </c>
      <c r="AL28" s="770" t="s">
        <v>2641</v>
      </c>
      <c r="AO28" s="796"/>
      <c r="AP28" s="796">
        <v>5819.25</v>
      </c>
      <c r="AQ28" s="796">
        <f>AP28/192*127</f>
        <v>3849.19140625</v>
      </c>
      <c r="AR28" s="797">
        <f t="shared" si="23"/>
        <v>5555.5956249999999</v>
      </c>
      <c r="AS28" s="798">
        <f t="shared" si="24"/>
        <v>355.12562500000058</v>
      </c>
      <c r="AV28" s="770" t="s">
        <v>2542</v>
      </c>
      <c r="AW28" s="770">
        <v>43013</v>
      </c>
      <c r="AZ28" s="799">
        <f t="shared" si="25"/>
        <v>5555.5956249999999</v>
      </c>
      <c r="BA28" s="800">
        <f t="shared" si="26"/>
        <v>0</v>
      </c>
      <c r="BB28" s="770" t="s">
        <v>2545</v>
      </c>
      <c r="BD28" s="801">
        <f t="shared" si="27"/>
        <v>5555.5956249999999</v>
      </c>
      <c r="BE28" s="801">
        <f t="shared" si="13"/>
        <v>0</v>
      </c>
      <c r="BG28" s="801">
        <f t="shared" si="14"/>
        <v>5555.5956249999999</v>
      </c>
      <c r="BH28" s="801">
        <f t="shared" si="15"/>
        <v>0</v>
      </c>
      <c r="BI28" s="801">
        <f t="shared" si="30"/>
        <v>-5555.5956249999999</v>
      </c>
      <c r="BJ28" s="803"/>
      <c r="BL28" s="803">
        <v>1768.4</v>
      </c>
      <c r="BN28" s="692">
        <f t="shared" si="16"/>
        <v>1768.4</v>
      </c>
    </row>
    <row r="29" spans="1:68" s="651" customFormat="1" ht="14.45" customHeight="1" x14ac:dyDescent="0.2">
      <c r="A29" s="650">
        <v>45047</v>
      </c>
      <c r="B29" s="651" t="s">
        <v>2420</v>
      </c>
      <c r="C29" s="652">
        <v>203095</v>
      </c>
      <c r="D29" s="653">
        <v>1</v>
      </c>
      <c r="E29" s="654">
        <v>43012</v>
      </c>
      <c r="F29" s="654" t="s">
        <v>1882</v>
      </c>
      <c r="G29" s="655">
        <v>442295</v>
      </c>
      <c r="H29" s="823" t="s">
        <v>1996</v>
      </c>
      <c r="I29" s="823" t="s">
        <v>1997</v>
      </c>
      <c r="J29" s="823" t="s">
        <v>1998</v>
      </c>
      <c r="K29" s="177" t="s">
        <v>1998</v>
      </c>
      <c r="L29" s="654" t="s">
        <v>1999</v>
      </c>
      <c r="M29" s="850">
        <v>43639</v>
      </c>
      <c r="N29" s="657">
        <f t="shared" ca="1" si="0"/>
        <v>6.2505133470225873</v>
      </c>
      <c r="O29" s="657" t="s">
        <v>2379</v>
      </c>
      <c r="P29" s="658">
        <v>-1</v>
      </c>
      <c r="Q29" s="654">
        <v>872</v>
      </c>
      <c r="R29" s="654">
        <v>872</v>
      </c>
      <c r="S29" s="851">
        <v>45017</v>
      </c>
      <c r="T29" s="660">
        <v>1</v>
      </c>
      <c r="U29" s="948">
        <v>45382</v>
      </c>
      <c r="V29" s="660">
        <v>192</v>
      </c>
      <c r="W29" s="708">
        <f t="shared" si="22"/>
        <v>192</v>
      </c>
      <c r="X29" s="662">
        <f t="shared" si="2"/>
        <v>1</v>
      </c>
      <c r="Y29" s="659" t="s">
        <v>36</v>
      </c>
      <c r="Z29" s="663">
        <v>15</v>
      </c>
      <c r="AA29" s="664">
        <v>0</v>
      </c>
      <c r="AB29" s="665">
        <f t="shared" si="20"/>
        <v>7091.5499999999993</v>
      </c>
      <c r="AC29" s="652"/>
      <c r="AD29" s="666">
        <v>1</v>
      </c>
      <c r="AE29" s="667">
        <f t="shared" si="4"/>
        <v>1</v>
      </c>
      <c r="AF29" s="668">
        <f t="shared" si="5"/>
        <v>7091.5499999999993</v>
      </c>
      <c r="AG29" s="668">
        <v>2326.9148437499998</v>
      </c>
      <c r="AH29" s="669">
        <v>7091.5499999999993</v>
      </c>
      <c r="AI29" s="669">
        <v>4764.6351562499995</v>
      </c>
      <c r="AJ29" s="670">
        <v>7091.5499999999993</v>
      </c>
      <c r="AK29" s="670">
        <f t="shared" si="29"/>
        <v>0</v>
      </c>
      <c r="AL29" s="651" t="s">
        <v>2636</v>
      </c>
      <c r="AO29" s="671"/>
      <c r="AP29" s="671"/>
      <c r="AR29" s="672">
        <f t="shared" si="23"/>
        <v>7091.5499999999993</v>
      </c>
      <c r="AS29" s="673">
        <f t="shared" si="24"/>
        <v>0</v>
      </c>
      <c r="AZ29" s="674">
        <f t="shared" si="25"/>
        <v>7091.5499999999993</v>
      </c>
      <c r="BA29" s="675">
        <f t="shared" si="26"/>
        <v>0</v>
      </c>
      <c r="BD29" s="676">
        <f t="shared" si="27"/>
        <v>7091.5499999999993</v>
      </c>
      <c r="BE29" s="676">
        <f t="shared" si="13"/>
        <v>0</v>
      </c>
      <c r="BF29" s="712"/>
      <c r="BG29" s="676">
        <f t="shared" si="14"/>
        <v>7091.5499999999993</v>
      </c>
      <c r="BH29" s="676">
        <f t="shared" si="15"/>
        <v>0</v>
      </c>
      <c r="BI29" s="676">
        <v>-2142.2399999999998</v>
      </c>
      <c r="BJ29" s="712">
        <f>BG29+BI29</f>
        <v>4949.3099999999995</v>
      </c>
      <c r="BK29" s="712">
        <v>0</v>
      </c>
      <c r="BL29" s="712">
        <f>BJ29+BK29</f>
        <v>4949.3099999999995</v>
      </c>
      <c r="BM29" s="651">
        <v>2142.2399999999998</v>
      </c>
      <c r="BN29" s="692">
        <f t="shared" si="16"/>
        <v>7091.5499999999993</v>
      </c>
      <c r="BO29" s="651" t="s">
        <v>2666</v>
      </c>
    </row>
    <row r="30" spans="1:68" ht="14.45" customHeight="1" x14ac:dyDescent="0.2">
      <c r="A30" s="331">
        <v>45047</v>
      </c>
      <c r="B30" s="173" t="s">
        <v>2420</v>
      </c>
      <c r="C30" s="174">
        <v>200276</v>
      </c>
      <c r="D30" s="175">
        <v>1</v>
      </c>
      <c r="E30" s="176">
        <v>43012</v>
      </c>
      <c r="F30" s="176" t="s">
        <v>1882</v>
      </c>
      <c r="G30" s="57">
        <v>451258</v>
      </c>
      <c r="H30" s="177" t="s">
        <v>1991</v>
      </c>
      <c r="I30" s="177" t="s">
        <v>1992</v>
      </c>
      <c r="J30" s="177" t="s">
        <v>1993</v>
      </c>
      <c r="K30" s="177" t="s">
        <v>1994</v>
      </c>
      <c r="L30" s="176" t="s">
        <v>1995</v>
      </c>
      <c r="M30" s="178">
        <v>43822</v>
      </c>
      <c r="N30" s="179">
        <f t="shared" ca="1" si="0"/>
        <v>5.7494866529774127</v>
      </c>
      <c r="O30" s="179" t="s">
        <v>2381</v>
      </c>
      <c r="P30" s="180">
        <v>-2</v>
      </c>
      <c r="Q30" s="176">
        <v>872</v>
      </c>
      <c r="R30" s="176">
        <v>872</v>
      </c>
      <c r="S30" s="426">
        <v>45021</v>
      </c>
      <c r="T30" s="182">
        <v>1</v>
      </c>
      <c r="U30" s="183">
        <v>45382</v>
      </c>
      <c r="V30" s="182">
        <v>192</v>
      </c>
      <c r="W30" s="401">
        <f t="shared" si="22"/>
        <v>192</v>
      </c>
      <c r="X30" s="247">
        <f t="shared" si="2"/>
        <v>1</v>
      </c>
      <c r="Y30" s="181" t="s">
        <v>36</v>
      </c>
      <c r="Z30" s="186">
        <v>25</v>
      </c>
      <c r="AA30" s="184">
        <v>0</v>
      </c>
      <c r="AB30" s="185">
        <f t="shared" si="20"/>
        <v>11819.25</v>
      </c>
      <c r="AC30" s="174"/>
      <c r="AD30" s="404">
        <v>1</v>
      </c>
      <c r="AE30" s="400">
        <f t="shared" si="4"/>
        <v>1</v>
      </c>
      <c r="AF30" s="258">
        <f t="shared" si="5"/>
        <v>11819.25</v>
      </c>
      <c r="AG30" s="434">
        <v>3878.19140625</v>
      </c>
      <c r="AH30" s="433">
        <v>11819.25</v>
      </c>
      <c r="AI30" s="433">
        <v>7941.05859375</v>
      </c>
      <c r="AJ30" s="402">
        <v>11819.25</v>
      </c>
      <c r="AK30" s="402">
        <f t="shared" si="29"/>
        <v>0</v>
      </c>
      <c r="AR30" s="631">
        <f t="shared" si="23"/>
        <v>11819.25</v>
      </c>
      <c r="AS30" s="617">
        <f t="shared" si="24"/>
        <v>0</v>
      </c>
      <c r="AZ30" s="625">
        <f t="shared" si="25"/>
        <v>11819.25</v>
      </c>
      <c r="BA30" s="622">
        <f t="shared" si="26"/>
        <v>0</v>
      </c>
      <c r="BB30" s="173" t="s">
        <v>2546</v>
      </c>
      <c r="BD30" s="629">
        <f t="shared" si="27"/>
        <v>11819.25</v>
      </c>
      <c r="BE30" s="629">
        <f t="shared" si="13"/>
        <v>0</v>
      </c>
      <c r="BG30" s="629">
        <f t="shared" si="14"/>
        <v>11819.25</v>
      </c>
      <c r="BH30" s="629">
        <f t="shared" si="15"/>
        <v>0</v>
      </c>
      <c r="BI30" s="629">
        <v>-10095.61</v>
      </c>
      <c r="BJ30" s="692">
        <f>BI30+BG30</f>
        <v>1723.6399999999994</v>
      </c>
      <c r="BL30" s="683">
        <f>BK30+BJ30</f>
        <v>1723.6399999999994</v>
      </c>
      <c r="BN30" s="692">
        <f t="shared" si="16"/>
        <v>1723.6399999999994</v>
      </c>
      <c r="BP30" s="173" t="s">
        <v>2676</v>
      </c>
    </row>
    <row r="31" spans="1:68" ht="14.45" customHeight="1" x14ac:dyDescent="0.2">
      <c r="A31" s="331">
        <v>45047</v>
      </c>
      <c r="B31" s="173" t="s">
        <v>2420</v>
      </c>
      <c r="C31" s="187">
        <v>203508</v>
      </c>
      <c r="D31" s="175">
        <v>1</v>
      </c>
      <c r="E31" s="52">
        <v>43012</v>
      </c>
      <c r="F31" s="176" t="s">
        <v>1882</v>
      </c>
      <c r="G31" s="57">
        <v>444306</v>
      </c>
      <c r="H31" s="427" t="s">
        <v>2000</v>
      </c>
      <c r="I31" s="427" t="s">
        <v>2001</v>
      </c>
      <c r="J31" s="427" t="s">
        <v>286</v>
      </c>
      <c r="K31" s="427" t="s">
        <v>2002</v>
      </c>
      <c r="L31" s="428" t="s">
        <v>2003</v>
      </c>
      <c r="M31" s="429">
        <v>43730</v>
      </c>
      <c r="N31" s="179">
        <f t="shared" ca="1" si="0"/>
        <v>6.0013689253935665</v>
      </c>
      <c r="O31" s="179" t="s">
        <v>2381</v>
      </c>
      <c r="P31" s="430">
        <v>-2</v>
      </c>
      <c r="Q31" s="56">
        <v>872</v>
      </c>
      <c r="R31" s="57">
        <v>872</v>
      </c>
      <c r="S31" s="426">
        <v>45017</v>
      </c>
      <c r="T31" s="182">
        <v>1</v>
      </c>
      <c r="U31" s="183">
        <v>45382</v>
      </c>
      <c r="V31" s="182">
        <v>192</v>
      </c>
      <c r="W31" s="401">
        <f t="shared" si="22"/>
        <v>192</v>
      </c>
      <c r="X31" s="247">
        <f t="shared" si="2"/>
        <v>1</v>
      </c>
      <c r="Y31" s="181" t="s">
        <v>36</v>
      </c>
      <c r="Z31" s="186">
        <v>15</v>
      </c>
      <c r="AA31" s="184">
        <v>0</v>
      </c>
      <c r="AB31" s="185">
        <f t="shared" si="20"/>
        <v>7091.5499999999993</v>
      </c>
      <c r="AC31" s="185" t="s">
        <v>128</v>
      </c>
      <c r="AD31" s="404">
        <v>1</v>
      </c>
      <c r="AE31" s="400">
        <f t="shared" si="4"/>
        <v>1</v>
      </c>
      <c r="AF31" s="258">
        <f t="shared" si="5"/>
        <v>7091.5499999999993</v>
      </c>
      <c r="AG31" s="434">
        <v>2326.9148437499998</v>
      </c>
      <c r="AH31" s="433">
        <v>7091.5499999999993</v>
      </c>
      <c r="AI31" s="433">
        <v>4764.6351562499995</v>
      </c>
      <c r="AJ31" s="402">
        <v>7091.5499999999993</v>
      </c>
      <c r="AK31" s="402">
        <f t="shared" si="29"/>
        <v>0</v>
      </c>
      <c r="AR31" s="631">
        <f t="shared" si="23"/>
        <v>7091.5499999999993</v>
      </c>
      <c r="AS31" s="617">
        <f t="shared" si="24"/>
        <v>0</v>
      </c>
      <c r="AZ31" s="625">
        <f t="shared" si="25"/>
        <v>7091.5499999999993</v>
      </c>
      <c r="BA31" s="622">
        <f t="shared" si="26"/>
        <v>0</v>
      </c>
      <c r="BD31" s="629">
        <f t="shared" si="27"/>
        <v>7091.5499999999993</v>
      </c>
      <c r="BE31" s="629">
        <f t="shared" si="13"/>
        <v>0</v>
      </c>
      <c r="BG31" s="629">
        <f t="shared" si="14"/>
        <v>7091.5499999999993</v>
      </c>
      <c r="BH31" s="629">
        <f t="shared" si="15"/>
        <v>0</v>
      </c>
      <c r="BI31" s="629"/>
      <c r="BJ31" s="692">
        <v>2326.91</v>
      </c>
      <c r="BK31" s="683">
        <v>0</v>
      </c>
      <c r="BL31" s="683">
        <f>BK31+BJ31</f>
        <v>2326.91</v>
      </c>
      <c r="BN31" s="692">
        <f t="shared" si="16"/>
        <v>2326.91</v>
      </c>
      <c r="BP31" s="173" t="s">
        <v>2219</v>
      </c>
    </row>
    <row r="32" spans="1:68" ht="14.45" customHeight="1" x14ac:dyDescent="0.2">
      <c r="A32" s="331"/>
      <c r="C32" s="187">
        <v>41120</v>
      </c>
      <c r="D32" s="175">
        <v>1</v>
      </c>
      <c r="E32" s="52">
        <v>43011</v>
      </c>
      <c r="F32" s="176" t="s">
        <v>1883</v>
      </c>
      <c r="G32" s="57">
        <v>444306</v>
      </c>
      <c r="H32" s="427" t="s">
        <v>852</v>
      </c>
      <c r="I32" s="427" t="s">
        <v>2631</v>
      </c>
      <c r="J32" s="427" t="s">
        <v>286</v>
      </c>
      <c r="K32" s="427" t="s">
        <v>2632</v>
      </c>
      <c r="L32" s="428" t="s">
        <v>2003</v>
      </c>
      <c r="M32" s="429">
        <v>43730</v>
      </c>
      <c r="N32" s="179">
        <f t="shared" ca="1" si="0"/>
        <v>6.0013689253935665</v>
      </c>
      <c r="O32" s="179" t="s">
        <v>2381</v>
      </c>
      <c r="P32" s="430">
        <v>-1</v>
      </c>
      <c r="Q32" s="56">
        <v>872</v>
      </c>
      <c r="R32" s="57">
        <v>872</v>
      </c>
      <c r="S32" s="426">
        <v>45173</v>
      </c>
      <c r="T32" s="182">
        <v>65</v>
      </c>
      <c r="U32" s="183">
        <v>45275</v>
      </c>
      <c r="V32" s="182">
        <v>134</v>
      </c>
      <c r="W32" s="401">
        <v>70</v>
      </c>
      <c r="X32" s="247">
        <v>0.36458333333333331</v>
      </c>
      <c r="Y32" s="181" t="s">
        <v>36</v>
      </c>
      <c r="Z32" s="186">
        <v>15</v>
      </c>
      <c r="AA32" s="184"/>
      <c r="AB32" s="185">
        <f t="shared" si="20"/>
        <v>7091.5499999999993</v>
      </c>
      <c r="AC32" s="185"/>
      <c r="AD32" s="404">
        <v>1</v>
      </c>
      <c r="AE32" s="400">
        <f t="shared" si="4"/>
        <v>0.36458333333333331</v>
      </c>
      <c r="AF32" s="258">
        <f t="shared" si="5"/>
        <v>2585.4609374999995</v>
      </c>
      <c r="AG32" s="434"/>
      <c r="AH32" s="433"/>
      <c r="AI32" s="433"/>
      <c r="AJ32" s="402"/>
      <c r="AK32" s="402"/>
      <c r="AR32" s="631"/>
      <c r="AS32" s="617"/>
      <c r="AZ32" s="625"/>
      <c r="BA32" s="622"/>
      <c r="BD32" s="629"/>
      <c r="BE32" s="629"/>
      <c r="BG32" s="629"/>
      <c r="BH32" s="629"/>
      <c r="BI32" s="629"/>
      <c r="BJ32" s="692">
        <f>AF32</f>
        <v>2585.4609374999995</v>
      </c>
      <c r="BK32" s="683">
        <v>0</v>
      </c>
      <c r="BL32" s="683">
        <f>BK32+BJ32</f>
        <v>2585.4609374999995</v>
      </c>
      <c r="BM32" s="173">
        <v>2142.2399999999998</v>
      </c>
      <c r="BN32" s="692">
        <f t="shared" si="16"/>
        <v>4727.7009374999998</v>
      </c>
      <c r="BO32" s="173" t="s">
        <v>2666</v>
      </c>
      <c r="BP32" s="173" t="s">
        <v>2219</v>
      </c>
    </row>
    <row r="33" spans="1:68" s="651" customFormat="1" ht="14.45" customHeight="1" x14ac:dyDescent="0.2">
      <c r="A33" s="650"/>
      <c r="B33" s="651" t="s">
        <v>2420</v>
      </c>
      <c r="C33" s="949">
        <v>41153</v>
      </c>
      <c r="D33" s="653">
        <v>1</v>
      </c>
      <c r="E33" s="950">
        <v>43011</v>
      </c>
      <c r="F33" s="654" t="s">
        <v>1883</v>
      </c>
      <c r="G33" s="655">
        <v>448924</v>
      </c>
      <c r="H33" s="951" t="s">
        <v>975</v>
      </c>
      <c r="I33" s="951" t="s">
        <v>979</v>
      </c>
      <c r="J33" s="951" t="s">
        <v>822</v>
      </c>
      <c r="K33" s="427" t="s">
        <v>980</v>
      </c>
      <c r="L33" s="952" t="s">
        <v>2622</v>
      </c>
      <c r="M33" s="953">
        <v>43617</v>
      </c>
      <c r="N33" s="657">
        <f t="shared" ca="1" si="0"/>
        <v>6.3107460643394937</v>
      </c>
      <c r="O33" s="657" t="s">
        <v>2379</v>
      </c>
      <c r="P33" s="954">
        <v>-1</v>
      </c>
      <c r="Q33" s="759">
        <v>872</v>
      </c>
      <c r="R33" s="655">
        <v>872</v>
      </c>
      <c r="S33" s="851">
        <v>45017</v>
      </c>
      <c r="T33" s="660">
        <v>1</v>
      </c>
      <c r="U33" s="661">
        <v>45382</v>
      </c>
      <c r="V33" s="660">
        <v>192</v>
      </c>
      <c r="W33" s="708">
        <v>192</v>
      </c>
      <c r="X33" s="662">
        <f t="shared" si="2"/>
        <v>1</v>
      </c>
      <c r="Y33" s="659" t="s">
        <v>36</v>
      </c>
      <c r="Z33" s="663">
        <v>15</v>
      </c>
      <c r="AA33" s="664">
        <v>0</v>
      </c>
      <c r="AB33" s="665">
        <f t="shared" si="20"/>
        <v>7091.5499999999993</v>
      </c>
      <c r="AC33" s="665"/>
      <c r="AD33" s="666">
        <v>1</v>
      </c>
      <c r="AE33" s="667">
        <f t="shared" si="4"/>
        <v>1</v>
      </c>
      <c r="AF33" s="668">
        <f t="shared" si="5"/>
        <v>7091.5499999999993</v>
      </c>
      <c r="AG33" s="668"/>
      <c r="AH33" s="669"/>
      <c r="AI33" s="669"/>
      <c r="AJ33" s="670"/>
      <c r="AK33" s="670"/>
      <c r="AL33" s="651" t="s">
        <v>2658</v>
      </c>
      <c r="AO33" s="671"/>
      <c r="AP33" s="671"/>
      <c r="AR33" s="672"/>
      <c r="AS33" s="673"/>
      <c r="AZ33" s="674"/>
      <c r="BA33" s="675"/>
      <c r="BD33" s="676"/>
      <c r="BE33" s="676"/>
      <c r="BF33" s="712"/>
      <c r="BG33" s="676"/>
      <c r="BH33" s="676"/>
      <c r="BI33" s="676"/>
      <c r="BJ33" s="712">
        <f>AF33</f>
        <v>7091.5499999999993</v>
      </c>
      <c r="BK33" s="712"/>
      <c r="BL33" s="712">
        <f>BK33+BJ33</f>
        <v>7091.5499999999993</v>
      </c>
      <c r="BN33" s="692">
        <f t="shared" si="16"/>
        <v>7091.5499999999993</v>
      </c>
    </row>
    <row r="34" spans="1:68" s="770" customFormat="1" ht="14.45" customHeight="1" x14ac:dyDescent="0.2">
      <c r="A34" s="769">
        <v>45047</v>
      </c>
      <c r="B34" s="770" t="s">
        <v>2422</v>
      </c>
      <c r="C34" s="899">
        <v>202707</v>
      </c>
      <c r="D34" s="772">
        <v>1</v>
      </c>
      <c r="E34" s="900">
        <v>43012</v>
      </c>
      <c r="F34" s="901" t="s">
        <v>1882</v>
      </c>
      <c r="G34" s="774">
        <v>432880</v>
      </c>
      <c r="H34" s="903" t="s">
        <v>2004</v>
      </c>
      <c r="I34" s="903" t="s">
        <v>1044</v>
      </c>
      <c r="J34" s="903" t="s">
        <v>1501</v>
      </c>
      <c r="K34" s="421" t="s">
        <v>2005</v>
      </c>
      <c r="L34" s="807" t="s">
        <v>2006</v>
      </c>
      <c r="M34" s="836">
        <v>42790</v>
      </c>
      <c r="N34" s="777">
        <f t="shared" ca="1" si="0"/>
        <v>8.5749486652977414</v>
      </c>
      <c r="O34" s="846" t="s">
        <v>2386</v>
      </c>
      <c r="P34" s="808">
        <v>1</v>
      </c>
      <c r="Q34" s="807">
        <v>872</v>
      </c>
      <c r="R34" s="774">
        <v>872</v>
      </c>
      <c r="S34" s="844">
        <v>45017</v>
      </c>
      <c r="T34" s="783">
        <v>1</v>
      </c>
      <c r="U34" s="946">
        <v>45128</v>
      </c>
      <c r="V34" s="783">
        <v>63</v>
      </c>
      <c r="W34" s="815">
        <f t="shared" si="22"/>
        <v>63</v>
      </c>
      <c r="X34" s="785">
        <f t="shared" si="2"/>
        <v>0.328125</v>
      </c>
      <c r="Y34" s="836" t="s">
        <v>36</v>
      </c>
      <c r="Z34" s="931">
        <v>11.5</v>
      </c>
      <c r="AA34" s="788">
        <v>0</v>
      </c>
      <c r="AB34" s="789">
        <f t="shared" si="20"/>
        <v>5436.8549999999996</v>
      </c>
      <c r="AC34" s="789"/>
      <c r="AD34" s="845">
        <v>1</v>
      </c>
      <c r="AE34" s="792">
        <v>0</v>
      </c>
      <c r="AF34" s="793">
        <f t="shared" si="5"/>
        <v>0</v>
      </c>
      <c r="AG34" s="793">
        <v>0</v>
      </c>
      <c r="AH34" s="794">
        <v>0</v>
      </c>
      <c r="AI34" s="794">
        <v>0</v>
      </c>
      <c r="AJ34" s="795">
        <v>5436.8549999999996</v>
      </c>
      <c r="AK34" s="795">
        <f t="shared" si="29"/>
        <v>-5436.8549999999996</v>
      </c>
      <c r="AL34" s="770" t="s">
        <v>2385</v>
      </c>
      <c r="AO34" s="796"/>
      <c r="AP34" s="796"/>
      <c r="AQ34" s="770">
        <v>0</v>
      </c>
      <c r="AR34" s="797">
        <f t="shared" si="23"/>
        <v>0</v>
      </c>
      <c r="AS34" s="798">
        <f t="shared" si="24"/>
        <v>-5436.8549999999996</v>
      </c>
      <c r="AZ34" s="799">
        <f t="shared" si="25"/>
        <v>0</v>
      </c>
      <c r="BA34" s="800">
        <f t="shared" si="26"/>
        <v>0</v>
      </c>
      <c r="BB34" s="947" t="s">
        <v>2547</v>
      </c>
      <c r="BC34" s="947"/>
      <c r="BD34" s="801">
        <f t="shared" si="27"/>
        <v>0</v>
      </c>
      <c r="BE34" s="801">
        <f t="shared" si="13"/>
        <v>0</v>
      </c>
      <c r="BG34" s="801">
        <f t="shared" si="14"/>
        <v>0</v>
      </c>
      <c r="BH34" s="801">
        <f t="shared" si="15"/>
        <v>0</v>
      </c>
      <c r="BI34" s="801">
        <f t="shared" ref="BI34" si="32">(BG34-BJ34)*-1</f>
        <v>0</v>
      </c>
      <c r="BJ34" s="803">
        <f>AF34</f>
        <v>0</v>
      </c>
      <c r="BK34" s="803">
        <v>0</v>
      </c>
      <c r="BL34" s="803">
        <f t="shared" ref="BL34:BL36" si="33">BK34+BJ34</f>
        <v>0</v>
      </c>
      <c r="BN34" s="692">
        <f t="shared" si="16"/>
        <v>0</v>
      </c>
    </row>
    <row r="35" spans="1:68" s="770" customFormat="1" ht="14.45" customHeight="1" x14ac:dyDescent="0.2">
      <c r="A35" s="769">
        <v>45047</v>
      </c>
      <c r="B35" s="770" t="s">
        <v>2422</v>
      </c>
      <c r="C35" s="899">
        <v>203098</v>
      </c>
      <c r="D35" s="772">
        <v>1</v>
      </c>
      <c r="E35" s="900">
        <v>43012</v>
      </c>
      <c r="F35" s="901" t="s">
        <v>1882</v>
      </c>
      <c r="G35" s="774">
        <v>444322</v>
      </c>
      <c r="H35" s="902" t="s">
        <v>2007</v>
      </c>
      <c r="I35" s="903" t="s">
        <v>2008</v>
      </c>
      <c r="J35" s="903" t="s">
        <v>2009</v>
      </c>
      <c r="K35" s="421" t="s">
        <v>2010</v>
      </c>
      <c r="L35" s="807" t="s">
        <v>2011</v>
      </c>
      <c r="M35" s="836">
        <v>43404</v>
      </c>
      <c r="N35" s="777">
        <f t="shared" ca="1" si="0"/>
        <v>6.8939082819986313</v>
      </c>
      <c r="O35" s="896" t="s">
        <v>2380</v>
      </c>
      <c r="P35" s="808">
        <v>-1</v>
      </c>
      <c r="Q35" s="807">
        <v>872</v>
      </c>
      <c r="R35" s="774">
        <v>872</v>
      </c>
      <c r="S35" s="844">
        <v>45017</v>
      </c>
      <c r="T35" s="783">
        <v>1</v>
      </c>
      <c r="U35" s="782">
        <v>45128</v>
      </c>
      <c r="V35" s="783">
        <v>63</v>
      </c>
      <c r="W35" s="815">
        <f t="shared" si="22"/>
        <v>63</v>
      </c>
      <c r="X35" s="785">
        <f t="shared" si="2"/>
        <v>0.328125</v>
      </c>
      <c r="Y35" s="836" t="s">
        <v>36</v>
      </c>
      <c r="Z35" s="904">
        <v>30</v>
      </c>
      <c r="AA35" s="788">
        <v>0</v>
      </c>
      <c r="AB35" s="789">
        <f t="shared" si="20"/>
        <v>14183.099999999999</v>
      </c>
      <c r="AC35" s="789"/>
      <c r="AD35" s="845">
        <v>1</v>
      </c>
      <c r="AE35" s="792">
        <f t="shared" ref="AE35:AE54" si="34">X35*AD35</f>
        <v>0.328125</v>
      </c>
      <c r="AF35" s="793">
        <f t="shared" si="5"/>
        <v>4653.8296874999996</v>
      </c>
      <c r="AG35" s="793">
        <v>4653.8296874999996</v>
      </c>
      <c r="AH35" s="794">
        <v>4653.8296874999996</v>
      </c>
      <c r="AI35" s="794">
        <v>0</v>
      </c>
      <c r="AJ35" s="795">
        <v>14183.099999999999</v>
      </c>
      <c r="AK35" s="795">
        <f t="shared" si="29"/>
        <v>-9529.2703124999989</v>
      </c>
      <c r="AL35" s="770" t="s">
        <v>2642</v>
      </c>
      <c r="AO35" s="796"/>
      <c r="AP35" s="796">
        <v>5819.25</v>
      </c>
      <c r="AQ35" s="796">
        <f>AP35/192*127</f>
        <v>3849.19140625</v>
      </c>
      <c r="AR35" s="797">
        <f t="shared" si="23"/>
        <v>8503.0210937499996</v>
      </c>
      <c r="AS35" s="798">
        <f t="shared" si="24"/>
        <v>-5680.0789062499989</v>
      </c>
      <c r="AZ35" s="799">
        <f t="shared" si="25"/>
        <v>8503.0210937499996</v>
      </c>
      <c r="BA35" s="800">
        <f t="shared" si="26"/>
        <v>0</v>
      </c>
      <c r="BD35" s="801">
        <f t="shared" si="27"/>
        <v>8503.0210937499996</v>
      </c>
      <c r="BE35" s="801">
        <f t="shared" si="13"/>
        <v>0</v>
      </c>
      <c r="BG35" s="801">
        <f t="shared" si="14"/>
        <v>8503.0210937499996</v>
      </c>
      <c r="BH35" s="801">
        <f t="shared" si="15"/>
        <v>0</v>
      </c>
      <c r="BI35" s="801"/>
      <c r="BJ35" s="803">
        <f t="shared" ref="BJ35:BJ36" si="35">AF35</f>
        <v>4653.8296874999996</v>
      </c>
      <c r="BK35" s="803">
        <v>0</v>
      </c>
      <c r="BL35" s="803">
        <f t="shared" si="33"/>
        <v>4653.8296874999996</v>
      </c>
      <c r="BN35" s="692">
        <f t="shared" si="16"/>
        <v>4653.8296874999996</v>
      </c>
    </row>
    <row r="36" spans="1:68" s="651" customFormat="1" ht="14.45" customHeight="1" x14ac:dyDescent="0.2">
      <c r="A36" s="650">
        <v>45047</v>
      </c>
      <c r="B36" s="651" t="s">
        <v>2420</v>
      </c>
      <c r="C36" s="949">
        <v>210514</v>
      </c>
      <c r="D36" s="653">
        <v>1</v>
      </c>
      <c r="E36" s="950">
        <v>43012</v>
      </c>
      <c r="F36" s="955" t="s">
        <v>1882</v>
      </c>
      <c r="G36" s="655">
        <v>446931</v>
      </c>
      <c r="H36" s="956" t="s">
        <v>2012</v>
      </c>
      <c r="I36" s="957" t="s">
        <v>1122</v>
      </c>
      <c r="J36" s="957" t="s">
        <v>2013</v>
      </c>
      <c r="K36" s="421" t="s">
        <v>2014</v>
      </c>
      <c r="L36" s="759" t="s">
        <v>2015</v>
      </c>
      <c r="M36" s="659">
        <v>43623</v>
      </c>
      <c r="N36" s="657">
        <f t="shared" ca="1" si="0"/>
        <v>6.2943189596167013</v>
      </c>
      <c r="O36" s="657" t="s">
        <v>2379</v>
      </c>
      <c r="P36" s="758">
        <v>-1</v>
      </c>
      <c r="Q36" s="759">
        <v>872</v>
      </c>
      <c r="R36" s="655">
        <v>872</v>
      </c>
      <c r="S36" s="851">
        <v>45017</v>
      </c>
      <c r="T36" s="660">
        <v>1</v>
      </c>
      <c r="U36" s="661">
        <v>45382</v>
      </c>
      <c r="V36" s="660">
        <v>192</v>
      </c>
      <c r="W36" s="708">
        <v>37</v>
      </c>
      <c r="X36" s="662">
        <f t="shared" si="2"/>
        <v>0.19270833333333334</v>
      </c>
      <c r="Y36" s="659" t="s">
        <v>36</v>
      </c>
      <c r="Z36" s="958">
        <v>28</v>
      </c>
      <c r="AA36" s="664">
        <v>0</v>
      </c>
      <c r="AB36" s="665">
        <f t="shared" si="20"/>
        <v>13237.56</v>
      </c>
      <c r="AC36" s="665"/>
      <c r="AD36" s="669">
        <v>1</v>
      </c>
      <c r="AE36" s="667">
        <f t="shared" si="34"/>
        <v>0.19270833333333334</v>
      </c>
      <c r="AF36" s="668">
        <v>4653.83</v>
      </c>
      <c r="AG36" s="668">
        <v>2550.9881249999999</v>
      </c>
      <c r="AH36" s="669">
        <v>2550.9881249999999</v>
      </c>
      <c r="AI36" s="669">
        <v>0</v>
      </c>
      <c r="AJ36" s="670">
        <v>13237.56</v>
      </c>
      <c r="AK36" s="670">
        <f t="shared" si="29"/>
        <v>-10686.571875</v>
      </c>
      <c r="AL36" s="651" t="s">
        <v>2652</v>
      </c>
      <c r="AO36" s="671"/>
      <c r="AP36" s="671"/>
      <c r="AR36" s="672">
        <f t="shared" si="23"/>
        <v>2550.9881249999999</v>
      </c>
      <c r="AS36" s="673">
        <f t="shared" si="24"/>
        <v>-10686.571875</v>
      </c>
      <c r="AZ36" s="674">
        <f t="shared" si="25"/>
        <v>4653.83</v>
      </c>
      <c r="BA36" s="675">
        <f t="shared" si="26"/>
        <v>2102.8418750000001</v>
      </c>
      <c r="BD36" s="676">
        <f t="shared" si="27"/>
        <v>4653.83</v>
      </c>
      <c r="BE36" s="676">
        <f t="shared" si="13"/>
        <v>0</v>
      </c>
      <c r="BG36" s="676">
        <f t="shared" si="14"/>
        <v>4653.83</v>
      </c>
      <c r="BH36" s="676">
        <f t="shared" si="15"/>
        <v>0</v>
      </c>
      <c r="BI36" s="676"/>
      <c r="BJ36" s="712">
        <f t="shared" si="35"/>
        <v>4653.83</v>
      </c>
      <c r="BK36" s="712">
        <v>0</v>
      </c>
      <c r="BL36" s="712">
        <f t="shared" si="33"/>
        <v>4653.83</v>
      </c>
      <c r="BN36" s="692">
        <f t="shared" si="16"/>
        <v>4653.83</v>
      </c>
    </row>
    <row r="37" spans="1:68" ht="14.45" customHeight="1" x14ac:dyDescent="0.2">
      <c r="A37" s="331">
        <v>45047</v>
      </c>
      <c r="B37" s="173" t="s">
        <v>2420</v>
      </c>
      <c r="C37" s="187">
        <v>202770</v>
      </c>
      <c r="D37" s="175">
        <v>1</v>
      </c>
      <c r="E37" s="52">
        <v>43012</v>
      </c>
      <c r="F37" s="431" t="s">
        <v>1882</v>
      </c>
      <c r="G37" s="57">
        <v>446569</v>
      </c>
      <c r="H37" s="432" t="s">
        <v>2016</v>
      </c>
      <c r="I37" s="189" t="s">
        <v>2017</v>
      </c>
      <c r="J37" s="189" t="s">
        <v>1197</v>
      </c>
      <c r="K37" s="189" t="s">
        <v>2018</v>
      </c>
      <c r="L37" s="190" t="s">
        <v>2019</v>
      </c>
      <c r="M37" s="191">
        <v>43728</v>
      </c>
      <c r="N37" s="179">
        <f t="shared" ca="1" si="0"/>
        <v>6.0068446269678306</v>
      </c>
      <c r="O37" s="179" t="s">
        <v>2381</v>
      </c>
      <c r="P37" s="180">
        <v>-2</v>
      </c>
      <c r="Q37" s="176">
        <v>872</v>
      </c>
      <c r="R37" s="176">
        <v>872</v>
      </c>
      <c r="S37" s="426">
        <v>45017</v>
      </c>
      <c r="T37" s="182">
        <v>1</v>
      </c>
      <c r="U37" s="183">
        <v>45382</v>
      </c>
      <c r="V37" s="182">
        <v>192</v>
      </c>
      <c r="W37" s="401">
        <f t="shared" ref="W37:W85" si="36">V37-T37+1</f>
        <v>192</v>
      </c>
      <c r="X37" s="247">
        <f t="shared" si="2"/>
        <v>1</v>
      </c>
      <c r="Y37" s="181" t="s">
        <v>36</v>
      </c>
      <c r="Z37" s="186">
        <v>15</v>
      </c>
      <c r="AA37" s="184">
        <v>0</v>
      </c>
      <c r="AB37" s="185">
        <f t="shared" si="20"/>
        <v>7091.5499999999993</v>
      </c>
      <c r="AC37" s="185"/>
      <c r="AD37" s="404">
        <v>1</v>
      </c>
      <c r="AE37" s="400">
        <f t="shared" si="34"/>
        <v>1</v>
      </c>
      <c r="AF37" s="258">
        <f t="shared" si="5"/>
        <v>7091.5499999999993</v>
      </c>
      <c r="AG37" s="434">
        <v>2326.9148437499998</v>
      </c>
      <c r="AH37" s="433">
        <v>7091.5499999999993</v>
      </c>
      <c r="AI37" s="433">
        <v>4764.6351562499995</v>
      </c>
      <c r="AJ37" s="402">
        <v>7091.5499999999993</v>
      </c>
      <c r="AK37" s="402">
        <f t="shared" si="29"/>
        <v>0</v>
      </c>
      <c r="AR37" s="631">
        <f t="shared" si="23"/>
        <v>7091.5499999999993</v>
      </c>
      <c r="AS37" s="617">
        <f t="shared" si="24"/>
        <v>0</v>
      </c>
      <c r="AZ37" s="625">
        <f t="shared" si="25"/>
        <v>7091.5499999999993</v>
      </c>
      <c r="BA37" s="622">
        <f t="shared" si="26"/>
        <v>0</v>
      </c>
      <c r="BD37" s="629">
        <f t="shared" si="27"/>
        <v>7091.5499999999993</v>
      </c>
      <c r="BE37" s="629">
        <f t="shared" si="13"/>
        <v>0</v>
      </c>
      <c r="BG37" s="629">
        <f t="shared" si="14"/>
        <v>7091.5499999999993</v>
      </c>
      <c r="BH37" s="629">
        <f t="shared" si="15"/>
        <v>0</v>
      </c>
      <c r="BI37" s="629"/>
      <c r="BJ37" s="692">
        <f>BG37+BI37</f>
        <v>7091.5499999999993</v>
      </c>
      <c r="BK37" s="683">
        <v>0</v>
      </c>
      <c r="BL37" s="683">
        <f>BK37+BJ37</f>
        <v>7091.5499999999993</v>
      </c>
      <c r="BM37" s="173">
        <v>2364</v>
      </c>
      <c r="BN37" s="692">
        <f t="shared" si="16"/>
        <v>9455.5499999999993</v>
      </c>
      <c r="BO37" s="173" t="s">
        <v>2666</v>
      </c>
      <c r="BP37" s="173" t="s">
        <v>2219</v>
      </c>
    </row>
    <row r="38" spans="1:68" ht="14.45" customHeight="1" x14ac:dyDescent="0.2">
      <c r="A38" s="331"/>
      <c r="B38" s="173" t="s">
        <v>2420</v>
      </c>
      <c r="C38" s="187">
        <v>202770</v>
      </c>
      <c r="D38" s="175">
        <v>1</v>
      </c>
      <c r="E38" s="52">
        <v>43012</v>
      </c>
      <c r="F38" s="431" t="s">
        <v>1882</v>
      </c>
      <c r="G38" s="57">
        <v>446569</v>
      </c>
      <c r="H38" s="432" t="s">
        <v>2016</v>
      </c>
      <c r="I38" s="189" t="s">
        <v>2017</v>
      </c>
      <c r="J38" s="189" t="s">
        <v>1197</v>
      </c>
      <c r="K38" s="189" t="s">
        <v>2018</v>
      </c>
      <c r="L38" s="190" t="s">
        <v>2019</v>
      </c>
      <c r="M38" s="191">
        <v>43728</v>
      </c>
      <c r="N38" s="179">
        <f t="shared" ca="1" si="0"/>
        <v>6.0068446269678306</v>
      </c>
      <c r="O38" s="179" t="s">
        <v>2381</v>
      </c>
      <c r="P38" s="180">
        <v>-2</v>
      </c>
      <c r="Q38" s="167">
        <v>872</v>
      </c>
      <c r="R38" s="167">
        <v>872</v>
      </c>
      <c r="S38" s="890">
        <v>45173</v>
      </c>
      <c r="T38" s="891">
        <v>65</v>
      </c>
      <c r="U38" s="892">
        <v>45275</v>
      </c>
      <c r="V38" s="891">
        <v>134</v>
      </c>
      <c r="W38" s="893">
        <v>70</v>
      </c>
      <c r="X38" s="894">
        <v>0.36458333333333331</v>
      </c>
      <c r="Y38" s="895" t="s">
        <v>36</v>
      </c>
      <c r="Z38" s="168">
        <v>30</v>
      </c>
      <c r="AA38" s="119">
        <v>0</v>
      </c>
      <c r="AB38" s="70">
        <v>14183.099999999999</v>
      </c>
      <c r="AC38" s="185"/>
      <c r="AD38" s="404">
        <v>1</v>
      </c>
      <c r="AE38" s="400">
        <f t="shared" si="34"/>
        <v>0.36458333333333331</v>
      </c>
      <c r="AF38" s="258">
        <f t="shared" si="5"/>
        <v>5170.9218749999991</v>
      </c>
      <c r="AG38" s="434"/>
      <c r="AH38" s="433"/>
      <c r="AI38" s="433"/>
      <c r="AJ38" s="402"/>
      <c r="AK38" s="402"/>
      <c r="AR38" s="631"/>
      <c r="AS38" s="617"/>
      <c r="AZ38" s="625"/>
      <c r="BA38" s="622"/>
      <c r="BD38" s="629"/>
      <c r="BE38" s="629"/>
      <c r="BG38" s="629"/>
      <c r="BH38" s="629"/>
      <c r="BI38" s="629">
        <f>AF38</f>
        <v>5170.9218749999991</v>
      </c>
      <c r="BJ38" s="692">
        <f>BI38</f>
        <v>5170.9218749999991</v>
      </c>
      <c r="BN38" s="692">
        <f t="shared" si="16"/>
        <v>0</v>
      </c>
      <c r="BP38" s="173" t="s">
        <v>2219</v>
      </c>
    </row>
    <row r="39" spans="1:68" s="770" customFormat="1" ht="14.45" customHeight="1" x14ac:dyDescent="0.2">
      <c r="A39" s="769">
        <v>45047</v>
      </c>
      <c r="B39" s="770" t="s">
        <v>2422</v>
      </c>
      <c r="C39" s="899">
        <v>203115</v>
      </c>
      <c r="D39" s="772">
        <v>1</v>
      </c>
      <c r="E39" s="900">
        <v>43012</v>
      </c>
      <c r="F39" s="900" t="s">
        <v>1882</v>
      </c>
      <c r="G39" s="774">
        <v>442038</v>
      </c>
      <c r="H39" s="905" t="s">
        <v>2026</v>
      </c>
      <c r="I39" s="906" t="s">
        <v>2020</v>
      </c>
      <c r="J39" s="906" t="s">
        <v>2021</v>
      </c>
      <c r="K39" s="189" t="str">
        <f>I39 &amp; J39</f>
        <v>Howells-OpenshawJackson</v>
      </c>
      <c r="L39" s="907" t="s">
        <v>2022</v>
      </c>
      <c r="M39" s="908">
        <v>43304</v>
      </c>
      <c r="N39" s="777">
        <f t="shared" ca="1" si="0"/>
        <v>7.1676933607118416</v>
      </c>
      <c r="O39" s="846" t="s">
        <v>2380</v>
      </c>
      <c r="P39" s="842">
        <v>0</v>
      </c>
      <c r="Q39" s="804">
        <v>872</v>
      </c>
      <c r="R39" s="804">
        <v>872</v>
      </c>
      <c r="S39" s="844">
        <v>45017</v>
      </c>
      <c r="T39" s="783">
        <v>1</v>
      </c>
      <c r="U39" s="782">
        <v>45128</v>
      </c>
      <c r="V39" s="783">
        <v>63</v>
      </c>
      <c r="W39" s="815">
        <f t="shared" si="36"/>
        <v>63</v>
      </c>
      <c r="X39" s="785">
        <f t="shared" si="2"/>
        <v>0.328125</v>
      </c>
      <c r="Y39" s="836" t="s">
        <v>36</v>
      </c>
      <c r="Z39" s="838">
        <v>30</v>
      </c>
      <c r="AA39" s="788">
        <v>0</v>
      </c>
      <c r="AB39" s="789">
        <f>Z39*$AA$121</f>
        <v>14183.099999999999</v>
      </c>
      <c r="AC39" s="789"/>
      <c r="AD39" s="845">
        <v>1</v>
      </c>
      <c r="AE39" s="792">
        <f t="shared" si="34"/>
        <v>0.328125</v>
      </c>
      <c r="AF39" s="793">
        <f t="shared" si="5"/>
        <v>4653.8296874999996</v>
      </c>
      <c r="AG39" s="793">
        <v>4653.8296874999996</v>
      </c>
      <c r="AH39" s="794">
        <v>4653.8296874999996</v>
      </c>
      <c r="AI39" s="794">
        <v>0</v>
      </c>
      <c r="AJ39" s="795">
        <v>14183.099999999999</v>
      </c>
      <c r="AK39" s="795">
        <f t="shared" si="29"/>
        <v>-9529.2703124999989</v>
      </c>
      <c r="AL39" s="770" t="s">
        <v>2643</v>
      </c>
      <c r="AO39" s="796"/>
      <c r="AP39" s="796">
        <v>5819.25</v>
      </c>
      <c r="AQ39" s="796">
        <f>AP39/192*127</f>
        <v>3849.19140625</v>
      </c>
      <c r="AR39" s="797">
        <f t="shared" si="23"/>
        <v>8503.0210937499996</v>
      </c>
      <c r="AS39" s="798">
        <f t="shared" si="24"/>
        <v>-5680.0789062499989</v>
      </c>
      <c r="AZ39" s="799">
        <f t="shared" si="25"/>
        <v>8503.0210937499996</v>
      </c>
      <c r="BA39" s="800">
        <f t="shared" si="26"/>
        <v>0</v>
      </c>
      <c r="BD39" s="801">
        <f t="shared" si="27"/>
        <v>8503.0210937499996</v>
      </c>
      <c r="BE39" s="801">
        <f t="shared" si="13"/>
        <v>0</v>
      </c>
      <c r="BG39" s="801">
        <f t="shared" si="14"/>
        <v>8503.0210937499996</v>
      </c>
      <c r="BH39" s="801">
        <f t="shared" si="15"/>
        <v>0</v>
      </c>
      <c r="BI39" s="801"/>
      <c r="BJ39" s="803">
        <f>AF39</f>
        <v>4653.8296874999996</v>
      </c>
      <c r="BK39" s="803">
        <v>0</v>
      </c>
      <c r="BL39" s="803">
        <f t="shared" ref="BL39:BL42" si="37">BK39+BJ39</f>
        <v>4653.8296874999996</v>
      </c>
      <c r="BN39" s="692">
        <f t="shared" si="16"/>
        <v>4653.8296874999996</v>
      </c>
    </row>
    <row r="40" spans="1:68" s="770" customFormat="1" ht="14.45" customHeight="1" x14ac:dyDescent="0.2">
      <c r="A40" s="769">
        <v>45047</v>
      </c>
      <c r="B40" s="770" t="s">
        <v>2422</v>
      </c>
      <c r="C40" s="899">
        <v>203115</v>
      </c>
      <c r="D40" s="772">
        <v>1</v>
      </c>
      <c r="E40" s="900">
        <v>43012</v>
      </c>
      <c r="F40" s="900" t="s">
        <v>1882</v>
      </c>
      <c r="G40" s="774">
        <v>442077</v>
      </c>
      <c r="H40" s="906" t="s">
        <v>2026</v>
      </c>
      <c r="I40" s="906" t="s">
        <v>1940</v>
      </c>
      <c r="J40" s="906" t="s">
        <v>2027</v>
      </c>
      <c r="K40" s="189" t="s">
        <v>2028</v>
      </c>
      <c r="L40" s="907" t="s">
        <v>2029</v>
      </c>
      <c r="M40" s="908">
        <v>43398</v>
      </c>
      <c r="N40" s="777">
        <f t="shared" ref="N40:N71" ca="1" si="38">(TODAY()-M40)/365.25</f>
        <v>6.9103353867214237</v>
      </c>
      <c r="O40" s="846" t="s">
        <v>2380</v>
      </c>
      <c r="P40" s="842">
        <v>-1</v>
      </c>
      <c r="Q40" s="804">
        <v>872</v>
      </c>
      <c r="R40" s="804">
        <v>872</v>
      </c>
      <c r="S40" s="844">
        <v>45017</v>
      </c>
      <c r="T40" s="783">
        <v>1</v>
      </c>
      <c r="U40" s="782">
        <v>45128</v>
      </c>
      <c r="V40" s="783">
        <v>63</v>
      </c>
      <c r="W40" s="815">
        <f t="shared" si="36"/>
        <v>63</v>
      </c>
      <c r="X40" s="785">
        <f t="shared" ref="X40:X71" si="39">W40/192</f>
        <v>0.328125</v>
      </c>
      <c r="Y40" s="836" t="s">
        <v>36</v>
      </c>
      <c r="Z40" s="838">
        <f>30*0.6</f>
        <v>18</v>
      </c>
      <c r="AA40" s="788">
        <v>0</v>
      </c>
      <c r="AB40" s="789">
        <f>Z40*$AA$121</f>
        <v>8509.86</v>
      </c>
      <c r="AC40" s="789"/>
      <c r="AD40" s="845">
        <v>1</v>
      </c>
      <c r="AE40" s="792">
        <f t="shared" si="34"/>
        <v>0.328125</v>
      </c>
      <c r="AF40" s="793">
        <f t="shared" si="5"/>
        <v>2792.2978125</v>
      </c>
      <c r="AG40" s="793">
        <v>2792.2978125</v>
      </c>
      <c r="AH40" s="794">
        <v>2792.2978125</v>
      </c>
      <c r="AI40" s="794">
        <v>0</v>
      </c>
      <c r="AJ40" s="795">
        <v>8509.86</v>
      </c>
      <c r="AK40" s="795">
        <f t="shared" si="29"/>
        <v>-5717.5621875000006</v>
      </c>
      <c r="AL40" s="770" t="s">
        <v>2636</v>
      </c>
      <c r="AO40" s="796"/>
      <c r="AP40" s="796">
        <v>5819.25</v>
      </c>
      <c r="AQ40" s="796">
        <f>AP40/192*127</f>
        <v>3849.19140625</v>
      </c>
      <c r="AR40" s="797">
        <f t="shared" si="23"/>
        <v>6641.48921875</v>
      </c>
      <c r="AS40" s="798">
        <f t="shared" si="24"/>
        <v>-1868.3707812500006</v>
      </c>
      <c r="AZ40" s="799">
        <f t="shared" si="25"/>
        <v>6641.48921875</v>
      </c>
      <c r="BA40" s="800">
        <f t="shared" si="26"/>
        <v>0</v>
      </c>
      <c r="BD40" s="801">
        <f t="shared" si="27"/>
        <v>6641.48921875</v>
      </c>
      <c r="BE40" s="801">
        <f t="shared" ref="BE40:BE71" si="40">BD40-AZ40</f>
        <v>0</v>
      </c>
      <c r="BG40" s="801">
        <f t="shared" si="14"/>
        <v>6641.48921875</v>
      </c>
      <c r="BH40" s="801">
        <f t="shared" si="15"/>
        <v>0</v>
      </c>
      <c r="BI40" s="801"/>
      <c r="BJ40" s="803">
        <f t="shared" ref="BJ40:BJ42" si="41">AF40</f>
        <v>2792.2978125</v>
      </c>
      <c r="BK40" s="803">
        <v>0</v>
      </c>
      <c r="BL40" s="803">
        <f t="shared" si="37"/>
        <v>2792.2978125</v>
      </c>
      <c r="BN40" s="692">
        <f t="shared" si="16"/>
        <v>2792.2978125</v>
      </c>
    </row>
    <row r="41" spans="1:68" s="651" customFormat="1" ht="14.45" customHeight="1" x14ac:dyDescent="0.2">
      <c r="A41" s="650">
        <v>45047</v>
      </c>
      <c r="B41" s="651" t="s">
        <v>2420</v>
      </c>
      <c r="C41" s="652">
        <v>206993</v>
      </c>
      <c r="D41" s="653">
        <v>1</v>
      </c>
      <c r="E41" s="654">
        <v>43012</v>
      </c>
      <c r="F41" s="654" t="s">
        <v>1882</v>
      </c>
      <c r="G41" s="655">
        <v>447639</v>
      </c>
      <c r="H41" s="823" t="s">
        <v>2030</v>
      </c>
      <c r="I41" s="823" t="s">
        <v>83</v>
      </c>
      <c r="J41" s="823" t="s">
        <v>2031</v>
      </c>
      <c r="K41" s="177" t="s">
        <v>2032</v>
      </c>
      <c r="L41" s="654" t="s">
        <v>2033</v>
      </c>
      <c r="M41" s="959">
        <v>43626</v>
      </c>
      <c r="N41" s="657">
        <f t="shared" ca="1" si="38"/>
        <v>6.2861054072553042</v>
      </c>
      <c r="O41" s="657" t="s">
        <v>2379</v>
      </c>
      <c r="P41" s="758">
        <v>-1</v>
      </c>
      <c r="Q41" s="759">
        <v>872</v>
      </c>
      <c r="R41" s="655">
        <v>872</v>
      </c>
      <c r="S41" s="659">
        <v>45017</v>
      </c>
      <c r="T41" s="660">
        <v>1</v>
      </c>
      <c r="U41" s="661">
        <v>45382</v>
      </c>
      <c r="V41" s="660">
        <v>192</v>
      </c>
      <c r="W41" s="660">
        <f t="shared" si="36"/>
        <v>192</v>
      </c>
      <c r="X41" s="662">
        <f t="shared" si="39"/>
        <v>1</v>
      </c>
      <c r="Y41" s="659" t="s">
        <v>36</v>
      </c>
      <c r="Z41" s="663">
        <v>9</v>
      </c>
      <c r="AA41" s="664">
        <v>0</v>
      </c>
      <c r="AB41" s="665">
        <f>Z41*$AA$121</f>
        <v>4254.93</v>
      </c>
      <c r="AC41" s="652"/>
      <c r="AD41" s="666">
        <v>1</v>
      </c>
      <c r="AE41" s="667">
        <v>0.33</v>
      </c>
      <c r="AF41" s="668">
        <v>1396.15</v>
      </c>
      <c r="AG41" s="668">
        <v>1396.14890625</v>
      </c>
      <c r="AH41" s="669">
        <v>4254.93</v>
      </c>
      <c r="AI41" s="669">
        <v>2858.7810937500003</v>
      </c>
      <c r="AJ41" s="670">
        <v>4254.93</v>
      </c>
      <c r="AK41" s="670">
        <f t="shared" si="29"/>
        <v>0</v>
      </c>
      <c r="AL41" s="651" t="s">
        <v>2636</v>
      </c>
      <c r="AO41" s="671"/>
      <c r="AP41" s="671"/>
      <c r="AR41" s="672">
        <f t="shared" si="23"/>
        <v>4254.93</v>
      </c>
      <c r="AS41" s="673">
        <f t="shared" si="24"/>
        <v>0</v>
      </c>
      <c r="AZ41" s="674">
        <f t="shared" si="25"/>
        <v>1396.15</v>
      </c>
      <c r="BA41" s="675">
        <f t="shared" si="26"/>
        <v>-2858.78</v>
      </c>
      <c r="BD41" s="676">
        <f t="shared" si="27"/>
        <v>1396.15</v>
      </c>
      <c r="BE41" s="676">
        <f t="shared" si="40"/>
        <v>0</v>
      </c>
      <c r="BG41" s="676">
        <f t="shared" si="14"/>
        <v>1396.15</v>
      </c>
      <c r="BH41" s="676">
        <f t="shared" si="15"/>
        <v>0</v>
      </c>
      <c r="BI41" s="676"/>
      <c r="BJ41" s="712">
        <f t="shared" si="41"/>
        <v>1396.15</v>
      </c>
      <c r="BK41" s="712">
        <v>0</v>
      </c>
      <c r="BL41" s="712">
        <f t="shared" si="37"/>
        <v>1396.15</v>
      </c>
      <c r="BN41" s="692">
        <f t="shared" si="16"/>
        <v>1396.15</v>
      </c>
    </row>
    <row r="42" spans="1:68" s="770" customFormat="1" ht="14.45" customHeight="1" x14ac:dyDescent="0.2">
      <c r="A42" s="769">
        <v>45047</v>
      </c>
      <c r="B42" s="770" t="s">
        <v>2422</v>
      </c>
      <c r="C42" s="790">
        <f>VLOOKUP(H42,$H$128:$I$186,2,FALSE)</f>
        <v>203085</v>
      </c>
      <c r="D42" s="772">
        <v>1</v>
      </c>
      <c r="E42" s="900">
        <v>43012</v>
      </c>
      <c r="F42" s="900" t="s">
        <v>1882</v>
      </c>
      <c r="G42" s="774">
        <v>449759</v>
      </c>
      <c r="H42" s="906" t="s">
        <v>1908</v>
      </c>
      <c r="I42" s="906" t="s">
        <v>1272</v>
      </c>
      <c r="J42" s="906" t="s">
        <v>2023</v>
      </c>
      <c r="K42" s="189" t="s">
        <v>2024</v>
      </c>
      <c r="L42" s="907" t="s">
        <v>2025</v>
      </c>
      <c r="M42" s="908">
        <v>43536</v>
      </c>
      <c r="N42" s="777">
        <f t="shared" ca="1" si="38"/>
        <v>6.5325119780971939</v>
      </c>
      <c r="O42" s="777" t="s">
        <v>2378</v>
      </c>
      <c r="P42" s="842">
        <v>-1</v>
      </c>
      <c r="Q42" s="804">
        <v>872</v>
      </c>
      <c r="R42" s="804">
        <v>872</v>
      </c>
      <c r="S42" s="844">
        <v>45051</v>
      </c>
      <c r="T42" s="783">
        <v>14</v>
      </c>
      <c r="U42" s="782">
        <v>45382</v>
      </c>
      <c r="V42" s="783">
        <v>192</v>
      </c>
      <c r="W42" s="815">
        <f t="shared" si="36"/>
        <v>179</v>
      </c>
      <c r="X42" s="785">
        <f t="shared" si="39"/>
        <v>0.93229166666666663</v>
      </c>
      <c r="Y42" s="836" t="s">
        <v>36</v>
      </c>
      <c r="Z42" s="838">
        <v>30</v>
      </c>
      <c r="AA42" s="788">
        <v>0</v>
      </c>
      <c r="AB42" s="789">
        <f>Z42*$AA$121</f>
        <v>14183.099999999999</v>
      </c>
      <c r="AC42" s="790"/>
      <c r="AD42" s="845">
        <v>1</v>
      </c>
      <c r="AE42" s="792">
        <v>0.26</v>
      </c>
      <c r="AF42" s="793">
        <f t="shared" si="5"/>
        <v>3687.6059999999998</v>
      </c>
      <c r="AG42" s="793">
        <v>3693.515625</v>
      </c>
      <c r="AH42" s="794">
        <v>13222.785937499999</v>
      </c>
      <c r="AI42" s="794">
        <v>9529.2703124999989</v>
      </c>
      <c r="AJ42" s="795">
        <v>14183.099999999999</v>
      </c>
      <c r="AK42" s="795">
        <f t="shared" si="29"/>
        <v>-960.31406249999964</v>
      </c>
      <c r="AL42" s="770" t="s">
        <v>2652</v>
      </c>
      <c r="AO42" s="796"/>
      <c r="AP42" s="796"/>
      <c r="AQ42" s="796">
        <f>AP42/192*127</f>
        <v>0</v>
      </c>
      <c r="AR42" s="797">
        <f t="shared" si="23"/>
        <v>13222.785937499999</v>
      </c>
      <c r="AS42" s="798">
        <f t="shared" si="24"/>
        <v>-960.31406249999964</v>
      </c>
      <c r="AZ42" s="799">
        <f t="shared" si="25"/>
        <v>3687.6059999999998</v>
      </c>
      <c r="BA42" s="800">
        <f t="shared" si="26"/>
        <v>-9535.1799374999991</v>
      </c>
      <c r="BD42" s="801">
        <f t="shared" si="27"/>
        <v>3687.6059999999998</v>
      </c>
      <c r="BE42" s="801">
        <f t="shared" si="40"/>
        <v>0</v>
      </c>
      <c r="BG42" s="801">
        <f t="shared" si="14"/>
        <v>3687.6059999999998</v>
      </c>
      <c r="BH42" s="801">
        <f t="shared" si="15"/>
        <v>0</v>
      </c>
      <c r="BI42" s="801"/>
      <c r="BJ42" s="803">
        <f t="shared" si="41"/>
        <v>3687.6059999999998</v>
      </c>
      <c r="BK42" s="803">
        <v>0</v>
      </c>
      <c r="BL42" s="803">
        <f t="shared" si="37"/>
        <v>3687.6059999999998</v>
      </c>
      <c r="BN42" s="692">
        <f t="shared" si="16"/>
        <v>3687.6059999999998</v>
      </c>
    </row>
    <row r="43" spans="1:68" s="770" customFormat="1" ht="14.45" customHeight="1" x14ac:dyDescent="0.2">
      <c r="A43" s="769">
        <v>45047</v>
      </c>
      <c r="B43" s="770" t="s">
        <v>2422</v>
      </c>
      <c r="C43" s="899">
        <v>202868</v>
      </c>
      <c r="D43" s="772">
        <v>1</v>
      </c>
      <c r="E43" s="900">
        <v>43012</v>
      </c>
      <c r="F43" s="804" t="s">
        <v>1882</v>
      </c>
      <c r="G43" s="774">
        <v>446784</v>
      </c>
      <c r="H43" s="906" t="s">
        <v>2034</v>
      </c>
      <c r="I43" s="906" t="s">
        <v>654</v>
      </c>
      <c r="J43" s="906" t="s">
        <v>684</v>
      </c>
      <c r="K43" s="189" t="s">
        <v>1950</v>
      </c>
      <c r="L43" s="907" t="s">
        <v>1951</v>
      </c>
      <c r="M43" s="908">
        <v>43535</v>
      </c>
      <c r="N43" s="777">
        <f t="shared" ca="1" si="38"/>
        <v>6.5352498288843259</v>
      </c>
      <c r="O43" s="909" t="s">
        <v>2380</v>
      </c>
      <c r="P43" s="842">
        <v>-1</v>
      </c>
      <c r="Q43" s="804">
        <v>872</v>
      </c>
      <c r="R43" s="804">
        <v>872</v>
      </c>
      <c r="S43" s="836">
        <v>45017</v>
      </c>
      <c r="T43" s="783">
        <v>1</v>
      </c>
      <c r="U43" s="836">
        <v>45128</v>
      </c>
      <c r="V43" s="783">
        <v>63</v>
      </c>
      <c r="W43" s="783">
        <f t="shared" si="36"/>
        <v>63</v>
      </c>
      <c r="X43" s="785">
        <f t="shared" si="39"/>
        <v>0.328125</v>
      </c>
      <c r="Y43" s="836">
        <v>45128</v>
      </c>
      <c r="Z43" s="838">
        <v>9.75</v>
      </c>
      <c r="AA43" s="788">
        <v>0</v>
      </c>
      <c r="AB43" s="789">
        <f>Z43*$AA$121</f>
        <v>4609.5074999999997</v>
      </c>
      <c r="AC43" s="789"/>
      <c r="AD43" s="845">
        <v>1</v>
      </c>
      <c r="AE43" s="792">
        <f t="shared" si="34"/>
        <v>0.328125</v>
      </c>
      <c r="AF43" s="793">
        <f t="shared" si="5"/>
        <v>1512.4946484375</v>
      </c>
      <c r="AG43" s="793">
        <v>1512.4946484375</v>
      </c>
      <c r="AH43" s="794">
        <v>1512.4946484375</v>
      </c>
      <c r="AI43" s="794">
        <v>0</v>
      </c>
      <c r="AJ43" s="795">
        <v>1512.4946484375</v>
      </c>
      <c r="AK43" s="795">
        <f t="shared" si="29"/>
        <v>0</v>
      </c>
      <c r="AL43" s="770" t="s">
        <v>2644</v>
      </c>
      <c r="AO43" s="796"/>
      <c r="AP43" s="796">
        <v>5819.25</v>
      </c>
      <c r="AQ43" s="796">
        <f>AP43/192*127</f>
        <v>3849.19140625</v>
      </c>
      <c r="AR43" s="797">
        <f t="shared" si="23"/>
        <v>5361.6860546874996</v>
      </c>
      <c r="AS43" s="798">
        <f t="shared" si="24"/>
        <v>3849.1914062499995</v>
      </c>
      <c r="AY43" s="796">
        <f>AQ43*-1</f>
        <v>-3849.19140625</v>
      </c>
      <c r="AZ43" s="799">
        <f t="shared" si="25"/>
        <v>1512.4946484374996</v>
      </c>
      <c r="BA43" s="800">
        <f t="shared" si="26"/>
        <v>-3849.19140625</v>
      </c>
      <c r="BB43" s="770" t="s">
        <v>2548</v>
      </c>
      <c r="BD43" s="801">
        <f t="shared" si="27"/>
        <v>1512.4946484374996</v>
      </c>
      <c r="BE43" s="801">
        <f t="shared" si="40"/>
        <v>0</v>
      </c>
      <c r="BG43" s="801">
        <f t="shared" si="14"/>
        <v>1512.4946484374996</v>
      </c>
      <c r="BH43" s="801">
        <f t="shared" si="15"/>
        <v>0</v>
      </c>
      <c r="BI43" s="801">
        <f t="shared" ref="BI43:BI68" si="42">BG43-BJ43</f>
        <v>4.6484374995543476E-3</v>
      </c>
      <c r="BJ43" s="803">
        <v>1512.49</v>
      </c>
      <c r="BK43" s="770">
        <v>0</v>
      </c>
      <c r="BL43" s="803">
        <f>BJ43</f>
        <v>1512.49</v>
      </c>
      <c r="BN43" s="692">
        <f t="shared" si="16"/>
        <v>1512.49</v>
      </c>
    </row>
    <row r="44" spans="1:68" s="770" customFormat="1" ht="14.45" customHeight="1" x14ac:dyDescent="0.2">
      <c r="A44" s="769">
        <v>45047</v>
      </c>
      <c r="B44" s="770" t="s">
        <v>2422</v>
      </c>
      <c r="C44" s="790">
        <f>VLOOKUP(H44,$H$128:$I$186,2,FALSE)</f>
        <v>203093</v>
      </c>
      <c r="D44" s="772">
        <v>1</v>
      </c>
      <c r="E44" s="804">
        <v>43012</v>
      </c>
      <c r="F44" s="804" t="s">
        <v>1882</v>
      </c>
      <c r="G44" s="774">
        <v>446515</v>
      </c>
      <c r="H44" s="840" t="s">
        <v>1906</v>
      </c>
      <c r="I44" s="840" t="s">
        <v>231</v>
      </c>
      <c r="J44" s="840" t="s">
        <v>1978</v>
      </c>
      <c r="K44" s="177" t="s">
        <v>1979</v>
      </c>
      <c r="L44" s="804" t="s">
        <v>1980</v>
      </c>
      <c r="M44" s="841">
        <v>43504</v>
      </c>
      <c r="N44" s="777">
        <f t="shared" ca="1" si="38"/>
        <v>6.6201232032854209</v>
      </c>
      <c r="O44" s="777" t="s">
        <v>2378</v>
      </c>
      <c r="P44" s="842">
        <v>-1</v>
      </c>
      <c r="Q44" s="804">
        <v>872</v>
      </c>
      <c r="R44" s="804">
        <v>872</v>
      </c>
      <c r="S44" s="782">
        <v>45017</v>
      </c>
      <c r="T44" s="783">
        <v>1</v>
      </c>
      <c r="U44" s="782">
        <v>45169</v>
      </c>
      <c r="V44" s="783">
        <v>63</v>
      </c>
      <c r="W44" s="783">
        <f t="shared" si="36"/>
        <v>63</v>
      </c>
      <c r="X44" s="785">
        <f t="shared" si="39"/>
        <v>0.328125</v>
      </c>
      <c r="Y44" s="836" t="s">
        <v>36</v>
      </c>
      <c r="Z44" s="838">
        <v>24</v>
      </c>
      <c r="AA44" s="788">
        <v>0</v>
      </c>
      <c r="AB44" s="789">
        <v>7091.55</v>
      </c>
      <c r="AC44" s="790"/>
      <c r="AD44" s="845">
        <v>1</v>
      </c>
      <c r="AE44" s="792">
        <f t="shared" si="34"/>
        <v>0.328125</v>
      </c>
      <c r="AF44" s="793">
        <f t="shared" si="5"/>
        <v>2326.9148437500003</v>
      </c>
      <c r="AG44" s="793">
        <v>3723.0637499999998</v>
      </c>
      <c r="AH44" s="794">
        <v>11346.48</v>
      </c>
      <c r="AI44" s="794">
        <v>7623.4162500000002</v>
      </c>
      <c r="AJ44" s="795">
        <v>11346.48</v>
      </c>
      <c r="AK44" s="795">
        <f t="shared" si="29"/>
        <v>0</v>
      </c>
      <c r="AL44" s="770" t="s">
        <v>2653</v>
      </c>
      <c r="AO44" s="796"/>
      <c r="AP44" s="796"/>
      <c r="AQ44" s="796">
        <f>AP44/192*127</f>
        <v>0</v>
      </c>
      <c r="AR44" s="797">
        <f t="shared" si="23"/>
        <v>11346.48</v>
      </c>
      <c r="AS44" s="798">
        <f t="shared" si="24"/>
        <v>0</v>
      </c>
      <c r="AZ44" s="799">
        <f t="shared" si="25"/>
        <v>2326.9148437500003</v>
      </c>
      <c r="BA44" s="800">
        <f t="shared" si="26"/>
        <v>-9019.5651562499988</v>
      </c>
      <c r="BD44" s="801">
        <f t="shared" si="27"/>
        <v>2326.9148437500003</v>
      </c>
      <c r="BE44" s="801">
        <f t="shared" si="40"/>
        <v>0</v>
      </c>
      <c r="BF44" s="803"/>
      <c r="BG44" s="801">
        <f t="shared" si="14"/>
        <v>2326.9148437500003</v>
      </c>
      <c r="BH44" s="801">
        <f t="shared" si="15"/>
        <v>0</v>
      </c>
      <c r="BI44" s="801"/>
      <c r="BJ44" s="803">
        <f>AF44</f>
        <v>2326.9148437500003</v>
      </c>
      <c r="BK44" s="803"/>
      <c r="BL44" s="803">
        <f t="shared" ref="BL44:BL46" si="43">BJ44</f>
        <v>2326.9148437500003</v>
      </c>
      <c r="BN44" s="692">
        <f t="shared" si="16"/>
        <v>2326.9148437500003</v>
      </c>
    </row>
    <row r="45" spans="1:68" ht="14.45" customHeight="1" x14ac:dyDescent="0.2">
      <c r="A45" s="331">
        <v>45047</v>
      </c>
      <c r="B45" s="173" t="s">
        <v>2420</v>
      </c>
      <c r="C45" s="174">
        <v>202198</v>
      </c>
      <c r="D45" s="175">
        <v>1</v>
      </c>
      <c r="E45" s="176">
        <v>43012</v>
      </c>
      <c r="F45" s="176" t="s">
        <v>1882</v>
      </c>
      <c r="G45" s="57">
        <v>448323</v>
      </c>
      <c r="H45" s="177" t="s">
        <v>2035</v>
      </c>
      <c r="I45" s="189" t="s">
        <v>2036</v>
      </c>
      <c r="J45" s="189" t="s">
        <v>2037</v>
      </c>
      <c r="K45" s="189" t="s">
        <v>2038</v>
      </c>
      <c r="L45" s="190" t="s">
        <v>2039</v>
      </c>
      <c r="M45" s="191">
        <v>43826</v>
      </c>
      <c r="N45" s="179">
        <f t="shared" ca="1" si="38"/>
        <v>5.7385352498288844</v>
      </c>
      <c r="O45" s="179" t="s">
        <v>2381</v>
      </c>
      <c r="P45" s="180">
        <v>-2</v>
      </c>
      <c r="Q45" s="176">
        <v>872</v>
      </c>
      <c r="R45" s="176">
        <v>872</v>
      </c>
      <c r="S45" s="181">
        <v>45017</v>
      </c>
      <c r="T45" s="182">
        <v>1</v>
      </c>
      <c r="U45" s="183">
        <v>45128</v>
      </c>
      <c r="V45" s="182">
        <v>63</v>
      </c>
      <c r="W45" s="182">
        <f t="shared" si="36"/>
        <v>63</v>
      </c>
      <c r="X45" s="247">
        <f t="shared" si="39"/>
        <v>0.328125</v>
      </c>
      <c r="Y45" s="181" t="s">
        <v>36</v>
      </c>
      <c r="Z45" s="186">
        <v>30</v>
      </c>
      <c r="AA45" s="184">
        <v>0</v>
      </c>
      <c r="AB45" s="185">
        <f t="shared" ref="AB45:AB54" si="44">Z45*$AA$121</f>
        <v>14183.099999999999</v>
      </c>
      <c r="AC45" s="174"/>
      <c r="AD45" s="357">
        <v>1</v>
      </c>
      <c r="AE45" s="400">
        <f t="shared" si="34"/>
        <v>0.328125</v>
      </c>
      <c r="AF45" s="258">
        <f t="shared" si="5"/>
        <v>4653.8296874999996</v>
      </c>
      <c r="AG45" s="434">
        <v>4653.8296874999996</v>
      </c>
      <c r="AH45" s="433">
        <v>14183.099999999999</v>
      </c>
      <c r="AI45" s="433">
        <v>9529.2703124999989</v>
      </c>
      <c r="AJ45" s="402">
        <v>14183.099999999999</v>
      </c>
      <c r="AK45" s="402">
        <f t="shared" si="29"/>
        <v>0</v>
      </c>
      <c r="AR45" s="631">
        <f t="shared" si="23"/>
        <v>14183.099999999999</v>
      </c>
      <c r="AS45" s="617">
        <f t="shared" si="24"/>
        <v>0</v>
      </c>
      <c r="AZ45" s="625">
        <f t="shared" si="25"/>
        <v>4653.8296874999996</v>
      </c>
      <c r="BA45" s="622">
        <f t="shared" si="26"/>
        <v>-9529.2703124999989</v>
      </c>
      <c r="BD45" s="629">
        <f t="shared" si="27"/>
        <v>4653.8296874999996</v>
      </c>
      <c r="BE45" s="629">
        <f t="shared" si="40"/>
        <v>0</v>
      </c>
      <c r="BF45" s="173"/>
      <c r="BG45" s="629">
        <f t="shared" si="14"/>
        <v>4653.8296874999996</v>
      </c>
      <c r="BH45" s="629">
        <f t="shared" si="15"/>
        <v>0</v>
      </c>
      <c r="BI45" s="629"/>
      <c r="BJ45" s="692">
        <f t="shared" ref="BJ45:BJ46" si="45">AF45</f>
        <v>4653.8296874999996</v>
      </c>
      <c r="BL45" s="683">
        <f t="shared" si="43"/>
        <v>4653.8296874999996</v>
      </c>
      <c r="BN45" s="692">
        <f t="shared" si="16"/>
        <v>4653.8296874999996</v>
      </c>
    </row>
    <row r="46" spans="1:68" ht="14.45" customHeight="1" x14ac:dyDescent="0.2">
      <c r="A46" s="331">
        <v>45047</v>
      </c>
      <c r="B46" s="173" t="s">
        <v>2420</v>
      </c>
      <c r="C46" s="174">
        <v>202198</v>
      </c>
      <c r="D46" s="175">
        <v>1</v>
      </c>
      <c r="E46" s="176">
        <v>43012</v>
      </c>
      <c r="F46" s="176" t="s">
        <v>1882</v>
      </c>
      <c r="G46" s="57">
        <v>445856</v>
      </c>
      <c r="H46" s="177" t="s">
        <v>2035</v>
      </c>
      <c r="I46" s="189" t="s">
        <v>2040</v>
      </c>
      <c r="J46" s="189" t="s">
        <v>2041</v>
      </c>
      <c r="K46" s="189" t="s">
        <v>2042</v>
      </c>
      <c r="L46" s="190" t="s">
        <v>2043</v>
      </c>
      <c r="M46" s="191">
        <v>43785</v>
      </c>
      <c r="N46" s="179">
        <f t="shared" ca="1" si="38"/>
        <v>5.8507871321013001</v>
      </c>
      <c r="O46" s="179" t="s">
        <v>2381</v>
      </c>
      <c r="P46" s="180">
        <v>-2</v>
      </c>
      <c r="Q46" s="176">
        <v>872</v>
      </c>
      <c r="R46" s="176">
        <v>872</v>
      </c>
      <c r="S46" s="181">
        <v>45035</v>
      </c>
      <c r="T46" s="182">
        <v>4</v>
      </c>
      <c r="U46" s="183">
        <v>45382</v>
      </c>
      <c r="V46" s="182">
        <v>192</v>
      </c>
      <c r="W46" s="182">
        <f t="shared" si="36"/>
        <v>189</v>
      </c>
      <c r="X46" s="247">
        <f t="shared" si="39"/>
        <v>0.984375</v>
      </c>
      <c r="Y46" s="181" t="s">
        <v>36</v>
      </c>
      <c r="Z46" s="186">
        <v>30</v>
      </c>
      <c r="AA46" s="184">
        <v>0</v>
      </c>
      <c r="AB46" s="185">
        <f t="shared" si="44"/>
        <v>14183.099999999999</v>
      </c>
      <c r="AC46" s="174"/>
      <c r="AD46" s="357">
        <v>1</v>
      </c>
      <c r="AE46" s="400">
        <f t="shared" si="34"/>
        <v>0.984375</v>
      </c>
      <c r="AF46" s="258">
        <f t="shared" si="5"/>
        <v>13961.489062499999</v>
      </c>
      <c r="AG46" s="434">
        <v>4432.21875</v>
      </c>
      <c r="AH46" s="433">
        <v>13961.489062499999</v>
      </c>
      <c r="AI46" s="433">
        <v>9529.2703124999989</v>
      </c>
      <c r="AJ46" s="402">
        <v>14183.099999999999</v>
      </c>
      <c r="AK46" s="402">
        <f t="shared" si="29"/>
        <v>-221.61093749999964</v>
      </c>
      <c r="AR46" s="631">
        <f t="shared" si="23"/>
        <v>13961.489062499999</v>
      </c>
      <c r="AS46" s="617">
        <f t="shared" si="24"/>
        <v>-221.61093749999964</v>
      </c>
      <c r="AZ46" s="625">
        <f t="shared" si="25"/>
        <v>13961.489062499999</v>
      </c>
      <c r="BA46" s="622">
        <f t="shared" si="26"/>
        <v>0</v>
      </c>
      <c r="BD46" s="629">
        <f t="shared" si="27"/>
        <v>13961.489062499999</v>
      </c>
      <c r="BE46" s="629">
        <f t="shared" si="40"/>
        <v>0</v>
      </c>
      <c r="BG46" s="629">
        <f t="shared" si="14"/>
        <v>13961.489062499999</v>
      </c>
      <c r="BH46" s="629">
        <f t="shared" si="15"/>
        <v>0</v>
      </c>
      <c r="BI46" s="629"/>
      <c r="BJ46" s="692">
        <f t="shared" si="45"/>
        <v>13961.489062499999</v>
      </c>
      <c r="BL46" s="683">
        <f t="shared" si="43"/>
        <v>13961.489062499999</v>
      </c>
      <c r="BM46" s="173">
        <v>-6945</v>
      </c>
      <c r="BN46" s="692">
        <f t="shared" si="16"/>
        <v>7016.4890624999989</v>
      </c>
      <c r="BO46" s="173" t="s">
        <v>2666</v>
      </c>
      <c r="BP46" s="173" t="s">
        <v>2219</v>
      </c>
    </row>
    <row r="47" spans="1:68" s="770" customFormat="1" ht="14.45" customHeight="1" x14ac:dyDescent="0.2">
      <c r="A47" s="769">
        <v>45047</v>
      </c>
      <c r="B47" s="770" t="s">
        <v>2422</v>
      </c>
      <c r="C47" s="790">
        <v>202198</v>
      </c>
      <c r="D47" s="772">
        <v>1</v>
      </c>
      <c r="E47" s="804">
        <v>43012</v>
      </c>
      <c r="F47" s="804" t="s">
        <v>1882</v>
      </c>
      <c r="G47" s="774">
        <v>444271</v>
      </c>
      <c r="H47" s="840" t="s">
        <v>2035</v>
      </c>
      <c r="I47" s="840" t="s">
        <v>2044</v>
      </c>
      <c r="J47" s="840" t="s">
        <v>2045</v>
      </c>
      <c r="K47" s="177" t="s">
        <v>2046</v>
      </c>
      <c r="L47" s="804" t="s">
        <v>2047</v>
      </c>
      <c r="M47" s="841">
        <v>43365</v>
      </c>
      <c r="N47" s="777">
        <f t="shared" ca="1" si="38"/>
        <v>7.0006844626967828</v>
      </c>
      <c r="O47" s="846" t="s">
        <v>2380</v>
      </c>
      <c r="P47" s="842">
        <v>-1</v>
      </c>
      <c r="Q47" s="804">
        <v>872</v>
      </c>
      <c r="R47" s="804">
        <v>872</v>
      </c>
      <c r="S47" s="836">
        <v>45017</v>
      </c>
      <c r="T47" s="783">
        <v>1</v>
      </c>
      <c r="U47" s="782">
        <v>45128</v>
      </c>
      <c r="V47" s="783">
        <v>63</v>
      </c>
      <c r="W47" s="783">
        <f t="shared" si="36"/>
        <v>63</v>
      </c>
      <c r="X47" s="785">
        <f t="shared" si="39"/>
        <v>0.328125</v>
      </c>
      <c r="Y47" s="836" t="s">
        <v>36</v>
      </c>
      <c r="Z47" s="838">
        <f>25*0.8</f>
        <v>20</v>
      </c>
      <c r="AA47" s="788">
        <v>0</v>
      </c>
      <c r="AB47" s="789">
        <f t="shared" si="44"/>
        <v>9455.4</v>
      </c>
      <c r="AC47" s="790"/>
      <c r="AD47" s="845">
        <v>1</v>
      </c>
      <c r="AE47" s="792">
        <f t="shared" si="34"/>
        <v>0.328125</v>
      </c>
      <c r="AF47" s="793">
        <f t="shared" si="5"/>
        <v>3102.5531249999999</v>
      </c>
      <c r="AG47" s="793">
        <v>3102.5531249999999</v>
      </c>
      <c r="AH47" s="794">
        <v>3102.5531249999999</v>
      </c>
      <c r="AI47" s="794">
        <v>0</v>
      </c>
      <c r="AJ47" s="795">
        <v>9455.4</v>
      </c>
      <c r="AK47" s="795">
        <f t="shared" si="29"/>
        <v>-6352.8468749999993</v>
      </c>
      <c r="AL47" s="770" t="s">
        <v>2645</v>
      </c>
      <c r="AO47" s="796"/>
      <c r="AP47" s="796">
        <v>5819.25</v>
      </c>
      <c r="AQ47" s="796">
        <f>AP47/192*127</f>
        <v>3849.19140625</v>
      </c>
      <c r="AR47" s="797">
        <f t="shared" si="23"/>
        <v>6951.7445312500004</v>
      </c>
      <c r="AS47" s="798">
        <f t="shared" si="24"/>
        <v>-2503.6554687499993</v>
      </c>
      <c r="AZ47" s="799">
        <f t="shared" si="25"/>
        <v>6951.7445312500004</v>
      </c>
      <c r="BA47" s="800">
        <f t="shared" si="26"/>
        <v>0</v>
      </c>
      <c r="BC47" s="770">
        <v>-4366.67</v>
      </c>
      <c r="BD47" s="801">
        <f t="shared" si="27"/>
        <v>2585.0745312500003</v>
      </c>
      <c r="BE47" s="801">
        <f t="shared" si="40"/>
        <v>-4366.67</v>
      </c>
      <c r="BG47" s="801">
        <f t="shared" si="14"/>
        <v>2585.0745312500003</v>
      </c>
      <c r="BH47" s="801">
        <f t="shared" si="15"/>
        <v>0</v>
      </c>
      <c r="BI47" s="801"/>
      <c r="BJ47" s="803">
        <f>BG47</f>
        <v>2585.0745312500003</v>
      </c>
      <c r="BK47" s="803"/>
      <c r="BL47" s="803">
        <f>AF47</f>
        <v>3102.5531249999999</v>
      </c>
      <c r="BN47" s="692">
        <f t="shared" si="16"/>
        <v>3102.5531249999999</v>
      </c>
    </row>
    <row r="48" spans="1:68" s="651" customFormat="1" ht="14.45" customHeight="1" x14ac:dyDescent="0.2">
      <c r="A48" s="650">
        <v>45047</v>
      </c>
      <c r="B48" s="651" t="s">
        <v>2420</v>
      </c>
      <c r="C48" s="652">
        <v>202896</v>
      </c>
      <c r="D48" s="653">
        <v>1</v>
      </c>
      <c r="E48" s="654">
        <v>43012</v>
      </c>
      <c r="F48" s="950" t="s">
        <v>1882</v>
      </c>
      <c r="G48" s="655">
        <v>442279</v>
      </c>
      <c r="H48" s="656" t="s">
        <v>2048</v>
      </c>
      <c r="I48" s="656" t="s">
        <v>2049</v>
      </c>
      <c r="J48" s="656" t="s">
        <v>2050</v>
      </c>
      <c r="K48" s="656" t="s">
        <v>2051</v>
      </c>
      <c r="L48" s="960" t="s">
        <v>2052</v>
      </c>
      <c r="M48" s="961">
        <v>43672</v>
      </c>
      <c r="N48" s="657">
        <f t="shared" ca="1" si="38"/>
        <v>6.1601642710472282</v>
      </c>
      <c r="O48" s="657" t="s">
        <v>2379</v>
      </c>
      <c r="P48" s="658">
        <v>-1</v>
      </c>
      <c r="Q48" s="654">
        <v>872</v>
      </c>
      <c r="R48" s="654">
        <v>872</v>
      </c>
      <c r="S48" s="659">
        <v>45017</v>
      </c>
      <c r="T48" s="660">
        <v>1</v>
      </c>
      <c r="U48" s="661">
        <v>45382</v>
      </c>
      <c r="V48" s="660">
        <v>192</v>
      </c>
      <c r="W48" s="660">
        <f t="shared" si="36"/>
        <v>192</v>
      </c>
      <c r="X48" s="662">
        <f t="shared" si="39"/>
        <v>1</v>
      </c>
      <c r="Y48" s="659" t="s">
        <v>36</v>
      </c>
      <c r="Z48" s="663">
        <v>30</v>
      </c>
      <c r="AA48" s="664">
        <v>0</v>
      </c>
      <c r="AB48" s="665">
        <f t="shared" si="44"/>
        <v>14183.099999999999</v>
      </c>
      <c r="AC48" s="652"/>
      <c r="AD48" s="666">
        <v>1</v>
      </c>
      <c r="AE48" s="667">
        <f t="shared" si="34"/>
        <v>1</v>
      </c>
      <c r="AF48" s="668">
        <f t="shared" si="5"/>
        <v>14183.099999999999</v>
      </c>
      <c r="AG48" s="668">
        <v>4653.8296874999996</v>
      </c>
      <c r="AH48" s="669">
        <v>14183.099999999999</v>
      </c>
      <c r="AI48" s="669">
        <v>9529.2703124999989</v>
      </c>
      <c r="AJ48" s="670">
        <v>14183.099999999999</v>
      </c>
      <c r="AK48" s="670">
        <f t="shared" si="29"/>
        <v>0</v>
      </c>
      <c r="AL48" s="651" t="s">
        <v>2659</v>
      </c>
      <c r="AO48" s="671"/>
      <c r="AP48" s="671"/>
      <c r="AR48" s="672">
        <f t="shared" si="23"/>
        <v>14183.099999999999</v>
      </c>
      <c r="AS48" s="673">
        <f t="shared" si="24"/>
        <v>0</v>
      </c>
      <c r="AZ48" s="674">
        <f t="shared" si="25"/>
        <v>14183.099999999999</v>
      </c>
      <c r="BA48" s="675">
        <f t="shared" si="26"/>
        <v>0</v>
      </c>
      <c r="BD48" s="676">
        <f t="shared" si="27"/>
        <v>14183.099999999999</v>
      </c>
      <c r="BE48" s="676">
        <f t="shared" si="40"/>
        <v>0</v>
      </c>
      <c r="BF48" s="712">
        <v>-6722.2</v>
      </c>
      <c r="BG48" s="676">
        <f t="shared" si="14"/>
        <v>7460.8999999999987</v>
      </c>
      <c r="BH48" s="676">
        <f t="shared" si="15"/>
        <v>-6722.2</v>
      </c>
      <c r="BI48" s="676">
        <f t="shared" si="42"/>
        <v>0</v>
      </c>
      <c r="BJ48" s="712">
        <f>BG48</f>
        <v>7460.8999999999987</v>
      </c>
      <c r="BK48" s="712"/>
      <c r="BL48" s="712">
        <f>BJ48+BK48</f>
        <v>7460.8999999999987</v>
      </c>
      <c r="BN48" s="692">
        <f t="shared" si="16"/>
        <v>7460.8999999999987</v>
      </c>
    </row>
    <row r="49" spans="1:66" s="770" customFormat="1" ht="14.45" customHeight="1" x14ac:dyDescent="0.2">
      <c r="A49" s="769">
        <v>45047</v>
      </c>
      <c r="B49" s="770" t="s">
        <v>2422</v>
      </c>
      <c r="C49" s="899">
        <v>202896</v>
      </c>
      <c r="D49" s="772">
        <v>1</v>
      </c>
      <c r="E49" s="900">
        <v>43012</v>
      </c>
      <c r="F49" s="900" t="s">
        <v>1882</v>
      </c>
      <c r="G49" s="774">
        <v>447051</v>
      </c>
      <c r="H49" s="906" t="s">
        <v>2048</v>
      </c>
      <c r="I49" s="906" t="s">
        <v>657</v>
      </c>
      <c r="J49" s="906" t="s">
        <v>146</v>
      </c>
      <c r="K49" s="189" t="str">
        <f>I49 &amp; J49</f>
        <v>GeorgeDavies</v>
      </c>
      <c r="L49" s="907" t="s">
        <v>2025</v>
      </c>
      <c r="M49" s="908">
        <v>43529</v>
      </c>
      <c r="N49" s="777">
        <f t="shared" ca="1" si="38"/>
        <v>6.5516769336071183</v>
      </c>
      <c r="O49" s="777" t="s">
        <v>2378</v>
      </c>
      <c r="P49" s="842">
        <v>-1</v>
      </c>
      <c r="Q49" s="804">
        <v>872</v>
      </c>
      <c r="R49" s="804">
        <v>872</v>
      </c>
      <c r="S49" s="836">
        <v>45017</v>
      </c>
      <c r="T49" s="783">
        <v>1</v>
      </c>
      <c r="U49" s="836">
        <v>45128</v>
      </c>
      <c r="V49" s="783">
        <v>63</v>
      </c>
      <c r="W49" s="783">
        <f t="shared" si="36"/>
        <v>63</v>
      </c>
      <c r="X49" s="785">
        <f t="shared" si="39"/>
        <v>0.328125</v>
      </c>
      <c r="Y49" s="836">
        <v>45170</v>
      </c>
      <c r="Z49" s="838">
        <v>25</v>
      </c>
      <c r="AA49" s="788">
        <v>0</v>
      </c>
      <c r="AB49" s="789">
        <f t="shared" si="44"/>
        <v>11819.25</v>
      </c>
      <c r="AC49" s="790"/>
      <c r="AD49" s="845">
        <v>1</v>
      </c>
      <c r="AE49" s="792">
        <f t="shared" si="34"/>
        <v>0.328125</v>
      </c>
      <c r="AF49" s="793">
        <f t="shared" si="5"/>
        <v>3878.19140625</v>
      </c>
      <c r="AG49" s="793">
        <v>3878.19140625</v>
      </c>
      <c r="AH49" s="794">
        <v>3878.19140625</v>
      </c>
      <c r="AI49" s="794">
        <v>0</v>
      </c>
      <c r="AJ49" s="795">
        <v>3878.19140625</v>
      </c>
      <c r="AK49" s="795">
        <f t="shared" si="29"/>
        <v>0</v>
      </c>
      <c r="AL49" s="770" t="s">
        <v>2654</v>
      </c>
      <c r="AO49" s="796"/>
      <c r="AP49" s="796">
        <v>5819.25</v>
      </c>
      <c r="AQ49" s="796">
        <f>AP49/192*127</f>
        <v>3849.19140625</v>
      </c>
      <c r="AR49" s="797">
        <f t="shared" si="23"/>
        <v>7727.3828125</v>
      </c>
      <c r="AS49" s="798">
        <f t="shared" si="24"/>
        <v>3849.19140625</v>
      </c>
      <c r="AT49" s="770" t="s">
        <v>2415</v>
      </c>
      <c r="AZ49" s="799">
        <f t="shared" si="25"/>
        <v>7727.3828125</v>
      </c>
      <c r="BA49" s="800">
        <f t="shared" si="26"/>
        <v>0</v>
      </c>
      <c r="BD49" s="801">
        <f t="shared" si="27"/>
        <v>7727.3828125</v>
      </c>
      <c r="BE49" s="801">
        <f t="shared" si="40"/>
        <v>0</v>
      </c>
      <c r="BG49" s="801">
        <f t="shared" si="14"/>
        <v>7727.3828125</v>
      </c>
      <c r="BH49" s="801">
        <f t="shared" si="15"/>
        <v>0</v>
      </c>
      <c r="BI49" s="801">
        <f t="shared" ref="BI49" si="46">(BG49-BJ49)*-1</f>
        <v>-7727.3828125</v>
      </c>
      <c r="BJ49" s="803"/>
      <c r="BK49" s="803"/>
      <c r="BL49" s="803">
        <f t="shared" ref="BL49" si="47">AF49</f>
        <v>3878.19140625</v>
      </c>
      <c r="BN49" s="692">
        <f t="shared" si="16"/>
        <v>3878.19140625</v>
      </c>
    </row>
    <row r="50" spans="1:66" ht="14.45" customHeight="1" x14ac:dyDescent="0.2">
      <c r="A50" s="331">
        <v>45047</v>
      </c>
      <c r="B50" s="173" t="s">
        <v>2422</v>
      </c>
      <c r="C50" s="187">
        <v>203067</v>
      </c>
      <c r="D50" s="175">
        <v>1</v>
      </c>
      <c r="E50" s="52">
        <v>43012</v>
      </c>
      <c r="F50" s="52" t="s">
        <v>1882</v>
      </c>
      <c r="G50" s="57">
        <v>438968</v>
      </c>
      <c r="H50" s="189" t="s">
        <v>1901</v>
      </c>
      <c r="I50" s="189" t="s">
        <v>2061</v>
      </c>
      <c r="J50" s="189" t="s">
        <v>2062</v>
      </c>
      <c r="K50" s="189" t="s">
        <v>2063</v>
      </c>
      <c r="L50" s="190" t="s">
        <v>2064</v>
      </c>
      <c r="M50" s="191">
        <v>43406</v>
      </c>
      <c r="N50" s="179">
        <f t="shared" ca="1" si="38"/>
        <v>6.8884325804243671</v>
      </c>
      <c r="O50" s="352" t="s">
        <v>2382</v>
      </c>
      <c r="P50" s="180">
        <v>-1</v>
      </c>
      <c r="Q50" s="176">
        <v>872</v>
      </c>
      <c r="R50" s="176">
        <v>872</v>
      </c>
      <c r="S50" s="181">
        <v>45017</v>
      </c>
      <c r="T50" s="182">
        <v>1</v>
      </c>
      <c r="U50" s="358">
        <v>45042</v>
      </c>
      <c r="V50" s="182">
        <v>8</v>
      </c>
      <c r="W50" s="182">
        <f t="shared" si="36"/>
        <v>8</v>
      </c>
      <c r="X50" s="247">
        <f t="shared" si="39"/>
        <v>4.1666666666666664E-2</v>
      </c>
      <c r="Y50" s="183">
        <v>45042</v>
      </c>
      <c r="Z50" s="186">
        <v>15</v>
      </c>
      <c r="AA50" s="184">
        <v>0</v>
      </c>
      <c r="AB50" s="185">
        <f t="shared" si="44"/>
        <v>7091.5499999999993</v>
      </c>
      <c r="AC50" s="185"/>
      <c r="AD50" s="404">
        <v>1</v>
      </c>
      <c r="AE50" s="400">
        <f t="shared" si="34"/>
        <v>4.1666666666666664E-2</v>
      </c>
      <c r="AF50" s="258">
        <f t="shared" si="5"/>
        <v>295.48124999999993</v>
      </c>
      <c r="AG50" s="434">
        <v>295.48124999999993</v>
      </c>
      <c r="AH50" s="433">
        <v>295.48124999999993</v>
      </c>
      <c r="AI50" s="433">
        <v>0</v>
      </c>
      <c r="AJ50" s="402">
        <v>295.48124999999993</v>
      </c>
      <c r="AK50" s="402">
        <f t="shared" si="29"/>
        <v>0</v>
      </c>
      <c r="AL50" s="173" t="s">
        <v>2192</v>
      </c>
      <c r="AP50" s="130">
        <v>5819.25</v>
      </c>
      <c r="AQ50" s="130">
        <f>AP50/192*127</f>
        <v>3849.19140625</v>
      </c>
      <c r="AR50" s="631">
        <f t="shared" si="23"/>
        <v>4144.6726562499998</v>
      </c>
      <c r="AS50" s="617">
        <f t="shared" si="24"/>
        <v>3849.19140625</v>
      </c>
      <c r="AT50" s="173" t="s">
        <v>2415</v>
      </c>
      <c r="AZ50" s="625">
        <f t="shared" si="25"/>
        <v>4144.6726562499998</v>
      </c>
      <c r="BA50" s="622">
        <f t="shared" si="26"/>
        <v>0</v>
      </c>
      <c r="BD50" s="629">
        <f t="shared" si="27"/>
        <v>4144.6726562499998</v>
      </c>
      <c r="BE50" s="629">
        <f t="shared" si="40"/>
        <v>0</v>
      </c>
      <c r="BF50" s="173"/>
      <c r="BG50" s="629">
        <v>295.48</v>
      </c>
      <c r="BH50" s="629">
        <f t="shared" si="15"/>
        <v>-3849.1926562499998</v>
      </c>
      <c r="BI50" s="629"/>
      <c r="BJ50" s="692">
        <f>BG50</f>
        <v>295.48</v>
      </c>
      <c r="BL50" s="683">
        <f>BJ50+BK50</f>
        <v>295.48</v>
      </c>
      <c r="BN50" s="692">
        <f t="shared" si="16"/>
        <v>295.48</v>
      </c>
    </row>
    <row r="51" spans="1:66" s="770" customFormat="1" ht="14.45" customHeight="1" x14ac:dyDescent="0.2">
      <c r="A51" s="769">
        <v>45047</v>
      </c>
      <c r="B51" s="770" t="s">
        <v>2422</v>
      </c>
      <c r="C51" s="899">
        <v>203067</v>
      </c>
      <c r="D51" s="772">
        <v>1</v>
      </c>
      <c r="E51" s="900">
        <v>43012</v>
      </c>
      <c r="F51" s="900" t="s">
        <v>1882</v>
      </c>
      <c r="G51" s="774">
        <v>438968</v>
      </c>
      <c r="H51" s="906" t="s">
        <v>1901</v>
      </c>
      <c r="I51" s="906" t="s">
        <v>2061</v>
      </c>
      <c r="J51" s="906" t="s">
        <v>2062</v>
      </c>
      <c r="K51" s="189" t="s">
        <v>2063</v>
      </c>
      <c r="L51" s="907" t="s">
        <v>2064</v>
      </c>
      <c r="M51" s="908">
        <v>43406</v>
      </c>
      <c r="N51" s="777">
        <f t="shared" ca="1" si="38"/>
        <v>6.8884325804243671</v>
      </c>
      <c r="O51" s="909" t="s">
        <v>2380</v>
      </c>
      <c r="P51" s="842">
        <v>-1</v>
      </c>
      <c r="Q51" s="804">
        <v>872</v>
      </c>
      <c r="R51" s="804">
        <v>872</v>
      </c>
      <c r="S51" s="836">
        <v>45043</v>
      </c>
      <c r="T51" s="783">
        <v>9</v>
      </c>
      <c r="U51" s="782">
        <v>45128</v>
      </c>
      <c r="V51" s="783">
        <v>63</v>
      </c>
      <c r="W51" s="783">
        <f t="shared" si="36"/>
        <v>55</v>
      </c>
      <c r="X51" s="785">
        <f t="shared" si="39"/>
        <v>0.28645833333333331</v>
      </c>
      <c r="Y51" s="782">
        <v>45128</v>
      </c>
      <c r="Z51" s="838">
        <v>18</v>
      </c>
      <c r="AA51" s="788">
        <v>0</v>
      </c>
      <c r="AB51" s="789">
        <f t="shared" si="44"/>
        <v>8509.86</v>
      </c>
      <c r="AC51" s="789"/>
      <c r="AD51" s="845">
        <v>1</v>
      </c>
      <c r="AE51" s="792">
        <f t="shared" si="34"/>
        <v>0.28645833333333331</v>
      </c>
      <c r="AF51" s="793">
        <f t="shared" si="5"/>
        <v>2437.7203125000001</v>
      </c>
      <c r="AG51" s="793">
        <v>2437.7203125000001</v>
      </c>
      <c r="AH51" s="794">
        <v>2437.7203125000001</v>
      </c>
      <c r="AI51" s="794">
        <v>0</v>
      </c>
      <c r="AJ51" s="795">
        <v>2437.7203125000001</v>
      </c>
      <c r="AK51" s="795">
        <f t="shared" si="29"/>
        <v>0</v>
      </c>
      <c r="AL51" s="770" t="s">
        <v>2637</v>
      </c>
      <c r="AO51" s="796"/>
      <c r="AP51" s="796">
        <v>5819.25</v>
      </c>
      <c r="AQ51" s="796">
        <f>AP51/192*127</f>
        <v>3849.19140625</v>
      </c>
      <c r="AR51" s="797">
        <f t="shared" si="23"/>
        <v>6286.9117187499996</v>
      </c>
      <c r="AS51" s="798">
        <f t="shared" si="24"/>
        <v>3849.1914062499995</v>
      </c>
      <c r="AT51" s="770" t="s">
        <v>2415</v>
      </c>
      <c r="AZ51" s="799">
        <f t="shared" si="25"/>
        <v>6286.9117187499996</v>
      </c>
      <c r="BA51" s="800">
        <f t="shared" si="26"/>
        <v>0</v>
      </c>
      <c r="BD51" s="801">
        <f t="shared" si="27"/>
        <v>6286.9117187499996</v>
      </c>
      <c r="BE51" s="801">
        <f t="shared" si="40"/>
        <v>0</v>
      </c>
      <c r="BG51" s="801">
        <v>1108.05</v>
      </c>
      <c r="BH51" s="801">
        <f t="shared" si="15"/>
        <v>-5178.8617187499995</v>
      </c>
      <c r="BI51" s="801"/>
      <c r="BJ51" s="803">
        <f>BG51</f>
        <v>1108.05</v>
      </c>
      <c r="BK51" s="803"/>
      <c r="BL51" s="803">
        <f>BJ51+BK51</f>
        <v>1108.05</v>
      </c>
      <c r="BN51" s="692">
        <f t="shared" si="16"/>
        <v>1108.05</v>
      </c>
    </row>
    <row r="52" spans="1:66" s="770" customFormat="1" ht="14.45" customHeight="1" x14ac:dyDescent="0.2">
      <c r="A52" s="769">
        <v>45047</v>
      </c>
      <c r="B52" s="770" t="s">
        <v>2422</v>
      </c>
      <c r="C52" s="790">
        <f>VLOOKUP(H52,$H$128:$I$186,2,FALSE)</f>
        <v>200270</v>
      </c>
      <c r="D52" s="772">
        <v>1</v>
      </c>
      <c r="E52" s="900">
        <v>43012</v>
      </c>
      <c r="F52" s="900" t="s">
        <v>1882</v>
      </c>
      <c r="G52" s="804">
        <v>444620</v>
      </c>
      <c r="H52" s="906" t="s">
        <v>2053</v>
      </c>
      <c r="I52" s="906" t="s">
        <v>2054</v>
      </c>
      <c r="J52" s="906" t="s">
        <v>2055</v>
      </c>
      <c r="K52" s="189" t="s">
        <v>2056</v>
      </c>
      <c r="L52" s="907" t="s">
        <v>2057</v>
      </c>
      <c r="M52" s="908">
        <v>43446</v>
      </c>
      <c r="N52" s="777">
        <f t="shared" ca="1" si="38"/>
        <v>6.7789185489390826</v>
      </c>
      <c r="O52" s="846" t="s">
        <v>2380</v>
      </c>
      <c r="P52" s="842">
        <v>-1</v>
      </c>
      <c r="Q52" s="804">
        <v>872</v>
      </c>
      <c r="R52" s="804">
        <v>872</v>
      </c>
      <c r="S52" s="836">
        <v>45043</v>
      </c>
      <c r="T52" s="783">
        <v>9</v>
      </c>
      <c r="U52" s="782">
        <v>45128</v>
      </c>
      <c r="V52" s="783">
        <v>63</v>
      </c>
      <c r="W52" s="783">
        <f t="shared" si="36"/>
        <v>55</v>
      </c>
      <c r="X52" s="785">
        <f t="shared" si="39"/>
        <v>0.28645833333333331</v>
      </c>
      <c r="Y52" s="836" t="s">
        <v>36</v>
      </c>
      <c r="Z52" s="838">
        <v>28</v>
      </c>
      <c r="AA52" s="788">
        <v>0</v>
      </c>
      <c r="AB52" s="789">
        <f t="shared" si="44"/>
        <v>13237.56</v>
      </c>
      <c r="AC52" s="790"/>
      <c r="AD52" s="845">
        <v>1</v>
      </c>
      <c r="AE52" s="792">
        <f t="shared" si="34"/>
        <v>0.28645833333333331</v>
      </c>
      <c r="AF52" s="793">
        <f t="shared" si="5"/>
        <v>3792.0093749999996</v>
      </c>
      <c r="AG52" s="793">
        <v>3792.0093749999996</v>
      </c>
      <c r="AH52" s="794">
        <v>3792.0093749999996</v>
      </c>
      <c r="AI52" s="794">
        <v>0</v>
      </c>
      <c r="AJ52" s="795">
        <v>3792.0093749999996</v>
      </c>
      <c r="AK52" s="795">
        <f t="shared" si="29"/>
        <v>0</v>
      </c>
      <c r="AL52" s="770" t="s">
        <v>2134</v>
      </c>
      <c r="AM52" s="770">
        <v>43012</v>
      </c>
      <c r="AN52" s="770" t="s">
        <v>2135</v>
      </c>
      <c r="AO52" s="796"/>
      <c r="AP52" s="796"/>
      <c r="AQ52" s="770">
        <v>0</v>
      </c>
      <c r="AR52" s="797">
        <f t="shared" ref="AR52:AR80" si="48">AH52+AQ52</f>
        <v>3792.0093749999996</v>
      </c>
      <c r="AS52" s="798">
        <f t="shared" ref="AS52:AS80" si="49">AR52-AJ52</f>
        <v>0</v>
      </c>
      <c r="AT52" s="770" t="s">
        <v>2406</v>
      </c>
      <c r="AZ52" s="799">
        <f t="shared" ref="AZ52:AZ80" si="50">AF52+AQ52+AY52</f>
        <v>3792.0093749999996</v>
      </c>
      <c r="BA52" s="800">
        <f t="shared" ref="BA52:BA80" si="51">AZ52-AR52</f>
        <v>0</v>
      </c>
      <c r="BD52" s="801">
        <f t="shared" ref="BD52:BD80" si="52">AZ52+BC52</f>
        <v>3792.0093749999996</v>
      </c>
      <c r="BE52" s="801">
        <f t="shared" si="40"/>
        <v>0</v>
      </c>
      <c r="BG52" s="801">
        <f t="shared" si="14"/>
        <v>3792.0093749999996</v>
      </c>
      <c r="BH52" s="801">
        <f t="shared" si="15"/>
        <v>0</v>
      </c>
      <c r="BI52" s="801"/>
      <c r="BJ52" s="803">
        <f>AF52</f>
        <v>3792.0093749999996</v>
      </c>
      <c r="BK52" s="803"/>
      <c r="BL52" s="803">
        <f t="shared" ref="BL52:BL59" si="53">BJ52+BK52</f>
        <v>3792.0093749999996</v>
      </c>
      <c r="BN52" s="692">
        <f t="shared" si="16"/>
        <v>3792.0093749999996</v>
      </c>
    </row>
    <row r="53" spans="1:66" s="770" customFormat="1" ht="14.45" customHeight="1" x14ac:dyDescent="0.2">
      <c r="A53" s="769">
        <v>45047</v>
      </c>
      <c r="B53" s="770" t="s">
        <v>2422</v>
      </c>
      <c r="C53" s="790">
        <f>VLOOKUP(H53,$H$128:$I$186,2,FALSE)</f>
        <v>200270</v>
      </c>
      <c r="D53" s="772">
        <v>1</v>
      </c>
      <c r="E53" s="900">
        <v>43012</v>
      </c>
      <c r="F53" s="900" t="s">
        <v>1882</v>
      </c>
      <c r="G53" s="774">
        <v>444618</v>
      </c>
      <c r="H53" s="906" t="s">
        <v>2053</v>
      </c>
      <c r="I53" s="906" t="s">
        <v>307</v>
      </c>
      <c r="J53" s="906" t="s">
        <v>2058</v>
      </c>
      <c r="K53" s="189" t="s">
        <v>2059</v>
      </c>
      <c r="L53" s="907" t="s">
        <v>2060</v>
      </c>
      <c r="M53" s="908">
        <v>43455</v>
      </c>
      <c r="N53" s="777">
        <f t="shared" ca="1" si="38"/>
        <v>6.754277891854894</v>
      </c>
      <c r="O53" s="909" t="s">
        <v>2380</v>
      </c>
      <c r="P53" s="842">
        <v>-1</v>
      </c>
      <c r="Q53" s="804">
        <v>872</v>
      </c>
      <c r="R53" s="804">
        <v>872</v>
      </c>
      <c r="S53" s="836">
        <v>45019</v>
      </c>
      <c r="T53" s="783">
        <v>1</v>
      </c>
      <c r="U53" s="782">
        <v>45128</v>
      </c>
      <c r="V53" s="783">
        <v>63</v>
      </c>
      <c r="W53" s="783">
        <f t="shared" si="36"/>
        <v>63</v>
      </c>
      <c r="X53" s="785">
        <f t="shared" si="39"/>
        <v>0.328125</v>
      </c>
      <c r="Y53" s="836">
        <v>45135</v>
      </c>
      <c r="Z53" s="838">
        <v>30</v>
      </c>
      <c r="AA53" s="788">
        <v>0</v>
      </c>
      <c r="AB53" s="789">
        <f t="shared" si="44"/>
        <v>14183.099999999999</v>
      </c>
      <c r="AC53" s="790"/>
      <c r="AD53" s="845">
        <v>1</v>
      </c>
      <c r="AE53" s="792">
        <f t="shared" si="34"/>
        <v>0.328125</v>
      </c>
      <c r="AF53" s="793">
        <f t="shared" si="5"/>
        <v>4653.8296874999996</v>
      </c>
      <c r="AG53" s="793">
        <v>4653.8296874999996</v>
      </c>
      <c r="AH53" s="794">
        <v>4653.8296874999996</v>
      </c>
      <c r="AI53" s="794">
        <v>0</v>
      </c>
      <c r="AJ53" s="795">
        <v>4653.8296874999996</v>
      </c>
      <c r="AK53" s="795">
        <f t="shared" si="29"/>
        <v>0</v>
      </c>
      <c r="AL53" s="770" t="s">
        <v>2183</v>
      </c>
      <c r="AM53" s="770">
        <v>43011</v>
      </c>
      <c r="AN53" s="770" t="s">
        <v>2184</v>
      </c>
      <c r="AO53" s="796"/>
      <c r="AP53" s="796"/>
      <c r="AQ53" s="796"/>
      <c r="AR53" s="797">
        <f t="shared" si="48"/>
        <v>4653.8296874999996</v>
      </c>
      <c r="AS53" s="798">
        <f t="shared" si="49"/>
        <v>0</v>
      </c>
      <c r="AT53" s="770" t="s">
        <v>2406</v>
      </c>
      <c r="AZ53" s="799">
        <f t="shared" si="50"/>
        <v>4653.8296874999996</v>
      </c>
      <c r="BA53" s="800">
        <f t="shared" si="51"/>
        <v>0</v>
      </c>
      <c r="BD53" s="801">
        <f t="shared" si="52"/>
        <v>4653.8296874999996</v>
      </c>
      <c r="BE53" s="801">
        <f t="shared" si="40"/>
        <v>0</v>
      </c>
      <c r="BG53" s="801">
        <f t="shared" si="14"/>
        <v>4653.8296874999996</v>
      </c>
      <c r="BH53" s="801">
        <f t="shared" si="15"/>
        <v>0</v>
      </c>
      <c r="BI53" s="801"/>
      <c r="BJ53" s="803">
        <f t="shared" ref="BJ53:BJ59" si="54">AF53</f>
        <v>4653.8296874999996</v>
      </c>
      <c r="BK53" s="803"/>
      <c r="BL53" s="803">
        <f t="shared" si="53"/>
        <v>4653.8296874999996</v>
      </c>
      <c r="BN53" s="692">
        <f t="shared" si="16"/>
        <v>4653.8296874999996</v>
      </c>
    </row>
    <row r="54" spans="1:66" s="796" customFormat="1" ht="15" customHeight="1" x14ac:dyDescent="0.2">
      <c r="A54" s="910">
        <v>45078</v>
      </c>
      <c r="B54" s="770" t="s">
        <v>2422</v>
      </c>
      <c r="C54" s="772">
        <v>41111</v>
      </c>
      <c r="D54" s="772">
        <v>1</v>
      </c>
      <c r="E54" s="900">
        <v>43011</v>
      </c>
      <c r="F54" s="926" t="s">
        <v>1883</v>
      </c>
      <c r="G54" s="900">
        <v>449508</v>
      </c>
      <c r="H54" s="772" t="s">
        <v>602</v>
      </c>
      <c r="I54" s="772" t="s">
        <v>2296</v>
      </c>
      <c r="J54" s="772" t="s">
        <v>2297</v>
      </c>
      <c r="K54" s="175" t="s">
        <v>2298</v>
      </c>
      <c r="L54" s="900" t="s">
        <v>2377</v>
      </c>
      <c r="M54" s="927">
        <v>43463</v>
      </c>
      <c r="N54" s="777">
        <f t="shared" ca="1" si="38"/>
        <v>6.7323750855578375</v>
      </c>
      <c r="O54" s="896" t="s">
        <v>2380</v>
      </c>
      <c r="P54" s="928">
        <v>-1</v>
      </c>
      <c r="Q54" s="929">
        <v>872</v>
      </c>
      <c r="R54" s="772">
        <v>872</v>
      </c>
      <c r="S54" s="927">
        <v>45086</v>
      </c>
      <c r="T54" s="930">
        <v>34</v>
      </c>
      <c r="U54" s="927">
        <v>45128</v>
      </c>
      <c r="V54" s="783">
        <v>63</v>
      </c>
      <c r="W54" s="783">
        <f t="shared" si="36"/>
        <v>30</v>
      </c>
      <c r="X54" s="785">
        <f t="shared" si="39"/>
        <v>0.15625</v>
      </c>
      <c r="Y54" s="900" t="s">
        <v>36</v>
      </c>
      <c r="Z54" s="931">
        <v>30</v>
      </c>
      <c r="AA54" s="932">
        <v>0</v>
      </c>
      <c r="AB54" s="932">
        <f t="shared" si="44"/>
        <v>14183.099999999999</v>
      </c>
      <c r="AC54" s="933" t="s">
        <v>56</v>
      </c>
      <c r="AD54" s="934">
        <v>1</v>
      </c>
      <c r="AE54" s="934">
        <f t="shared" si="34"/>
        <v>0.15625</v>
      </c>
      <c r="AF54" s="932">
        <f t="shared" si="5"/>
        <v>2216.109375</v>
      </c>
      <c r="AG54" s="934">
        <v>0</v>
      </c>
      <c r="AH54" s="794">
        <v>2216.109375</v>
      </c>
      <c r="AI54" s="794">
        <v>2216.109375</v>
      </c>
      <c r="AJ54" s="840"/>
      <c r="AK54" s="795">
        <f t="shared" si="29"/>
        <v>2216.109375</v>
      </c>
      <c r="AL54" s="770" t="s">
        <v>2646</v>
      </c>
      <c r="AM54" s="810"/>
      <c r="AN54" s="810"/>
      <c r="AO54" s="810"/>
      <c r="AP54" s="810">
        <v>5819.25</v>
      </c>
      <c r="AQ54" s="810">
        <f t="shared" ref="AQ54:AQ61" si="55">AP54/192*127</f>
        <v>3849.19140625</v>
      </c>
      <c r="AR54" s="797">
        <f t="shared" si="48"/>
        <v>6065.30078125</v>
      </c>
      <c r="AS54" s="798">
        <f t="shared" si="49"/>
        <v>6065.30078125</v>
      </c>
      <c r="AT54" s="810" t="s">
        <v>2415</v>
      </c>
      <c r="AU54" s="810"/>
      <c r="AV54" s="810"/>
      <c r="AW54" s="810"/>
      <c r="AX54" s="810"/>
      <c r="AY54" s="810"/>
      <c r="AZ54" s="799">
        <f t="shared" si="50"/>
        <v>6065.30078125</v>
      </c>
      <c r="BA54" s="800">
        <f t="shared" si="51"/>
        <v>0</v>
      </c>
      <c r="BB54" s="810"/>
      <c r="BC54" s="810"/>
      <c r="BD54" s="801">
        <f t="shared" si="52"/>
        <v>6065.30078125</v>
      </c>
      <c r="BE54" s="801">
        <f t="shared" si="40"/>
        <v>0</v>
      </c>
      <c r="BF54" s="810"/>
      <c r="BG54" s="801">
        <f t="shared" si="14"/>
        <v>6065.30078125</v>
      </c>
      <c r="BH54" s="801">
        <f t="shared" si="15"/>
        <v>0</v>
      </c>
      <c r="BI54" s="801"/>
      <c r="BJ54" s="803">
        <f t="shared" si="54"/>
        <v>2216.109375</v>
      </c>
      <c r="BK54" s="925"/>
      <c r="BL54" s="803">
        <f t="shared" si="53"/>
        <v>2216.109375</v>
      </c>
      <c r="BN54" s="692">
        <f t="shared" si="16"/>
        <v>2216.109375</v>
      </c>
    </row>
    <row r="55" spans="1:66" s="796" customFormat="1" ht="15" customHeight="1" x14ac:dyDescent="0.2">
      <c r="A55" s="910">
        <v>45078</v>
      </c>
      <c r="B55" s="770" t="s">
        <v>2422</v>
      </c>
      <c r="C55" s="790">
        <v>41401</v>
      </c>
      <c r="D55" s="936">
        <v>1</v>
      </c>
      <c r="E55" s="937">
        <v>43011</v>
      </c>
      <c r="F55" s="938" t="s">
        <v>1883</v>
      </c>
      <c r="G55" s="937">
        <v>446243</v>
      </c>
      <c r="H55" s="795" t="s">
        <v>1926</v>
      </c>
      <c r="I55" s="795" t="s">
        <v>2354</v>
      </c>
      <c r="J55" s="795" t="s">
        <v>2355</v>
      </c>
      <c r="K55" s="259" t="s">
        <v>2356</v>
      </c>
      <c r="L55" s="938" t="s">
        <v>2357</v>
      </c>
      <c r="M55" s="939">
        <v>43473</v>
      </c>
      <c r="N55" s="777">
        <f t="shared" ca="1" si="38"/>
        <v>6.7049965776865159</v>
      </c>
      <c r="O55" s="777" t="s">
        <v>2378</v>
      </c>
      <c r="P55" s="842">
        <v>-1</v>
      </c>
      <c r="Q55" s="804">
        <v>872</v>
      </c>
      <c r="R55" s="804">
        <v>872</v>
      </c>
      <c r="S55" s="940">
        <v>45065</v>
      </c>
      <c r="T55" s="930">
        <v>24</v>
      </c>
      <c r="U55" s="940">
        <v>45382</v>
      </c>
      <c r="V55" s="783">
        <v>192</v>
      </c>
      <c r="W55" s="783">
        <f t="shared" si="36"/>
        <v>169</v>
      </c>
      <c r="X55" s="785">
        <f t="shared" si="39"/>
        <v>0.88020833333333337</v>
      </c>
      <c r="Y55" s="941" t="s">
        <v>36</v>
      </c>
      <c r="Z55" s="942">
        <v>28</v>
      </c>
      <c r="AA55" s="795">
        <v>0</v>
      </c>
      <c r="AB55" s="934">
        <v>13237.56</v>
      </c>
      <c r="AC55" s="934"/>
      <c r="AD55" s="934">
        <v>1</v>
      </c>
      <c r="AE55" s="934">
        <v>0.20833333333333334</v>
      </c>
      <c r="AF55" s="934">
        <v>2757.8249999999998</v>
      </c>
      <c r="AG55" s="934">
        <v>0</v>
      </c>
      <c r="AH55" s="794">
        <v>2757.8249999999998</v>
      </c>
      <c r="AI55" s="794">
        <v>2757.8249999999998</v>
      </c>
      <c r="AJ55" s="795"/>
      <c r="AK55" s="795">
        <f t="shared" si="29"/>
        <v>2757.8249999999998</v>
      </c>
      <c r="AL55" s="796" t="s">
        <v>2655</v>
      </c>
      <c r="AM55" s="810"/>
      <c r="AN55" s="810"/>
      <c r="AO55" s="810"/>
      <c r="AP55" s="810"/>
      <c r="AQ55" s="810">
        <f t="shared" si="55"/>
        <v>0</v>
      </c>
      <c r="AR55" s="797">
        <f t="shared" si="48"/>
        <v>2757.8249999999998</v>
      </c>
      <c r="AS55" s="798">
        <f t="shared" si="49"/>
        <v>2757.8249999999998</v>
      </c>
      <c r="AT55" s="810" t="s">
        <v>2415</v>
      </c>
      <c r="AU55" s="810"/>
      <c r="AV55" s="810"/>
      <c r="AW55" s="810"/>
      <c r="AX55" s="810"/>
      <c r="AY55" s="810"/>
      <c r="AZ55" s="799">
        <f t="shared" si="50"/>
        <v>2757.8249999999998</v>
      </c>
      <c r="BA55" s="800">
        <f t="shared" si="51"/>
        <v>0</v>
      </c>
      <c r="BB55" s="810"/>
      <c r="BC55" s="810"/>
      <c r="BD55" s="801">
        <f t="shared" si="52"/>
        <v>2757.8249999999998</v>
      </c>
      <c r="BE55" s="801">
        <f t="shared" si="40"/>
        <v>0</v>
      </c>
      <c r="BF55" s="810"/>
      <c r="BG55" s="801">
        <f t="shared" si="14"/>
        <v>2757.8249999999998</v>
      </c>
      <c r="BH55" s="801">
        <f t="shared" si="15"/>
        <v>0</v>
      </c>
      <c r="BI55" s="801"/>
      <c r="BJ55" s="803">
        <f t="shared" si="54"/>
        <v>2757.8249999999998</v>
      </c>
      <c r="BK55" s="925"/>
      <c r="BL55" s="803">
        <f t="shared" si="53"/>
        <v>2757.8249999999998</v>
      </c>
      <c r="BN55" s="692">
        <f t="shared" si="16"/>
        <v>2757.8249999999998</v>
      </c>
    </row>
    <row r="56" spans="1:66" s="130" customFormat="1" ht="15" customHeight="1" x14ac:dyDescent="0.2">
      <c r="A56" s="391">
        <v>45078</v>
      </c>
      <c r="B56" s="173" t="s">
        <v>2420</v>
      </c>
      <c r="C56" s="175">
        <v>41144</v>
      </c>
      <c r="D56" s="175">
        <v>1</v>
      </c>
      <c r="E56" s="52">
        <v>43011</v>
      </c>
      <c r="F56" s="341" t="s">
        <v>1883</v>
      </c>
      <c r="G56" s="52">
        <v>449282</v>
      </c>
      <c r="H56" s="175" t="s">
        <v>1673</v>
      </c>
      <c r="I56" s="175" t="s">
        <v>2323</v>
      </c>
      <c r="J56" s="175" t="s">
        <v>2130</v>
      </c>
      <c r="K56" s="175" t="s">
        <v>2324</v>
      </c>
      <c r="L56" s="52" t="s">
        <v>2325</v>
      </c>
      <c r="M56" s="342">
        <v>43652</v>
      </c>
      <c r="N56" s="179">
        <f t="shared" ca="1" si="38"/>
        <v>6.2149212867898695</v>
      </c>
      <c r="O56" s="350" t="s">
        <v>2379</v>
      </c>
      <c r="P56" s="343">
        <v>-1</v>
      </c>
      <c r="Q56" s="344">
        <v>872</v>
      </c>
      <c r="R56" s="175">
        <v>872</v>
      </c>
      <c r="S56" s="342">
        <v>45068</v>
      </c>
      <c r="T56" s="335">
        <v>25</v>
      </c>
      <c r="U56" s="342">
        <v>45382</v>
      </c>
      <c r="V56" s="182">
        <v>192</v>
      </c>
      <c r="W56" s="182">
        <f t="shared" si="36"/>
        <v>168</v>
      </c>
      <c r="X56" s="247">
        <v>0.21</v>
      </c>
      <c r="Y56" s="52" t="s">
        <v>36</v>
      </c>
      <c r="Z56" s="188">
        <v>15</v>
      </c>
      <c r="AA56" s="348">
        <v>0</v>
      </c>
      <c r="AB56" s="348">
        <f>Z56*$AA$121</f>
        <v>7091.5499999999993</v>
      </c>
      <c r="AC56" s="349" t="s">
        <v>37</v>
      </c>
      <c r="AD56" s="350">
        <v>1</v>
      </c>
      <c r="AE56" s="350">
        <f>X56*AD56</f>
        <v>0.21</v>
      </c>
      <c r="AF56" s="348">
        <f>AB56*AE56</f>
        <v>1489.2254999999998</v>
      </c>
      <c r="AG56" s="436">
        <v>0</v>
      </c>
      <c r="AH56" s="433">
        <v>12410.212499999998</v>
      </c>
      <c r="AI56" s="433">
        <v>12410.212499999998</v>
      </c>
      <c r="AJ56" s="402"/>
      <c r="AK56" s="402">
        <f t="shared" si="29"/>
        <v>12410.212499999998</v>
      </c>
      <c r="AL56" s="173"/>
      <c r="AM56" s="193"/>
      <c r="AN56" s="193"/>
      <c r="AO56" s="193"/>
      <c r="AP56" s="193"/>
      <c r="AQ56" s="193">
        <f t="shared" si="55"/>
        <v>0</v>
      </c>
      <c r="AR56" s="631">
        <f t="shared" si="48"/>
        <v>12410.212499999998</v>
      </c>
      <c r="AS56" s="617">
        <f t="shared" si="49"/>
        <v>12410.212499999998</v>
      </c>
      <c r="AT56" s="193" t="s">
        <v>2415</v>
      </c>
      <c r="AU56" s="193"/>
      <c r="AV56" s="193"/>
      <c r="AW56" s="193"/>
      <c r="AX56" s="193"/>
      <c r="AY56" s="193"/>
      <c r="AZ56" s="625">
        <f t="shared" si="50"/>
        <v>1489.2254999999998</v>
      </c>
      <c r="BA56" s="622">
        <f t="shared" si="51"/>
        <v>-10920.986999999997</v>
      </c>
      <c r="BB56" s="193"/>
      <c r="BC56" s="193"/>
      <c r="BD56" s="629">
        <f t="shared" si="52"/>
        <v>1489.2254999999998</v>
      </c>
      <c r="BE56" s="629">
        <f t="shared" si="40"/>
        <v>0</v>
      </c>
      <c r="BF56" s="193"/>
      <c r="BG56" s="629">
        <f t="shared" si="14"/>
        <v>1489.2254999999998</v>
      </c>
      <c r="BH56" s="629">
        <f t="shared" si="15"/>
        <v>0</v>
      </c>
      <c r="BI56" s="629"/>
      <c r="BJ56" s="692">
        <f t="shared" si="54"/>
        <v>1489.2254999999998</v>
      </c>
      <c r="BK56" s="677"/>
      <c r="BL56" s="683">
        <f t="shared" si="53"/>
        <v>1489.2254999999998</v>
      </c>
      <c r="BN56" s="692">
        <f t="shared" si="16"/>
        <v>1489.2254999999998</v>
      </c>
    </row>
    <row r="57" spans="1:66" s="796" customFormat="1" ht="15" customHeight="1" x14ac:dyDescent="0.2">
      <c r="A57" s="910">
        <v>45078</v>
      </c>
      <c r="B57" s="770" t="s">
        <v>2422</v>
      </c>
      <c r="C57" s="935">
        <v>210163</v>
      </c>
      <c r="D57" s="936">
        <v>1</v>
      </c>
      <c r="E57" s="937">
        <v>43012</v>
      </c>
      <c r="F57" s="938" t="s">
        <v>1882</v>
      </c>
      <c r="G57" s="937">
        <v>452041</v>
      </c>
      <c r="H57" s="795" t="s">
        <v>2360</v>
      </c>
      <c r="I57" s="795" t="s">
        <v>2342</v>
      </c>
      <c r="J57" s="795" t="s">
        <v>35</v>
      </c>
      <c r="K57" s="259" t="s">
        <v>2343</v>
      </c>
      <c r="L57" s="938" t="s">
        <v>2361</v>
      </c>
      <c r="M57" s="939">
        <v>43523</v>
      </c>
      <c r="N57" s="777">
        <f t="shared" ca="1" si="38"/>
        <v>6.5681040383299107</v>
      </c>
      <c r="O57" s="777" t="s">
        <v>2378</v>
      </c>
      <c r="P57" s="842">
        <v>-1</v>
      </c>
      <c r="Q57" s="804">
        <v>872</v>
      </c>
      <c r="R57" s="804">
        <v>872</v>
      </c>
      <c r="S57" s="940">
        <v>45086</v>
      </c>
      <c r="T57" s="930">
        <v>34</v>
      </c>
      <c r="U57" s="940">
        <v>45382</v>
      </c>
      <c r="V57" s="783">
        <v>192</v>
      </c>
      <c r="W57" s="783">
        <f t="shared" si="36"/>
        <v>159</v>
      </c>
      <c r="X57" s="785">
        <f t="shared" si="39"/>
        <v>0.828125</v>
      </c>
      <c r="Y57" s="941" t="s">
        <v>36</v>
      </c>
      <c r="Z57" s="942">
        <v>30</v>
      </c>
      <c r="AA57" s="795">
        <v>0</v>
      </c>
      <c r="AB57" s="934">
        <v>14183.099999999999</v>
      </c>
      <c r="AC57" s="934"/>
      <c r="AD57" s="934">
        <v>0.36666665999999998</v>
      </c>
      <c r="AE57" s="934">
        <v>5.9201387812499999E-2</v>
      </c>
      <c r="AF57" s="934">
        <v>839.65920348346867</v>
      </c>
      <c r="AG57" s="934">
        <v>0</v>
      </c>
      <c r="AH57" s="794">
        <v>839.65920348346867</v>
      </c>
      <c r="AI57" s="794">
        <v>839.65920348346867</v>
      </c>
      <c r="AJ57" s="795"/>
      <c r="AK57" s="795">
        <f t="shared" si="29"/>
        <v>839.65920348346867</v>
      </c>
      <c r="AL57" s="810" t="s">
        <v>2637</v>
      </c>
      <c r="AM57" s="810"/>
      <c r="AN57" s="810"/>
      <c r="AO57" s="810"/>
      <c r="AP57" s="810"/>
      <c r="AQ57" s="810">
        <f t="shared" si="55"/>
        <v>0</v>
      </c>
      <c r="AR57" s="797">
        <f t="shared" si="48"/>
        <v>839.65920348346867</v>
      </c>
      <c r="AS57" s="798">
        <f t="shared" si="49"/>
        <v>839.65920348346867</v>
      </c>
      <c r="AT57" s="810" t="s">
        <v>2415</v>
      </c>
      <c r="AU57" s="810"/>
      <c r="AV57" s="810"/>
      <c r="AW57" s="810"/>
      <c r="AX57" s="810"/>
      <c r="AY57" s="810"/>
      <c r="AZ57" s="799">
        <f t="shared" si="50"/>
        <v>839.65920348346867</v>
      </c>
      <c r="BA57" s="800">
        <f t="shared" si="51"/>
        <v>0</v>
      </c>
      <c r="BB57" s="810"/>
      <c r="BC57" s="810"/>
      <c r="BD57" s="801">
        <f t="shared" si="52"/>
        <v>839.65920348346867</v>
      </c>
      <c r="BE57" s="801">
        <f t="shared" si="40"/>
        <v>0</v>
      </c>
      <c r="BF57" s="810"/>
      <c r="BG57" s="801">
        <f t="shared" si="14"/>
        <v>839.65920348346867</v>
      </c>
      <c r="BH57" s="801">
        <f t="shared" si="15"/>
        <v>0</v>
      </c>
      <c r="BI57" s="801">
        <f t="shared" si="42"/>
        <v>0</v>
      </c>
      <c r="BJ57" s="803">
        <f t="shared" si="54"/>
        <v>839.65920348346867</v>
      </c>
      <c r="BK57" s="925"/>
      <c r="BL57" s="803">
        <f t="shared" si="53"/>
        <v>839.65920348346867</v>
      </c>
      <c r="BN57" s="692">
        <f t="shared" si="16"/>
        <v>839.65920348346867</v>
      </c>
    </row>
    <row r="58" spans="1:66" s="796" customFormat="1" ht="15" customHeight="1" x14ac:dyDescent="0.2">
      <c r="A58" s="910">
        <v>45078</v>
      </c>
      <c r="B58" s="770" t="s">
        <v>2422</v>
      </c>
      <c r="C58" s="935">
        <v>201999</v>
      </c>
      <c r="D58" s="936">
        <v>1</v>
      </c>
      <c r="E58" s="937">
        <v>43012</v>
      </c>
      <c r="F58" s="938" t="s">
        <v>1882</v>
      </c>
      <c r="G58" s="937">
        <v>452041</v>
      </c>
      <c r="H58" s="795" t="s">
        <v>1905</v>
      </c>
      <c r="I58" s="795" t="s">
        <v>2342</v>
      </c>
      <c r="J58" s="795" t="s">
        <v>35</v>
      </c>
      <c r="K58" s="259" t="s">
        <v>2343</v>
      </c>
      <c r="L58" s="938" t="s">
        <v>2361</v>
      </c>
      <c r="M58" s="939">
        <v>43523</v>
      </c>
      <c r="N58" s="777">
        <f t="shared" ca="1" si="38"/>
        <v>6.5681040383299107</v>
      </c>
      <c r="O58" s="777" t="s">
        <v>2378</v>
      </c>
      <c r="P58" s="842">
        <v>-1</v>
      </c>
      <c r="Q58" s="804">
        <v>872</v>
      </c>
      <c r="R58" s="804">
        <v>872</v>
      </c>
      <c r="S58" s="940">
        <v>45086</v>
      </c>
      <c r="T58" s="930">
        <v>34</v>
      </c>
      <c r="U58" s="940">
        <v>45382</v>
      </c>
      <c r="V58" s="783">
        <v>192</v>
      </c>
      <c r="W58" s="783">
        <f t="shared" si="36"/>
        <v>159</v>
      </c>
      <c r="X58" s="785">
        <f t="shared" si="39"/>
        <v>0.828125</v>
      </c>
      <c r="Y58" s="941" t="s">
        <v>36</v>
      </c>
      <c r="Z58" s="942">
        <v>30</v>
      </c>
      <c r="AA58" s="795">
        <v>0</v>
      </c>
      <c r="AB58" s="934">
        <v>14183.099999999999</v>
      </c>
      <c r="AC58" s="934"/>
      <c r="AD58" s="934">
        <v>0.36666665999999998</v>
      </c>
      <c r="AE58" s="934">
        <v>5.9201387812499999E-2</v>
      </c>
      <c r="AF58" s="934">
        <v>839.65920348346867</v>
      </c>
      <c r="AG58" s="934">
        <v>0</v>
      </c>
      <c r="AH58" s="794">
        <v>839.65920348346867</v>
      </c>
      <c r="AI58" s="794">
        <v>839.65920348346867</v>
      </c>
      <c r="AJ58" s="795"/>
      <c r="AK58" s="795">
        <f t="shared" si="29"/>
        <v>839.65920348346867</v>
      </c>
      <c r="AL58" s="810" t="s">
        <v>2637</v>
      </c>
      <c r="AM58" s="810"/>
      <c r="AN58" s="810"/>
      <c r="AO58" s="810"/>
      <c r="AP58" s="810"/>
      <c r="AQ58" s="810">
        <f t="shared" si="55"/>
        <v>0</v>
      </c>
      <c r="AR58" s="797">
        <f t="shared" si="48"/>
        <v>839.65920348346867</v>
      </c>
      <c r="AS58" s="798">
        <f t="shared" si="49"/>
        <v>839.65920348346867</v>
      </c>
      <c r="AT58" s="810" t="s">
        <v>2415</v>
      </c>
      <c r="AU58" s="810"/>
      <c r="AV58" s="810"/>
      <c r="AW58" s="810"/>
      <c r="AX58" s="810"/>
      <c r="AY58" s="810"/>
      <c r="AZ58" s="799">
        <f t="shared" si="50"/>
        <v>839.65920348346867</v>
      </c>
      <c r="BA58" s="800">
        <f t="shared" si="51"/>
        <v>0</v>
      </c>
      <c r="BB58" s="810"/>
      <c r="BC58" s="810"/>
      <c r="BD58" s="801">
        <f t="shared" si="52"/>
        <v>839.65920348346867</v>
      </c>
      <c r="BE58" s="801">
        <f t="shared" si="40"/>
        <v>0</v>
      </c>
      <c r="BF58" s="810"/>
      <c r="BG58" s="801">
        <f t="shared" si="14"/>
        <v>839.65920348346867</v>
      </c>
      <c r="BH58" s="801">
        <f t="shared" si="15"/>
        <v>0</v>
      </c>
      <c r="BI58" s="801">
        <f t="shared" si="42"/>
        <v>0</v>
      </c>
      <c r="BJ58" s="803">
        <f t="shared" si="54"/>
        <v>839.65920348346867</v>
      </c>
      <c r="BK58" s="925"/>
      <c r="BL58" s="803">
        <f t="shared" si="53"/>
        <v>839.65920348346867</v>
      </c>
      <c r="BN58" s="692">
        <f t="shared" si="16"/>
        <v>839.65920348346867</v>
      </c>
    </row>
    <row r="59" spans="1:66" s="796" customFormat="1" ht="15" customHeight="1" x14ac:dyDescent="0.2">
      <c r="A59" s="910">
        <v>45078</v>
      </c>
      <c r="B59" s="770" t="s">
        <v>2422</v>
      </c>
      <c r="C59" s="935">
        <v>201999</v>
      </c>
      <c r="D59" s="936">
        <v>1</v>
      </c>
      <c r="E59" s="937">
        <v>43012</v>
      </c>
      <c r="F59" s="938" t="s">
        <v>1882</v>
      </c>
      <c r="G59" s="937">
        <v>441442</v>
      </c>
      <c r="H59" s="795" t="s">
        <v>1905</v>
      </c>
      <c r="I59" s="795" t="s">
        <v>2131</v>
      </c>
      <c r="J59" s="795" t="s">
        <v>482</v>
      </c>
      <c r="K59" s="259" t="s">
        <v>2358</v>
      </c>
      <c r="L59" s="938" t="s">
        <v>2359</v>
      </c>
      <c r="M59" s="939">
        <v>43548</v>
      </c>
      <c r="N59" s="777">
        <f t="shared" ca="1" si="38"/>
        <v>6.4996577686516082</v>
      </c>
      <c r="O59" s="777" t="s">
        <v>2378</v>
      </c>
      <c r="P59" s="842">
        <v>-1</v>
      </c>
      <c r="Q59" s="804">
        <v>872</v>
      </c>
      <c r="R59" s="804">
        <v>872</v>
      </c>
      <c r="S59" s="940">
        <v>45068</v>
      </c>
      <c r="T59" s="930">
        <v>25</v>
      </c>
      <c r="U59" s="940">
        <v>45382</v>
      </c>
      <c r="V59" s="783">
        <v>192</v>
      </c>
      <c r="W59" s="783">
        <f t="shared" si="36"/>
        <v>168</v>
      </c>
      <c r="X59" s="785">
        <f t="shared" si="39"/>
        <v>0.875</v>
      </c>
      <c r="Y59" s="941" t="s">
        <v>36</v>
      </c>
      <c r="Z59" s="942">
        <v>30</v>
      </c>
      <c r="AA59" s="795">
        <v>0</v>
      </c>
      <c r="AB59" s="934">
        <v>14183.099999999999</v>
      </c>
      <c r="AC59" s="934"/>
      <c r="AD59" s="934">
        <v>0.4</v>
      </c>
      <c r="AE59" s="934">
        <v>8.1250000000000003E-2</v>
      </c>
      <c r="AF59" s="934">
        <v>1152.3768749999999</v>
      </c>
      <c r="AG59" s="934">
        <v>0</v>
      </c>
      <c r="AH59" s="794">
        <v>1152.3768749999999</v>
      </c>
      <c r="AI59" s="794">
        <v>1152.3768749999999</v>
      </c>
      <c r="AJ59" s="795"/>
      <c r="AK59" s="795">
        <f t="shared" si="29"/>
        <v>1152.3768749999999</v>
      </c>
      <c r="AL59" s="810" t="s">
        <v>2636</v>
      </c>
      <c r="AM59" s="810"/>
      <c r="AN59" s="810"/>
      <c r="AO59" s="810"/>
      <c r="AP59" s="810"/>
      <c r="AQ59" s="810">
        <f t="shared" si="55"/>
        <v>0</v>
      </c>
      <c r="AR59" s="797">
        <f t="shared" si="48"/>
        <v>1152.3768749999999</v>
      </c>
      <c r="AS59" s="798">
        <f t="shared" si="49"/>
        <v>1152.3768749999999</v>
      </c>
      <c r="AT59" s="810" t="s">
        <v>2415</v>
      </c>
      <c r="AU59" s="810"/>
      <c r="AV59" s="810"/>
      <c r="AW59" s="810"/>
      <c r="AX59" s="810"/>
      <c r="AY59" s="810"/>
      <c r="AZ59" s="799">
        <f t="shared" si="50"/>
        <v>1152.3768749999999</v>
      </c>
      <c r="BA59" s="800">
        <f t="shared" si="51"/>
        <v>0</v>
      </c>
      <c r="BB59" s="810"/>
      <c r="BC59" s="810"/>
      <c r="BD59" s="801">
        <f t="shared" si="52"/>
        <v>1152.3768749999999</v>
      </c>
      <c r="BE59" s="801">
        <f t="shared" si="40"/>
        <v>0</v>
      </c>
      <c r="BF59" s="810"/>
      <c r="BG59" s="801">
        <f t="shared" si="14"/>
        <v>1152.3768749999999</v>
      </c>
      <c r="BH59" s="801">
        <f t="shared" si="15"/>
        <v>0</v>
      </c>
      <c r="BI59" s="801">
        <f t="shared" si="42"/>
        <v>0</v>
      </c>
      <c r="BJ59" s="803">
        <f t="shared" si="54"/>
        <v>1152.3768749999999</v>
      </c>
      <c r="BK59" s="925"/>
      <c r="BL59" s="803">
        <f t="shared" si="53"/>
        <v>1152.3768749999999</v>
      </c>
      <c r="BN59" s="692">
        <f t="shared" si="16"/>
        <v>1152.3768749999999</v>
      </c>
    </row>
    <row r="60" spans="1:66" s="796" customFormat="1" ht="15" customHeight="1" x14ac:dyDescent="0.2">
      <c r="A60" s="910">
        <v>45078</v>
      </c>
      <c r="B60" s="770" t="s">
        <v>2422</v>
      </c>
      <c r="C60" s="772">
        <v>201999</v>
      </c>
      <c r="D60" s="772">
        <v>1</v>
      </c>
      <c r="E60" s="900">
        <v>43012</v>
      </c>
      <c r="F60" s="926" t="s">
        <v>1882</v>
      </c>
      <c r="G60" s="900">
        <v>449681</v>
      </c>
      <c r="H60" s="772" t="s">
        <v>1905</v>
      </c>
      <c r="I60" s="772" t="s">
        <v>325</v>
      </c>
      <c r="J60" s="772" t="s">
        <v>329</v>
      </c>
      <c r="K60" s="175" t="s">
        <v>1406</v>
      </c>
      <c r="L60" s="900" t="s">
        <v>1965</v>
      </c>
      <c r="M60" s="927">
        <v>43359</v>
      </c>
      <c r="N60" s="777">
        <f t="shared" ca="1" si="38"/>
        <v>7.0171115674195752</v>
      </c>
      <c r="O60" s="896" t="s">
        <v>2380</v>
      </c>
      <c r="P60" s="928">
        <v>-1</v>
      </c>
      <c r="Q60" s="929">
        <v>872</v>
      </c>
      <c r="R60" s="772">
        <v>872</v>
      </c>
      <c r="S60" s="927">
        <v>45017</v>
      </c>
      <c r="T60" s="930">
        <v>1</v>
      </c>
      <c r="U60" s="927">
        <v>45128</v>
      </c>
      <c r="V60" s="783">
        <v>63</v>
      </c>
      <c r="W60" s="783">
        <f t="shared" si="36"/>
        <v>63</v>
      </c>
      <c r="X60" s="785">
        <f t="shared" si="39"/>
        <v>0.328125</v>
      </c>
      <c r="Y60" s="900" t="s">
        <v>36</v>
      </c>
      <c r="Z60" s="931">
        <v>6</v>
      </c>
      <c r="AA60" s="932">
        <v>0</v>
      </c>
      <c r="AB60" s="932">
        <f>Z60*$AA$121</f>
        <v>2836.62</v>
      </c>
      <c r="AC60" s="933" t="s">
        <v>37</v>
      </c>
      <c r="AD60" s="934">
        <v>1</v>
      </c>
      <c r="AE60" s="934">
        <f>X60*AD60</f>
        <v>0.328125</v>
      </c>
      <c r="AF60" s="932">
        <f>AB60*AE60</f>
        <v>930.76593749999995</v>
      </c>
      <c r="AG60" s="932">
        <v>0</v>
      </c>
      <c r="AH60" s="794">
        <v>930.76593749999995</v>
      </c>
      <c r="AI60" s="794">
        <v>930.76593749999995</v>
      </c>
      <c r="AJ60" s="840"/>
      <c r="AK60" s="795">
        <f t="shared" si="29"/>
        <v>930.76593749999995</v>
      </c>
      <c r="AL60" s="770" t="s">
        <v>2636</v>
      </c>
      <c r="AM60" s="810"/>
      <c r="AN60" s="810"/>
      <c r="AO60" s="810"/>
      <c r="AP60" s="810">
        <v>5819.25</v>
      </c>
      <c r="AQ60" s="810">
        <f t="shared" si="55"/>
        <v>3849.19140625</v>
      </c>
      <c r="AR60" s="797">
        <f t="shared" si="48"/>
        <v>4779.9573437500003</v>
      </c>
      <c r="AS60" s="798">
        <f t="shared" si="49"/>
        <v>4779.9573437500003</v>
      </c>
      <c r="AT60" s="810" t="s">
        <v>2415</v>
      </c>
      <c r="AU60" s="810"/>
      <c r="AV60" s="810"/>
      <c r="AW60" s="810"/>
      <c r="AX60" s="810"/>
      <c r="AY60" s="810"/>
      <c r="AZ60" s="799">
        <f t="shared" si="50"/>
        <v>4779.9573437500003</v>
      </c>
      <c r="BA60" s="800">
        <f t="shared" si="51"/>
        <v>0</v>
      </c>
      <c r="BB60" s="810"/>
      <c r="BC60" s="810"/>
      <c r="BD60" s="801">
        <f t="shared" si="52"/>
        <v>4779.9573437500003</v>
      </c>
      <c r="BE60" s="801">
        <f t="shared" si="40"/>
        <v>0</v>
      </c>
      <c r="BF60" s="810"/>
      <c r="BG60" s="801">
        <f t="shared" si="14"/>
        <v>4779.9573437500003</v>
      </c>
      <c r="BH60" s="801">
        <f t="shared" si="15"/>
        <v>0</v>
      </c>
      <c r="BI60" s="801">
        <v>0</v>
      </c>
      <c r="BJ60" s="803">
        <f>BG60</f>
        <v>4779.9573437500003</v>
      </c>
      <c r="BK60" s="925">
        <v>-4779.96</v>
      </c>
      <c r="BL60" s="803">
        <f>BJ60+BK60</f>
        <v>-2.6562499997453415E-3</v>
      </c>
      <c r="BN60" s="692">
        <f t="shared" si="16"/>
        <v>-2.6562499997453415E-3</v>
      </c>
    </row>
    <row r="61" spans="1:66" s="796" customFormat="1" ht="15" customHeight="1" x14ac:dyDescent="0.2">
      <c r="A61" s="910">
        <v>45078</v>
      </c>
      <c r="B61" s="770" t="s">
        <v>2422</v>
      </c>
      <c r="C61" s="935">
        <v>201999</v>
      </c>
      <c r="D61" s="936">
        <v>1</v>
      </c>
      <c r="E61" s="937">
        <v>43012</v>
      </c>
      <c r="F61" s="938" t="s">
        <v>1882</v>
      </c>
      <c r="G61" s="937">
        <v>444223</v>
      </c>
      <c r="H61" s="795" t="s">
        <v>1905</v>
      </c>
      <c r="I61" s="795" t="s">
        <v>2362</v>
      </c>
      <c r="J61" s="795" t="s">
        <v>2363</v>
      </c>
      <c r="K61" s="259" t="s">
        <v>2364</v>
      </c>
      <c r="L61" s="938" t="s">
        <v>2365</v>
      </c>
      <c r="M61" s="939">
        <v>43346</v>
      </c>
      <c r="N61" s="777">
        <f t="shared" ca="1" si="38"/>
        <v>7.052703627652293</v>
      </c>
      <c r="O61" s="896" t="s">
        <v>2380</v>
      </c>
      <c r="P61" s="842">
        <v>-1</v>
      </c>
      <c r="Q61" s="804">
        <v>872</v>
      </c>
      <c r="R61" s="804">
        <v>872</v>
      </c>
      <c r="S61" s="940">
        <v>45091</v>
      </c>
      <c r="T61" s="930">
        <v>37</v>
      </c>
      <c r="U61" s="940">
        <v>45128</v>
      </c>
      <c r="V61" s="783">
        <v>63</v>
      </c>
      <c r="W61" s="783">
        <f t="shared" si="36"/>
        <v>27</v>
      </c>
      <c r="X61" s="785">
        <f t="shared" si="39"/>
        <v>0.140625</v>
      </c>
      <c r="Y61" s="941" t="s">
        <v>36</v>
      </c>
      <c r="Z61" s="942">
        <v>30</v>
      </c>
      <c r="AA61" s="795">
        <v>0</v>
      </c>
      <c r="AB61" s="934">
        <v>14183.099999999999</v>
      </c>
      <c r="AC61" s="934"/>
      <c r="AD61" s="934">
        <v>0.2</v>
      </c>
      <c r="AE61" s="934">
        <v>2.9166666666666671E-2</v>
      </c>
      <c r="AF61" s="934">
        <v>413.67375000000004</v>
      </c>
      <c r="AG61" s="934">
        <v>0</v>
      </c>
      <c r="AH61" s="794">
        <v>413.67375000000004</v>
      </c>
      <c r="AI61" s="794">
        <v>413.67375000000004</v>
      </c>
      <c r="AJ61" s="795"/>
      <c r="AK61" s="795">
        <f t="shared" si="29"/>
        <v>413.67375000000004</v>
      </c>
      <c r="AL61" s="810" t="s">
        <v>2636</v>
      </c>
      <c r="AM61" s="810"/>
      <c r="AN61" s="810"/>
      <c r="AO61" s="810"/>
      <c r="AP61" s="810">
        <v>5819.25</v>
      </c>
      <c r="AQ61" s="810">
        <f t="shared" si="55"/>
        <v>3849.19140625</v>
      </c>
      <c r="AR61" s="797">
        <f t="shared" si="48"/>
        <v>4262.8651562499999</v>
      </c>
      <c r="AS61" s="798">
        <f t="shared" si="49"/>
        <v>4262.8651562499999</v>
      </c>
      <c r="AT61" s="810" t="s">
        <v>2415</v>
      </c>
      <c r="AU61" s="810"/>
      <c r="AV61" s="810"/>
      <c r="AW61" s="810"/>
      <c r="AX61" s="810"/>
      <c r="AY61" s="810"/>
      <c r="AZ61" s="799">
        <f t="shared" si="50"/>
        <v>4262.8651562499999</v>
      </c>
      <c r="BA61" s="800">
        <f t="shared" si="51"/>
        <v>0</v>
      </c>
      <c r="BB61" s="810"/>
      <c r="BC61" s="810"/>
      <c r="BD61" s="801">
        <f t="shared" si="52"/>
        <v>4262.8651562499999</v>
      </c>
      <c r="BE61" s="801">
        <f t="shared" si="40"/>
        <v>0</v>
      </c>
      <c r="BF61" s="810"/>
      <c r="BG61" s="801">
        <f t="shared" si="14"/>
        <v>4262.8651562499999</v>
      </c>
      <c r="BH61" s="801">
        <f t="shared" si="15"/>
        <v>0</v>
      </c>
      <c r="BI61" s="801"/>
      <c r="BJ61" s="803"/>
      <c r="BK61" s="925"/>
      <c r="BL61" s="803">
        <f>AF61</f>
        <v>413.67375000000004</v>
      </c>
      <c r="BN61" s="692">
        <f t="shared" si="16"/>
        <v>413.67375000000004</v>
      </c>
    </row>
    <row r="62" spans="1:66" s="392" customFormat="1" ht="15" customHeight="1" x14ac:dyDescent="0.2">
      <c r="A62" s="391">
        <v>45078</v>
      </c>
      <c r="B62" s="173" t="s">
        <v>2420</v>
      </c>
      <c r="C62" s="340">
        <v>203101</v>
      </c>
      <c r="D62" s="336">
        <v>1</v>
      </c>
      <c r="E62" s="337">
        <v>43012</v>
      </c>
      <c r="F62" s="338" t="s">
        <v>1882</v>
      </c>
      <c r="G62" s="337">
        <v>450115</v>
      </c>
      <c r="H62" s="259" t="s">
        <v>2129</v>
      </c>
      <c r="I62" s="259" t="s">
        <v>2340</v>
      </c>
      <c r="J62" s="259" t="s">
        <v>2128</v>
      </c>
      <c r="K62" s="259" t="s">
        <v>2341</v>
      </c>
      <c r="L62" s="338" t="s">
        <v>2376</v>
      </c>
      <c r="M62" s="351">
        <v>43708</v>
      </c>
      <c r="N62" s="179">
        <f t="shared" ca="1" si="38"/>
        <v>6.061601642710472</v>
      </c>
      <c r="O62" s="338" t="s">
        <v>2379</v>
      </c>
      <c r="P62" s="180">
        <v>-1</v>
      </c>
      <c r="Q62" s="176">
        <v>872</v>
      </c>
      <c r="R62" s="176">
        <v>872</v>
      </c>
      <c r="S62" s="339">
        <v>45065</v>
      </c>
      <c r="T62" s="335">
        <v>24</v>
      </c>
      <c r="U62" s="339">
        <v>45382</v>
      </c>
      <c r="V62" s="182">
        <v>192</v>
      </c>
      <c r="W62" s="182">
        <f t="shared" si="36"/>
        <v>169</v>
      </c>
      <c r="X62" s="247">
        <f t="shared" si="39"/>
        <v>0.88020833333333337</v>
      </c>
      <c r="Y62" s="345" t="s">
        <v>36</v>
      </c>
      <c r="Z62" s="346">
        <v>25</v>
      </c>
      <c r="AA62" s="259">
        <v>0</v>
      </c>
      <c r="AB62" s="347">
        <v>11819.25</v>
      </c>
      <c r="AC62" s="347"/>
      <c r="AD62" s="347">
        <v>1</v>
      </c>
      <c r="AE62" s="347">
        <v>0.20833333333333334</v>
      </c>
      <c r="AF62" s="347">
        <v>2462.34375</v>
      </c>
      <c r="AG62" s="435">
        <v>0</v>
      </c>
      <c r="AH62" s="433">
        <v>2462.34375</v>
      </c>
      <c r="AI62" s="433">
        <v>2462.34375</v>
      </c>
      <c r="AJ62" s="402"/>
      <c r="AK62" s="402">
        <f t="shared" si="29"/>
        <v>2462.34375</v>
      </c>
      <c r="AL62" s="193"/>
      <c r="AM62" s="193"/>
      <c r="AN62" s="193"/>
      <c r="AO62" s="193"/>
      <c r="AP62" s="193"/>
      <c r="AQ62" s="193"/>
      <c r="AR62" s="631">
        <f t="shared" si="48"/>
        <v>2462.34375</v>
      </c>
      <c r="AS62" s="617">
        <f t="shared" si="49"/>
        <v>2462.34375</v>
      </c>
      <c r="AT62" s="193" t="s">
        <v>2415</v>
      </c>
      <c r="AU62" s="193"/>
      <c r="AV62" s="193"/>
      <c r="AW62" s="193"/>
      <c r="AX62" s="193"/>
      <c r="AY62" s="193"/>
      <c r="AZ62" s="625">
        <f t="shared" si="50"/>
        <v>2462.34375</v>
      </c>
      <c r="BA62" s="622">
        <f t="shared" si="51"/>
        <v>0</v>
      </c>
      <c r="BB62" s="193"/>
      <c r="BC62" s="193"/>
      <c r="BD62" s="629">
        <f t="shared" si="52"/>
        <v>2462.34375</v>
      </c>
      <c r="BE62" s="629">
        <f t="shared" si="40"/>
        <v>0</v>
      </c>
      <c r="BF62" s="193"/>
      <c r="BG62" s="629">
        <f t="shared" si="14"/>
        <v>2462.34375</v>
      </c>
      <c r="BH62" s="629">
        <f t="shared" si="15"/>
        <v>0</v>
      </c>
      <c r="BI62" s="629"/>
      <c r="BJ62" s="692"/>
      <c r="BK62" s="677"/>
      <c r="BL62" s="683">
        <f t="shared" ref="BL62:BL65" si="56">AF62</f>
        <v>2462.34375</v>
      </c>
      <c r="BM62" s="130"/>
      <c r="BN62" s="692">
        <f t="shared" si="16"/>
        <v>2462.34375</v>
      </c>
    </row>
    <row r="63" spans="1:66" s="130" customFormat="1" ht="15" customHeight="1" x14ac:dyDescent="0.2">
      <c r="A63" s="391">
        <v>45078</v>
      </c>
      <c r="B63" s="173" t="s">
        <v>2420</v>
      </c>
      <c r="C63" s="340">
        <v>202687</v>
      </c>
      <c r="D63" s="336">
        <v>1</v>
      </c>
      <c r="E63" s="337">
        <v>43012</v>
      </c>
      <c r="F63" s="338" t="s">
        <v>1882</v>
      </c>
      <c r="G63" s="337">
        <v>450424</v>
      </c>
      <c r="H63" s="259" t="s">
        <v>2099</v>
      </c>
      <c r="I63" s="259" t="s">
        <v>2366</v>
      </c>
      <c r="J63" s="259" t="s">
        <v>2367</v>
      </c>
      <c r="K63" s="259" t="s">
        <v>2368</v>
      </c>
      <c r="L63" s="338" t="s">
        <v>2369</v>
      </c>
      <c r="M63" s="351">
        <v>43618</v>
      </c>
      <c r="N63" s="179">
        <f t="shared" ca="1" si="38"/>
        <v>6.3080082135523616</v>
      </c>
      <c r="O63" s="338" t="s">
        <v>2379</v>
      </c>
      <c r="P63" s="180">
        <v>-1</v>
      </c>
      <c r="Q63" s="176">
        <v>872</v>
      </c>
      <c r="R63" s="176">
        <v>872</v>
      </c>
      <c r="S63" s="339">
        <v>45079</v>
      </c>
      <c r="T63" s="335">
        <v>29</v>
      </c>
      <c r="U63" s="339">
        <v>45382</v>
      </c>
      <c r="V63" s="182">
        <v>192</v>
      </c>
      <c r="W63" s="182">
        <f t="shared" si="36"/>
        <v>164</v>
      </c>
      <c r="X63" s="247">
        <f t="shared" si="39"/>
        <v>0.85416666666666663</v>
      </c>
      <c r="Y63" s="345" t="s">
        <v>36</v>
      </c>
      <c r="Z63" s="346">
        <v>25</v>
      </c>
      <c r="AA63" s="259">
        <v>0</v>
      </c>
      <c r="AB63" s="347">
        <v>11819.25</v>
      </c>
      <c r="AC63" s="347"/>
      <c r="AD63" s="347">
        <v>1</v>
      </c>
      <c r="AE63" s="347">
        <v>0.1875</v>
      </c>
      <c r="AF63" s="347">
        <v>2216.109375</v>
      </c>
      <c r="AG63" s="435">
        <v>0</v>
      </c>
      <c r="AH63" s="433">
        <v>2216.109375</v>
      </c>
      <c r="AI63" s="433">
        <v>2216.109375</v>
      </c>
      <c r="AJ63" s="402"/>
      <c r="AK63" s="402">
        <f t="shared" si="29"/>
        <v>2216.109375</v>
      </c>
      <c r="AL63" s="193"/>
      <c r="AM63" s="193"/>
      <c r="AN63" s="193"/>
      <c r="AO63" s="193"/>
      <c r="AP63" s="193"/>
      <c r="AQ63" s="193"/>
      <c r="AR63" s="631">
        <f t="shared" si="48"/>
        <v>2216.109375</v>
      </c>
      <c r="AS63" s="617">
        <f t="shared" si="49"/>
        <v>2216.109375</v>
      </c>
      <c r="AT63" s="193" t="s">
        <v>2415</v>
      </c>
      <c r="AU63" s="193"/>
      <c r="AV63" s="193"/>
      <c r="AW63" s="193"/>
      <c r="AX63" s="193"/>
      <c r="AY63" s="193"/>
      <c r="AZ63" s="625">
        <f t="shared" si="50"/>
        <v>2216.109375</v>
      </c>
      <c r="BA63" s="622">
        <f t="shared" si="51"/>
        <v>0</v>
      </c>
      <c r="BB63" s="193"/>
      <c r="BC63" s="193"/>
      <c r="BD63" s="629">
        <f t="shared" si="52"/>
        <v>2216.109375</v>
      </c>
      <c r="BE63" s="629">
        <f t="shared" si="40"/>
        <v>0</v>
      </c>
      <c r="BF63" s="193"/>
      <c r="BG63" s="629">
        <f t="shared" si="14"/>
        <v>2216.109375</v>
      </c>
      <c r="BH63" s="629">
        <f t="shared" si="15"/>
        <v>0</v>
      </c>
      <c r="BI63" s="629"/>
      <c r="BJ63" s="692"/>
      <c r="BK63" s="677"/>
      <c r="BL63" s="683">
        <f t="shared" si="56"/>
        <v>2216.109375</v>
      </c>
      <c r="BN63" s="692">
        <f t="shared" si="16"/>
        <v>2216.109375</v>
      </c>
    </row>
    <row r="64" spans="1:66" s="796" customFormat="1" ht="15" customHeight="1" x14ac:dyDescent="0.2">
      <c r="A64" s="910">
        <v>45078</v>
      </c>
      <c r="B64" s="770" t="s">
        <v>2422</v>
      </c>
      <c r="C64" s="943">
        <v>41135</v>
      </c>
      <c r="D64" s="772">
        <v>1</v>
      </c>
      <c r="E64" s="900">
        <v>43012</v>
      </c>
      <c r="F64" s="926" t="s">
        <v>1882</v>
      </c>
      <c r="G64" s="900">
        <v>451071</v>
      </c>
      <c r="H64" s="772" t="s">
        <v>1382</v>
      </c>
      <c r="I64" s="772" t="s">
        <v>1023</v>
      </c>
      <c r="J64" s="772" t="s">
        <v>1383</v>
      </c>
      <c r="K64" s="175" t="s">
        <v>1384</v>
      </c>
      <c r="L64" s="900" t="s">
        <v>2326</v>
      </c>
      <c r="M64" s="927">
        <v>43513</v>
      </c>
      <c r="N64" s="777">
        <f t="shared" ca="1" si="38"/>
        <v>6.5954825462012323</v>
      </c>
      <c r="O64" s="777" t="s">
        <v>2378</v>
      </c>
      <c r="P64" s="928">
        <v>-1</v>
      </c>
      <c r="Q64" s="929">
        <v>872</v>
      </c>
      <c r="R64" s="772">
        <v>872</v>
      </c>
      <c r="S64" s="927">
        <v>45017</v>
      </c>
      <c r="T64" s="930">
        <v>1</v>
      </c>
      <c r="U64" s="927">
        <v>45382</v>
      </c>
      <c r="V64" s="783">
        <v>192</v>
      </c>
      <c r="W64" s="783">
        <f t="shared" si="36"/>
        <v>192</v>
      </c>
      <c r="X64" s="785">
        <f t="shared" si="39"/>
        <v>1</v>
      </c>
      <c r="Y64" s="900" t="s">
        <v>36</v>
      </c>
      <c r="Z64" s="931">
        <v>15</v>
      </c>
      <c r="AA64" s="932">
        <v>0</v>
      </c>
      <c r="AB64" s="932">
        <f>Z64*$AA$121</f>
        <v>7091.5499999999993</v>
      </c>
      <c r="AC64" s="933" t="s">
        <v>37</v>
      </c>
      <c r="AD64" s="934">
        <v>1</v>
      </c>
      <c r="AE64" s="934">
        <f>X64*AD64</f>
        <v>1</v>
      </c>
      <c r="AF64" s="932">
        <f>AB64*AE64</f>
        <v>7091.5499999999993</v>
      </c>
      <c r="AG64" s="934">
        <v>0</v>
      </c>
      <c r="AH64" s="794">
        <v>11819.25</v>
      </c>
      <c r="AI64" s="794">
        <v>11819.25</v>
      </c>
      <c r="AJ64" s="840"/>
      <c r="AK64" s="795">
        <f t="shared" si="29"/>
        <v>11819.25</v>
      </c>
      <c r="AL64" s="770" t="s">
        <v>2656</v>
      </c>
      <c r="AM64" s="810"/>
      <c r="AN64" s="810"/>
      <c r="AO64" s="810"/>
      <c r="AP64" s="810"/>
      <c r="AQ64" s="810">
        <f t="shared" ref="AQ64:AQ69" si="57">AP64/192*127</f>
        <v>0</v>
      </c>
      <c r="AR64" s="797">
        <f t="shared" si="48"/>
        <v>11819.25</v>
      </c>
      <c r="AS64" s="798">
        <f t="shared" si="49"/>
        <v>11819.25</v>
      </c>
      <c r="AT64" s="810" t="s">
        <v>2415</v>
      </c>
      <c r="AU64" s="810"/>
      <c r="AV64" s="810"/>
      <c r="AW64" s="810"/>
      <c r="AX64" s="810"/>
      <c r="AY64" s="810"/>
      <c r="AZ64" s="799">
        <f t="shared" si="50"/>
        <v>7091.5499999999993</v>
      </c>
      <c r="BA64" s="800">
        <f t="shared" si="51"/>
        <v>-4727.7000000000007</v>
      </c>
      <c r="BB64" s="810"/>
      <c r="BC64" s="810"/>
      <c r="BD64" s="801">
        <f t="shared" si="52"/>
        <v>7091.5499999999993</v>
      </c>
      <c r="BE64" s="801">
        <f t="shared" si="40"/>
        <v>0</v>
      </c>
      <c r="BF64" s="810"/>
      <c r="BG64" s="801">
        <f t="shared" si="14"/>
        <v>7091.5499999999993</v>
      </c>
      <c r="BH64" s="801">
        <f t="shared" si="15"/>
        <v>0</v>
      </c>
      <c r="BI64" s="801"/>
      <c r="BJ64" s="803">
        <f>AF64</f>
        <v>7091.5499999999993</v>
      </c>
      <c r="BK64" s="925">
        <v>-4764.6400000000003</v>
      </c>
      <c r="BL64" s="803">
        <f>BJ64+BK64</f>
        <v>2326.9099999999989</v>
      </c>
      <c r="BN64" s="692">
        <f t="shared" si="16"/>
        <v>2326.9099999999989</v>
      </c>
    </row>
    <row r="65" spans="1:69" s="796" customFormat="1" ht="15" customHeight="1" x14ac:dyDescent="0.2">
      <c r="A65" s="910">
        <v>45078</v>
      </c>
      <c r="B65" s="770" t="s">
        <v>2422</v>
      </c>
      <c r="C65" s="943">
        <v>41135</v>
      </c>
      <c r="D65" s="772">
        <v>1</v>
      </c>
      <c r="E65" s="900">
        <v>43012</v>
      </c>
      <c r="F65" s="926" t="s">
        <v>1882</v>
      </c>
      <c r="G65" s="900">
        <v>444838</v>
      </c>
      <c r="H65" s="772" t="s">
        <v>1382</v>
      </c>
      <c r="I65" s="772" t="s">
        <v>2316</v>
      </c>
      <c r="J65" s="772" t="s">
        <v>2317</v>
      </c>
      <c r="K65" s="175" t="s">
        <v>2318</v>
      </c>
      <c r="L65" s="900" t="s">
        <v>2328</v>
      </c>
      <c r="M65" s="927">
        <v>43382</v>
      </c>
      <c r="N65" s="777">
        <f t="shared" ca="1" si="38"/>
        <v>6.9541409993155376</v>
      </c>
      <c r="O65" s="896" t="s">
        <v>2380</v>
      </c>
      <c r="P65" s="928">
        <v>-1</v>
      </c>
      <c r="Q65" s="929">
        <v>872</v>
      </c>
      <c r="R65" s="772">
        <v>872</v>
      </c>
      <c r="S65" s="927">
        <v>45089</v>
      </c>
      <c r="T65" s="930">
        <v>35</v>
      </c>
      <c r="U65" s="927">
        <v>45128</v>
      </c>
      <c r="V65" s="783">
        <v>63</v>
      </c>
      <c r="W65" s="783">
        <f t="shared" si="36"/>
        <v>29</v>
      </c>
      <c r="X65" s="785">
        <f t="shared" si="39"/>
        <v>0.15104166666666666</v>
      </c>
      <c r="Y65" s="900" t="s">
        <v>36</v>
      </c>
      <c r="Z65" s="931">
        <v>30</v>
      </c>
      <c r="AA65" s="932">
        <v>0</v>
      </c>
      <c r="AB65" s="932">
        <f>Z65*$AA$121</f>
        <v>14183.099999999999</v>
      </c>
      <c r="AC65" s="933" t="s">
        <v>254</v>
      </c>
      <c r="AD65" s="934">
        <v>1</v>
      </c>
      <c r="AE65" s="934">
        <f>X65*AD65</f>
        <v>0.15104166666666666</v>
      </c>
      <c r="AF65" s="932">
        <f>AB65*AE65</f>
        <v>2142.2390624999998</v>
      </c>
      <c r="AG65" s="932">
        <v>0</v>
      </c>
      <c r="AH65" s="794">
        <v>2142.2390624999998</v>
      </c>
      <c r="AI65" s="794">
        <v>2142.2390624999998</v>
      </c>
      <c r="AJ65" s="840"/>
      <c r="AK65" s="795">
        <f t="shared" si="29"/>
        <v>2142.2390624999998</v>
      </c>
      <c r="AL65" s="770" t="s">
        <v>2647</v>
      </c>
      <c r="AM65" s="810"/>
      <c r="AN65" s="810"/>
      <c r="AO65" s="810"/>
      <c r="AP65" s="810">
        <v>5819.25</v>
      </c>
      <c r="AQ65" s="810">
        <f t="shared" si="57"/>
        <v>3849.19140625</v>
      </c>
      <c r="AR65" s="797">
        <f t="shared" si="48"/>
        <v>5991.4304687499998</v>
      </c>
      <c r="AS65" s="798">
        <f t="shared" si="49"/>
        <v>5991.4304687499998</v>
      </c>
      <c r="AT65" s="810" t="s">
        <v>2415</v>
      </c>
      <c r="AU65" s="810"/>
      <c r="AV65" s="810"/>
      <c r="AW65" s="810"/>
      <c r="AX65" s="810"/>
      <c r="AY65" s="810"/>
      <c r="AZ65" s="799">
        <f t="shared" si="50"/>
        <v>5991.4304687499998</v>
      </c>
      <c r="BA65" s="800">
        <f t="shared" si="51"/>
        <v>0</v>
      </c>
      <c r="BB65" s="810"/>
      <c r="BC65" s="810"/>
      <c r="BD65" s="801">
        <f t="shared" si="52"/>
        <v>5991.4304687499998</v>
      </c>
      <c r="BE65" s="801">
        <f t="shared" si="40"/>
        <v>0</v>
      </c>
      <c r="BF65" s="810"/>
      <c r="BG65" s="801">
        <f t="shared" si="14"/>
        <v>5991.4304687499998</v>
      </c>
      <c r="BH65" s="801">
        <f t="shared" si="15"/>
        <v>0</v>
      </c>
      <c r="BI65" s="801"/>
      <c r="BJ65" s="803"/>
      <c r="BK65" s="925"/>
      <c r="BL65" s="803">
        <f t="shared" si="56"/>
        <v>2142.2390624999998</v>
      </c>
      <c r="BN65" s="692">
        <f t="shared" si="16"/>
        <v>2142.2390624999998</v>
      </c>
    </row>
    <row r="66" spans="1:69" s="796" customFormat="1" ht="15" customHeight="1" x14ac:dyDescent="0.2">
      <c r="A66" s="910">
        <v>45078</v>
      </c>
      <c r="B66" s="770" t="s">
        <v>2422</v>
      </c>
      <c r="C66" s="943">
        <v>41135</v>
      </c>
      <c r="D66" s="772">
        <v>1</v>
      </c>
      <c r="E66" s="900">
        <v>43012</v>
      </c>
      <c r="F66" s="926" t="s">
        <v>1882</v>
      </c>
      <c r="G66" s="900">
        <v>449681</v>
      </c>
      <c r="H66" s="772" t="s">
        <v>1382</v>
      </c>
      <c r="I66" s="772" t="s">
        <v>325</v>
      </c>
      <c r="J66" s="772" t="s">
        <v>329</v>
      </c>
      <c r="K66" s="175" t="s">
        <v>1406</v>
      </c>
      <c r="L66" s="900" t="s">
        <v>1965</v>
      </c>
      <c r="M66" s="927">
        <v>43359</v>
      </c>
      <c r="N66" s="777">
        <f t="shared" ca="1" si="38"/>
        <v>7.0171115674195752</v>
      </c>
      <c r="O66" s="896" t="s">
        <v>2380</v>
      </c>
      <c r="P66" s="928">
        <v>-1</v>
      </c>
      <c r="Q66" s="929">
        <v>872</v>
      </c>
      <c r="R66" s="772">
        <v>872</v>
      </c>
      <c r="S66" s="927">
        <v>45017</v>
      </c>
      <c r="T66" s="930">
        <v>1</v>
      </c>
      <c r="U66" s="927">
        <v>45128</v>
      </c>
      <c r="V66" s="783">
        <v>63</v>
      </c>
      <c r="W66" s="783">
        <f t="shared" si="36"/>
        <v>63</v>
      </c>
      <c r="X66" s="785">
        <f t="shared" si="39"/>
        <v>0.328125</v>
      </c>
      <c r="Y66" s="900" t="s">
        <v>36</v>
      </c>
      <c r="Z66" s="931">
        <v>9</v>
      </c>
      <c r="AA66" s="932">
        <v>0</v>
      </c>
      <c r="AB66" s="932">
        <f>Z66*$AA$121</f>
        <v>4254.93</v>
      </c>
      <c r="AC66" s="933" t="s">
        <v>37</v>
      </c>
      <c r="AD66" s="934">
        <v>1</v>
      </c>
      <c r="AE66" s="934">
        <f>X66*AD66</f>
        <v>0.328125</v>
      </c>
      <c r="AF66" s="932">
        <f>AB66*AE66</f>
        <v>1396.14890625</v>
      </c>
      <c r="AG66" s="932">
        <v>0</v>
      </c>
      <c r="AH66" s="794">
        <v>1396.14890625</v>
      </c>
      <c r="AI66" s="794">
        <v>1396.14890625</v>
      </c>
      <c r="AJ66" s="840"/>
      <c r="AK66" s="795">
        <f t="shared" si="29"/>
        <v>1396.14890625</v>
      </c>
      <c r="AL66" s="770" t="s">
        <v>2636</v>
      </c>
      <c r="AM66" s="810"/>
      <c r="AN66" s="810"/>
      <c r="AO66" s="810"/>
      <c r="AP66" s="810">
        <v>5819.25</v>
      </c>
      <c r="AQ66" s="810">
        <f t="shared" si="57"/>
        <v>3849.19140625</v>
      </c>
      <c r="AR66" s="797">
        <f t="shared" si="48"/>
        <v>5245.3403125000004</v>
      </c>
      <c r="AS66" s="798">
        <f t="shared" si="49"/>
        <v>5245.3403125000004</v>
      </c>
      <c r="AT66" s="810" t="s">
        <v>2415</v>
      </c>
      <c r="AU66" s="810"/>
      <c r="AV66" s="810"/>
      <c r="AW66" s="810"/>
      <c r="AX66" s="810"/>
      <c r="AY66" s="810"/>
      <c r="AZ66" s="799">
        <f t="shared" si="50"/>
        <v>5245.3403125000004</v>
      </c>
      <c r="BA66" s="800">
        <f t="shared" si="51"/>
        <v>0</v>
      </c>
      <c r="BB66" s="810"/>
      <c r="BC66" s="810"/>
      <c r="BD66" s="801">
        <f t="shared" si="52"/>
        <v>5245.3403125000004</v>
      </c>
      <c r="BE66" s="801">
        <f t="shared" si="40"/>
        <v>0</v>
      </c>
      <c r="BF66" s="810"/>
      <c r="BG66" s="801">
        <f t="shared" si="14"/>
        <v>5245.3403125000004</v>
      </c>
      <c r="BH66" s="801">
        <f t="shared" si="15"/>
        <v>0</v>
      </c>
      <c r="BI66" s="801"/>
      <c r="BJ66" s="803">
        <f>BG66</f>
        <v>5245.3403125000004</v>
      </c>
      <c r="BK66" s="810"/>
      <c r="BL66" s="803">
        <f>BJ66</f>
        <v>5245.3403125000004</v>
      </c>
      <c r="BN66" s="692">
        <f t="shared" si="16"/>
        <v>5245.3403125000004</v>
      </c>
    </row>
    <row r="67" spans="1:69" s="796" customFormat="1" ht="15" customHeight="1" x14ac:dyDescent="0.2">
      <c r="A67" s="910">
        <v>45078</v>
      </c>
      <c r="B67" s="770" t="s">
        <v>2422</v>
      </c>
      <c r="C67" s="935">
        <v>202868</v>
      </c>
      <c r="D67" s="936">
        <v>1</v>
      </c>
      <c r="E67" s="937">
        <v>43012</v>
      </c>
      <c r="F67" s="938" t="s">
        <v>1882</v>
      </c>
      <c r="G67" s="937">
        <v>446780</v>
      </c>
      <c r="H67" s="795" t="s">
        <v>2034</v>
      </c>
      <c r="I67" s="795" t="s">
        <v>2370</v>
      </c>
      <c r="J67" s="795" t="s">
        <v>2371</v>
      </c>
      <c r="K67" s="259" t="s">
        <v>2372</v>
      </c>
      <c r="L67" s="938" t="s">
        <v>2373</v>
      </c>
      <c r="M67" s="939">
        <v>43367</v>
      </c>
      <c r="N67" s="777">
        <f t="shared" ca="1" si="38"/>
        <v>6.9952087611225187</v>
      </c>
      <c r="O67" s="896" t="s">
        <v>2380</v>
      </c>
      <c r="P67" s="842">
        <v>-1</v>
      </c>
      <c r="Q67" s="804">
        <v>872</v>
      </c>
      <c r="R67" s="804">
        <v>872</v>
      </c>
      <c r="S67" s="940">
        <v>45086</v>
      </c>
      <c r="T67" s="930">
        <v>34</v>
      </c>
      <c r="U67" s="940">
        <v>45128</v>
      </c>
      <c r="V67" s="783">
        <v>63</v>
      </c>
      <c r="W67" s="783">
        <f t="shared" si="36"/>
        <v>30</v>
      </c>
      <c r="X67" s="785">
        <f t="shared" si="39"/>
        <v>0.15625</v>
      </c>
      <c r="Y67" s="941" t="s">
        <v>36</v>
      </c>
      <c r="Z67" s="942">
        <v>30</v>
      </c>
      <c r="AA67" s="795">
        <v>0</v>
      </c>
      <c r="AB67" s="934">
        <v>14183.099999999999</v>
      </c>
      <c r="AC67" s="934"/>
      <c r="AD67" s="934">
        <v>1</v>
      </c>
      <c r="AE67" s="934">
        <v>0.16145833333333334</v>
      </c>
      <c r="AF67" s="934">
        <v>2289.9796874999997</v>
      </c>
      <c r="AG67" s="934">
        <v>0</v>
      </c>
      <c r="AH67" s="794">
        <v>2289.9796874999997</v>
      </c>
      <c r="AI67" s="794">
        <v>2289.9796874999997</v>
      </c>
      <c r="AJ67" s="795"/>
      <c r="AK67" s="795">
        <f t="shared" si="29"/>
        <v>2289.9796874999997</v>
      </c>
      <c r="AL67" s="810" t="s">
        <v>2648</v>
      </c>
      <c r="AM67" s="810"/>
      <c r="AN67" s="810"/>
      <c r="AO67" s="810"/>
      <c r="AP67" s="810">
        <v>5819.25</v>
      </c>
      <c r="AQ67" s="810">
        <f t="shared" si="57"/>
        <v>3849.19140625</v>
      </c>
      <c r="AR67" s="797">
        <f t="shared" si="48"/>
        <v>6139.1710937499993</v>
      </c>
      <c r="AS67" s="798">
        <f t="shared" si="49"/>
        <v>6139.1710937499993</v>
      </c>
      <c r="AT67" s="810" t="s">
        <v>2415</v>
      </c>
      <c r="AU67" s="810"/>
      <c r="AV67" s="810"/>
      <c r="AW67" s="810"/>
      <c r="AX67" s="810"/>
      <c r="AY67" s="810"/>
      <c r="AZ67" s="799">
        <f t="shared" si="50"/>
        <v>6139.1710937499993</v>
      </c>
      <c r="BA67" s="800">
        <f t="shared" si="51"/>
        <v>0</v>
      </c>
      <c r="BB67" s="810"/>
      <c r="BC67" s="810"/>
      <c r="BD67" s="801">
        <f t="shared" si="52"/>
        <v>6139.1710937499993</v>
      </c>
      <c r="BE67" s="801">
        <f t="shared" si="40"/>
        <v>0</v>
      </c>
      <c r="BF67" s="810"/>
      <c r="BG67" s="801">
        <f t="shared" si="14"/>
        <v>6139.1710937499993</v>
      </c>
      <c r="BH67" s="801">
        <f t="shared" si="15"/>
        <v>0</v>
      </c>
      <c r="BI67" s="801">
        <f t="shared" ref="BI67" si="58">(BG67-BJ67)*-1</f>
        <v>-6139.1710937499993</v>
      </c>
      <c r="BJ67" s="803"/>
      <c r="BK67" s="925"/>
      <c r="BL67" s="803">
        <f>AF67</f>
        <v>2289.9796874999997</v>
      </c>
      <c r="BN67" s="692">
        <f t="shared" ref="BN67:BN88" si="59">BL67+BM67</f>
        <v>2289.9796874999997</v>
      </c>
    </row>
    <row r="68" spans="1:69" s="796" customFormat="1" ht="15" customHeight="1" x14ac:dyDescent="0.2">
      <c r="A68" s="910">
        <v>45078</v>
      </c>
      <c r="B68" s="770" t="s">
        <v>2422</v>
      </c>
      <c r="C68" s="935">
        <v>202896</v>
      </c>
      <c r="D68" s="936">
        <v>1</v>
      </c>
      <c r="E68" s="937">
        <v>43012</v>
      </c>
      <c r="F68" s="938" t="s">
        <v>1882</v>
      </c>
      <c r="G68" s="937">
        <v>450342</v>
      </c>
      <c r="H68" s="795" t="s">
        <v>2048</v>
      </c>
      <c r="I68" s="795" t="s">
        <v>2126</v>
      </c>
      <c r="J68" s="795" t="s">
        <v>2374</v>
      </c>
      <c r="K68" s="259" t="s">
        <v>2375</v>
      </c>
      <c r="L68" s="938" t="s">
        <v>142</v>
      </c>
      <c r="M68" s="939">
        <v>43584</v>
      </c>
      <c r="N68" s="777">
        <f t="shared" ca="1" si="38"/>
        <v>6.4010951403148528</v>
      </c>
      <c r="O68" s="938" t="s">
        <v>2378</v>
      </c>
      <c r="P68" s="842">
        <v>-1</v>
      </c>
      <c r="Q68" s="804">
        <v>872</v>
      </c>
      <c r="R68" s="804">
        <v>872</v>
      </c>
      <c r="S68" s="940">
        <v>45085</v>
      </c>
      <c r="T68" s="930">
        <v>33</v>
      </c>
      <c r="U68" s="940">
        <v>45382</v>
      </c>
      <c r="V68" s="783">
        <v>192</v>
      </c>
      <c r="W68" s="783">
        <f t="shared" si="36"/>
        <v>160</v>
      </c>
      <c r="X68" s="785">
        <f t="shared" si="39"/>
        <v>0.83333333333333337</v>
      </c>
      <c r="Y68" s="941" t="s">
        <v>36</v>
      </c>
      <c r="Z68" s="942">
        <v>25</v>
      </c>
      <c r="AA68" s="795">
        <v>0</v>
      </c>
      <c r="AB68" s="934">
        <v>11819.25</v>
      </c>
      <c r="AC68" s="934"/>
      <c r="AD68" s="934">
        <v>1</v>
      </c>
      <c r="AE68" s="934">
        <v>0.16666666666666666</v>
      </c>
      <c r="AF68" s="934">
        <v>1969.875</v>
      </c>
      <c r="AG68" s="934">
        <v>0</v>
      </c>
      <c r="AH68" s="794">
        <v>1969.875</v>
      </c>
      <c r="AI68" s="794">
        <v>1969.875</v>
      </c>
      <c r="AJ68" s="795"/>
      <c r="AK68" s="795">
        <f t="shared" si="29"/>
        <v>1969.875</v>
      </c>
      <c r="AL68" s="810" t="s">
        <v>2657</v>
      </c>
      <c r="AM68" s="810"/>
      <c r="AN68" s="810"/>
      <c r="AO68" s="810"/>
      <c r="AP68" s="810"/>
      <c r="AQ68" s="810">
        <f t="shared" si="57"/>
        <v>0</v>
      </c>
      <c r="AR68" s="797">
        <f t="shared" si="48"/>
        <v>1969.875</v>
      </c>
      <c r="AS68" s="798">
        <f t="shared" si="49"/>
        <v>1969.875</v>
      </c>
      <c r="AT68" s="810" t="s">
        <v>2415</v>
      </c>
      <c r="AU68" s="810"/>
      <c r="AV68" s="810"/>
      <c r="AW68" s="810"/>
      <c r="AX68" s="810"/>
      <c r="AY68" s="810"/>
      <c r="AZ68" s="799">
        <f t="shared" si="50"/>
        <v>1969.875</v>
      </c>
      <c r="BA68" s="800">
        <f t="shared" si="51"/>
        <v>0</v>
      </c>
      <c r="BB68" s="810"/>
      <c r="BC68" s="810"/>
      <c r="BD68" s="801">
        <f t="shared" si="52"/>
        <v>1969.875</v>
      </c>
      <c r="BE68" s="801">
        <f t="shared" si="40"/>
        <v>0</v>
      </c>
      <c r="BF68" s="925"/>
      <c r="BG68" s="801">
        <f t="shared" si="14"/>
        <v>1969.875</v>
      </c>
      <c r="BH68" s="801">
        <f t="shared" si="15"/>
        <v>0</v>
      </c>
      <c r="BI68" s="801">
        <f t="shared" si="42"/>
        <v>1969.875</v>
      </c>
      <c r="BJ68" s="803"/>
      <c r="BK68" s="925"/>
      <c r="BL68" s="803">
        <f>AF68</f>
        <v>1969.875</v>
      </c>
      <c r="BM68" s="796">
        <v>5047.8</v>
      </c>
      <c r="BN68" s="692">
        <f t="shared" si="59"/>
        <v>7017.6750000000002</v>
      </c>
      <c r="BO68" s="796" t="s">
        <v>2666</v>
      </c>
    </row>
    <row r="69" spans="1:69" s="796" customFormat="1" ht="15" customHeight="1" x14ac:dyDescent="0.2">
      <c r="A69" s="910">
        <v>45078</v>
      </c>
      <c r="B69" s="770" t="s">
        <v>2422</v>
      </c>
      <c r="C69" s="911">
        <v>203067</v>
      </c>
      <c r="D69" s="912">
        <v>1</v>
      </c>
      <c r="E69" s="913">
        <v>43012</v>
      </c>
      <c r="F69" s="914" t="s">
        <v>1882</v>
      </c>
      <c r="G69" s="913">
        <v>438968</v>
      </c>
      <c r="H69" s="915" t="s">
        <v>1901</v>
      </c>
      <c r="I69" s="915" t="s">
        <v>2061</v>
      </c>
      <c r="J69" s="915" t="s">
        <v>2062</v>
      </c>
      <c r="K69" s="396" t="s">
        <v>2063</v>
      </c>
      <c r="L69" s="914" t="s">
        <v>2064</v>
      </c>
      <c r="M69" s="916">
        <v>43406</v>
      </c>
      <c r="N69" s="917">
        <f t="shared" ca="1" si="38"/>
        <v>6.8884325804243671</v>
      </c>
      <c r="O69" s="918" t="s">
        <v>2380</v>
      </c>
      <c r="P69" s="835">
        <v>-1</v>
      </c>
      <c r="Q69" s="805">
        <v>872</v>
      </c>
      <c r="R69" s="805">
        <v>872</v>
      </c>
      <c r="S69" s="919">
        <v>45086</v>
      </c>
      <c r="T69" s="920">
        <v>34</v>
      </c>
      <c r="U69" s="919">
        <v>45128</v>
      </c>
      <c r="V69" s="815">
        <v>63</v>
      </c>
      <c r="W69" s="815">
        <f t="shared" si="36"/>
        <v>30</v>
      </c>
      <c r="X69" s="921">
        <f t="shared" si="39"/>
        <v>0.15625</v>
      </c>
      <c r="Y69" s="919">
        <v>45128</v>
      </c>
      <c r="Z69" s="922">
        <v>3</v>
      </c>
      <c r="AA69" s="915">
        <v>0</v>
      </c>
      <c r="AB69" s="923">
        <v>9928.17</v>
      </c>
      <c r="AC69" s="923"/>
      <c r="AD69" s="923">
        <v>1</v>
      </c>
      <c r="AE69" s="923">
        <v>0.15625</v>
      </c>
      <c r="AF69" s="923">
        <v>1551.2765625</v>
      </c>
      <c r="AG69" s="923">
        <v>0</v>
      </c>
      <c r="AH69" s="924">
        <v>1551.2765625</v>
      </c>
      <c r="AI69" s="924">
        <v>1551.2765625</v>
      </c>
      <c r="AJ69" s="915"/>
      <c r="AK69" s="915">
        <f t="shared" si="29"/>
        <v>1551.2765625</v>
      </c>
      <c r="AL69" s="810" t="s">
        <v>2637</v>
      </c>
      <c r="AM69" s="810"/>
      <c r="AN69" s="810"/>
      <c r="AO69" s="810"/>
      <c r="AP69" s="810">
        <v>5819.25</v>
      </c>
      <c r="AQ69" s="810">
        <f t="shared" si="57"/>
        <v>3849.19140625</v>
      </c>
      <c r="AR69" s="797">
        <f t="shared" si="48"/>
        <v>5400.4679687500002</v>
      </c>
      <c r="AS69" s="798">
        <f t="shared" si="49"/>
        <v>5400.4679687500002</v>
      </c>
      <c r="AT69" s="810" t="s">
        <v>2415</v>
      </c>
      <c r="AU69" s="810"/>
      <c r="AV69" s="810"/>
      <c r="AW69" s="810"/>
      <c r="AX69" s="810"/>
      <c r="AY69" s="810"/>
      <c r="AZ69" s="799">
        <f t="shared" si="50"/>
        <v>5400.4679687500002</v>
      </c>
      <c r="BA69" s="800">
        <f t="shared" si="51"/>
        <v>0</v>
      </c>
      <c r="BB69" s="810"/>
      <c r="BC69" s="810"/>
      <c r="BD69" s="801">
        <f t="shared" si="52"/>
        <v>5400.4679687500002</v>
      </c>
      <c r="BE69" s="801">
        <f t="shared" si="40"/>
        <v>0</v>
      </c>
      <c r="BF69" s="810"/>
      <c r="BG69" s="801">
        <f t="shared" si="14"/>
        <v>5400.4679687500002</v>
      </c>
      <c r="BH69" s="801">
        <f t="shared" si="15"/>
        <v>0</v>
      </c>
      <c r="BI69" s="801"/>
      <c r="BJ69" s="803">
        <v>1551.28</v>
      </c>
      <c r="BK69" s="925"/>
      <c r="BL69" s="803">
        <f>BJ69+BK69</f>
        <v>1551.28</v>
      </c>
      <c r="BN69" s="692">
        <f t="shared" si="59"/>
        <v>1551.28</v>
      </c>
    </row>
    <row r="70" spans="1:69" s="130" customFormat="1" ht="15" customHeight="1" x14ac:dyDescent="0.2">
      <c r="A70" s="391">
        <v>45108</v>
      </c>
      <c r="B70" s="173" t="s">
        <v>2420</v>
      </c>
      <c r="C70" s="393">
        <v>201999</v>
      </c>
      <c r="D70" s="438">
        <v>1</v>
      </c>
      <c r="E70" s="394">
        <v>43012</v>
      </c>
      <c r="F70" s="395" t="s">
        <v>1882</v>
      </c>
      <c r="G70" s="394">
        <v>453976</v>
      </c>
      <c r="H70" s="396" t="s">
        <v>1905</v>
      </c>
      <c r="I70" s="396" t="s">
        <v>1097</v>
      </c>
      <c r="J70" s="396" t="s">
        <v>2127</v>
      </c>
      <c r="K70" s="396" t="s">
        <v>2515</v>
      </c>
      <c r="L70" s="395" t="s">
        <v>2516</v>
      </c>
      <c r="M70" s="397">
        <v>43620</v>
      </c>
      <c r="N70" s="179">
        <f t="shared" ca="1" si="38"/>
        <v>6.3025325119780975</v>
      </c>
      <c r="O70" s="395" t="s">
        <v>2379</v>
      </c>
      <c r="P70" s="425">
        <v>-1</v>
      </c>
      <c r="Q70" s="423">
        <v>872</v>
      </c>
      <c r="R70" s="423">
        <v>872</v>
      </c>
      <c r="S70" s="398">
        <v>45110</v>
      </c>
      <c r="T70" s="440">
        <v>50</v>
      </c>
      <c r="U70" s="339">
        <v>45229</v>
      </c>
      <c r="V70" s="182">
        <v>100</v>
      </c>
      <c r="W70" s="182">
        <f t="shared" si="36"/>
        <v>51</v>
      </c>
      <c r="X70" s="247">
        <f t="shared" si="39"/>
        <v>0.265625</v>
      </c>
      <c r="Y70" s="339" t="s">
        <v>36</v>
      </c>
      <c r="Z70" s="346">
        <v>4</v>
      </c>
      <c r="AA70" s="259">
        <v>0</v>
      </c>
      <c r="AB70" s="348">
        <f t="shared" ref="AB70:AB78" si="60">Z70*$AA$121</f>
        <v>1891.08</v>
      </c>
      <c r="AC70" s="347"/>
      <c r="AD70" s="347">
        <v>1</v>
      </c>
      <c r="AE70" s="347">
        <f t="shared" ref="AE70:AE85" si="61">X70*AD70</f>
        <v>0.265625</v>
      </c>
      <c r="AF70" s="348">
        <f t="shared" ref="AF70:AF82" si="62">AB70*AE70</f>
        <v>502.31812500000001</v>
      </c>
      <c r="AG70" s="442">
        <v>0</v>
      </c>
      <c r="AH70" s="443">
        <v>0</v>
      </c>
      <c r="AI70" s="443">
        <v>0</v>
      </c>
      <c r="AJ70" s="624"/>
      <c r="AK70" s="624">
        <v>0</v>
      </c>
      <c r="AL70" s="193"/>
      <c r="AM70" s="193"/>
      <c r="AN70" s="193"/>
      <c r="AO70" s="193"/>
      <c r="AP70" s="193"/>
      <c r="AQ70" s="193"/>
      <c r="AR70" s="631">
        <f t="shared" si="48"/>
        <v>0</v>
      </c>
      <c r="AS70" s="617">
        <f t="shared" si="49"/>
        <v>0</v>
      </c>
      <c r="AT70" s="193"/>
      <c r="AU70" s="193"/>
      <c r="AV70" s="193"/>
      <c r="AW70" s="193"/>
      <c r="AX70" s="193"/>
      <c r="AY70" s="193"/>
      <c r="AZ70" s="625">
        <f t="shared" si="50"/>
        <v>502.31812500000001</v>
      </c>
      <c r="BA70" s="622">
        <f t="shared" si="51"/>
        <v>502.31812500000001</v>
      </c>
      <c r="BB70" s="193" t="s">
        <v>2415</v>
      </c>
      <c r="BC70" s="193"/>
      <c r="BD70" s="629">
        <f t="shared" si="52"/>
        <v>502.31812500000001</v>
      </c>
      <c r="BE70" s="629">
        <f t="shared" si="40"/>
        <v>0</v>
      </c>
      <c r="BF70" s="683"/>
      <c r="BG70" s="629">
        <f t="shared" si="14"/>
        <v>502.31812500000001</v>
      </c>
      <c r="BH70" s="629">
        <f t="shared" si="15"/>
        <v>0</v>
      </c>
      <c r="BI70" s="629">
        <v>0</v>
      </c>
      <c r="BJ70" s="692">
        <f>BG70</f>
        <v>502.31812500000001</v>
      </c>
      <c r="BK70" s="193"/>
      <c r="BL70" s="683">
        <f>BJ70</f>
        <v>502.31812500000001</v>
      </c>
      <c r="BM70" s="193">
        <v>571.26</v>
      </c>
      <c r="BN70" s="692">
        <f t="shared" si="59"/>
        <v>1073.578125</v>
      </c>
      <c r="BO70" s="193"/>
      <c r="BP70" s="193"/>
      <c r="BQ70" s="193"/>
    </row>
    <row r="71" spans="1:69" s="130" customFormat="1" ht="15" customHeight="1" x14ac:dyDescent="0.2">
      <c r="A71" s="391">
        <v>45108</v>
      </c>
      <c r="B71" s="173" t="s">
        <v>2420</v>
      </c>
      <c r="C71" s="393">
        <v>205398</v>
      </c>
      <c r="D71" s="438">
        <v>1</v>
      </c>
      <c r="E71" s="394">
        <v>43012</v>
      </c>
      <c r="F71" s="395" t="s">
        <v>1882</v>
      </c>
      <c r="G71" s="394">
        <v>451258</v>
      </c>
      <c r="H71" s="396" t="s">
        <v>2517</v>
      </c>
      <c r="I71" s="396" t="s">
        <v>1992</v>
      </c>
      <c r="J71" s="396" t="s">
        <v>1993</v>
      </c>
      <c r="K71" s="396" t="s">
        <v>1994</v>
      </c>
      <c r="L71" s="395" t="s">
        <v>1995</v>
      </c>
      <c r="M71" s="397">
        <v>43822</v>
      </c>
      <c r="N71" s="179">
        <f t="shared" ca="1" si="38"/>
        <v>5.7494866529774127</v>
      </c>
      <c r="O71" s="395" t="s">
        <v>2381</v>
      </c>
      <c r="P71" s="425">
        <v>-2</v>
      </c>
      <c r="Q71" s="423">
        <v>872</v>
      </c>
      <c r="R71" s="423">
        <v>872</v>
      </c>
      <c r="S71" s="398">
        <v>45084</v>
      </c>
      <c r="T71" s="440">
        <v>32</v>
      </c>
      <c r="U71" s="339">
        <v>45382</v>
      </c>
      <c r="V71" s="182">
        <v>192</v>
      </c>
      <c r="W71" s="182">
        <f t="shared" si="36"/>
        <v>161</v>
      </c>
      <c r="X71" s="247">
        <f t="shared" si="39"/>
        <v>0.83854166666666663</v>
      </c>
      <c r="Y71" s="339" t="s">
        <v>36</v>
      </c>
      <c r="Z71" s="346">
        <v>25</v>
      </c>
      <c r="AA71" s="259">
        <v>0</v>
      </c>
      <c r="AB71" s="348">
        <f t="shared" si="60"/>
        <v>11819.25</v>
      </c>
      <c r="AC71" s="347"/>
      <c r="AD71" s="347">
        <v>1</v>
      </c>
      <c r="AE71" s="347">
        <f t="shared" si="61"/>
        <v>0.83854166666666663</v>
      </c>
      <c r="AF71" s="348">
        <f t="shared" si="62"/>
        <v>9910.93359375</v>
      </c>
      <c r="AG71" s="442">
        <v>0</v>
      </c>
      <c r="AH71" s="443">
        <v>0</v>
      </c>
      <c r="AI71" s="443">
        <v>0</v>
      </c>
      <c r="AJ71" s="624"/>
      <c r="AK71" s="624">
        <v>1</v>
      </c>
      <c r="AL71" s="193"/>
      <c r="AM71" s="193"/>
      <c r="AN71" s="193"/>
      <c r="AO71" s="193"/>
      <c r="AP71" s="193"/>
      <c r="AQ71" s="193"/>
      <c r="AR71" s="631">
        <f t="shared" si="48"/>
        <v>0</v>
      </c>
      <c r="AS71" s="617">
        <f t="shared" si="49"/>
        <v>0</v>
      </c>
      <c r="AT71" s="193"/>
      <c r="AU71" s="193"/>
      <c r="AV71" s="193"/>
      <c r="AW71" s="193"/>
      <c r="AX71" s="193"/>
      <c r="AY71" s="193"/>
      <c r="AZ71" s="625">
        <f t="shared" si="50"/>
        <v>9910.93359375</v>
      </c>
      <c r="BA71" s="622">
        <f t="shared" si="51"/>
        <v>9910.93359375</v>
      </c>
      <c r="BB71" s="193" t="s">
        <v>2415</v>
      </c>
      <c r="BC71" s="193"/>
      <c r="BD71" s="629">
        <f t="shared" si="52"/>
        <v>9910.93359375</v>
      </c>
      <c r="BE71" s="629">
        <f t="shared" si="40"/>
        <v>0</v>
      </c>
      <c r="BF71" s="683"/>
      <c r="BG71" s="629">
        <f t="shared" ref="BG71:BG90" si="63">BD71+BF71</f>
        <v>9910.93359375</v>
      </c>
      <c r="BH71" s="629">
        <f t="shared" ref="BH71:BH80" si="64">SUM(BG71)-BD71</f>
        <v>0</v>
      </c>
      <c r="BI71" s="629"/>
      <c r="BJ71" s="692">
        <f>BG71+BI71</f>
        <v>9910.93359375</v>
      </c>
      <c r="BK71" s="677">
        <v>-2228.1999999999998</v>
      </c>
      <c r="BL71" s="683">
        <f t="shared" ref="BL71:BL80" si="65">BK71+BJ71</f>
        <v>7682.7335937500002</v>
      </c>
      <c r="BM71" s="193">
        <v>4284.4799999999996</v>
      </c>
      <c r="BN71" s="692">
        <f t="shared" si="59"/>
        <v>11967.213593749999</v>
      </c>
      <c r="BO71" s="193" t="s">
        <v>2666</v>
      </c>
      <c r="BP71" s="193" t="s">
        <v>2676</v>
      </c>
      <c r="BQ71" s="193"/>
    </row>
    <row r="72" spans="1:69" s="130" customFormat="1" ht="15" customHeight="1" x14ac:dyDescent="0.2">
      <c r="A72" s="391">
        <v>45108</v>
      </c>
      <c r="B72" s="173" t="s">
        <v>2420</v>
      </c>
      <c r="C72" s="393">
        <v>202686</v>
      </c>
      <c r="D72" s="438">
        <v>1</v>
      </c>
      <c r="E72" s="394">
        <v>43012</v>
      </c>
      <c r="F72" s="395" t="s">
        <v>1882</v>
      </c>
      <c r="G72" s="394">
        <v>450522</v>
      </c>
      <c r="H72" s="396" t="s">
        <v>2098</v>
      </c>
      <c r="I72" s="396" t="s">
        <v>1620</v>
      </c>
      <c r="J72" s="396" t="s">
        <v>2518</v>
      </c>
      <c r="K72" s="396" t="s">
        <v>2519</v>
      </c>
      <c r="L72" s="395" t="s">
        <v>2520</v>
      </c>
      <c r="M72" s="397">
        <v>43612</v>
      </c>
      <c r="N72" s="179">
        <f t="shared" ref="N72:N83" ca="1" si="66">(TODAY()-M72)/365.25</f>
        <v>6.324435318275154</v>
      </c>
      <c r="O72" s="395" t="s">
        <v>2379</v>
      </c>
      <c r="P72" s="425">
        <v>-1</v>
      </c>
      <c r="Q72" s="423">
        <v>872</v>
      </c>
      <c r="R72" s="423">
        <v>872</v>
      </c>
      <c r="S72" s="398">
        <v>45113</v>
      </c>
      <c r="T72" s="440">
        <v>53</v>
      </c>
      <c r="U72" s="339">
        <v>45382</v>
      </c>
      <c r="V72" s="182">
        <v>192</v>
      </c>
      <c r="W72" s="182">
        <f t="shared" si="36"/>
        <v>140</v>
      </c>
      <c r="X72" s="247">
        <f t="shared" ref="X72:X85" si="67">W72/192</f>
        <v>0.72916666666666663</v>
      </c>
      <c r="Y72" s="626" t="s">
        <v>36</v>
      </c>
      <c r="Z72" s="346">
        <v>26</v>
      </c>
      <c r="AA72" s="259">
        <v>0</v>
      </c>
      <c r="AB72" s="348">
        <f t="shared" si="60"/>
        <v>12292.02</v>
      </c>
      <c r="AC72" s="347"/>
      <c r="AD72" s="347">
        <v>1</v>
      </c>
      <c r="AE72" s="347">
        <f t="shared" si="61"/>
        <v>0.72916666666666663</v>
      </c>
      <c r="AF72" s="348">
        <f t="shared" si="62"/>
        <v>8962.9312499999996</v>
      </c>
      <c r="AG72" s="441">
        <v>0</v>
      </c>
      <c r="AH72" s="646">
        <v>0</v>
      </c>
      <c r="AI72" s="646">
        <v>0</v>
      </c>
      <c r="AJ72" s="647"/>
      <c r="AK72" s="647">
        <v>2</v>
      </c>
      <c r="AL72" s="193"/>
      <c r="AM72" s="193"/>
      <c r="AN72" s="193"/>
      <c r="AO72" s="193"/>
      <c r="AP72" s="193"/>
      <c r="AQ72" s="193"/>
      <c r="AR72" s="631">
        <f t="shared" si="48"/>
        <v>0</v>
      </c>
      <c r="AS72" s="617">
        <f t="shared" si="49"/>
        <v>0</v>
      </c>
      <c r="AT72" s="193"/>
      <c r="AU72" s="193"/>
      <c r="AV72" s="193"/>
      <c r="AW72" s="193"/>
      <c r="AX72" s="193"/>
      <c r="AY72" s="193"/>
      <c r="AZ72" s="644">
        <f t="shared" si="50"/>
        <v>8962.9312499999996</v>
      </c>
      <c r="BA72" s="645">
        <f t="shared" si="51"/>
        <v>8962.9312499999996</v>
      </c>
      <c r="BB72" s="193" t="s">
        <v>2415</v>
      </c>
      <c r="BC72" s="193">
        <v>-7213.3</v>
      </c>
      <c r="BD72" s="629">
        <f t="shared" si="52"/>
        <v>1749.6312499999995</v>
      </c>
      <c r="BE72" s="629">
        <f t="shared" ref="BE72:BE90" si="68">BD72-AZ72</f>
        <v>-7213.3</v>
      </c>
      <c r="BF72" s="173"/>
      <c r="BG72" s="629">
        <f t="shared" si="63"/>
        <v>1749.6312499999995</v>
      </c>
      <c r="BH72" s="629">
        <f t="shared" si="64"/>
        <v>0</v>
      </c>
      <c r="BI72" s="629"/>
      <c r="BJ72" s="692">
        <v>768.25</v>
      </c>
      <c r="BK72" s="677">
        <v>0</v>
      </c>
      <c r="BL72" s="683">
        <f t="shared" si="65"/>
        <v>768.25</v>
      </c>
      <c r="BM72" s="193"/>
      <c r="BN72" s="692">
        <f t="shared" si="59"/>
        <v>768.25</v>
      </c>
      <c r="BO72" s="193"/>
      <c r="BP72" s="193"/>
      <c r="BQ72" s="193"/>
    </row>
    <row r="73" spans="1:69" s="130" customFormat="1" ht="15" customHeight="1" x14ac:dyDescent="0.2">
      <c r="A73" s="391">
        <v>45108</v>
      </c>
      <c r="B73" s="173" t="s">
        <v>2420</v>
      </c>
      <c r="C73" s="393">
        <v>203108</v>
      </c>
      <c r="D73" s="438">
        <v>1</v>
      </c>
      <c r="E73" s="394">
        <v>43012</v>
      </c>
      <c r="F73" s="395" t="s">
        <v>1882</v>
      </c>
      <c r="G73" s="394">
        <v>449860</v>
      </c>
      <c r="H73" s="396" t="s">
        <v>2108</v>
      </c>
      <c r="I73" s="396" t="s">
        <v>2125</v>
      </c>
      <c r="J73" s="396" t="s">
        <v>2124</v>
      </c>
      <c r="K73" s="396" t="s">
        <v>2521</v>
      </c>
      <c r="L73" s="395" t="s">
        <v>2522</v>
      </c>
      <c r="M73" s="397">
        <v>43601</v>
      </c>
      <c r="N73" s="179">
        <f t="shared" ca="1" si="66"/>
        <v>6.3545516769336068</v>
      </c>
      <c r="O73" s="395" t="s">
        <v>2379</v>
      </c>
      <c r="P73" s="425">
        <v>-1</v>
      </c>
      <c r="Q73" s="423">
        <v>872</v>
      </c>
      <c r="R73" s="423">
        <v>872</v>
      </c>
      <c r="S73" s="398">
        <v>45113</v>
      </c>
      <c r="T73" s="440">
        <v>53</v>
      </c>
      <c r="U73" s="339">
        <v>45382</v>
      </c>
      <c r="V73" s="182">
        <v>192</v>
      </c>
      <c r="W73" s="182">
        <f t="shared" si="36"/>
        <v>140</v>
      </c>
      <c r="X73" s="247">
        <f t="shared" si="67"/>
        <v>0.72916666666666663</v>
      </c>
      <c r="Y73" s="626" t="s">
        <v>36</v>
      </c>
      <c r="Z73" s="346">
        <v>30</v>
      </c>
      <c r="AA73" s="259">
        <v>0</v>
      </c>
      <c r="AB73" s="348">
        <f t="shared" si="60"/>
        <v>14183.099999999999</v>
      </c>
      <c r="AC73" s="347"/>
      <c r="AD73" s="347">
        <v>1</v>
      </c>
      <c r="AE73" s="347">
        <f t="shared" si="61"/>
        <v>0.72916666666666663</v>
      </c>
      <c r="AF73" s="348">
        <f t="shared" si="62"/>
        <v>10341.843749999998</v>
      </c>
      <c r="AG73" s="442">
        <v>0</v>
      </c>
      <c r="AH73" s="443">
        <v>0</v>
      </c>
      <c r="AI73" s="443">
        <v>0</v>
      </c>
      <c r="AJ73" s="624"/>
      <c r="AK73" s="624">
        <v>3</v>
      </c>
      <c r="AL73" s="193"/>
      <c r="AM73" s="193"/>
      <c r="AN73" s="193"/>
      <c r="AO73" s="193"/>
      <c r="AP73" s="193"/>
      <c r="AQ73" s="193"/>
      <c r="AR73" s="631">
        <f t="shared" si="48"/>
        <v>0</v>
      </c>
      <c r="AS73" s="617">
        <f t="shared" si="49"/>
        <v>0</v>
      </c>
      <c r="AT73" s="193"/>
      <c r="AU73" s="193"/>
      <c r="AV73" s="193"/>
      <c r="AW73" s="193"/>
      <c r="AX73" s="193"/>
      <c r="AY73" s="193"/>
      <c r="AZ73" s="625">
        <f t="shared" si="50"/>
        <v>10341.843749999998</v>
      </c>
      <c r="BA73" s="622">
        <f t="shared" si="51"/>
        <v>10341.843749999998</v>
      </c>
      <c r="BB73" s="193" t="s">
        <v>2415</v>
      </c>
      <c r="BC73" s="193"/>
      <c r="BD73" s="629">
        <f t="shared" si="52"/>
        <v>10341.843749999998</v>
      </c>
      <c r="BE73" s="629">
        <f t="shared" si="68"/>
        <v>0</v>
      </c>
      <c r="BF73" s="173"/>
      <c r="BG73" s="629">
        <f t="shared" si="63"/>
        <v>10341.843749999998</v>
      </c>
      <c r="BH73" s="629">
        <f t="shared" si="64"/>
        <v>0</v>
      </c>
      <c r="BI73" s="629"/>
      <c r="BJ73" s="692">
        <v>886.44</v>
      </c>
      <c r="BK73" s="677">
        <v>0</v>
      </c>
      <c r="BL73" s="683">
        <f t="shared" si="65"/>
        <v>886.44</v>
      </c>
      <c r="BM73" s="193"/>
      <c r="BN73" s="692">
        <f t="shared" si="59"/>
        <v>886.44</v>
      </c>
      <c r="BO73" s="193"/>
      <c r="BP73" s="193"/>
      <c r="BQ73" s="193"/>
    </row>
    <row r="74" spans="1:69" s="130" customFormat="1" ht="15" customHeight="1" x14ac:dyDescent="0.2">
      <c r="A74" s="391">
        <v>45108</v>
      </c>
      <c r="B74" s="173" t="s">
        <v>2420</v>
      </c>
      <c r="C74" s="393">
        <v>41401</v>
      </c>
      <c r="D74" s="438">
        <v>1</v>
      </c>
      <c r="E74" s="394">
        <v>43011</v>
      </c>
      <c r="F74" s="395" t="s">
        <v>1883</v>
      </c>
      <c r="G74" s="394">
        <v>449977</v>
      </c>
      <c r="H74" s="396" t="s">
        <v>2523</v>
      </c>
      <c r="I74" s="396" t="s">
        <v>1841</v>
      </c>
      <c r="J74" s="396" t="s">
        <v>1670</v>
      </c>
      <c r="K74" s="396" t="s">
        <v>2524</v>
      </c>
      <c r="L74" s="395" t="s">
        <v>2525</v>
      </c>
      <c r="M74" s="397">
        <v>44021</v>
      </c>
      <c r="N74" s="179">
        <f t="shared" ca="1" si="66"/>
        <v>5.204654346338125</v>
      </c>
      <c r="O74" s="395" t="s">
        <v>2526</v>
      </c>
      <c r="P74" s="425">
        <v>-2</v>
      </c>
      <c r="Q74" s="423" t="s">
        <v>98</v>
      </c>
      <c r="R74" s="423" t="s">
        <v>98</v>
      </c>
      <c r="S74" s="398">
        <v>45044</v>
      </c>
      <c r="T74" s="440">
        <v>11</v>
      </c>
      <c r="U74" s="322">
        <v>45382</v>
      </c>
      <c r="V74" s="182">
        <v>192</v>
      </c>
      <c r="W74" s="182">
        <f t="shared" si="36"/>
        <v>182</v>
      </c>
      <c r="X74" s="247">
        <f t="shared" si="67"/>
        <v>0.94791666666666663</v>
      </c>
      <c r="Y74" s="626" t="s">
        <v>36</v>
      </c>
      <c r="Z74" s="346">
        <v>8</v>
      </c>
      <c r="AA74" s="259">
        <v>0</v>
      </c>
      <c r="AB74" s="347">
        <f t="shared" si="60"/>
        <v>3782.16</v>
      </c>
      <c r="AC74" s="347"/>
      <c r="AD74" s="347">
        <v>1</v>
      </c>
      <c r="AE74" s="347">
        <f t="shared" si="61"/>
        <v>0.94791666666666663</v>
      </c>
      <c r="AF74" s="348">
        <f t="shared" si="62"/>
        <v>3585.1724999999997</v>
      </c>
      <c r="AG74" s="442">
        <v>0</v>
      </c>
      <c r="AH74" s="443">
        <v>0</v>
      </c>
      <c r="AI74" s="443">
        <v>0</v>
      </c>
      <c r="AJ74" s="624"/>
      <c r="AK74" s="624">
        <v>4</v>
      </c>
      <c r="AL74" s="193"/>
      <c r="AM74" s="193"/>
      <c r="AN74" s="193"/>
      <c r="AO74" s="193"/>
      <c r="AP74" s="193"/>
      <c r="AQ74" s="193"/>
      <c r="AR74" s="631">
        <f t="shared" si="48"/>
        <v>0</v>
      </c>
      <c r="AS74" s="617">
        <f t="shared" si="49"/>
        <v>0</v>
      </c>
      <c r="AT74" s="193"/>
      <c r="AU74" s="193"/>
      <c r="AV74" s="193"/>
      <c r="AW74" s="193"/>
      <c r="AX74" s="193"/>
      <c r="AY74" s="193"/>
      <c r="AZ74" s="625">
        <f t="shared" si="50"/>
        <v>3585.1724999999997</v>
      </c>
      <c r="BA74" s="622">
        <f t="shared" si="51"/>
        <v>3585.1724999999997</v>
      </c>
      <c r="BB74" s="193"/>
      <c r="BC74" s="193"/>
      <c r="BD74" s="629">
        <f t="shared" si="52"/>
        <v>3585.1724999999997</v>
      </c>
      <c r="BE74" s="629">
        <f t="shared" si="68"/>
        <v>0</v>
      </c>
      <c r="BF74" s="683"/>
      <c r="BG74" s="629">
        <f t="shared" si="63"/>
        <v>3585.1724999999997</v>
      </c>
      <c r="BH74" s="629">
        <f t="shared" si="64"/>
        <v>0</v>
      </c>
      <c r="BI74" s="193">
        <v>-1122.83</v>
      </c>
      <c r="BJ74" s="692">
        <f>BG74+BI74</f>
        <v>2462.3424999999997</v>
      </c>
      <c r="BK74" s="677">
        <v>0</v>
      </c>
      <c r="BL74" s="683">
        <f t="shared" si="65"/>
        <v>2462.3424999999997</v>
      </c>
      <c r="BM74" s="193"/>
      <c r="BN74" s="692">
        <f t="shared" si="59"/>
        <v>2462.3424999999997</v>
      </c>
      <c r="BO74" s="193" t="s">
        <v>2666</v>
      </c>
      <c r="BP74" s="193" t="s">
        <v>2219</v>
      </c>
      <c r="BQ74" s="193"/>
    </row>
    <row r="75" spans="1:69" s="130" customFormat="1" ht="15" customHeight="1" x14ac:dyDescent="0.2">
      <c r="A75" s="391">
        <v>45108</v>
      </c>
      <c r="B75" s="173" t="s">
        <v>2420</v>
      </c>
      <c r="C75" s="393">
        <v>201999</v>
      </c>
      <c r="D75" s="438">
        <v>0</v>
      </c>
      <c r="E75" s="394">
        <v>43012</v>
      </c>
      <c r="F75" s="395" t="s">
        <v>1882</v>
      </c>
      <c r="G75" s="394">
        <v>449977</v>
      </c>
      <c r="H75" s="396" t="s">
        <v>1905</v>
      </c>
      <c r="I75" s="396" t="s">
        <v>1841</v>
      </c>
      <c r="J75" s="396" t="s">
        <v>1670</v>
      </c>
      <c r="K75" s="396" t="s">
        <v>2524</v>
      </c>
      <c r="L75" s="395" t="s">
        <v>2525</v>
      </c>
      <c r="M75" s="397">
        <v>44021</v>
      </c>
      <c r="N75" s="179">
        <f t="shared" ca="1" si="66"/>
        <v>5.204654346338125</v>
      </c>
      <c r="O75" s="395" t="s">
        <v>2526</v>
      </c>
      <c r="P75" s="425">
        <v>-2</v>
      </c>
      <c r="Q75" s="423" t="s">
        <v>98</v>
      </c>
      <c r="R75" s="423" t="s">
        <v>98</v>
      </c>
      <c r="S75" s="398">
        <v>45044</v>
      </c>
      <c r="T75" s="440">
        <v>11</v>
      </c>
      <c r="U75" s="616">
        <v>45382</v>
      </c>
      <c r="V75" s="182">
        <v>192</v>
      </c>
      <c r="W75" s="182">
        <f t="shared" si="36"/>
        <v>182</v>
      </c>
      <c r="X75" s="247">
        <f t="shared" si="67"/>
        <v>0.94791666666666663</v>
      </c>
      <c r="Y75" s="626" t="s">
        <v>36</v>
      </c>
      <c r="Z75" s="346">
        <v>6</v>
      </c>
      <c r="AA75" s="259">
        <v>0</v>
      </c>
      <c r="AB75" s="347">
        <f t="shared" si="60"/>
        <v>2836.62</v>
      </c>
      <c r="AC75" s="347"/>
      <c r="AD75" s="347">
        <v>1</v>
      </c>
      <c r="AE75" s="347">
        <f t="shared" si="61"/>
        <v>0.94791666666666663</v>
      </c>
      <c r="AF75" s="348">
        <f t="shared" si="62"/>
        <v>2688.879375</v>
      </c>
      <c r="AG75" s="442">
        <v>0</v>
      </c>
      <c r="AH75" s="443">
        <v>0</v>
      </c>
      <c r="AI75" s="443">
        <v>0</v>
      </c>
      <c r="AJ75" s="624"/>
      <c r="AK75" s="624">
        <v>5</v>
      </c>
      <c r="AL75" s="193"/>
      <c r="AM75" s="193"/>
      <c r="AN75" s="193"/>
      <c r="AO75" s="193"/>
      <c r="AP75" s="193"/>
      <c r="AQ75" s="193"/>
      <c r="AR75" s="631">
        <f t="shared" si="48"/>
        <v>0</v>
      </c>
      <c r="AS75" s="617">
        <f t="shared" si="49"/>
        <v>0</v>
      </c>
      <c r="AT75" s="193"/>
      <c r="AU75" s="193"/>
      <c r="AV75" s="193"/>
      <c r="AW75" s="193"/>
      <c r="AX75" s="193"/>
      <c r="AY75" s="193"/>
      <c r="AZ75" s="625">
        <f t="shared" si="50"/>
        <v>2688.879375</v>
      </c>
      <c r="BA75" s="622">
        <f t="shared" si="51"/>
        <v>2688.879375</v>
      </c>
      <c r="BB75" s="193"/>
      <c r="BC75" s="193"/>
      <c r="BD75" s="629">
        <f t="shared" si="52"/>
        <v>2688.879375</v>
      </c>
      <c r="BE75" s="629">
        <f t="shared" si="68"/>
        <v>0</v>
      </c>
      <c r="BF75" s="683"/>
      <c r="BG75" s="629">
        <f t="shared" si="63"/>
        <v>2688.879375</v>
      </c>
      <c r="BH75" s="629">
        <f t="shared" si="64"/>
        <v>0</v>
      </c>
      <c r="BI75" s="193">
        <v>-842.12</v>
      </c>
      <c r="BJ75" s="692">
        <f>BG75+BI75</f>
        <v>1846.7593750000001</v>
      </c>
      <c r="BK75" s="677">
        <v>0</v>
      </c>
      <c r="BL75" s="683">
        <f t="shared" si="65"/>
        <v>1846.7593750000001</v>
      </c>
      <c r="BM75" s="193">
        <v>856</v>
      </c>
      <c r="BN75" s="692">
        <f t="shared" si="59"/>
        <v>2702.7593750000001</v>
      </c>
      <c r="BO75" s="193" t="s">
        <v>2666</v>
      </c>
      <c r="BP75" s="193" t="s">
        <v>2219</v>
      </c>
      <c r="BQ75" s="193"/>
    </row>
    <row r="76" spans="1:69" s="130" customFormat="1" ht="15" customHeight="1" x14ac:dyDescent="0.2">
      <c r="A76" s="391">
        <v>45108</v>
      </c>
      <c r="B76" s="173" t="s">
        <v>2422</v>
      </c>
      <c r="C76" s="393"/>
      <c r="D76" s="438">
        <v>0</v>
      </c>
      <c r="E76" s="394">
        <v>43012</v>
      </c>
      <c r="F76" s="627" t="s">
        <v>1882</v>
      </c>
      <c r="G76" s="394">
        <v>440814</v>
      </c>
      <c r="H76" s="396" t="s">
        <v>2102</v>
      </c>
      <c r="I76" s="396" t="s">
        <v>2527</v>
      </c>
      <c r="J76" s="396" t="s">
        <v>2528</v>
      </c>
      <c r="K76" s="396" t="s">
        <v>2529</v>
      </c>
      <c r="L76" s="395" t="s">
        <v>2530</v>
      </c>
      <c r="M76" s="397">
        <v>43310</v>
      </c>
      <c r="N76" s="179">
        <f t="shared" ca="1" si="66"/>
        <v>7.1512662559890483</v>
      </c>
      <c r="O76" s="439" t="s">
        <v>1898</v>
      </c>
      <c r="P76" s="425">
        <v>-1</v>
      </c>
      <c r="Q76" s="423" t="s">
        <v>98</v>
      </c>
      <c r="R76" s="423" t="s">
        <v>98</v>
      </c>
      <c r="S76" s="398">
        <v>45100</v>
      </c>
      <c r="T76" s="440">
        <v>44</v>
      </c>
      <c r="U76" s="616">
        <v>45128</v>
      </c>
      <c r="V76" s="182">
        <v>63</v>
      </c>
      <c r="W76" s="182">
        <f t="shared" si="36"/>
        <v>20</v>
      </c>
      <c r="X76" s="247">
        <f t="shared" si="67"/>
        <v>0.10416666666666667</v>
      </c>
      <c r="Y76" s="339">
        <v>45128</v>
      </c>
      <c r="Z76" s="346">
        <f>25*0.6</f>
        <v>15</v>
      </c>
      <c r="AA76" s="259">
        <v>0</v>
      </c>
      <c r="AB76" s="347">
        <f t="shared" si="60"/>
        <v>7091.5499999999993</v>
      </c>
      <c r="AC76" s="347"/>
      <c r="AD76" s="347">
        <v>1</v>
      </c>
      <c r="AE76" s="347">
        <f t="shared" si="61"/>
        <v>0.10416666666666667</v>
      </c>
      <c r="AF76" s="348">
        <f t="shared" si="62"/>
        <v>738.703125</v>
      </c>
      <c r="AG76" s="442">
        <v>0</v>
      </c>
      <c r="AH76" s="443">
        <v>0</v>
      </c>
      <c r="AI76" s="443">
        <v>0</v>
      </c>
      <c r="AJ76" s="624"/>
      <c r="AK76" s="624">
        <v>6</v>
      </c>
      <c r="AL76" s="193"/>
      <c r="AM76" s="193"/>
      <c r="AN76" s="193"/>
      <c r="AO76" s="193"/>
      <c r="AP76" s="193"/>
      <c r="AQ76" s="193"/>
      <c r="AR76" s="631">
        <f t="shared" si="48"/>
        <v>0</v>
      </c>
      <c r="AS76" s="617">
        <f t="shared" si="49"/>
        <v>0</v>
      </c>
      <c r="AT76" s="193"/>
      <c r="AU76" s="193"/>
      <c r="AV76" s="628" t="s">
        <v>2531</v>
      </c>
      <c r="AW76" s="632">
        <v>43013</v>
      </c>
      <c r="AX76" s="193">
        <v>5819.25</v>
      </c>
      <c r="AY76" s="193">
        <f>AX76/192*127</f>
        <v>3849.19140625</v>
      </c>
      <c r="AZ76" s="625">
        <f t="shared" si="50"/>
        <v>4587.89453125</v>
      </c>
      <c r="BA76" s="622">
        <f t="shared" si="51"/>
        <v>4587.89453125</v>
      </c>
      <c r="BB76" s="193" t="s">
        <v>2532</v>
      </c>
      <c r="BC76" s="193">
        <v>6292</v>
      </c>
      <c r="BD76" s="629">
        <f t="shared" si="52"/>
        <v>10879.89453125</v>
      </c>
      <c r="BE76" s="629">
        <f t="shared" si="68"/>
        <v>6292</v>
      </c>
      <c r="BF76" s="173"/>
      <c r="BG76" s="629">
        <f t="shared" si="63"/>
        <v>10879.89453125</v>
      </c>
      <c r="BH76" s="629">
        <f t="shared" si="64"/>
        <v>0</v>
      </c>
      <c r="BI76" s="193"/>
      <c r="BJ76" s="692">
        <f>AF76</f>
        <v>738.703125</v>
      </c>
      <c r="BK76" s="677">
        <v>0</v>
      </c>
      <c r="BL76" s="683">
        <f t="shared" si="65"/>
        <v>738.703125</v>
      </c>
      <c r="BM76" s="193"/>
      <c r="BN76" s="692">
        <f t="shared" si="59"/>
        <v>738.703125</v>
      </c>
      <c r="BO76" s="193"/>
      <c r="BP76" s="193"/>
      <c r="BQ76" s="193"/>
    </row>
    <row r="77" spans="1:69" s="796" customFormat="1" ht="15" customHeight="1" x14ac:dyDescent="0.2">
      <c r="A77" s="910">
        <v>45108</v>
      </c>
      <c r="B77" s="770" t="s">
        <v>2422</v>
      </c>
      <c r="C77" s="911">
        <v>41135</v>
      </c>
      <c r="D77" s="912">
        <v>1</v>
      </c>
      <c r="E77" s="913">
        <v>43012</v>
      </c>
      <c r="F77" s="914" t="s">
        <v>1882</v>
      </c>
      <c r="G77" s="913">
        <v>449690</v>
      </c>
      <c r="H77" s="915" t="s">
        <v>2156</v>
      </c>
      <c r="I77" s="915" t="s">
        <v>1296</v>
      </c>
      <c r="J77" s="915" t="s">
        <v>2350</v>
      </c>
      <c r="K77" s="396" t="s">
        <v>2533</v>
      </c>
      <c r="L77" s="914" t="s">
        <v>1959</v>
      </c>
      <c r="M77" s="916">
        <v>43451</v>
      </c>
      <c r="N77" s="777">
        <f t="shared" ca="1" si="66"/>
        <v>6.7652292950034223</v>
      </c>
      <c r="O77" s="918" t="s">
        <v>2380</v>
      </c>
      <c r="P77" s="835">
        <v>-1</v>
      </c>
      <c r="Q77" s="805" t="s">
        <v>98</v>
      </c>
      <c r="R77" s="805" t="s">
        <v>98</v>
      </c>
      <c r="S77" s="919">
        <v>45098</v>
      </c>
      <c r="T77" s="920">
        <v>42</v>
      </c>
      <c r="U77" s="944">
        <v>45128</v>
      </c>
      <c r="V77" s="783">
        <v>63</v>
      </c>
      <c r="W77" s="783">
        <f t="shared" si="36"/>
        <v>22</v>
      </c>
      <c r="X77" s="785">
        <f t="shared" si="67"/>
        <v>0.11458333333333333</v>
      </c>
      <c r="Y77" s="940" t="s">
        <v>36</v>
      </c>
      <c r="Z77" s="942">
        <v>15</v>
      </c>
      <c r="AA77" s="795">
        <v>0</v>
      </c>
      <c r="AB77" s="934">
        <f t="shared" si="60"/>
        <v>7091.5499999999993</v>
      </c>
      <c r="AC77" s="934"/>
      <c r="AD77" s="934">
        <v>1</v>
      </c>
      <c r="AE77" s="934">
        <f t="shared" si="61"/>
        <v>0.11458333333333333</v>
      </c>
      <c r="AF77" s="932">
        <f t="shared" si="62"/>
        <v>812.57343749999984</v>
      </c>
      <c r="AG77" s="923">
        <v>0</v>
      </c>
      <c r="AH77" s="924">
        <v>0</v>
      </c>
      <c r="AI77" s="924">
        <v>0</v>
      </c>
      <c r="AJ77" s="945"/>
      <c r="AK77" s="945">
        <v>7</v>
      </c>
      <c r="AL77" s="810" t="s">
        <v>2649</v>
      </c>
      <c r="AM77" s="810"/>
      <c r="AN77" s="810"/>
      <c r="AO77" s="810"/>
      <c r="AP77" s="810"/>
      <c r="AQ77" s="810"/>
      <c r="AR77" s="797">
        <f t="shared" si="48"/>
        <v>0</v>
      </c>
      <c r="AS77" s="798">
        <f t="shared" si="49"/>
        <v>0</v>
      </c>
      <c r="AT77" s="810"/>
      <c r="AU77" s="810"/>
      <c r="AV77" s="810"/>
      <c r="AW77" s="810"/>
      <c r="AX77" s="810"/>
      <c r="AY77" s="810"/>
      <c r="AZ77" s="799">
        <f t="shared" si="50"/>
        <v>812.57343749999984</v>
      </c>
      <c r="BA77" s="800">
        <f t="shared" si="51"/>
        <v>812.57343749999984</v>
      </c>
      <c r="BB77" s="810"/>
      <c r="BC77" s="810"/>
      <c r="BD77" s="801">
        <f t="shared" si="52"/>
        <v>812.57343749999984</v>
      </c>
      <c r="BE77" s="801">
        <f t="shared" si="68"/>
        <v>0</v>
      </c>
      <c r="BF77" s="770"/>
      <c r="BG77" s="801">
        <f t="shared" si="63"/>
        <v>812.57343749999984</v>
      </c>
      <c r="BH77" s="801">
        <f t="shared" si="64"/>
        <v>0</v>
      </c>
      <c r="BI77" s="810"/>
      <c r="BJ77" s="803">
        <f>BG77+BI77</f>
        <v>812.57343749999984</v>
      </c>
      <c r="BK77" s="925">
        <v>0</v>
      </c>
      <c r="BL77" s="803">
        <f t="shared" si="65"/>
        <v>812.57343749999984</v>
      </c>
      <c r="BM77" s="810"/>
      <c r="BN77" s="692">
        <f t="shared" si="59"/>
        <v>812.57343749999984</v>
      </c>
      <c r="BO77" s="810"/>
      <c r="BP77" s="810"/>
      <c r="BQ77" s="810"/>
    </row>
    <row r="78" spans="1:69" s="130" customFormat="1" ht="15" customHeight="1" x14ac:dyDescent="0.2">
      <c r="A78" s="391">
        <v>45108</v>
      </c>
      <c r="B78" s="173" t="s">
        <v>2420</v>
      </c>
      <c r="C78" s="393">
        <v>201999</v>
      </c>
      <c r="D78" s="438">
        <v>1</v>
      </c>
      <c r="E78" s="394">
        <v>43012</v>
      </c>
      <c r="F78" s="395" t="s">
        <v>1882</v>
      </c>
      <c r="G78" s="394">
        <v>453635</v>
      </c>
      <c r="H78" s="396" t="s">
        <v>1905</v>
      </c>
      <c r="I78" s="396" t="s">
        <v>2534</v>
      </c>
      <c r="J78" s="396" t="s">
        <v>286</v>
      </c>
      <c r="K78" s="396" t="s">
        <v>2535</v>
      </c>
      <c r="L78" s="395" t="s">
        <v>2536</v>
      </c>
      <c r="M78" s="397">
        <v>43931</v>
      </c>
      <c r="N78" s="179">
        <f t="shared" ca="1" si="66"/>
        <v>5.4510609171800137</v>
      </c>
      <c r="O78" s="395" t="s">
        <v>2537</v>
      </c>
      <c r="P78" s="425">
        <v>-2</v>
      </c>
      <c r="Q78" s="423" t="s">
        <v>98</v>
      </c>
      <c r="R78" s="423" t="s">
        <v>98</v>
      </c>
      <c r="S78" s="398">
        <v>45174</v>
      </c>
      <c r="T78" s="440">
        <v>67</v>
      </c>
      <c r="U78" s="616">
        <v>45382</v>
      </c>
      <c r="V78" s="182">
        <v>192</v>
      </c>
      <c r="W78" s="182">
        <f t="shared" si="36"/>
        <v>126</v>
      </c>
      <c r="X78" s="247">
        <f t="shared" si="67"/>
        <v>0.65625</v>
      </c>
      <c r="Y78" s="339" t="s">
        <v>36</v>
      </c>
      <c r="Z78" s="346">
        <v>30</v>
      </c>
      <c r="AA78" s="259">
        <v>0</v>
      </c>
      <c r="AB78" s="347">
        <f t="shared" si="60"/>
        <v>14183.099999999999</v>
      </c>
      <c r="AC78" s="347"/>
      <c r="AD78" s="347">
        <v>1</v>
      </c>
      <c r="AE78" s="347">
        <f t="shared" si="61"/>
        <v>0.65625</v>
      </c>
      <c r="AF78" s="348">
        <f t="shared" si="62"/>
        <v>9307.6593749999993</v>
      </c>
      <c r="AG78" s="441">
        <v>0</v>
      </c>
      <c r="AH78" s="646">
        <v>0</v>
      </c>
      <c r="AI78" s="646">
        <v>0</v>
      </c>
      <c r="AJ78" s="647"/>
      <c r="AK78" s="647">
        <v>8</v>
      </c>
      <c r="AL78" s="193"/>
      <c r="AM78" s="193"/>
      <c r="AN78" s="193"/>
      <c r="AO78" s="193"/>
      <c r="AP78" s="193"/>
      <c r="AQ78" s="193"/>
      <c r="AR78" s="631">
        <f t="shared" si="48"/>
        <v>0</v>
      </c>
      <c r="AS78" s="617">
        <f t="shared" si="49"/>
        <v>0</v>
      </c>
      <c r="AT78" s="193"/>
      <c r="AU78" s="193"/>
      <c r="AV78" s="193"/>
      <c r="AW78" s="193"/>
      <c r="AX78" s="193"/>
      <c r="AY78" s="193"/>
      <c r="AZ78" s="644">
        <f t="shared" si="50"/>
        <v>9307.6593749999993</v>
      </c>
      <c r="BA78" s="645">
        <f t="shared" si="51"/>
        <v>9307.6593749999993</v>
      </c>
      <c r="BB78" s="193"/>
      <c r="BC78" s="193"/>
      <c r="BD78" s="629">
        <f t="shared" si="52"/>
        <v>9307.6593749999993</v>
      </c>
      <c r="BE78" s="629">
        <f t="shared" si="68"/>
        <v>0</v>
      </c>
      <c r="BF78" s="683"/>
      <c r="BG78" s="629">
        <f t="shared" si="63"/>
        <v>9307.6593749999993</v>
      </c>
      <c r="BH78" s="629">
        <f t="shared" si="64"/>
        <v>0</v>
      </c>
      <c r="BI78" s="193"/>
      <c r="BJ78" s="692">
        <v>344.73</v>
      </c>
      <c r="BK78" s="677">
        <v>0</v>
      </c>
      <c r="BL78" s="683">
        <f t="shared" si="65"/>
        <v>344.73</v>
      </c>
      <c r="BM78" s="193">
        <v>571.26</v>
      </c>
      <c r="BN78" s="692">
        <f t="shared" si="59"/>
        <v>915.99</v>
      </c>
      <c r="BO78" s="193" t="s">
        <v>2666</v>
      </c>
      <c r="BP78" s="193" t="s">
        <v>2219</v>
      </c>
      <c r="BQ78" s="193"/>
    </row>
    <row r="79" spans="1:69" s="130" customFormat="1" ht="15" customHeight="1" x14ac:dyDescent="0.2">
      <c r="A79" s="391"/>
      <c r="B79" s="173"/>
      <c r="C79" s="393">
        <v>41131</v>
      </c>
      <c r="D79" s="438">
        <v>1</v>
      </c>
      <c r="E79" s="394">
        <v>43011</v>
      </c>
      <c r="F79" s="395" t="s">
        <v>1883</v>
      </c>
      <c r="G79" s="394">
        <v>453635</v>
      </c>
      <c r="H79" s="396" t="s">
        <v>1303</v>
      </c>
      <c r="I79" s="396" t="s">
        <v>2534</v>
      </c>
      <c r="J79" s="396" t="s">
        <v>286</v>
      </c>
      <c r="K79" s="396" t="s">
        <v>2535</v>
      </c>
      <c r="L79" s="395" t="s">
        <v>2536</v>
      </c>
      <c r="M79" s="397">
        <v>43931</v>
      </c>
      <c r="N79" s="179">
        <v>3.7</v>
      </c>
      <c r="O79" s="395" t="s">
        <v>2635</v>
      </c>
      <c r="P79" s="425">
        <v>-1</v>
      </c>
      <c r="Q79" s="423">
        <v>872</v>
      </c>
      <c r="R79" s="423">
        <v>872</v>
      </c>
      <c r="S79" s="398">
        <v>45229</v>
      </c>
      <c r="T79" s="440">
        <v>100</v>
      </c>
      <c r="U79" s="616">
        <v>45275</v>
      </c>
      <c r="V79" s="182">
        <v>134</v>
      </c>
      <c r="W79" s="182">
        <v>35</v>
      </c>
      <c r="X79" s="247">
        <v>0.18229166666666666</v>
      </c>
      <c r="Y79" s="339" t="s">
        <v>36</v>
      </c>
      <c r="Z79" s="346">
        <v>30</v>
      </c>
      <c r="AA79" s="259">
        <v>0</v>
      </c>
      <c r="AB79" s="347">
        <v>14183.099999999999</v>
      </c>
      <c r="AC79" s="347"/>
      <c r="AD79" s="347">
        <v>0.37</v>
      </c>
      <c r="AE79" s="347">
        <v>7.0000000000000007E-2</v>
      </c>
      <c r="AF79" s="348">
        <f t="shared" si="62"/>
        <v>992.81700000000001</v>
      </c>
      <c r="AG79" s="441"/>
      <c r="AH79" s="646"/>
      <c r="AI79" s="646"/>
      <c r="AJ79" s="647"/>
      <c r="AK79" s="647"/>
      <c r="AL79" s="193"/>
      <c r="AM79" s="193"/>
      <c r="AN79" s="193"/>
      <c r="AO79" s="193"/>
      <c r="AP79" s="193"/>
      <c r="AQ79" s="193"/>
      <c r="AR79" s="631"/>
      <c r="AS79" s="617"/>
      <c r="AT79" s="193"/>
      <c r="AU79" s="193"/>
      <c r="AV79" s="193"/>
      <c r="AW79" s="193"/>
      <c r="AX79" s="193"/>
      <c r="AY79" s="193"/>
      <c r="AZ79" s="644"/>
      <c r="BA79" s="645"/>
      <c r="BB79" s="193"/>
      <c r="BC79" s="193"/>
      <c r="BD79" s="629"/>
      <c r="BE79" s="629"/>
      <c r="BF79" s="683"/>
      <c r="BG79" s="629"/>
      <c r="BH79" s="629"/>
      <c r="BI79" s="193"/>
      <c r="BJ79" s="692">
        <f>AF79</f>
        <v>992.81700000000001</v>
      </c>
      <c r="BK79" s="677">
        <v>0</v>
      </c>
      <c r="BL79" s="683">
        <f t="shared" si="65"/>
        <v>992.81700000000001</v>
      </c>
      <c r="BM79" s="193">
        <v>1570.98</v>
      </c>
      <c r="BN79" s="692">
        <f t="shared" si="59"/>
        <v>2563.797</v>
      </c>
      <c r="BO79" s="193" t="s">
        <v>2666</v>
      </c>
      <c r="BP79" s="193" t="s">
        <v>2219</v>
      </c>
      <c r="BQ79" s="193"/>
    </row>
    <row r="80" spans="1:69" s="130" customFormat="1" ht="15" customHeight="1" x14ac:dyDescent="0.2">
      <c r="A80" s="391">
        <v>45108</v>
      </c>
      <c r="B80" s="173" t="s">
        <v>2420</v>
      </c>
      <c r="C80" s="393">
        <v>41144</v>
      </c>
      <c r="D80" s="438">
        <v>1</v>
      </c>
      <c r="E80" s="394">
        <v>43012</v>
      </c>
      <c r="F80" s="395" t="s">
        <v>1882</v>
      </c>
      <c r="G80" s="394">
        <v>449286</v>
      </c>
      <c r="H80" s="396" t="s">
        <v>2123</v>
      </c>
      <c r="I80" s="396" t="s">
        <v>2538</v>
      </c>
      <c r="J80" s="396" t="s">
        <v>2539</v>
      </c>
      <c r="K80" s="396" t="s">
        <v>2540</v>
      </c>
      <c r="L80" s="395" t="s">
        <v>1999</v>
      </c>
      <c r="M80" s="397">
        <v>43635</v>
      </c>
      <c r="N80" s="179">
        <f t="shared" ca="1" si="66"/>
        <v>6.2614647501711156</v>
      </c>
      <c r="O80" s="395" t="s">
        <v>2379</v>
      </c>
      <c r="P80" s="425">
        <v>-1</v>
      </c>
      <c r="Q80" s="423" t="s">
        <v>98</v>
      </c>
      <c r="R80" s="423" t="s">
        <v>98</v>
      </c>
      <c r="S80" s="398">
        <v>45100</v>
      </c>
      <c r="T80" s="440">
        <v>44</v>
      </c>
      <c r="U80" s="616">
        <v>45382</v>
      </c>
      <c r="V80" s="182">
        <v>192</v>
      </c>
      <c r="W80" s="182">
        <f t="shared" si="36"/>
        <v>149</v>
      </c>
      <c r="X80" s="247">
        <f t="shared" si="67"/>
        <v>0.77604166666666663</v>
      </c>
      <c r="Y80" s="339" t="s">
        <v>36</v>
      </c>
      <c r="Z80" s="346">
        <v>30</v>
      </c>
      <c r="AA80" s="259">
        <v>0</v>
      </c>
      <c r="AB80" s="347">
        <f>Z80*$AA$121</f>
        <v>14183.099999999999</v>
      </c>
      <c r="AC80" s="347" t="s">
        <v>37</v>
      </c>
      <c r="AD80" s="347">
        <v>0.5</v>
      </c>
      <c r="AE80" s="347">
        <v>0.05</v>
      </c>
      <c r="AF80" s="348">
        <f t="shared" si="62"/>
        <v>709.15499999999997</v>
      </c>
      <c r="AG80" s="442">
        <v>0</v>
      </c>
      <c r="AH80" s="443">
        <v>0</v>
      </c>
      <c r="AI80" s="443">
        <v>0</v>
      </c>
      <c r="AJ80" s="624"/>
      <c r="AK80" s="624">
        <v>9</v>
      </c>
      <c r="AL80" s="193"/>
      <c r="AM80" s="193"/>
      <c r="AN80" s="193"/>
      <c r="AO80" s="193"/>
      <c r="AP80" s="193"/>
      <c r="AQ80" s="193"/>
      <c r="AR80" s="631">
        <f t="shared" si="48"/>
        <v>0</v>
      </c>
      <c r="AS80" s="617">
        <f t="shared" si="49"/>
        <v>0</v>
      </c>
      <c r="AT80" s="193"/>
      <c r="AU80" s="193"/>
      <c r="AV80" s="193"/>
      <c r="AW80" s="193"/>
      <c r="AX80" s="193"/>
      <c r="AY80" s="193"/>
      <c r="AZ80" s="625">
        <f t="shared" si="50"/>
        <v>709.15499999999997</v>
      </c>
      <c r="BA80" s="622">
        <f t="shared" si="51"/>
        <v>709.15499999999997</v>
      </c>
      <c r="BB80" s="193"/>
      <c r="BC80" s="193"/>
      <c r="BD80" s="629">
        <f t="shared" si="52"/>
        <v>709.15499999999997</v>
      </c>
      <c r="BE80" s="629">
        <f t="shared" si="68"/>
        <v>0</v>
      </c>
      <c r="BF80" s="173"/>
      <c r="BG80" s="629">
        <f t="shared" si="63"/>
        <v>709.15499999999997</v>
      </c>
      <c r="BH80" s="629">
        <f t="shared" si="64"/>
        <v>0</v>
      </c>
      <c r="BI80" s="193"/>
      <c r="BJ80" s="692">
        <f>BG80+BI80</f>
        <v>709.15499999999997</v>
      </c>
      <c r="BK80" s="677">
        <v>0</v>
      </c>
      <c r="BL80" s="683">
        <f t="shared" si="65"/>
        <v>709.15499999999997</v>
      </c>
      <c r="BM80" s="193"/>
      <c r="BN80" s="692">
        <f t="shared" si="59"/>
        <v>709.15499999999997</v>
      </c>
      <c r="BO80" s="193"/>
      <c r="BP80" s="193"/>
      <c r="BQ80" s="193"/>
    </row>
    <row r="81" spans="1:69" s="130" customFormat="1" ht="15" customHeight="1" x14ac:dyDescent="0.2">
      <c r="A81" s="391"/>
      <c r="B81" s="173"/>
      <c r="C81" s="393">
        <v>202896</v>
      </c>
      <c r="D81" s="438">
        <v>1</v>
      </c>
      <c r="E81" s="394">
        <v>43012</v>
      </c>
      <c r="F81" s="395" t="s">
        <v>1882</v>
      </c>
      <c r="G81" s="394">
        <v>452900</v>
      </c>
      <c r="H81" s="396" t="s">
        <v>2048</v>
      </c>
      <c r="I81" s="396" t="s">
        <v>1229</v>
      </c>
      <c r="J81" s="396" t="s">
        <v>302</v>
      </c>
      <c r="K81" s="396" t="s">
        <v>2629</v>
      </c>
      <c r="L81" s="395" t="s">
        <v>2630</v>
      </c>
      <c r="M81" s="397">
        <v>43784</v>
      </c>
      <c r="N81" s="179">
        <v>4.0903490759753591</v>
      </c>
      <c r="O81" s="395" t="s">
        <v>2381</v>
      </c>
      <c r="P81" s="425">
        <v>-1</v>
      </c>
      <c r="Q81" s="423">
        <v>872</v>
      </c>
      <c r="R81" s="423">
        <v>872</v>
      </c>
      <c r="S81" s="398">
        <v>45267</v>
      </c>
      <c r="T81" s="440">
        <v>128</v>
      </c>
      <c r="U81" s="616">
        <v>45275</v>
      </c>
      <c r="V81" s="883">
        <v>134</v>
      </c>
      <c r="W81" s="182">
        <v>7</v>
      </c>
      <c r="X81" s="247">
        <v>3.6458333333333336E-2</v>
      </c>
      <c r="Y81" s="616" t="s">
        <v>36</v>
      </c>
      <c r="Z81" s="884">
        <v>15</v>
      </c>
      <c r="AA81" s="647"/>
      <c r="AB81" s="347">
        <f>Z81*$AA$121</f>
        <v>7091.5499999999993</v>
      </c>
      <c r="AC81" s="885"/>
      <c r="AD81" s="885">
        <v>1</v>
      </c>
      <c r="AE81" s="885">
        <v>0.04</v>
      </c>
      <c r="AF81" s="348">
        <f t="shared" si="62"/>
        <v>283.66199999999998</v>
      </c>
      <c r="AG81" s="442"/>
      <c r="AH81" s="443"/>
      <c r="AI81" s="443"/>
      <c r="AJ81" s="624"/>
      <c r="AK81" s="624"/>
      <c r="AL81" s="193"/>
      <c r="AM81" s="193"/>
      <c r="AN81" s="193"/>
      <c r="AO81" s="193"/>
      <c r="AP81" s="193"/>
      <c r="AQ81" s="193"/>
      <c r="AR81" s="886"/>
      <c r="AS81" s="887"/>
      <c r="AT81" s="193"/>
      <c r="AU81" s="193"/>
      <c r="AV81" s="193"/>
      <c r="AW81" s="193"/>
      <c r="AX81" s="193"/>
      <c r="AY81" s="193"/>
      <c r="AZ81" s="625"/>
      <c r="BA81" s="622"/>
      <c r="BB81" s="193"/>
      <c r="BC81" s="193"/>
      <c r="BD81" s="629"/>
      <c r="BE81" s="629"/>
      <c r="BF81" s="173"/>
      <c r="BG81" s="629"/>
      <c r="BH81" s="629"/>
      <c r="BI81" s="193"/>
      <c r="BJ81" s="692"/>
      <c r="BK81" s="193">
        <f>AF82</f>
        <v>421.31250000000006</v>
      </c>
      <c r="BL81" s="683">
        <f>BJ81+BK81</f>
        <v>421.31250000000006</v>
      </c>
      <c r="BM81" s="193">
        <v>1979</v>
      </c>
      <c r="BN81" s="692">
        <f t="shared" si="59"/>
        <v>2400.3125</v>
      </c>
      <c r="BO81" s="193" t="s">
        <v>2666</v>
      </c>
      <c r="BP81" s="193"/>
      <c r="BQ81" s="193"/>
    </row>
    <row r="82" spans="1:69" s="130" customFormat="1" ht="15" customHeight="1" x14ac:dyDescent="0.2">
      <c r="A82" s="391"/>
      <c r="B82" s="173" t="s">
        <v>2627</v>
      </c>
      <c r="C82" s="393"/>
      <c r="D82" s="438">
        <v>1</v>
      </c>
      <c r="E82" s="394">
        <v>43012</v>
      </c>
      <c r="F82" s="395"/>
      <c r="G82" s="394">
        <v>456028</v>
      </c>
      <c r="H82" s="396" t="s">
        <v>602</v>
      </c>
      <c r="I82" s="396" t="s">
        <v>2626</v>
      </c>
      <c r="J82" s="396" t="s">
        <v>2625</v>
      </c>
      <c r="K82" s="396"/>
      <c r="L82" s="395" t="s">
        <v>2019</v>
      </c>
      <c r="M82" s="397">
        <v>43514</v>
      </c>
      <c r="N82" s="179">
        <f t="shared" ca="1" si="66"/>
        <v>6.5927446954141002</v>
      </c>
      <c r="O82" s="395" t="s">
        <v>2378</v>
      </c>
      <c r="P82" s="425">
        <v>-1</v>
      </c>
      <c r="Q82" s="423" t="s">
        <v>98</v>
      </c>
      <c r="R82" s="423" t="s">
        <v>98</v>
      </c>
      <c r="S82" s="398">
        <v>45341</v>
      </c>
      <c r="T82" s="440">
        <v>165</v>
      </c>
      <c r="U82" s="616">
        <v>45382</v>
      </c>
      <c r="V82" s="883">
        <v>192</v>
      </c>
      <c r="W82" s="182">
        <f t="shared" si="36"/>
        <v>28</v>
      </c>
      <c r="X82" s="247">
        <f t="shared" si="67"/>
        <v>0.14583333333333334</v>
      </c>
      <c r="Y82" s="616">
        <v>45492</v>
      </c>
      <c r="Z82" s="884"/>
      <c r="AA82" s="647"/>
      <c r="AB82" s="885">
        <v>9630</v>
      </c>
      <c r="AC82" s="885"/>
      <c r="AD82" s="885">
        <v>0.3</v>
      </c>
      <c r="AE82" s="885">
        <f t="shared" si="61"/>
        <v>4.3750000000000004E-2</v>
      </c>
      <c r="AF82" s="348">
        <f t="shared" si="62"/>
        <v>421.31250000000006</v>
      </c>
      <c r="AG82" s="442"/>
      <c r="AH82" s="443"/>
      <c r="AI82" s="443"/>
      <c r="AJ82" s="624"/>
      <c r="AK82" s="624"/>
      <c r="AL82" s="193"/>
      <c r="AM82" s="193"/>
      <c r="AN82" s="193"/>
      <c r="AO82" s="193"/>
      <c r="AP82" s="193"/>
      <c r="AQ82" s="193"/>
      <c r="AR82" s="886"/>
      <c r="AS82" s="887"/>
      <c r="AT82" s="193"/>
      <c r="AU82" s="193"/>
      <c r="AV82" s="193"/>
      <c r="AW82" s="193"/>
      <c r="AX82" s="193"/>
      <c r="AY82" s="193"/>
      <c r="AZ82" s="625"/>
      <c r="BA82" s="622"/>
      <c r="BB82" s="193"/>
      <c r="BC82" s="193"/>
      <c r="BD82" s="629"/>
      <c r="BE82" s="629"/>
      <c r="BF82" s="173"/>
      <c r="BG82" s="629"/>
      <c r="BH82" s="629"/>
      <c r="BI82" s="193"/>
      <c r="BJ82" s="692"/>
      <c r="BK82" s="677">
        <f>AF82</f>
        <v>421.31250000000006</v>
      </c>
      <c r="BL82" s="683">
        <f>BJ82+BK82</f>
        <v>421.31250000000006</v>
      </c>
      <c r="BM82" s="193"/>
      <c r="BN82" s="692">
        <f t="shared" si="59"/>
        <v>421.31250000000006</v>
      </c>
      <c r="BO82" s="193"/>
      <c r="BP82" s="193" t="s">
        <v>3858</v>
      </c>
      <c r="BQ82" s="193"/>
    </row>
    <row r="83" spans="1:69" s="130" customFormat="1" ht="15" customHeight="1" x14ac:dyDescent="0.2">
      <c r="A83" s="391"/>
      <c r="B83" s="173"/>
      <c r="C83" s="393"/>
      <c r="D83" s="438"/>
      <c r="E83" s="394"/>
      <c r="F83" s="395"/>
      <c r="G83" s="394">
        <v>452754</v>
      </c>
      <c r="H83" s="396" t="s">
        <v>1908</v>
      </c>
      <c r="I83" s="396" t="s">
        <v>2660</v>
      </c>
      <c r="J83" s="396" t="s">
        <v>2661</v>
      </c>
      <c r="K83" s="396"/>
      <c r="L83" s="395" t="s">
        <v>2662</v>
      </c>
      <c r="M83" s="397">
        <v>43802</v>
      </c>
      <c r="N83" s="179">
        <f t="shared" ca="1" si="66"/>
        <v>5.8042436687200549</v>
      </c>
      <c r="O83" s="395"/>
      <c r="P83" s="425"/>
      <c r="Q83" s="423" t="s">
        <v>98</v>
      </c>
      <c r="R83" s="423" t="s">
        <v>98</v>
      </c>
      <c r="S83" s="398">
        <v>45100</v>
      </c>
      <c r="T83" s="440">
        <v>44</v>
      </c>
      <c r="U83" s="616">
        <v>45382</v>
      </c>
      <c r="V83" s="883">
        <v>192</v>
      </c>
      <c r="W83" s="182">
        <f t="shared" si="36"/>
        <v>149</v>
      </c>
      <c r="X83" s="247">
        <f t="shared" si="67"/>
        <v>0.77604166666666663</v>
      </c>
      <c r="Y83" s="616"/>
      <c r="Z83" s="884"/>
      <c r="AA83" s="647"/>
      <c r="AB83" s="885"/>
      <c r="AC83" s="885"/>
      <c r="AD83" s="885"/>
      <c r="AE83" s="885">
        <f t="shared" si="61"/>
        <v>0</v>
      </c>
      <c r="AF83" s="962"/>
      <c r="AG83" s="442"/>
      <c r="AH83" s="443"/>
      <c r="AI83" s="443"/>
      <c r="AJ83" s="624"/>
      <c r="AK83" s="624"/>
      <c r="AL83" s="193"/>
      <c r="AM83" s="193"/>
      <c r="AN83" s="193"/>
      <c r="AO83" s="193"/>
      <c r="AP83" s="193"/>
      <c r="AQ83" s="193"/>
      <c r="AR83" s="886"/>
      <c r="AS83" s="887"/>
      <c r="AT83" s="193"/>
      <c r="AU83" s="193"/>
      <c r="AV83" s="193"/>
      <c r="AW83" s="193"/>
      <c r="AX83" s="193"/>
      <c r="AY83" s="193"/>
      <c r="AZ83" s="625"/>
      <c r="BA83" s="622"/>
      <c r="BB83" s="193"/>
      <c r="BC83" s="193"/>
      <c r="BD83" s="629"/>
      <c r="BE83" s="629"/>
      <c r="BF83" s="173"/>
      <c r="BG83" s="629"/>
      <c r="BH83" s="629"/>
      <c r="BI83" s="193"/>
      <c r="BJ83" s="692"/>
      <c r="BK83" s="677"/>
      <c r="BL83" s="683"/>
      <c r="BM83" s="193"/>
      <c r="BN83" s="692">
        <f t="shared" si="59"/>
        <v>0</v>
      </c>
      <c r="BO83" s="193"/>
      <c r="BP83" s="193" t="s">
        <v>2677</v>
      </c>
      <c r="BQ83" s="193"/>
    </row>
    <row r="84" spans="1:69" s="130" customFormat="1" ht="15" customHeight="1" x14ac:dyDescent="0.2">
      <c r="A84" s="391"/>
      <c r="B84" s="173"/>
      <c r="C84" s="393">
        <v>201999</v>
      </c>
      <c r="D84" s="438">
        <v>1</v>
      </c>
      <c r="E84" s="394">
        <v>43012</v>
      </c>
      <c r="F84" s="395" t="s">
        <v>1882</v>
      </c>
      <c r="G84" s="394">
        <v>452779</v>
      </c>
      <c r="H84" s="396" t="s">
        <v>1905</v>
      </c>
      <c r="I84" s="396" t="s">
        <v>427</v>
      </c>
      <c r="J84" s="396" t="s">
        <v>2663</v>
      </c>
      <c r="K84" s="396"/>
      <c r="L84" s="395" t="s">
        <v>2664</v>
      </c>
      <c r="M84" s="397">
        <v>43805</v>
      </c>
      <c r="N84" s="424">
        <v>4.0999999999999996</v>
      </c>
      <c r="O84" s="395"/>
      <c r="P84" s="425">
        <v>-1</v>
      </c>
      <c r="Q84" s="423" t="s">
        <v>98</v>
      </c>
      <c r="R84" s="423" t="s">
        <v>98</v>
      </c>
      <c r="S84" s="398">
        <v>45251</v>
      </c>
      <c r="T84" s="440">
        <v>117</v>
      </c>
      <c r="U84" s="616">
        <v>45275</v>
      </c>
      <c r="V84" s="883">
        <v>134</v>
      </c>
      <c r="W84" s="182">
        <f t="shared" si="36"/>
        <v>18</v>
      </c>
      <c r="X84" s="247">
        <f t="shared" si="67"/>
        <v>9.375E-2</v>
      </c>
      <c r="Y84" s="616">
        <v>45275</v>
      </c>
      <c r="Z84" s="884">
        <v>24.75</v>
      </c>
      <c r="AA84" s="647"/>
      <c r="AB84" s="885">
        <v>11701.06</v>
      </c>
      <c r="AC84" s="885"/>
      <c r="AD84" s="885">
        <v>1</v>
      </c>
      <c r="AE84" s="885">
        <f t="shared" si="61"/>
        <v>9.375E-2</v>
      </c>
      <c r="AF84" s="962">
        <f>AE84*AB84</f>
        <v>1096.974375</v>
      </c>
      <c r="AG84" s="442"/>
      <c r="AH84" s="443"/>
      <c r="AI84" s="443"/>
      <c r="AJ84" s="624"/>
      <c r="AK84" s="624"/>
      <c r="AL84" s="193"/>
      <c r="AM84" s="193"/>
      <c r="AN84" s="193"/>
      <c r="AO84" s="193"/>
      <c r="AP84" s="193"/>
      <c r="AQ84" s="193"/>
      <c r="AR84" s="886"/>
      <c r="AS84" s="887"/>
      <c r="AT84" s="193"/>
      <c r="AU84" s="193"/>
      <c r="AV84" s="193"/>
      <c r="AW84" s="193"/>
      <c r="AX84" s="193"/>
      <c r="AY84" s="193"/>
      <c r="AZ84" s="625"/>
      <c r="BA84" s="622"/>
      <c r="BB84" s="193"/>
      <c r="BC84" s="193"/>
      <c r="BD84" s="629"/>
      <c r="BE84" s="629"/>
      <c r="BF84" s="173"/>
      <c r="BG84" s="629"/>
      <c r="BH84" s="629"/>
      <c r="BI84" s="193"/>
      <c r="BJ84" s="692"/>
      <c r="BK84" s="677"/>
      <c r="BL84" s="683"/>
      <c r="BM84" s="193">
        <v>1157.9100000000001</v>
      </c>
      <c r="BN84" s="692">
        <f t="shared" si="59"/>
        <v>1157.9100000000001</v>
      </c>
      <c r="BO84" s="193" t="s">
        <v>2666</v>
      </c>
      <c r="BP84" s="193"/>
      <c r="BQ84" s="193"/>
    </row>
    <row r="85" spans="1:69" s="130" customFormat="1" ht="15" customHeight="1" x14ac:dyDescent="0.2">
      <c r="A85" s="391"/>
      <c r="B85" s="173"/>
      <c r="C85" s="393">
        <v>203067</v>
      </c>
      <c r="D85" s="438">
        <v>1</v>
      </c>
      <c r="E85" s="394">
        <v>43012</v>
      </c>
      <c r="F85" s="395" t="s">
        <v>1882</v>
      </c>
      <c r="G85" s="394">
        <v>452779</v>
      </c>
      <c r="H85" s="396" t="s">
        <v>1901</v>
      </c>
      <c r="I85" s="396" t="s">
        <v>427</v>
      </c>
      <c r="J85" s="396" t="s">
        <v>2663</v>
      </c>
      <c r="K85" s="396"/>
      <c r="L85" s="395" t="s">
        <v>2664</v>
      </c>
      <c r="M85" s="397">
        <v>43805</v>
      </c>
      <c r="N85" s="424">
        <v>4.0999999999999996</v>
      </c>
      <c r="O85" s="395"/>
      <c r="P85" s="425">
        <v>-1</v>
      </c>
      <c r="Q85" s="423" t="s">
        <v>98</v>
      </c>
      <c r="R85" s="423" t="s">
        <v>98</v>
      </c>
      <c r="S85" s="398">
        <v>45295</v>
      </c>
      <c r="T85" s="440">
        <v>138</v>
      </c>
      <c r="U85" s="616">
        <v>45382</v>
      </c>
      <c r="V85" s="883">
        <v>192</v>
      </c>
      <c r="W85" s="182">
        <f t="shared" si="36"/>
        <v>55</v>
      </c>
      <c r="X85" s="247">
        <f t="shared" si="67"/>
        <v>0.28645833333333331</v>
      </c>
      <c r="Y85" s="616" t="s">
        <v>36</v>
      </c>
      <c r="Z85" s="884">
        <v>24.75</v>
      </c>
      <c r="AA85" s="647"/>
      <c r="AB85" s="885">
        <v>11701.06</v>
      </c>
      <c r="AC85" s="885"/>
      <c r="AD85" s="885">
        <v>1</v>
      </c>
      <c r="AE85" s="885">
        <f t="shared" si="61"/>
        <v>0.28645833333333331</v>
      </c>
      <c r="AF85" s="962">
        <f>AE85*AB85</f>
        <v>3351.8661458333331</v>
      </c>
      <c r="AG85" s="442"/>
      <c r="AH85" s="443"/>
      <c r="AI85" s="443"/>
      <c r="AJ85" s="624"/>
      <c r="AK85" s="624"/>
      <c r="AL85" s="193"/>
      <c r="AM85" s="193"/>
      <c r="AN85" s="193"/>
      <c r="AO85" s="193"/>
      <c r="AP85" s="193"/>
      <c r="AQ85" s="193"/>
      <c r="AR85" s="886"/>
      <c r="AS85" s="887"/>
      <c r="AT85" s="193"/>
      <c r="AU85" s="193"/>
      <c r="AV85" s="193"/>
      <c r="AW85" s="193"/>
      <c r="AX85" s="193"/>
      <c r="AY85" s="193"/>
      <c r="AZ85" s="625"/>
      <c r="BA85" s="622"/>
      <c r="BB85" s="193"/>
      <c r="BC85" s="193"/>
      <c r="BD85" s="629"/>
      <c r="BE85" s="629"/>
      <c r="BF85" s="173"/>
      <c r="BG85" s="629"/>
      <c r="BH85" s="629"/>
      <c r="BI85" s="193"/>
      <c r="BJ85" s="692"/>
      <c r="BK85" s="677"/>
      <c r="BL85" s="683"/>
      <c r="BM85" s="193">
        <f>AF85</f>
        <v>3351.8661458333331</v>
      </c>
      <c r="BN85" s="692">
        <f t="shared" si="59"/>
        <v>3351.8661458333331</v>
      </c>
      <c r="BO85" s="193" t="s">
        <v>2666</v>
      </c>
      <c r="BP85" s="193"/>
      <c r="BQ85" s="193"/>
    </row>
    <row r="86" spans="1:69" s="130" customFormat="1" ht="15" customHeight="1" x14ac:dyDescent="0.2">
      <c r="A86" s="391"/>
      <c r="B86" s="173"/>
      <c r="C86" s="393">
        <v>201999</v>
      </c>
      <c r="D86" s="438">
        <v>1</v>
      </c>
      <c r="E86" s="394">
        <v>43012</v>
      </c>
      <c r="F86" s="395" t="s">
        <v>1882</v>
      </c>
      <c r="G86" s="394">
        <v>453992</v>
      </c>
      <c r="H86" s="396" t="s">
        <v>1905</v>
      </c>
      <c r="I86" s="396" t="s">
        <v>2574</v>
      </c>
      <c r="J86" s="396" t="s">
        <v>386</v>
      </c>
      <c r="K86" s="396"/>
      <c r="L86" s="395" t="s">
        <v>1970</v>
      </c>
      <c r="M86" s="397">
        <v>43803</v>
      </c>
      <c r="N86" s="424">
        <v>4.0999999999999996</v>
      </c>
      <c r="O86" s="395"/>
      <c r="P86" s="425">
        <v>-1</v>
      </c>
      <c r="Q86" s="423" t="s">
        <v>98</v>
      </c>
      <c r="R86" s="423" t="s">
        <v>98</v>
      </c>
      <c r="S86" s="398">
        <v>45170</v>
      </c>
      <c r="T86" s="883">
        <v>64</v>
      </c>
      <c r="U86" s="616">
        <v>45382</v>
      </c>
      <c r="V86" s="883">
        <v>192</v>
      </c>
      <c r="W86" s="883">
        <v>129</v>
      </c>
      <c r="X86" s="964">
        <v>0.67</v>
      </c>
      <c r="Y86" s="616">
        <v>45492</v>
      </c>
      <c r="Z86" s="884">
        <v>30</v>
      </c>
      <c r="AA86" s="647"/>
      <c r="AB86" s="885">
        <v>14183.1</v>
      </c>
      <c r="AC86" s="885"/>
      <c r="AD86" s="885">
        <v>0.27</v>
      </c>
      <c r="AE86" s="885">
        <v>0.18</v>
      </c>
      <c r="AF86" s="962">
        <f>AE86*AB86</f>
        <v>2552.9580000000001</v>
      </c>
      <c r="AG86" s="442"/>
      <c r="AH86" s="443"/>
      <c r="AI86" s="443"/>
      <c r="AJ86" s="624"/>
      <c r="AK86" s="624"/>
      <c r="AL86" s="193"/>
      <c r="AM86" s="193"/>
      <c r="AN86" s="193"/>
      <c r="AO86" s="193"/>
      <c r="AP86" s="193"/>
      <c r="AQ86" s="193"/>
      <c r="AR86" s="886"/>
      <c r="AS86" s="887"/>
      <c r="AT86" s="193"/>
      <c r="AU86" s="193"/>
      <c r="AV86" s="193"/>
      <c r="AW86" s="193"/>
      <c r="AX86" s="193"/>
      <c r="AY86" s="193"/>
      <c r="AZ86" s="625"/>
      <c r="BA86" s="622"/>
      <c r="BB86" s="193"/>
      <c r="BC86" s="193"/>
      <c r="BD86" s="629"/>
      <c r="BE86" s="629"/>
      <c r="BF86" s="173"/>
      <c r="BG86" s="629"/>
      <c r="BH86" s="629"/>
      <c r="BI86" s="193"/>
      <c r="BJ86" s="692"/>
      <c r="BK86" s="677"/>
      <c r="BL86" s="683"/>
      <c r="BM86" s="193">
        <f>AF86</f>
        <v>2552.9580000000001</v>
      </c>
      <c r="BN86" s="692">
        <f t="shared" si="59"/>
        <v>2552.9580000000001</v>
      </c>
      <c r="BO86" s="193" t="s">
        <v>2666</v>
      </c>
      <c r="BP86" s="193" t="s">
        <v>2219</v>
      </c>
      <c r="BQ86" s="193"/>
    </row>
    <row r="87" spans="1:69" s="130" customFormat="1" ht="15" customHeight="1" x14ac:dyDescent="0.2">
      <c r="A87" s="391"/>
      <c r="B87" s="173"/>
      <c r="C87" s="393">
        <v>201999</v>
      </c>
      <c r="D87" s="438">
        <v>1</v>
      </c>
      <c r="E87" s="394">
        <v>43012</v>
      </c>
      <c r="F87" s="395" t="s">
        <v>1882</v>
      </c>
      <c r="G87" s="394">
        <v>449791</v>
      </c>
      <c r="H87" s="396" t="s">
        <v>1905</v>
      </c>
      <c r="I87" s="130" t="s">
        <v>2668</v>
      </c>
      <c r="J87" s="396" t="s">
        <v>2667</v>
      </c>
      <c r="K87" s="396"/>
      <c r="L87" s="395" t="s">
        <v>2669</v>
      </c>
      <c r="M87" s="397">
        <v>43583</v>
      </c>
      <c r="N87" s="424">
        <v>4.7</v>
      </c>
      <c r="O87" s="395"/>
      <c r="P87" s="425">
        <v>0</v>
      </c>
      <c r="Q87" s="423" t="s">
        <v>98</v>
      </c>
      <c r="R87" s="423" t="s">
        <v>98</v>
      </c>
      <c r="S87" s="398">
        <v>45275</v>
      </c>
      <c r="T87" s="883">
        <v>134</v>
      </c>
      <c r="U87" s="616">
        <v>45382</v>
      </c>
      <c r="V87" s="883">
        <v>192</v>
      </c>
      <c r="W87" s="883">
        <v>59</v>
      </c>
      <c r="X87" s="964">
        <v>0.31</v>
      </c>
      <c r="Y87" s="616">
        <v>45504</v>
      </c>
      <c r="Z87" s="884">
        <v>9</v>
      </c>
      <c r="AA87" s="647"/>
      <c r="AB87" s="885">
        <v>4254.93</v>
      </c>
      <c r="AC87" s="885"/>
      <c r="AD87" s="885">
        <v>1</v>
      </c>
      <c r="AE87" s="885">
        <v>0.31</v>
      </c>
      <c r="AF87" s="962">
        <f>AE87*AB87</f>
        <v>1319.0283000000002</v>
      </c>
      <c r="AG87" s="442"/>
      <c r="AH87" s="443"/>
      <c r="AI87" s="443"/>
      <c r="AJ87" s="624"/>
      <c r="AK87" s="624"/>
      <c r="AL87" s="193"/>
      <c r="AM87" s="193"/>
      <c r="AN87" s="193"/>
      <c r="AO87" s="193"/>
      <c r="AP87" s="193"/>
      <c r="AQ87" s="193"/>
      <c r="AR87" s="886"/>
      <c r="AS87" s="887"/>
      <c r="AT87" s="193"/>
      <c r="AU87" s="193"/>
      <c r="AV87" s="193"/>
      <c r="AW87" s="193"/>
      <c r="AX87" s="193"/>
      <c r="AY87" s="193"/>
      <c r="AZ87" s="625"/>
      <c r="BA87" s="622"/>
      <c r="BB87" s="193"/>
      <c r="BC87" s="193"/>
      <c r="BD87" s="629"/>
      <c r="BE87" s="629"/>
      <c r="BF87" s="173"/>
      <c r="BG87" s="629"/>
      <c r="BH87" s="629"/>
      <c r="BI87" s="193"/>
      <c r="BJ87" s="692"/>
      <c r="BK87" s="677"/>
      <c r="BL87" s="683"/>
      <c r="BM87" s="193">
        <f>AF87</f>
        <v>1319.0283000000002</v>
      </c>
      <c r="BN87" s="692">
        <f t="shared" si="59"/>
        <v>1319.0283000000002</v>
      </c>
      <c r="BO87" s="193" t="s">
        <v>2666</v>
      </c>
      <c r="BP87" s="193"/>
      <c r="BQ87" s="193"/>
    </row>
    <row r="88" spans="1:69" s="130" customFormat="1" ht="15" customHeight="1" x14ac:dyDescent="0.2">
      <c r="A88" s="391"/>
      <c r="B88" s="173"/>
      <c r="C88" s="393">
        <v>208540</v>
      </c>
      <c r="D88" s="438">
        <v>1</v>
      </c>
      <c r="E88" s="394">
        <v>43012</v>
      </c>
      <c r="F88" s="395" t="s">
        <v>1882</v>
      </c>
      <c r="G88" s="394">
        <v>449947</v>
      </c>
      <c r="H88" s="396" t="s">
        <v>2111</v>
      </c>
      <c r="I88" s="396" t="s">
        <v>2598</v>
      </c>
      <c r="J88" s="396" t="s">
        <v>2670</v>
      </c>
      <c r="K88" s="396"/>
      <c r="L88" s="395" t="s">
        <v>2671</v>
      </c>
      <c r="M88" s="397">
        <v>43985</v>
      </c>
      <c r="N88" s="424">
        <v>3.6</v>
      </c>
      <c r="P88" s="966">
        <v>-1</v>
      </c>
      <c r="Q88" s="423" t="s">
        <v>98</v>
      </c>
      <c r="R88" s="423" t="s">
        <v>98</v>
      </c>
      <c r="S88" s="398">
        <v>45203</v>
      </c>
      <c r="T88" s="883">
        <v>87</v>
      </c>
      <c r="U88" s="616">
        <v>45382</v>
      </c>
      <c r="V88" s="883">
        <v>192</v>
      </c>
      <c r="W88" s="883">
        <v>106</v>
      </c>
      <c r="X88" s="964">
        <v>0.55000000000000004</v>
      </c>
      <c r="Y88" s="616">
        <v>45504</v>
      </c>
      <c r="Z88" s="884">
        <v>15</v>
      </c>
      <c r="AA88" s="647"/>
      <c r="AB88" s="885">
        <v>7091.55</v>
      </c>
      <c r="AC88" s="885"/>
      <c r="AD88" s="885">
        <v>1</v>
      </c>
      <c r="AE88" s="885">
        <v>0.55000000000000004</v>
      </c>
      <c r="AF88" s="962">
        <f>AE88*AB88</f>
        <v>3900.3525000000004</v>
      </c>
      <c r="AG88" s="442"/>
      <c r="AH88" s="443"/>
      <c r="AI88" s="443"/>
      <c r="AJ88" s="624"/>
      <c r="AK88" s="624"/>
      <c r="AL88" s="193"/>
      <c r="AM88" s="193"/>
      <c r="AN88" s="193"/>
      <c r="AO88" s="193"/>
      <c r="AP88" s="193"/>
      <c r="AQ88" s="193"/>
      <c r="AR88" s="886"/>
      <c r="AS88" s="887"/>
      <c r="AT88" s="193"/>
      <c r="AU88" s="193"/>
      <c r="AV88" s="193"/>
      <c r="AW88" s="193"/>
      <c r="AX88" s="193"/>
      <c r="AY88" s="193"/>
      <c r="AZ88" s="625"/>
      <c r="BA88" s="622"/>
      <c r="BB88" s="193"/>
      <c r="BC88" s="193"/>
      <c r="BD88" s="629"/>
      <c r="BE88" s="629"/>
      <c r="BF88" s="173"/>
      <c r="BG88" s="629"/>
      <c r="BH88" s="629"/>
      <c r="BI88" s="193"/>
      <c r="BJ88" s="692"/>
      <c r="BK88" s="677"/>
      <c r="BL88" s="683"/>
      <c r="BM88" s="193">
        <f>AF88</f>
        <v>3900.3525000000004</v>
      </c>
      <c r="BN88" s="692">
        <f t="shared" si="59"/>
        <v>3900.3525000000004</v>
      </c>
      <c r="BO88" s="193" t="s">
        <v>2666</v>
      </c>
      <c r="BP88" s="193"/>
      <c r="BQ88" s="193"/>
    </row>
    <row r="89" spans="1:69" s="130" customFormat="1" ht="15" customHeight="1" x14ac:dyDescent="0.2">
      <c r="A89" s="391"/>
      <c r="B89" s="173"/>
      <c r="C89" s="393"/>
      <c r="D89" s="438"/>
      <c r="E89" s="394"/>
      <c r="F89" s="395"/>
      <c r="G89" s="394"/>
      <c r="H89" s="396"/>
      <c r="I89" s="396"/>
      <c r="J89" s="396"/>
      <c r="K89" s="396"/>
      <c r="L89" s="395"/>
      <c r="M89" s="397"/>
      <c r="N89" s="424"/>
      <c r="O89" s="395"/>
      <c r="P89" s="425"/>
      <c r="Q89" s="423"/>
      <c r="R89" s="423"/>
      <c r="S89" s="398"/>
      <c r="T89" s="883"/>
      <c r="U89" s="616"/>
      <c r="V89" s="883"/>
      <c r="W89" s="883"/>
      <c r="X89" s="964"/>
      <c r="Y89" s="616"/>
      <c r="Z89" s="884"/>
      <c r="AA89" s="647"/>
      <c r="AB89" s="885"/>
      <c r="AC89" s="885"/>
      <c r="AD89" s="885"/>
      <c r="AE89" s="885"/>
      <c r="AF89" s="962"/>
      <c r="AG89" s="442"/>
      <c r="AH89" s="443"/>
      <c r="AI89" s="443"/>
      <c r="AJ89" s="624"/>
      <c r="AK89" s="624"/>
      <c r="AL89" s="193"/>
      <c r="AM89" s="193"/>
      <c r="AN89" s="193"/>
      <c r="AO89" s="193"/>
      <c r="AP89" s="193"/>
      <c r="AQ89" s="193"/>
      <c r="AR89" s="886"/>
      <c r="AS89" s="887"/>
      <c r="AT89" s="193"/>
      <c r="AU89" s="193"/>
      <c r="AV89" s="193"/>
      <c r="AW89" s="193"/>
      <c r="AX89" s="193"/>
      <c r="AY89" s="193"/>
      <c r="AZ89" s="625"/>
      <c r="BA89" s="622"/>
      <c r="BB89" s="193"/>
      <c r="BC89" s="193"/>
      <c r="BD89" s="629"/>
      <c r="BE89" s="629"/>
      <c r="BF89" s="173"/>
      <c r="BG89" s="629"/>
      <c r="BH89" s="629"/>
      <c r="BI89" s="193"/>
      <c r="BJ89" s="692"/>
      <c r="BK89" s="677"/>
      <c r="BL89" s="683"/>
      <c r="BM89" s="193"/>
      <c r="BN89" s="692"/>
      <c r="BO89" s="193"/>
      <c r="BP89" s="193"/>
      <c r="BQ89" s="193"/>
    </row>
    <row r="90" spans="1:69" s="130" customFormat="1" ht="15" customHeight="1" thickBot="1" x14ac:dyDescent="0.25">
      <c r="A90" s="332"/>
      <c r="C90" s="444"/>
      <c r="D90" s="445"/>
      <c r="E90" s="446"/>
      <c r="F90" s="447"/>
      <c r="G90" s="446"/>
      <c r="H90" s="445"/>
      <c r="I90" s="445"/>
      <c r="J90" s="445"/>
      <c r="K90" s="445"/>
      <c r="L90" s="447"/>
      <c r="M90" s="447"/>
      <c r="N90" s="448"/>
      <c r="O90" s="448"/>
      <c r="P90" s="449"/>
      <c r="Q90" s="450"/>
      <c r="R90" s="451"/>
      <c r="S90" s="452"/>
      <c r="T90" s="453"/>
      <c r="U90" s="453"/>
      <c r="V90" s="453"/>
      <c r="W90" s="453"/>
      <c r="X90" s="453"/>
      <c r="Y90" s="453"/>
      <c r="Z90" s="454"/>
      <c r="AA90" s="455"/>
      <c r="AB90" s="456">
        <f>SUM(AB3:AB69)</f>
        <v>683963.65439999977</v>
      </c>
      <c r="AC90" s="456"/>
      <c r="AD90" s="456"/>
      <c r="AE90" s="456"/>
      <c r="AF90" s="457">
        <f t="shared" ref="AF90:AK90" si="69">SUM(AF2:AF69)</f>
        <v>263018.58354602935</v>
      </c>
      <c r="AG90" s="458">
        <f t="shared" si="69"/>
        <v>134070.21162343747</v>
      </c>
      <c r="AH90" s="458">
        <f t="shared" si="69"/>
        <v>299799.48682727956</v>
      </c>
      <c r="AI90" s="458">
        <f t="shared" si="69"/>
        <v>165729.27520384185</v>
      </c>
      <c r="AJ90" s="461">
        <f t="shared" si="69"/>
        <v>347508.62818593747</v>
      </c>
      <c r="AK90" s="461">
        <f t="shared" si="69"/>
        <v>-33526.041358658069</v>
      </c>
      <c r="AL90" s="457"/>
      <c r="AM90" s="457"/>
      <c r="AN90" s="457"/>
      <c r="AO90" s="456">
        <f>SUM(AO2:AO69)</f>
        <v>5412.7796875000004</v>
      </c>
      <c r="AP90" s="456">
        <f>SUM(AP2:AP69)</f>
        <v>159483.6</v>
      </c>
      <c r="AQ90" s="457">
        <f>SUM(AQ2:AQ69)</f>
        <v>105491.75625000001</v>
      </c>
      <c r="AR90" s="461">
        <f t="shared" ref="AR90:BA90" si="70">SUM(AR2:AR80)</f>
        <v>405291.24307727953</v>
      </c>
      <c r="AS90" s="461">
        <f t="shared" si="70"/>
        <v>57782.614891341946</v>
      </c>
      <c r="AT90" s="461">
        <f t="shared" si="70"/>
        <v>0</v>
      </c>
      <c r="AU90" s="461">
        <f t="shared" si="70"/>
        <v>0</v>
      </c>
      <c r="AV90" s="461">
        <f t="shared" si="70"/>
        <v>0</v>
      </c>
      <c r="AW90" s="461">
        <f t="shared" si="70"/>
        <v>258073</v>
      </c>
      <c r="AX90" s="461">
        <f t="shared" si="70"/>
        <v>5819.25</v>
      </c>
      <c r="AY90" s="461">
        <f t="shared" si="70"/>
        <v>-5412.7796875000004</v>
      </c>
      <c r="AZ90" s="623">
        <f t="shared" si="70"/>
        <v>382340.17520227958</v>
      </c>
      <c r="BA90" s="623">
        <f t="shared" si="70"/>
        <v>-22951.067874999982</v>
      </c>
      <c r="BB90" s="193"/>
      <c r="BC90" s="193"/>
      <c r="BD90" s="445">
        <f>SUM(BD2:BD80)</f>
        <v>382651.57488977956</v>
      </c>
      <c r="BE90" s="686">
        <f t="shared" si="68"/>
        <v>311.39968749997206</v>
      </c>
      <c r="BF90" s="687">
        <f>SUM(BF1:BF80)</f>
        <v>-255.48400000000038</v>
      </c>
      <c r="BG90" s="688">
        <f t="shared" si="63"/>
        <v>382396.09088977956</v>
      </c>
      <c r="BH90" s="690">
        <f>SUM(BH2:BH80)</f>
        <v>-9283.5383750000001</v>
      </c>
      <c r="BI90" s="455">
        <f>SUM(BI2:BI80)</f>
        <v>-108568.5389453125</v>
      </c>
      <c r="BJ90" s="693">
        <f>SUM(BJ2:BJ80)</f>
        <v>203045.31808509186</v>
      </c>
      <c r="BK90" s="455"/>
      <c r="BL90" s="888">
        <f>SUM(BL2:BL82)</f>
        <v>224573.84025071686</v>
      </c>
      <c r="BN90" s="888">
        <f>SUM(BN2:BN89)</f>
        <v>257729.72519655022</v>
      </c>
    </row>
    <row r="91" spans="1:69" s="130" customFormat="1" ht="15" customHeight="1" thickTop="1" x14ac:dyDescent="0.2">
      <c r="A91" s="332"/>
      <c r="C91" s="334"/>
      <c r="D91" s="193"/>
      <c r="E91" s="333"/>
      <c r="F91" s="194"/>
      <c r="G91" s="333"/>
      <c r="H91" s="193"/>
      <c r="I91" s="193"/>
      <c r="J91" s="193"/>
      <c r="K91" s="193"/>
      <c r="L91" s="194"/>
      <c r="M91" s="194"/>
      <c r="N91" s="195"/>
      <c r="O91" s="195"/>
      <c r="P91" s="196"/>
      <c r="Q91" s="197"/>
      <c r="R91" s="198"/>
      <c r="S91" s="322"/>
      <c r="T91" s="198"/>
      <c r="U91" s="198"/>
      <c r="V91" s="198"/>
      <c r="W91" s="198"/>
      <c r="X91" s="198"/>
      <c r="Y91" s="198"/>
      <c r="Z91" s="194"/>
      <c r="AA91" s="193"/>
      <c r="AB91" s="199"/>
      <c r="AC91" s="199"/>
      <c r="AD91" s="199"/>
      <c r="AE91" s="199"/>
      <c r="AF91" s="199"/>
      <c r="AG91" s="199"/>
      <c r="AH91" s="199"/>
      <c r="AI91" s="199"/>
      <c r="AJ91" s="193"/>
      <c r="AK91" s="193"/>
      <c r="AL91" s="193"/>
      <c r="AM91" s="193"/>
      <c r="AN91" s="193"/>
      <c r="AO91" s="193"/>
      <c r="AP91" s="193"/>
      <c r="AQ91" s="193"/>
      <c r="AR91" s="193"/>
      <c r="AS91" s="193"/>
      <c r="AT91" s="193"/>
      <c r="AU91" s="193"/>
      <c r="AV91" s="193"/>
      <c r="AW91" s="193"/>
      <c r="AX91" s="193"/>
      <c r="AY91" s="193"/>
      <c r="AZ91" s="193"/>
      <c r="BA91" s="193"/>
      <c r="BB91" s="193"/>
      <c r="BC91" s="193"/>
      <c r="BD91" s="193"/>
      <c r="BE91" s="193"/>
      <c r="BF91" s="193"/>
      <c r="BG91" s="193"/>
      <c r="BH91" s="193"/>
      <c r="BI91" s="193"/>
      <c r="BJ91" s="694"/>
      <c r="BK91" s="677"/>
      <c r="BL91" s="677"/>
    </row>
    <row r="92" spans="1:69" s="130" customFormat="1" ht="15" customHeight="1" x14ac:dyDescent="0.2">
      <c r="A92" s="332"/>
      <c r="C92" s="334"/>
      <c r="D92" s="193"/>
      <c r="E92" s="333"/>
      <c r="F92" s="194"/>
      <c r="G92" s="333"/>
      <c r="H92" s="193"/>
      <c r="I92" s="193"/>
      <c r="J92" s="193"/>
      <c r="K92" s="193"/>
      <c r="L92" s="194"/>
      <c r="M92" s="194"/>
      <c r="N92" s="195"/>
      <c r="O92" s="195"/>
      <c r="P92" s="196"/>
      <c r="Q92" s="197"/>
      <c r="R92" s="198"/>
      <c r="S92" s="322"/>
      <c r="T92" s="198"/>
      <c r="U92" s="198"/>
      <c r="V92" s="198"/>
      <c r="W92" s="198"/>
      <c r="X92" s="198"/>
      <c r="Y92" s="198"/>
      <c r="Z92" s="194"/>
      <c r="AA92" s="193"/>
      <c r="AB92" s="199">
        <v>618250.78439999965</v>
      </c>
      <c r="AC92" s="199"/>
      <c r="AD92" s="199"/>
      <c r="AE92" s="199"/>
      <c r="AF92" s="199">
        <v>299799.48682727956</v>
      </c>
      <c r="AG92" s="199">
        <v>134070.21162343747</v>
      </c>
      <c r="AH92" s="199">
        <v>299799.48682727956</v>
      </c>
      <c r="AI92" s="199">
        <v>165729.27520384185</v>
      </c>
      <c r="AJ92" s="193">
        <v>347508.62818593747</v>
      </c>
      <c r="AK92" s="193">
        <v>-33526.041358658069</v>
      </c>
      <c r="AL92" s="193"/>
      <c r="AM92" s="193"/>
      <c r="AN92" s="193"/>
      <c r="AO92" s="193">
        <v>5412.7796875000004</v>
      </c>
      <c r="AP92" s="193">
        <v>159483.6</v>
      </c>
      <c r="AQ92" s="193">
        <v>105491.75625000001</v>
      </c>
      <c r="AR92" s="193">
        <v>405291.24307727953</v>
      </c>
      <c r="AS92" s="193">
        <v>57782.614891341946</v>
      </c>
      <c r="AT92" s="193"/>
      <c r="AU92" s="193"/>
      <c r="AV92" s="193"/>
      <c r="AW92" s="193"/>
      <c r="AX92" s="193"/>
      <c r="AY92" s="193"/>
      <c r="AZ92" s="193"/>
      <c r="BA92" s="193"/>
      <c r="BB92" s="193"/>
      <c r="BC92" s="193"/>
      <c r="BD92" s="193"/>
      <c r="BE92" s="193"/>
      <c r="BF92" s="689" t="s">
        <v>2595</v>
      </c>
      <c r="BG92" s="679">
        <f>BG90</f>
        <v>382396.09088977956</v>
      </c>
      <c r="BH92" s="193"/>
      <c r="BI92" s="193"/>
      <c r="BJ92" s="694"/>
      <c r="BK92" s="677"/>
      <c r="BL92" s="677"/>
    </row>
    <row r="93" spans="1:69" s="130" customFormat="1" ht="15" customHeight="1" x14ac:dyDescent="0.2">
      <c r="A93" s="332"/>
      <c r="C93" s="334"/>
      <c r="D93" s="193"/>
      <c r="E93" s="333"/>
      <c r="F93" s="194"/>
      <c r="G93" s="333"/>
      <c r="H93" s="193"/>
      <c r="I93" s="193"/>
      <c r="J93" s="193"/>
      <c r="K93" s="193"/>
      <c r="L93" s="194"/>
      <c r="M93" s="194"/>
      <c r="N93" s="195"/>
      <c r="O93" s="195"/>
      <c r="P93" s="196"/>
      <c r="Q93" s="197"/>
      <c r="R93" s="198"/>
      <c r="S93" s="322"/>
      <c r="T93" s="198"/>
      <c r="U93" s="198"/>
      <c r="V93" s="198"/>
      <c r="W93" s="198"/>
      <c r="X93" s="198"/>
      <c r="Y93" s="198"/>
      <c r="Z93" s="194"/>
      <c r="AA93" s="193"/>
      <c r="AB93" s="199">
        <v>441434.80439999979</v>
      </c>
      <c r="AC93" s="199">
        <v>0</v>
      </c>
      <c r="AD93" s="199">
        <v>44</v>
      </c>
      <c r="AE93" s="199">
        <v>13.182291666666666</v>
      </c>
      <c r="AF93" s="199"/>
      <c r="AG93" s="403">
        <v>134070.20959218746</v>
      </c>
      <c r="AH93" s="199"/>
      <c r="AI93" s="199"/>
      <c r="AJ93" s="193"/>
      <c r="AK93" s="193"/>
      <c r="AL93" s="193"/>
      <c r="AM93" s="193"/>
      <c r="AN93" s="193"/>
      <c r="AO93" s="193"/>
      <c r="AP93" s="193"/>
      <c r="AQ93" s="193"/>
      <c r="AR93" s="193"/>
      <c r="AS93" s="193"/>
      <c r="AT93" s="193"/>
      <c r="AU93" s="193"/>
      <c r="AV93" s="193"/>
      <c r="AW93" s="193"/>
      <c r="AX93" s="193"/>
      <c r="AY93" s="193"/>
      <c r="AZ93" s="193"/>
      <c r="BA93" s="193"/>
      <c r="BB93" s="193"/>
      <c r="BC93" s="193"/>
      <c r="BD93" s="193"/>
      <c r="BE93" s="193"/>
      <c r="BF93" s="677"/>
      <c r="BG93" s="193"/>
      <c r="BH93" s="193"/>
      <c r="BI93" s="193"/>
      <c r="BJ93" s="694"/>
      <c r="BK93" s="677"/>
      <c r="BL93" s="677"/>
    </row>
    <row r="94" spans="1:69" s="130" customFormat="1" ht="15" customHeight="1" x14ac:dyDescent="0.2">
      <c r="A94" s="332"/>
      <c r="C94" s="334"/>
      <c r="D94" s="193"/>
      <c r="E94" s="333"/>
      <c r="F94" s="194"/>
      <c r="G94" s="333"/>
      <c r="H94" s="193"/>
      <c r="I94" s="193"/>
      <c r="J94" s="193"/>
      <c r="K94" s="193"/>
      <c r="L94" s="194"/>
      <c r="M94" s="194"/>
      <c r="N94" s="195"/>
      <c r="O94" s="195"/>
      <c r="P94" s="196"/>
      <c r="Q94" s="197"/>
      <c r="R94" s="198"/>
      <c r="S94" s="322"/>
      <c r="T94" s="198"/>
      <c r="U94" s="198"/>
      <c r="V94" s="198"/>
      <c r="W94" s="198"/>
      <c r="X94" s="198"/>
      <c r="Y94" s="198"/>
      <c r="Z94" s="194"/>
      <c r="AA94" s="193"/>
      <c r="AB94" s="199"/>
      <c r="AC94" s="199"/>
      <c r="AD94" s="199"/>
      <c r="AE94" s="199"/>
      <c r="AF94" s="199"/>
      <c r="AG94" s="199"/>
      <c r="AH94" s="199"/>
      <c r="AI94" s="199"/>
      <c r="AJ94" s="193"/>
      <c r="AK94" s="193"/>
      <c r="AL94" s="193"/>
      <c r="AM94" s="193"/>
      <c r="AN94" s="193"/>
      <c r="AO94" s="193"/>
      <c r="AP94" s="193"/>
      <c r="AQ94" s="193"/>
      <c r="AR94" s="193"/>
      <c r="AS94" s="193"/>
      <c r="AT94" s="193"/>
      <c r="AU94" s="193"/>
      <c r="AV94" s="193"/>
      <c r="AW94" s="193"/>
      <c r="AX94" s="193"/>
      <c r="AY94" s="193"/>
      <c r="AZ94" s="193"/>
      <c r="BA94" s="193"/>
      <c r="BB94" s="193"/>
      <c r="BC94" s="193"/>
      <c r="BD94" s="193"/>
      <c r="BE94" s="193"/>
      <c r="BF94" s="677"/>
      <c r="BG94" s="193"/>
      <c r="BH94" s="193"/>
      <c r="BI94" s="193"/>
      <c r="BJ94" s="694"/>
      <c r="BK94" s="677"/>
      <c r="BL94" s="677"/>
    </row>
    <row r="95" spans="1:69" s="130" customFormat="1" ht="15" customHeight="1" x14ac:dyDescent="0.2">
      <c r="A95" s="332"/>
      <c r="C95" s="334"/>
      <c r="D95" s="193"/>
      <c r="E95" s="333"/>
      <c r="F95" s="194"/>
      <c r="G95" s="333"/>
      <c r="H95" s="193"/>
      <c r="I95" s="193"/>
      <c r="J95" s="193"/>
      <c r="K95" s="193"/>
      <c r="L95" s="194"/>
      <c r="M95" s="194"/>
      <c r="N95" s="195"/>
      <c r="O95" s="195"/>
      <c r="P95" s="196"/>
      <c r="Q95" s="197"/>
      <c r="R95" s="198"/>
      <c r="S95" s="322"/>
      <c r="T95" s="198"/>
      <c r="U95" s="198"/>
      <c r="V95" s="198"/>
      <c r="W95" s="198"/>
      <c r="X95" s="198"/>
      <c r="Y95" s="198"/>
      <c r="Z95" s="194"/>
      <c r="AA95" s="193"/>
      <c r="AB95" s="199"/>
      <c r="AC95" s="199"/>
      <c r="AD95" s="199"/>
      <c r="AE95" s="199"/>
      <c r="AF95" s="199"/>
      <c r="AG95" s="199"/>
      <c r="AH95" s="199" t="s">
        <v>2440</v>
      </c>
      <c r="AI95" s="199"/>
      <c r="AJ95" s="193"/>
      <c r="AK95" s="193"/>
      <c r="AL95" s="193"/>
      <c r="AM95" s="193"/>
      <c r="AN95" s="193"/>
      <c r="AO95" s="193"/>
      <c r="AP95" s="193"/>
      <c r="AQ95" s="193"/>
      <c r="AR95" s="193"/>
      <c r="AS95" s="193"/>
      <c r="AT95" s="193"/>
      <c r="AU95" s="193"/>
      <c r="AV95" s="193"/>
      <c r="AW95" s="193"/>
      <c r="AX95" s="193"/>
      <c r="AY95" s="193"/>
      <c r="AZ95" s="193"/>
      <c r="BA95" s="193"/>
      <c r="BB95" s="193"/>
      <c r="BC95" s="193"/>
      <c r="BD95" s="193"/>
      <c r="BE95" s="193"/>
      <c r="BF95" s="677"/>
      <c r="BG95" s="193"/>
      <c r="BH95" s="193"/>
      <c r="BI95" s="193"/>
      <c r="BJ95" s="694"/>
      <c r="BK95" s="677"/>
      <c r="BL95" s="677"/>
    </row>
    <row r="96" spans="1:69" s="130" customFormat="1" ht="15" customHeight="1" x14ac:dyDescent="0.2">
      <c r="A96" s="332"/>
      <c r="C96" s="334"/>
      <c r="D96" s="193"/>
      <c r="E96" s="333"/>
      <c r="F96" s="194"/>
      <c r="G96" s="333"/>
      <c r="H96" s="193"/>
      <c r="I96" s="193"/>
      <c r="J96" s="193"/>
      <c r="K96" s="193"/>
      <c r="L96" s="194"/>
      <c r="M96" s="194"/>
      <c r="N96" s="195"/>
      <c r="O96" s="195"/>
      <c r="P96" s="196"/>
      <c r="Q96" s="197"/>
      <c r="R96" s="198"/>
      <c r="S96" s="322"/>
      <c r="T96" s="198"/>
      <c r="U96" s="198"/>
      <c r="V96" s="198"/>
      <c r="W96" s="198"/>
      <c r="X96" s="198"/>
      <c r="Y96" s="198"/>
      <c r="Z96" s="194"/>
      <c r="AA96" s="193"/>
      <c r="AB96" s="199"/>
      <c r="AC96" s="199"/>
      <c r="AD96" s="199"/>
      <c r="AE96" s="199"/>
      <c r="AF96" s="199"/>
      <c r="AG96" s="199"/>
      <c r="AH96" s="199" t="s">
        <v>2441</v>
      </c>
      <c r="AI96" s="199"/>
      <c r="AJ96" s="193"/>
      <c r="AK96" s="193"/>
      <c r="AL96" s="193"/>
      <c r="AM96" s="193"/>
      <c r="AN96" s="193"/>
      <c r="AO96" s="193"/>
      <c r="AP96" s="193"/>
      <c r="AQ96" s="193"/>
      <c r="AR96" s="193"/>
      <c r="AS96" s="193"/>
      <c r="AT96" s="193"/>
      <c r="AU96" s="193"/>
      <c r="AV96" s="193"/>
      <c r="AW96" s="193"/>
      <c r="AX96" s="193"/>
      <c r="AY96" s="193"/>
      <c r="AZ96" s="193"/>
      <c r="BA96" s="193"/>
      <c r="BB96" s="193"/>
      <c r="BC96" s="193"/>
      <c r="BD96" s="193"/>
      <c r="BE96" s="193"/>
      <c r="BF96" s="677"/>
      <c r="BG96" s="193"/>
      <c r="BH96" s="193"/>
      <c r="BI96" s="193"/>
      <c r="BJ96" s="694"/>
      <c r="BK96" s="677"/>
      <c r="BL96" s="677"/>
    </row>
    <row r="97" spans="1:65" s="130" customFormat="1" ht="15" customHeight="1" x14ac:dyDescent="0.2">
      <c r="A97" s="332"/>
      <c r="C97" s="334"/>
      <c r="D97" s="193"/>
      <c r="E97" s="333"/>
      <c r="F97" s="194"/>
      <c r="G97" s="333"/>
      <c r="H97" s="193"/>
      <c r="I97" s="193"/>
      <c r="J97" s="193"/>
      <c r="K97" s="193"/>
      <c r="L97" s="194"/>
      <c r="M97" s="194"/>
      <c r="N97" s="195"/>
      <c r="O97" s="195"/>
      <c r="P97" s="196"/>
      <c r="Q97" s="197"/>
      <c r="R97" s="198"/>
      <c r="S97" s="322"/>
      <c r="T97" s="198"/>
      <c r="U97" s="198"/>
      <c r="V97" s="198"/>
      <c r="W97" s="198"/>
      <c r="X97" s="198"/>
      <c r="Y97" s="198"/>
      <c r="Z97" s="194"/>
      <c r="AA97" s="193"/>
      <c r="AB97" s="199"/>
      <c r="AC97" s="199"/>
      <c r="AD97" s="199"/>
      <c r="AE97" s="199"/>
      <c r="AF97" s="199"/>
      <c r="AG97" s="199"/>
      <c r="AH97" s="199" t="s">
        <v>2438</v>
      </c>
      <c r="AI97" s="199"/>
      <c r="AJ97" s="193"/>
      <c r="AK97" s="193"/>
      <c r="AL97" s="193"/>
      <c r="AM97" s="193"/>
      <c r="AN97" s="193"/>
      <c r="AO97" s="193"/>
      <c r="AP97" s="193"/>
      <c r="AQ97" s="193"/>
      <c r="AR97" s="193"/>
      <c r="AS97" s="193"/>
      <c r="AT97" s="193"/>
      <c r="AU97" s="193"/>
      <c r="AV97" s="193"/>
      <c r="AW97" s="193"/>
      <c r="AX97" s="193"/>
      <c r="AY97" s="193"/>
      <c r="AZ97" s="193"/>
      <c r="BA97" s="193"/>
      <c r="BB97" s="193"/>
      <c r="BC97" s="193"/>
      <c r="BD97" s="193"/>
      <c r="BE97" s="193"/>
      <c r="BF97" s="677"/>
      <c r="BG97" s="193"/>
      <c r="BH97" s="193"/>
      <c r="BI97" s="193"/>
      <c r="BJ97" s="694"/>
      <c r="BK97" s="677"/>
      <c r="BL97" s="677"/>
    </row>
    <row r="98" spans="1:65" s="130" customFormat="1" ht="15" customHeight="1" x14ac:dyDescent="0.2">
      <c r="A98" s="332"/>
      <c r="C98" s="334"/>
      <c r="D98" s="193"/>
      <c r="E98" s="333"/>
      <c r="F98" s="194"/>
      <c r="G98" s="333"/>
      <c r="H98" s="193"/>
      <c r="I98" s="193"/>
      <c r="J98" s="193"/>
      <c r="K98" s="193"/>
      <c r="L98" s="194"/>
      <c r="M98" s="194"/>
      <c r="N98" s="195"/>
      <c r="O98" s="195"/>
      <c r="P98" s="196"/>
      <c r="Q98" s="197"/>
      <c r="R98" s="198"/>
      <c r="S98" s="322"/>
      <c r="T98" s="198"/>
      <c r="U98" s="198"/>
      <c r="V98" s="198"/>
      <c r="W98" s="198"/>
      <c r="X98" s="198"/>
      <c r="Y98" s="198"/>
      <c r="Z98" s="194"/>
      <c r="AA98" s="193"/>
      <c r="AB98" s="199"/>
      <c r="AC98" s="199"/>
      <c r="AD98" s="199"/>
      <c r="AE98" s="199"/>
      <c r="AF98" s="199"/>
      <c r="AG98" s="199"/>
      <c r="AH98" s="199" t="s">
        <v>2439</v>
      </c>
      <c r="AI98" s="199"/>
      <c r="AJ98" s="193"/>
      <c r="AK98" s="193"/>
      <c r="AL98" s="193"/>
      <c r="AM98" s="193"/>
      <c r="AN98" s="193"/>
      <c r="AO98" s="193"/>
      <c r="AP98" s="193"/>
      <c r="AQ98" s="193"/>
      <c r="AR98" s="193"/>
      <c r="AS98" s="193"/>
      <c r="AT98" s="193"/>
      <c r="AU98" s="193"/>
      <c r="AV98" s="193"/>
      <c r="AW98" s="193"/>
      <c r="AX98" s="193"/>
      <c r="AY98" s="193"/>
      <c r="AZ98" s="193"/>
      <c r="BA98" s="193"/>
      <c r="BB98" s="193"/>
      <c r="BC98" s="193"/>
      <c r="BD98" s="193"/>
      <c r="BE98" s="193"/>
      <c r="BF98" s="677"/>
      <c r="BG98" s="193"/>
      <c r="BH98" s="193"/>
      <c r="BI98" s="193"/>
      <c r="BJ98" s="694"/>
      <c r="BK98" s="677"/>
      <c r="BL98" s="677"/>
    </row>
    <row r="99" spans="1:65" s="130" customFormat="1" ht="15" customHeight="1" x14ac:dyDescent="0.2">
      <c r="A99" s="332"/>
      <c r="C99" s="334"/>
      <c r="D99" s="193"/>
      <c r="E99" s="333"/>
      <c r="F99" s="194"/>
      <c r="G99" s="333"/>
      <c r="H99" s="193"/>
      <c r="I99" s="193"/>
      <c r="J99" s="193"/>
      <c r="K99" s="193"/>
      <c r="L99" s="194"/>
      <c r="M99" s="194"/>
      <c r="N99" s="195"/>
      <c r="O99" s="195"/>
      <c r="P99" s="196"/>
      <c r="Q99" s="197"/>
      <c r="R99" s="198"/>
      <c r="S99" s="322"/>
      <c r="T99" s="198"/>
      <c r="U99" s="198"/>
      <c r="V99" s="198"/>
      <c r="W99" s="198"/>
      <c r="X99" s="198"/>
      <c r="Y99" s="198"/>
      <c r="Z99" s="194"/>
      <c r="AA99" s="193"/>
      <c r="AB99" s="199"/>
      <c r="AC99" s="199"/>
      <c r="AD99" s="199"/>
      <c r="AE99" s="199"/>
      <c r="AF99" s="199"/>
      <c r="AG99" s="199"/>
      <c r="AH99" s="199"/>
      <c r="AI99" s="199"/>
      <c r="AJ99" s="193"/>
      <c r="AK99" s="193"/>
      <c r="AL99" s="193"/>
      <c r="AM99" s="193"/>
      <c r="AN99" s="193"/>
      <c r="AO99" s="193"/>
      <c r="AP99" s="193"/>
      <c r="AQ99" s="193"/>
      <c r="AR99" s="193"/>
      <c r="AS99" s="193"/>
      <c r="AT99" s="193"/>
      <c r="AU99" s="193"/>
      <c r="AV99" s="193"/>
      <c r="AW99" s="193"/>
      <c r="AX99" s="193"/>
      <c r="AY99" s="193"/>
      <c r="AZ99" s="193"/>
      <c r="BA99" s="193"/>
      <c r="BB99" s="193"/>
      <c r="BC99" s="193"/>
      <c r="BD99" s="193"/>
      <c r="BE99" s="193"/>
      <c r="BF99" s="677"/>
      <c r="BG99" s="193"/>
      <c r="BH99" s="193"/>
      <c r="BI99" s="193"/>
      <c r="BJ99" s="694"/>
      <c r="BK99" s="677"/>
      <c r="BL99" s="677"/>
    </row>
    <row r="100" spans="1:65" s="130" customFormat="1" ht="15" customHeight="1" x14ac:dyDescent="0.2">
      <c r="A100" s="332"/>
      <c r="C100" s="334"/>
      <c r="D100" s="193"/>
      <c r="E100" s="333"/>
      <c r="F100" s="194"/>
      <c r="G100" s="333"/>
      <c r="H100" s="193"/>
      <c r="I100" s="193"/>
      <c r="J100" s="193"/>
      <c r="K100" s="193"/>
      <c r="L100" s="194"/>
      <c r="M100" s="194"/>
      <c r="N100" s="195"/>
      <c r="O100" s="195"/>
      <c r="P100" s="196"/>
      <c r="Q100" s="197"/>
      <c r="R100" s="198"/>
      <c r="S100" s="322"/>
      <c r="T100" s="198"/>
      <c r="U100" s="198"/>
      <c r="V100" s="198"/>
      <c r="W100" s="198"/>
      <c r="X100" s="198"/>
      <c r="Y100" s="198"/>
      <c r="Z100" s="194"/>
      <c r="AA100" s="193"/>
      <c r="AB100" s="199"/>
      <c r="AC100" s="199"/>
      <c r="AD100" s="199"/>
      <c r="AE100" s="199"/>
      <c r="AF100" s="199"/>
      <c r="AG100" s="199"/>
      <c r="AH100" s="199"/>
      <c r="AI100" s="199"/>
      <c r="AJ100" s="193"/>
      <c r="AK100" s="193"/>
      <c r="AL100" s="193"/>
      <c r="AM100" s="193"/>
      <c r="AN100" s="193"/>
      <c r="AO100" s="193"/>
      <c r="AP100" s="193"/>
      <c r="AQ100" s="193"/>
      <c r="AR100" s="193"/>
      <c r="AS100" s="193"/>
      <c r="AT100" s="193"/>
      <c r="AU100" s="193"/>
      <c r="AV100" s="193"/>
      <c r="AW100" s="193"/>
      <c r="AX100" s="193"/>
      <c r="AY100" s="193"/>
      <c r="AZ100" s="193"/>
      <c r="BA100" s="193"/>
      <c r="BB100" s="193"/>
      <c r="BC100" s="193"/>
      <c r="BD100" s="193"/>
      <c r="BE100" s="193"/>
      <c r="BF100" s="677"/>
      <c r="BG100" s="193"/>
      <c r="BH100" s="193"/>
      <c r="BI100" s="193"/>
      <c r="BJ100" s="694"/>
      <c r="BK100" s="677"/>
      <c r="BL100" s="677"/>
    </row>
    <row r="101" spans="1:65" s="130" customFormat="1" ht="15" customHeight="1" x14ac:dyDescent="0.2">
      <c r="A101" s="332"/>
      <c r="C101" s="334"/>
      <c r="D101" s="193"/>
      <c r="E101" s="333"/>
      <c r="F101" s="194"/>
      <c r="G101" s="333"/>
      <c r="H101" s="193"/>
      <c r="I101" s="193"/>
      <c r="J101" s="193"/>
      <c r="K101" s="193"/>
      <c r="L101" s="194"/>
      <c r="M101" s="194"/>
      <c r="N101" s="195"/>
      <c r="O101" s="195"/>
      <c r="P101" s="196"/>
      <c r="Q101" s="197"/>
      <c r="R101" s="198"/>
      <c r="S101" s="322"/>
      <c r="T101" s="198"/>
      <c r="U101" s="198"/>
      <c r="V101" s="198"/>
      <c r="W101" s="198"/>
      <c r="X101" s="198"/>
      <c r="Y101" s="198"/>
      <c r="Z101" s="194"/>
      <c r="AA101" s="193"/>
      <c r="AB101" s="199"/>
      <c r="AC101" s="199"/>
      <c r="AD101" s="199"/>
      <c r="AE101" s="199"/>
      <c r="AF101" s="199"/>
      <c r="AG101" s="199"/>
      <c r="AH101" s="199"/>
      <c r="AI101" s="199"/>
      <c r="AJ101" s="193"/>
      <c r="AK101" s="193"/>
      <c r="AL101" s="193"/>
      <c r="AM101" s="193"/>
      <c r="AN101" s="193"/>
      <c r="AO101" s="193"/>
      <c r="AP101" s="193"/>
      <c r="AQ101" s="193"/>
      <c r="AR101" s="193"/>
      <c r="AS101" s="193"/>
      <c r="AT101" s="193"/>
      <c r="AU101" s="193"/>
      <c r="AV101" s="193"/>
      <c r="AW101" s="193"/>
      <c r="AX101" s="193"/>
      <c r="AY101" s="193"/>
      <c r="AZ101" s="193"/>
      <c r="BA101" s="193"/>
      <c r="BB101" s="193"/>
      <c r="BC101" s="193"/>
      <c r="BD101" s="193"/>
      <c r="BE101" s="193"/>
      <c r="BF101" s="677"/>
      <c r="BG101" s="193"/>
      <c r="BH101" s="193"/>
      <c r="BI101" s="193"/>
      <c r="BJ101" s="694"/>
      <c r="BK101" s="677"/>
      <c r="BL101" s="677"/>
    </row>
    <row r="102" spans="1:65" s="130" customFormat="1" ht="15" customHeight="1" x14ac:dyDescent="0.2">
      <c r="A102" s="332"/>
      <c r="C102" s="334"/>
      <c r="D102" s="193"/>
      <c r="E102" s="333"/>
      <c r="F102" s="194"/>
      <c r="G102" s="333"/>
      <c r="H102" s="193"/>
      <c r="I102" s="193"/>
      <c r="J102" s="193"/>
      <c r="K102" s="193"/>
      <c r="L102" s="194"/>
      <c r="M102" s="194"/>
      <c r="N102" s="195"/>
      <c r="O102" s="195"/>
      <c r="P102" s="196"/>
      <c r="Q102" s="197"/>
      <c r="R102" s="198"/>
      <c r="S102" s="322"/>
      <c r="T102" s="198"/>
      <c r="U102" s="198"/>
      <c r="V102" s="198"/>
      <c r="W102" s="198"/>
      <c r="X102" s="198"/>
      <c r="Y102" s="198"/>
      <c r="Z102" s="194"/>
      <c r="AA102" s="193"/>
      <c r="AB102" s="199"/>
      <c r="AC102" s="199"/>
      <c r="AD102" s="199"/>
      <c r="AE102" s="199"/>
      <c r="AF102" s="199"/>
      <c r="AG102" s="199"/>
      <c r="AH102" s="199"/>
      <c r="AI102" s="199"/>
      <c r="AJ102" s="193"/>
      <c r="AK102" s="193"/>
      <c r="AL102" s="193"/>
      <c r="AM102" s="193"/>
      <c r="AN102" s="193"/>
      <c r="AO102" s="193"/>
      <c r="AP102" s="193"/>
      <c r="AQ102" s="193"/>
      <c r="AR102" s="193"/>
      <c r="AS102" s="193"/>
      <c r="AT102" s="193"/>
      <c r="AU102" s="193"/>
      <c r="AV102" s="193"/>
      <c r="AW102" s="193"/>
      <c r="AX102" s="193"/>
      <c r="AY102" s="193"/>
      <c r="AZ102" s="193"/>
      <c r="BA102" s="193"/>
      <c r="BB102" s="193"/>
      <c r="BC102" s="193"/>
      <c r="BD102" s="193"/>
      <c r="BE102" s="193"/>
      <c r="BF102" s="677"/>
      <c r="BG102" s="193"/>
      <c r="BH102" s="193"/>
      <c r="BI102" s="193"/>
      <c r="BJ102" s="694"/>
      <c r="BK102" s="677"/>
      <c r="BL102" s="677"/>
    </row>
    <row r="103" spans="1:65" s="130" customFormat="1" ht="15" customHeight="1" x14ac:dyDescent="0.2">
      <c r="A103" s="332"/>
      <c r="C103" s="334"/>
      <c r="D103" s="193"/>
      <c r="E103" s="333"/>
      <c r="F103" s="194"/>
      <c r="G103" s="333"/>
      <c r="H103" s="193"/>
      <c r="I103" s="193"/>
      <c r="J103" s="193"/>
      <c r="K103" s="193"/>
      <c r="L103" s="194"/>
      <c r="M103" s="194"/>
      <c r="N103" s="195"/>
      <c r="O103" s="195"/>
      <c r="P103" s="196"/>
      <c r="Q103" s="197"/>
      <c r="R103" s="198"/>
      <c r="S103" s="322"/>
      <c r="T103" s="198"/>
      <c r="U103" s="198"/>
      <c r="V103" s="198"/>
      <c r="W103" s="198"/>
      <c r="X103" s="198"/>
      <c r="Y103" s="198"/>
      <c r="Z103" s="194"/>
      <c r="AA103" s="193"/>
      <c r="AB103" s="199"/>
      <c r="AC103" s="199"/>
      <c r="AD103" s="199"/>
      <c r="AE103" s="199"/>
      <c r="AF103" s="199"/>
      <c r="AG103" s="199"/>
      <c r="AH103" s="199"/>
      <c r="AI103" s="199"/>
      <c r="AJ103" s="193"/>
      <c r="AK103" s="193"/>
      <c r="AL103" s="193"/>
      <c r="AM103" s="193"/>
      <c r="AN103" s="193"/>
      <c r="AO103" s="193"/>
      <c r="AP103" s="193"/>
      <c r="AQ103" s="193"/>
      <c r="AR103" s="193"/>
      <c r="AS103" s="193"/>
      <c r="AT103" s="193"/>
      <c r="AU103" s="193"/>
      <c r="AV103" s="193"/>
      <c r="AW103" s="193"/>
      <c r="AX103" s="193"/>
      <c r="AY103" s="193"/>
      <c r="AZ103" s="193"/>
      <c r="BA103" s="193"/>
      <c r="BB103" s="193"/>
      <c r="BC103" s="193"/>
      <c r="BD103" s="193"/>
      <c r="BE103" s="193"/>
      <c r="BF103" s="677"/>
      <c r="BG103" s="193"/>
      <c r="BH103" s="193"/>
      <c r="BI103" s="193"/>
      <c r="BJ103" s="694"/>
      <c r="BK103" s="677"/>
      <c r="BL103" s="677"/>
    </row>
    <row r="104" spans="1:65" s="130" customFormat="1" ht="15" customHeight="1" x14ac:dyDescent="0.2">
      <c r="A104" s="332"/>
      <c r="C104" s="334"/>
      <c r="D104" s="193"/>
      <c r="E104" s="333"/>
      <c r="F104" s="194"/>
      <c r="G104" s="333"/>
      <c r="H104" s="193"/>
      <c r="I104" s="193"/>
      <c r="J104" s="193"/>
      <c r="K104" s="193"/>
      <c r="L104" s="194"/>
      <c r="M104" s="194"/>
      <c r="N104" s="195"/>
      <c r="O104" s="195"/>
      <c r="P104" s="196"/>
      <c r="Q104" s="197"/>
      <c r="R104" s="198"/>
      <c r="S104" s="322"/>
      <c r="T104" s="198"/>
      <c r="U104" s="198"/>
      <c r="V104" s="198"/>
      <c r="W104" s="198"/>
      <c r="X104" s="198"/>
      <c r="Y104" s="198"/>
      <c r="Z104" s="194"/>
      <c r="AA104" s="193"/>
      <c r="AB104" s="199"/>
      <c r="AC104" s="199"/>
      <c r="AD104" s="199"/>
      <c r="AE104" s="199"/>
      <c r="AF104" s="199"/>
      <c r="AG104" s="199"/>
      <c r="AH104" s="199"/>
      <c r="AI104" s="199"/>
      <c r="AJ104" s="193"/>
      <c r="AK104" s="193"/>
      <c r="AL104" s="193"/>
      <c r="AM104" s="193"/>
      <c r="AN104" s="193"/>
      <c r="AO104" s="193"/>
      <c r="AP104" s="193"/>
      <c r="AQ104" s="193"/>
      <c r="AR104" s="193"/>
      <c r="AS104" s="193"/>
      <c r="AT104" s="193"/>
      <c r="AU104" s="193"/>
      <c r="AV104" s="193"/>
      <c r="AW104" s="193"/>
      <c r="AX104" s="193"/>
      <c r="AY104" s="193"/>
      <c r="AZ104" s="193"/>
      <c r="BA104" s="193"/>
      <c r="BB104" s="193"/>
      <c r="BC104" s="193"/>
      <c r="BD104" s="193"/>
      <c r="BE104" s="193"/>
      <c r="BF104" s="677"/>
      <c r="BG104" s="193"/>
      <c r="BH104" s="193"/>
      <c r="BI104" s="193"/>
      <c r="BJ104" s="694"/>
      <c r="BK104" s="677"/>
      <c r="BL104" s="677"/>
    </row>
    <row r="105" spans="1:65" s="130" customFormat="1" ht="15" customHeight="1" x14ac:dyDescent="0.2">
      <c r="A105" s="332"/>
      <c r="C105" s="334"/>
      <c r="D105" s="193"/>
      <c r="E105" s="333"/>
      <c r="F105" s="194"/>
      <c r="G105" s="333"/>
      <c r="H105" s="193"/>
      <c r="I105" s="193"/>
      <c r="J105" s="193"/>
      <c r="K105" s="193"/>
      <c r="L105" s="194"/>
      <c r="M105" s="194"/>
      <c r="N105" s="195"/>
      <c r="O105" s="195"/>
      <c r="P105" s="196"/>
      <c r="Q105" s="197"/>
      <c r="R105" s="198"/>
      <c r="S105" s="322"/>
      <c r="T105" s="198"/>
      <c r="U105" s="198"/>
      <c r="V105" s="198"/>
      <c r="W105" s="198"/>
      <c r="X105" s="198"/>
      <c r="Y105" s="198"/>
      <c r="Z105" s="194"/>
      <c r="AA105" s="193"/>
      <c r="AB105" s="199"/>
      <c r="AC105" s="199"/>
      <c r="AD105" s="199"/>
      <c r="AE105" s="199"/>
      <c r="AF105" s="199"/>
      <c r="AG105" s="199"/>
      <c r="AH105" s="199"/>
      <c r="AI105" s="199"/>
      <c r="AJ105" s="193"/>
      <c r="AK105" s="193"/>
      <c r="AL105" s="193"/>
      <c r="AM105" s="193"/>
      <c r="AN105" s="193"/>
      <c r="AO105" s="193"/>
      <c r="AP105" s="193"/>
      <c r="AQ105" s="193"/>
      <c r="AR105" s="193"/>
      <c r="AS105" s="193"/>
      <c r="AT105" s="193"/>
      <c r="AU105" s="193"/>
      <c r="AV105" s="193"/>
      <c r="AW105" s="193"/>
      <c r="AX105" s="193"/>
      <c r="AY105" s="193"/>
      <c r="AZ105" s="193"/>
      <c r="BA105" s="193"/>
      <c r="BB105" s="193"/>
      <c r="BC105" s="193"/>
      <c r="BD105" s="193"/>
      <c r="BE105" s="193"/>
      <c r="BF105" s="677"/>
      <c r="BG105" s="193"/>
      <c r="BH105" s="193"/>
      <c r="BI105" s="193"/>
      <c r="BJ105" s="694"/>
      <c r="BK105" s="677"/>
      <c r="BL105" s="677"/>
    </row>
    <row r="106" spans="1:65" s="130" customFormat="1" ht="15" customHeight="1" x14ac:dyDescent="0.2">
      <c r="A106" s="332"/>
      <c r="C106" s="334"/>
      <c r="D106" s="193"/>
      <c r="E106" s="333"/>
      <c r="F106" s="194"/>
      <c r="G106" s="333"/>
      <c r="H106" s="193"/>
      <c r="I106" s="193"/>
      <c r="J106" s="193"/>
      <c r="K106" s="193"/>
      <c r="L106" s="194"/>
      <c r="M106" s="194"/>
      <c r="N106" s="195"/>
      <c r="O106" s="195"/>
      <c r="P106" s="196"/>
      <c r="Q106" s="197"/>
      <c r="R106" s="198"/>
      <c r="S106" s="322"/>
      <c r="T106" s="198"/>
      <c r="U106" s="198"/>
      <c r="V106" s="198"/>
      <c r="W106" s="198"/>
      <c r="X106" s="198"/>
      <c r="Y106" s="198"/>
      <c r="Z106" s="194"/>
      <c r="AA106" s="193"/>
      <c r="AB106" s="199"/>
      <c r="AC106" s="199"/>
      <c r="AD106" s="199"/>
      <c r="AE106" s="199"/>
      <c r="AF106" s="199"/>
      <c r="AG106" s="199"/>
      <c r="AH106" s="199"/>
      <c r="AI106" s="199"/>
      <c r="AJ106" s="193"/>
      <c r="AK106" s="193"/>
      <c r="AL106" s="193"/>
      <c r="AM106" s="193"/>
      <c r="AN106" s="193"/>
      <c r="AO106" s="193"/>
      <c r="AP106" s="193"/>
      <c r="AQ106" s="193"/>
      <c r="AR106" s="193"/>
      <c r="AS106" s="193"/>
      <c r="AT106" s="193"/>
      <c r="AU106" s="193"/>
      <c r="AV106" s="193"/>
      <c r="AW106" s="193"/>
      <c r="AX106" s="193"/>
      <c r="AY106" s="193"/>
      <c r="AZ106" s="193"/>
      <c r="BA106" s="193"/>
      <c r="BB106" s="193"/>
      <c r="BC106" s="193"/>
      <c r="BD106" s="193"/>
      <c r="BE106" s="193"/>
      <c r="BF106" s="677"/>
      <c r="BG106" s="193"/>
      <c r="BH106" s="193"/>
      <c r="BI106" s="193"/>
      <c r="BJ106" s="694"/>
      <c r="BK106" s="677"/>
      <c r="BL106" s="677"/>
    </row>
    <row r="107" spans="1:65" s="130" customFormat="1" ht="15" customHeight="1" x14ac:dyDescent="0.2">
      <c r="A107" s="332"/>
      <c r="C107" s="334"/>
      <c r="D107" s="193"/>
      <c r="E107" s="333"/>
      <c r="F107" s="194"/>
      <c r="G107" s="333"/>
      <c r="H107" s="193"/>
      <c r="I107" s="193"/>
      <c r="J107" s="193"/>
      <c r="K107" s="193"/>
      <c r="L107" s="194"/>
      <c r="M107" s="194"/>
      <c r="N107" s="195"/>
      <c r="O107" s="195"/>
      <c r="P107" s="196"/>
      <c r="Q107" s="197"/>
      <c r="R107" s="198"/>
      <c r="S107" s="322"/>
      <c r="T107" s="198"/>
      <c r="U107" s="198"/>
      <c r="V107" s="198"/>
      <c r="W107" s="198"/>
      <c r="X107" s="198"/>
      <c r="Y107" s="198"/>
      <c r="Z107" s="194"/>
      <c r="AA107" s="193"/>
      <c r="AB107" s="199"/>
      <c r="AC107" s="199"/>
      <c r="AD107" s="199"/>
      <c r="AE107" s="199"/>
      <c r="AF107" s="199"/>
      <c r="AG107" s="199"/>
      <c r="AH107" s="199"/>
      <c r="AI107" s="199"/>
      <c r="AJ107" s="193"/>
      <c r="AK107" s="193"/>
      <c r="AL107" s="193"/>
      <c r="AM107" s="193"/>
      <c r="AN107" s="193"/>
      <c r="AO107" s="193"/>
      <c r="AP107" s="193"/>
      <c r="AQ107" s="193"/>
      <c r="AR107" s="193"/>
      <c r="AS107" s="193"/>
      <c r="AT107" s="193"/>
      <c r="AU107" s="193"/>
      <c r="AV107" s="193"/>
      <c r="AW107" s="193"/>
      <c r="AX107" s="193"/>
      <c r="AY107" s="193"/>
      <c r="AZ107" s="193"/>
      <c r="BA107" s="193"/>
      <c r="BB107" s="193"/>
      <c r="BC107" s="193"/>
      <c r="BD107" s="193"/>
      <c r="BE107" s="193"/>
      <c r="BF107" s="677"/>
      <c r="BG107" s="193"/>
      <c r="BH107" s="193"/>
      <c r="BI107" s="193"/>
      <c r="BJ107" s="694"/>
      <c r="BK107" s="677"/>
      <c r="BL107" s="677"/>
    </row>
    <row r="108" spans="1:65" s="130" customFormat="1" ht="15" customHeight="1" x14ac:dyDescent="0.2">
      <c r="A108" s="332"/>
      <c r="C108" s="334"/>
      <c r="D108" s="193"/>
      <c r="E108" s="333"/>
      <c r="F108" s="194"/>
      <c r="G108" s="333"/>
      <c r="H108" s="193" t="s">
        <v>2407</v>
      </c>
      <c r="I108" s="193"/>
      <c r="J108" s="193"/>
      <c r="K108" s="193"/>
      <c r="L108" s="194"/>
      <c r="M108" s="194"/>
      <c r="N108" s="195"/>
      <c r="O108" s="195"/>
      <c r="P108" s="196"/>
      <c r="Q108" s="197"/>
      <c r="R108" s="198"/>
      <c r="S108" s="322"/>
      <c r="T108" s="198"/>
      <c r="U108" s="198"/>
      <c r="V108" s="198"/>
      <c r="W108" s="198"/>
      <c r="X108" s="198"/>
      <c r="Y108" s="198"/>
      <c r="Z108" s="194"/>
      <c r="AA108" s="193" t="s">
        <v>2408</v>
      </c>
      <c r="AB108" s="199"/>
      <c r="AC108" s="199"/>
      <c r="AD108" s="199"/>
      <c r="AE108" s="199"/>
      <c r="AF108" s="199">
        <v>27</v>
      </c>
      <c r="AG108" s="199"/>
      <c r="AH108" s="199"/>
      <c r="AI108" s="199"/>
      <c r="AJ108" s="193"/>
      <c r="AK108" s="193"/>
      <c r="AL108" s="193"/>
      <c r="AM108" s="193"/>
      <c r="AN108" s="193"/>
      <c r="AO108" s="193"/>
      <c r="AP108" s="193"/>
      <c r="AQ108" s="193"/>
      <c r="AR108" s="193"/>
      <c r="AS108" s="193"/>
      <c r="AT108" s="193"/>
      <c r="AU108" s="193"/>
      <c r="AV108" s="193"/>
      <c r="AW108" s="193"/>
      <c r="AX108" s="193"/>
      <c r="AY108" s="193"/>
      <c r="AZ108" s="193"/>
      <c r="BA108" s="193"/>
      <c r="BB108" s="193"/>
      <c r="BC108" s="193"/>
      <c r="BD108" s="193"/>
      <c r="BE108" s="193"/>
      <c r="BF108" s="677"/>
      <c r="BG108" s="193"/>
      <c r="BH108" s="193"/>
      <c r="BI108" s="193"/>
      <c r="BJ108" s="694"/>
      <c r="BK108" s="677"/>
      <c r="BL108" s="677"/>
    </row>
    <row r="109" spans="1:65" s="130" customFormat="1" ht="15" customHeight="1" x14ac:dyDescent="0.2">
      <c r="C109" s="192"/>
      <c r="D109" s="193"/>
      <c r="E109" s="193"/>
      <c r="F109" s="194"/>
      <c r="G109" s="194"/>
      <c r="H109" s="194"/>
      <c r="I109" s="193"/>
      <c r="J109" s="193"/>
      <c r="K109" s="193"/>
      <c r="L109" s="193"/>
      <c r="M109" s="194"/>
      <c r="N109" s="194"/>
      <c r="O109" s="194"/>
      <c r="P109" s="195"/>
      <c r="Q109" s="196"/>
      <c r="R109" s="197"/>
      <c r="S109" s="198"/>
      <c r="T109" s="322"/>
      <c r="U109" s="198"/>
      <c r="V109" s="198"/>
      <c r="W109" s="198"/>
      <c r="X109" s="198"/>
      <c r="Y109" s="198"/>
      <c r="Z109" s="198"/>
      <c r="AA109" s="194"/>
      <c r="AB109" s="193"/>
      <c r="AC109" s="199"/>
      <c r="AD109" s="199"/>
      <c r="AE109" s="199"/>
      <c r="AF109" s="199">
        <f>SUBTOTAL(9,AF108)/3</f>
        <v>9</v>
      </c>
      <c r="AG109" s="199">
        <f>9*5</f>
        <v>45</v>
      </c>
      <c r="AH109" s="199"/>
      <c r="AI109" s="199"/>
      <c r="AJ109" s="199"/>
      <c r="AK109" s="199"/>
      <c r="AL109" s="193"/>
      <c r="AM109" s="193"/>
      <c r="AN109" s="193"/>
      <c r="AO109" s="193"/>
      <c r="AP109" s="193"/>
      <c r="AQ109" s="193"/>
      <c r="AR109" s="193"/>
      <c r="AS109" s="193"/>
      <c r="AT109" s="193"/>
      <c r="AU109" s="193"/>
      <c r="AV109" s="193"/>
      <c r="AW109" s="193"/>
      <c r="AX109" s="193"/>
      <c r="AY109" s="193"/>
      <c r="AZ109" s="193"/>
      <c r="BA109" s="193"/>
      <c r="BB109" s="193"/>
      <c r="BC109" s="193"/>
      <c r="BD109" s="193"/>
      <c r="BE109" s="193"/>
      <c r="BF109" s="677"/>
      <c r="BG109" s="193"/>
      <c r="BH109" s="193"/>
      <c r="BI109" s="193"/>
      <c r="BJ109" s="694"/>
      <c r="BK109" s="677"/>
      <c r="BL109" s="677"/>
      <c r="BM109" s="193"/>
    </row>
    <row r="110" spans="1:65" s="130" customFormat="1" ht="15" customHeight="1" x14ac:dyDescent="0.2">
      <c r="C110" s="192"/>
      <c r="D110" s="193"/>
      <c r="E110" s="194"/>
      <c r="F110" s="194"/>
      <c r="G110" s="194"/>
      <c r="H110" s="193"/>
      <c r="I110" s="193"/>
      <c r="J110" s="193"/>
      <c r="K110" s="193"/>
      <c r="L110" s="194"/>
      <c r="M110" s="194"/>
      <c r="N110" s="195"/>
      <c r="O110" s="195"/>
      <c r="P110" s="196"/>
      <c r="Q110" s="197"/>
      <c r="R110" s="198"/>
      <c r="S110" s="322"/>
      <c r="T110" s="198"/>
      <c r="U110" s="198"/>
      <c r="V110" s="198"/>
      <c r="W110" s="198"/>
      <c r="X110" s="198"/>
      <c r="Y110" s="198"/>
      <c r="Z110" s="194"/>
      <c r="AA110" s="193"/>
      <c r="AB110" s="199"/>
      <c r="AC110" s="199"/>
      <c r="AD110" s="199"/>
      <c r="AE110" s="199"/>
      <c r="AF110" s="199">
        <f>SUBTOTAL(9,AF109)*5</f>
        <v>0</v>
      </c>
      <c r="AG110" s="199"/>
      <c r="AH110" s="199"/>
      <c r="AI110" s="199"/>
      <c r="AJ110" s="193"/>
      <c r="AK110" s="193"/>
      <c r="AL110" s="193"/>
      <c r="AM110" s="193"/>
      <c r="AN110" s="193"/>
      <c r="AO110" s="193"/>
      <c r="AP110" s="193"/>
      <c r="AQ110" s="193"/>
      <c r="AR110" s="193"/>
      <c r="AS110" s="193"/>
      <c r="AT110" s="193"/>
      <c r="AU110" s="193"/>
      <c r="AV110" s="193"/>
      <c r="AW110" s="193"/>
      <c r="AX110" s="193"/>
      <c r="AY110" s="193"/>
      <c r="AZ110" s="193"/>
      <c r="BA110" s="193"/>
      <c r="BB110" s="193"/>
      <c r="BC110" s="193"/>
      <c r="BD110" s="193"/>
      <c r="BE110" s="193"/>
      <c r="BF110" s="677"/>
      <c r="BG110" s="193"/>
      <c r="BH110" s="193"/>
      <c r="BI110" s="193"/>
      <c r="BJ110" s="694"/>
      <c r="BK110" s="677"/>
      <c r="BL110" s="677"/>
    </row>
    <row r="111" spans="1:65" s="130" customFormat="1" ht="15" customHeight="1" x14ac:dyDescent="0.2">
      <c r="C111" s="192"/>
      <c r="D111" s="193"/>
      <c r="E111" s="194"/>
      <c r="F111" s="194"/>
      <c r="G111" s="194"/>
      <c r="H111" s="193"/>
      <c r="I111" s="193"/>
      <c r="J111" s="193"/>
      <c r="K111" s="193"/>
      <c r="L111" s="194"/>
      <c r="M111" s="194"/>
      <c r="N111" s="195"/>
      <c r="O111" s="195"/>
      <c r="P111" s="196"/>
      <c r="Q111" s="197"/>
      <c r="R111" s="198"/>
      <c r="S111" s="322"/>
      <c r="T111" s="198"/>
      <c r="U111" s="198"/>
      <c r="V111" s="198"/>
      <c r="W111" s="198"/>
      <c r="X111" s="198"/>
      <c r="Y111" s="198"/>
      <c r="Z111" s="194"/>
      <c r="AA111" s="193"/>
      <c r="AB111" s="199"/>
      <c r="AC111" s="199"/>
      <c r="AD111" s="199"/>
      <c r="AE111" s="199"/>
      <c r="AF111" s="199"/>
      <c r="AG111" s="199"/>
      <c r="AH111" s="831">
        <f>AF108/AG109</f>
        <v>0.6</v>
      </c>
      <c r="AI111" s="199"/>
      <c r="AJ111" s="193"/>
      <c r="AK111" s="193"/>
      <c r="AL111" s="193"/>
      <c r="AM111" s="193"/>
      <c r="AN111" s="193"/>
      <c r="AO111" s="193"/>
      <c r="AP111" s="193"/>
      <c r="AQ111" s="193"/>
      <c r="AR111" s="193"/>
      <c r="AS111" s="193"/>
      <c r="AT111" s="193"/>
      <c r="AU111" s="193"/>
      <c r="AV111" s="193"/>
      <c r="AW111" s="193"/>
      <c r="AX111" s="193"/>
      <c r="AY111" s="193"/>
      <c r="AZ111" s="193"/>
      <c r="BA111" s="193"/>
      <c r="BB111" s="193"/>
      <c r="BC111" s="193"/>
      <c r="BD111" s="193"/>
      <c r="BE111" s="193"/>
      <c r="BF111" s="677"/>
      <c r="BG111" s="193"/>
      <c r="BH111" s="193"/>
      <c r="BI111" s="193"/>
      <c r="BJ111" s="694"/>
      <c r="BK111" s="677"/>
      <c r="BL111" s="677"/>
    </row>
    <row r="112" spans="1:65" s="209" customFormat="1" ht="17.45" customHeight="1" x14ac:dyDescent="0.2">
      <c r="C112" s="200"/>
      <c r="D112" s="201"/>
      <c r="E112" s="202"/>
      <c r="F112" s="203"/>
      <c r="G112" s="202"/>
      <c r="H112" s="201"/>
      <c r="I112" s="201"/>
      <c r="J112" s="201"/>
      <c r="K112" s="201"/>
      <c r="L112" s="202"/>
      <c r="M112" s="204"/>
      <c r="N112" s="205"/>
      <c r="O112" s="205"/>
      <c r="P112" s="206"/>
      <c r="Q112" s="207"/>
      <c r="R112" s="201"/>
      <c r="S112" s="323"/>
      <c r="T112" s="201"/>
      <c r="U112" s="201"/>
      <c r="V112" s="208"/>
      <c r="W112" s="201"/>
      <c r="X112" s="201"/>
      <c r="Y112" s="201"/>
      <c r="Z112" s="202"/>
      <c r="AC112" s="210"/>
      <c r="AD112" s="399"/>
      <c r="AE112" s="324"/>
      <c r="AF112" s="211"/>
      <c r="AG112" s="211"/>
      <c r="AH112" s="211"/>
      <c r="AI112" s="211"/>
      <c r="AO112" s="254"/>
      <c r="AP112" s="254"/>
      <c r="BA112" s="324"/>
      <c r="BF112" s="684"/>
      <c r="BJ112" s="695"/>
      <c r="BK112" s="684"/>
      <c r="BL112" s="684"/>
    </row>
    <row r="113" spans="3:64" s="209" customFormat="1" x14ac:dyDescent="0.2">
      <c r="C113" s="200"/>
      <c r="D113" s="201"/>
      <c r="E113" s="202"/>
      <c r="F113" s="202"/>
      <c r="G113" s="202"/>
      <c r="H113" s="171"/>
      <c r="I113" s="171"/>
      <c r="J113" s="171"/>
      <c r="K113" s="100"/>
      <c r="L113" s="212"/>
      <c r="M113" s="213"/>
      <c r="N113" s="172"/>
      <c r="O113" s="172"/>
      <c r="P113" s="214"/>
      <c r="Q113" s="207"/>
      <c r="R113" s="201"/>
      <c r="S113" s="201"/>
      <c r="T113" s="201"/>
      <c r="U113" s="201"/>
      <c r="V113" s="208"/>
      <c r="W113" s="205" t="s">
        <v>2065</v>
      </c>
      <c r="X113" s="205"/>
      <c r="Y113" s="201"/>
      <c r="Z113" s="215"/>
      <c r="AA113" s="216"/>
      <c r="AB113" s="216"/>
      <c r="AC113" s="210"/>
      <c r="AD113" s="399"/>
      <c r="AE113" s="324"/>
      <c r="AF113" s="210"/>
      <c r="AG113" s="210"/>
      <c r="AH113" s="210"/>
      <c r="AI113" s="210"/>
      <c r="AO113" s="254"/>
      <c r="AP113" s="254"/>
      <c r="BA113" s="324"/>
      <c r="BF113" s="684"/>
      <c r="BJ113" s="695"/>
      <c r="BK113" s="684"/>
      <c r="BL113" s="684"/>
    </row>
    <row r="114" spans="3:64" s="209" customFormat="1" ht="12.75" customHeight="1" thickBot="1" x14ac:dyDescent="0.25">
      <c r="C114" s="201"/>
      <c r="D114" s="201"/>
      <c r="E114" s="202"/>
      <c r="F114" s="217"/>
      <c r="G114" s="202"/>
      <c r="H114" s="171"/>
      <c r="I114" s="171"/>
      <c r="J114" s="171"/>
      <c r="K114" s="100"/>
      <c r="L114" s="212"/>
      <c r="M114" s="213"/>
      <c r="N114" s="172"/>
      <c r="O114" s="172"/>
      <c r="P114" s="206"/>
      <c r="Q114" s="207"/>
      <c r="R114" s="201"/>
      <c r="S114" s="201"/>
      <c r="T114" s="201"/>
      <c r="U114" s="201"/>
      <c r="V114" s="208"/>
      <c r="W114" s="201"/>
      <c r="X114" s="201"/>
      <c r="Y114" s="201"/>
      <c r="Z114" s="202"/>
      <c r="AC114" s="210"/>
      <c r="AD114" s="399"/>
      <c r="AE114" s="324"/>
      <c r="AF114" s="210"/>
      <c r="AG114" s="210"/>
      <c r="AH114" s="210"/>
      <c r="AI114" s="210"/>
      <c r="AO114" s="254"/>
      <c r="AP114" s="254"/>
      <c r="BA114" s="324"/>
      <c r="BF114" s="684"/>
      <c r="BJ114" s="695"/>
      <c r="BK114" s="684"/>
      <c r="BL114" s="684"/>
    </row>
    <row r="115" spans="3:64" s="209" customFormat="1" ht="12.75" customHeight="1" x14ac:dyDescent="0.2">
      <c r="C115" s="171"/>
      <c r="D115" s="201"/>
      <c r="E115" s="202"/>
      <c r="F115" s="217"/>
      <c r="G115" s="202"/>
      <c r="H115" s="171"/>
      <c r="I115" s="171"/>
      <c r="J115" s="171"/>
      <c r="K115" s="100"/>
      <c r="L115" s="212"/>
      <c r="M115" s="213"/>
      <c r="N115" s="172"/>
      <c r="O115" s="172"/>
      <c r="P115" s="206"/>
      <c r="Q115" s="201"/>
      <c r="R115" s="201"/>
      <c r="S115" s="201"/>
      <c r="T115" s="201"/>
      <c r="U115" s="201"/>
      <c r="V115" s="208"/>
      <c r="W115" s="218" t="s">
        <v>2066</v>
      </c>
      <c r="X115" s="219"/>
      <c r="Y115" s="201"/>
      <c r="Z115" s="220"/>
      <c r="AA115" s="221" t="s">
        <v>2067</v>
      </c>
      <c r="AB115" s="222"/>
      <c r="AC115" s="223"/>
      <c r="AD115" s="324"/>
      <c r="AE115" s="324"/>
      <c r="AO115" s="254"/>
      <c r="AP115" s="254"/>
      <c r="BA115" s="324"/>
      <c r="BF115" s="684"/>
      <c r="BJ115" s="695"/>
      <c r="BK115" s="684"/>
      <c r="BL115" s="684"/>
    </row>
    <row r="116" spans="3:64" s="209" customFormat="1" ht="12.75" customHeight="1" x14ac:dyDescent="0.2">
      <c r="C116" s="171"/>
      <c r="D116" s="201"/>
      <c r="E116" s="202"/>
      <c r="F116" s="217"/>
      <c r="G116" s="202"/>
      <c r="H116" s="171"/>
      <c r="I116" s="171"/>
      <c r="J116" s="171"/>
      <c r="K116" s="100"/>
      <c r="L116" s="212"/>
      <c r="M116" s="213"/>
      <c r="N116" s="172"/>
      <c r="O116" s="172"/>
      <c r="P116" s="206"/>
      <c r="Q116" s="201"/>
      <c r="R116" s="201"/>
      <c r="S116" s="201"/>
      <c r="T116" s="201"/>
      <c r="U116" s="201"/>
      <c r="V116" s="208"/>
      <c r="W116" s="224" t="s">
        <v>1866</v>
      </c>
      <c r="X116" s="225"/>
      <c r="Y116" s="201"/>
      <c r="Z116" s="226"/>
      <c r="AA116" s="227" t="s">
        <v>1866</v>
      </c>
      <c r="AB116" s="228"/>
      <c r="AC116" s="223"/>
      <c r="AD116" s="324"/>
      <c r="AE116" s="324"/>
      <c r="AO116" s="254"/>
      <c r="AP116" s="254"/>
      <c r="BA116" s="324"/>
      <c r="BF116" s="684"/>
      <c r="BJ116" s="695"/>
      <c r="BK116" s="684"/>
      <c r="BL116" s="684"/>
    </row>
    <row r="117" spans="3:64" s="209" customFormat="1" ht="12.75" customHeight="1" x14ac:dyDescent="0.2">
      <c r="C117" s="171"/>
      <c r="D117" s="201"/>
      <c r="E117" s="202"/>
      <c r="F117" s="217"/>
      <c r="G117" s="202"/>
      <c r="H117" s="171"/>
      <c r="I117" s="171"/>
      <c r="J117" s="171"/>
      <c r="K117" s="100"/>
      <c r="L117" s="212"/>
      <c r="M117" s="213"/>
      <c r="N117" s="172"/>
      <c r="O117" s="172"/>
      <c r="P117" s="206"/>
      <c r="Q117" s="201"/>
      <c r="R117" s="201"/>
      <c r="S117" s="201"/>
      <c r="T117" s="201"/>
      <c r="U117" s="201"/>
      <c r="V117" s="208"/>
      <c r="W117" s="229" t="s">
        <v>1867</v>
      </c>
      <c r="X117" s="225"/>
      <c r="Y117" s="201"/>
      <c r="Z117" s="226"/>
      <c r="AA117" s="230" t="s">
        <v>2068</v>
      </c>
      <c r="AB117" s="231"/>
      <c r="AC117" s="223"/>
      <c r="AD117" s="324"/>
      <c r="AE117" s="324"/>
      <c r="AO117" s="254"/>
      <c r="AP117" s="254"/>
      <c r="BA117" s="324"/>
      <c r="BF117" s="684"/>
      <c r="BJ117" s="695"/>
      <c r="BK117" s="684"/>
      <c r="BL117" s="684"/>
    </row>
    <row r="118" spans="3:64" s="209" customFormat="1" ht="12.75" customHeight="1" x14ac:dyDescent="0.2">
      <c r="C118" s="171"/>
      <c r="D118" s="201"/>
      <c r="E118" s="202"/>
      <c r="F118" s="217"/>
      <c r="G118" s="202"/>
      <c r="H118" s="171"/>
      <c r="I118" s="171"/>
      <c r="J118" s="171"/>
      <c r="K118" s="100"/>
      <c r="L118" s="212"/>
      <c r="M118" s="213"/>
      <c r="N118" s="172"/>
      <c r="O118" s="172"/>
      <c r="P118" s="206"/>
      <c r="Q118" s="201"/>
      <c r="R118" s="201"/>
      <c r="S118" s="201"/>
      <c r="T118" s="201"/>
      <c r="U118" s="201"/>
      <c r="V118" s="208"/>
      <c r="W118" s="224" t="s">
        <v>1869</v>
      </c>
      <c r="X118" s="225"/>
      <c r="Y118" s="201"/>
      <c r="Z118" s="226"/>
      <c r="AA118" s="230" t="s">
        <v>1869</v>
      </c>
      <c r="AB118" s="232"/>
      <c r="AC118" s="223"/>
      <c r="AD118" s="324"/>
      <c r="AE118" s="324"/>
      <c r="AO118" s="254"/>
      <c r="AP118" s="254"/>
      <c r="BA118" s="324"/>
      <c r="BF118" s="684"/>
      <c r="BJ118" s="695"/>
      <c r="BK118" s="684"/>
      <c r="BL118" s="684"/>
    </row>
    <row r="119" spans="3:64" s="209" customFormat="1" ht="12.75" customHeight="1" thickBot="1" x14ac:dyDescent="0.25">
      <c r="C119" s="171"/>
      <c r="D119" s="201"/>
      <c r="E119" s="202"/>
      <c r="F119" s="217"/>
      <c r="G119" s="202"/>
      <c r="H119" s="171"/>
      <c r="I119" s="171"/>
      <c r="J119" s="171"/>
      <c r="K119" s="100"/>
      <c r="L119" s="212"/>
      <c r="M119" s="213"/>
      <c r="N119" s="172"/>
      <c r="O119" s="172"/>
      <c r="P119" s="206"/>
      <c r="Q119" s="201"/>
      <c r="R119" s="201"/>
      <c r="S119" s="201"/>
      <c r="T119" s="201"/>
      <c r="U119" s="201"/>
      <c r="V119" s="208"/>
      <c r="W119" s="233" t="s">
        <v>2069</v>
      </c>
      <c r="X119" s="234"/>
      <c r="Y119" s="201"/>
      <c r="Z119" s="235"/>
      <c r="AA119" s="236" t="s">
        <v>2070</v>
      </c>
      <c r="AB119" s="237"/>
      <c r="AC119" s="223"/>
      <c r="AD119" s="324"/>
      <c r="AE119" s="324"/>
      <c r="AO119" s="254"/>
      <c r="AP119" s="254"/>
      <c r="BA119" s="324"/>
      <c r="BF119" s="684"/>
      <c r="BJ119" s="695"/>
      <c r="BK119" s="684"/>
      <c r="BL119" s="684"/>
    </row>
    <row r="120" spans="3:64" s="209" customFormat="1" ht="12.75" customHeight="1" thickBot="1" x14ac:dyDescent="0.25">
      <c r="C120" s="171"/>
      <c r="D120" s="201"/>
      <c r="E120" s="202"/>
      <c r="F120" s="217"/>
      <c r="G120" s="202"/>
      <c r="H120" s="171"/>
      <c r="I120" s="171"/>
      <c r="J120" s="171"/>
      <c r="K120" s="100"/>
      <c r="L120" s="212"/>
      <c r="M120" s="213"/>
      <c r="N120" s="172"/>
      <c r="O120" s="172"/>
      <c r="P120" s="206"/>
      <c r="Q120" s="201"/>
      <c r="R120" s="201"/>
      <c r="S120" s="201"/>
      <c r="T120" s="201"/>
      <c r="U120" s="201"/>
      <c r="V120" s="208"/>
      <c r="W120" s="225"/>
      <c r="X120" s="225"/>
      <c r="Y120" s="201"/>
      <c r="Z120" s="226"/>
      <c r="AA120" s="238"/>
      <c r="AB120" s="239"/>
      <c r="AC120" s="223"/>
      <c r="AD120" s="324"/>
      <c r="AE120" s="324"/>
      <c r="AO120" s="254"/>
      <c r="AP120" s="254"/>
      <c r="BA120" s="324"/>
      <c r="BF120" s="684"/>
      <c r="BJ120" s="695"/>
      <c r="BK120" s="684"/>
      <c r="BL120" s="684"/>
    </row>
    <row r="121" spans="3:64" s="209" customFormat="1" ht="12.75" customHeight="1" thickBot="1" x14ac:dyDescent="0.25">
      <c r="C121" s="171"/>
      <c r="D121" s="201"/>
      <c r="E121" s="202"/>
      <c r="F121" s="217"/>
      <c r="G121" s="202"/>
      <c r="H121" s="171"/>
      <c r="I121" s="171"/>
      <c r="J121" s="171"/>
      <c r="K121" s="100"/>
      <c r="L121" s="212"/>
      <c r="M121" s="213"/>
      <c r="N121" s="172"/>
      <c r="O121" s="172"/>
      <c r="P121" s="206"/>
      <c r="Q121" s="201"/>
      <c r="R121" s="201"/>
      <c r="S121" s="201"/>
      <c r="T121" s="201"/>
      <c r="U121" s="201"/>
      <c r="V121" s="208"/>
      <c r="W121" s="240" t="s">
        <v>2071</v>
      </c>
      <c r="X121" s="240"/>
      <c r="Y121" s="201"/>
      <c r="Z121" s="241"/>
      <c r="AA121" s="242">
        <v>472.77</v>
      </c>
      <c r="AB121" s="243" t="s">
        <v>2072</v>
      </c>
      <c r="AC121" s="223"/>
      <c r="AD121" s="324"/>
      <c r="AE121" s="324"/>
      <c r="AO121" s="254"/>
      <c r="AP121" s="254"/>
      <c r="BA121" s="324"/>
      <c r="BF121" s="684"/>
      <c r="BJ121" s="695"/>
      <c r="BK121" s="684"/>
      <c r="BL121" s="684"/>
    </row>
    <row r="122" spans="3:64" s="209" customFormat="1" ht="12.75" customHeight="1" x14ac:dyDescent="0.2">
      <c r="C122" s="171"/>
      <c r="D122" s="201"/>
      <c r="E122" s="202"/>
      <c r="F122" s="217"/>
      <c r="G122" s="202"/>
      <c r="H122" s="171"/>
      <c r="I122" s="171"/>
      <c r="J122" s="171"/>
      <c r="K122" s="100"/>
      <c r="L122" s="212"/>
      <c r="M122" s="213"/>
      <c r="N122" s="172"/>
      <c r="O122" s="172"/>
      <c r="P122" s="206"/>
      <c r="Q122" s="201"/>
      <c r="R122" s="201"/>
      <c r="S122" s="201"/>
      <c r="T122" s="201"/>
      <c r="U122" s="201"/>
      <c r="V122" s="208"/>
      <c r="W122" s="201"/>
      <c r="X122" s="201"/>
      <c r="Y122" s="201"/>
      <c r="Z122" s="202"/>
      <c r="AC122" s="223"/>
      <c r="AD122" s="324"/>
      <c r="AE122" s="324"/>
      <c r="AO122" s="254"/>
      <c r="AP122" s="254"/>
      <c r="BA122" s="324"/>
      <c r="BF122" s="684"/>
      <c r="BJ122" s="695"/>
      <c r="BK122" s="684"/>
      <c r="BL122" s="684"/>
    </row>
    <row r="123" spans="3:64" s="209" customFormat="1" ht="12.75" customHeight="1" x14ac:dyDescent="0.2">
      <c r="C123" s="171"/>
      <c r="D123" s="201"/>
      <c r="E123" s="202"/>
      <c r="F123" s="217"/>
      <c r="G123" s="202"/>
      <c r="H123" s="171"/>
      <c r="I123" s="171"/>
      <c r="J123" s="171"/>
      <c r="K123" s="100"/>
      <c r="L123" s="212"/>
      <c r="M123" s="213"/>
      <c r="N123" s="172"/>
      <c r="O123" s="172"/>
      <c r="P123" s="206"/>
      <c r="Q123" s="201"/>
      <c r="R123" s="201"/>
      <c r="S123" s="201"/>
      <c r="T123" s="201"/>
      <c r="U123" s="201"/>
      <c r="V123" s="208"/>
      <c r="W123" s="201"/>
      <c r="X123" s="201"/>
      <c r="Y123" s="201"/>
      <c r="Z123" s="202"/>
      <c r="AC123" s="223"/>
      <c r="AD123" s="324"/>
      <c r="AE123" s="324"/>
      <c r="AO123" s="254"/>
      <c r="AP123" s="254"/>
      <c r="BA123" s="324"/>
      <c r="BF123" s="684"/>
      <c r="BJ123" s="695"/>
      <c r="BK123" s="684"/>
      <c r="BL123" s="684"/>
    </row>
    <row r="124" spans="3:64" s="209" customFormat="1" ht="12.75" customHeight="1" x14ac:dyDescent="0.2">
      <c r="C124" s="171"/>
      <c r="D124" s="201"/>
      <c r="E124" s="202"/>
      <c r="F124" s="217"/>
      <c r="G124" s="202"/>
      <c r="H124" s="171"/>
      <c r="I124" s="171"/>
      <c r="J124" s="171"/>
      <c r="K124" s="100"/>
      <c r="L124" s="212"/>
      <c r="M124" s="213"/>
      <c r="N124" s="172"/>
      <c r="O124" s="172"/>
      <c r="P124" s="206"/>
      <c r="Q124" s="201"/>
      <c r="R124" s="201"/>
      <c r="S124" s="201"/>
      <c r="T124" s="201"/>
      <c r="U124" s="201"/>
      <c r="V124" s="208"/>
      <c r="W124" s="201"/>
      <c r="X124" s="201"/>
      <c r="Y124" s="201"/>
      <c r="Z124" s="202"/>
      <c r="AC124" s="223"/>
      <c r="AD124" s="324"/>
      <c r="AE124" s="324"/>
      <c r="AO124" s="254"/>
      <c r="AP124" s="254"/>
      <c r="BA124" s="324"/>
      <c r="BF124" s="684"/>
      <c r="BJ124" s="695"/>
      <c r="BK124" s="684"/>
      <c r="BL124" s="684"/>
    </row>
    <row r="125" spans="3:64" s="209" customFormat="1" ht="12.75" customHeight="1" x14ac:dyDescent="0.2">
      <c r="C125" s="171"/>
      <c r="D125" s="201"/>
      <c r="E125" s="202"/>
      <c r="F125" s="217"/>
      <c r="G125" s="202"/>
      <c r="H125" s="171"/>
      <c r="I125" s="171"/>
      <c r="J125" s="171"/>
      <c r="K125" s="100"/>
      <c r="L125" s="212"/>
      <c r="M125" s="213"/>
      <c r="N125" s="172"/>
      <c r="O125" s="172"/>
      <c r="P125" s="206"/>
      <c r="Q125" s="201"/>
      <c r="R125" s="201"/>
      <c r="S125" s="201"/>
      <c r="T125" s="201"/>
      <c r="U125" s="201"/>
      <c r="V125" s="208"/>
      <c r="W125" s="201"/>
      <c r="X125" s="201"/>
      <c r="Y125" s="201"/>
      <c r="Z125" s="202"/>
      <c r="AC125" s="223"/>
      <c r="AD125" s="324"/>
      <c r="AE125" s="324"/>
      <c r="AO125" s="254"/>
      <c r="AP125" s="254"/>
      <c r="BA125" s="324"/>
      <c r="BF125" s="684"/>
      <c r="BJ125" s="695"/>
      <c r="BK125" s="684"/>
      <c r="BL125" s="684"/>
    </row>
    <row r="126" spans="3:64" s="209" customFormat="1" ht="12.75" customHeight="1" x14ac:dyDescent="0.2">
      <c r="C126" s="171"/>
      <c r="D126" s="201"/>
      <c r="E126" s="202"/>
      <c r="G126" s="244" t="s">
        <v>2073</v>
      </c>
      <c r="H126" s="171"/>
      <c r="I126" s="171"/>
      <c r="J126" s="171"/>
      <c r="K126" s="100"/>
      <c r="L126" s="212"/>
      <c r="M126" s="213"/>
      <c r="N126" s="172"/>
      <c r="O126" s="172"/>
      <c r="P126" s="206"/>
      <c r="Q126" s="201"/>
      <c r="R126" s="201"/>
      <c r="S126" s="201"/>
      <c r="T126" s="201"/>
      <c r="U126" s="201"/>
      <c r="V126" s="208"/>
      <c r="W126" s="201"/>
      <c r="X126" s="201"/>
      <c r="Y126" s="201"/>
      <c r="Z126" s="202"/>
      <c r="AC126" s="223"/>
      <c r="AD126" s="324"/>
      <c r="AE126" s="324"/>
      <c r="AO126" s="254"/>
      <c r="AP126" s="254"/>
      <c r="BA126" s="324"/>
      <c r="BF126" s="684"/>
      <c r="BJ126" s="695"/>
      <c r="BK126" s="684"/>
      <c r="BL126" s="684"/>
    </row>
    <row r="127" spans="3:64" s="209" customFormat="1" ht="12.75" customHeight="1" x14ac:dyDescent="0.2">
      <c r="C127" s="171"/>
      <c r="D127" s="201"/>
      <c r="E127" s="202"/>
      <c r="F127" s="217"/>
      <c r="G127" s="202" t="s">
        <v>2074</v>
      </c>
      <c r="H127" s="171" t="s">
        <v>12</v>
      </c>
      <c r="I127" s="217" t="s">
        <v>2075</v>
      </c>
      <c r="J127" s="171"/>
      <c r="K127" s="100"/>
      <c r="L127" s="212"/>
      <c r="M127" s="213"/>
      <c r="N127" s="172"/>
      <c r="O127" s="172"/>
      <c r="P127" s="206"/>
      <c r="Q127" s="201"/>
      <c r="R127" s="201"/>
      <c r="S127" s="201"/>
      <c r="T127" s="201"/>
      <c r="U127" s="201"/>
      <c r="V127" s="208"/>
      <c r="W127" s="201"/>
      <c r="X127" s="201"/>
      <c r="Y127" s="201"/>
      <c r="Z127" s="202"/>
      <c r="AC127" s="223"/>
      <c r="AD127" s="324"/>
      <c r="AE127" s="324"/>
      <c r="AO127" s="254"/>
      <c r="AP127" s="254"/>
      <c r="BA127" s="324"/>
      <c r="BF127" s="684"/>
      <c r="BJ127" s="695"/>
      <c r="BK127" s="684"/>
      <c r="BL127" s="684"/>
    </row>
    <row r="128" spans="3:64" s="201" customFormat="1" ht="12.75" customHeight="1" x14ac:dyDescent="0.2">
      <c r="C128" s="171"/>
      <c r="E128" s="202"/>
      <c r="F128" s="217"/>
      <c r="G128" s="202">
        <v>540715</v>
      </c>
      <c r="H128" s="171" t="s">
        <v>2076</v>
      </c>
      <c r="I128" s="217">
        <v>203105</v>
      </c>
      <c r="J128" s="171"/>
      <c r="K128" s="100"/>
      <c r="L128" s="212"/>
      <c r="M128" s="213"/>
      <c r="N128" s="172"/>
      <c r="O128" s="172"/>
      <c r="P128" s="206"/>
      <c r="V128" s="208"/>
      <c r="Z128" s="202"/>
      <c r="AA128" s="209"/>
      <c r="AB128" s="209"/>
      <c r="AC128" s="223"/>
      <c r="AD128" s="324"/>
      <c r="AE128" s="324"/>
      <c r="AF128" s="209"/>
      <c r="AG128" s="209"/>
      <c r="AH128" s="209"/>
      <c r="AI128" s="209"/>
      <c r="AO128" s="254"/>
      <c r="AP128" s="254"/>
      <c r="BA128" s="324"/>
      <c r="BF128" s="684"/>
      <c r="BJ128" s="695"/>
      <c r="BK128" s="684"/>
      <c r="BL128" s="684"/>
    </row>
    <row r="129" spans="3:64" s="201" customFormat="1" ht="12.75" customHeight="1" x14ac:dyDescent="0.2">
      <c r="C129" s="171"/>
      <c r="E129" s="202"/>
      <c r="F129" s="217"/>
      <c r="G129" s="202">
        <v>521332</v>
      </c>
      <c r="H129" s="171" t="s">
        <v>2077</v>
      </c>
      <c r="I129" s="217">
        <v>203104</v>
      </c>
      <c r="J129" s="171"/>
      <c r="K129" s="100"/>
      <c r="L129" s="212"/>
      <c r="M129" s="213"/>
      <c r="N129" s="172"/>
      <c r="O129" s="172"/>
      <c r="P129" s="206"/>
      <c r="V129" s="208"/>
      <c r="Z129" s="202"/>
      <c r="AA129" s="209"/>
      <c r="AB129" s="209"/>
      <c r="AC129" s="223"/>
      <c r="AD129" s="324"/>
      <c r="AE129" s="324"/>
      <c r="AF129" s="209"/>
      <c r="AG129" s="209"/>
      <c r="AH129" s="209"/>
      <c r="AI129" s="209"/>
      <c r="AO129" s="254"/>
      <c r="AP129" s="254"/>
      <c r="BA129" s="324"/>
      <c r="BF129" s="684"/>
      <c r="BJ129" s="695"/>
      <c r="BK129" s="684"/>
      <c r="BL129" s="684"/>
    </row>
    <row r="130" spans="3:64" s="201" customFormat="1" ht="12.75" customHeight="1" x14ac:dyDescent="0.2">
      <c r="C130" s="171"/>
      <c r="E130" s="202"/>
      <c r="F130" s="217"/>
      <c r="G130" s="202">
        <v>511683</v>
      </c>
      <c r="H130" s="171" t="s">
        <v>1903</v>
      </c>
      <c r="I130" s="217">
        <v>203112</v>
      </c>
      <c r="J130" s="171"/>
      <c r="K130" s="100"/>
      <c r="L130" s="212"/>
      <c r="M130" s="213"/>
      <c r="N130" s="172"/>
      <c r="O130" s="172"/>
      <c r="P130" s="206"/>
      <c r="V130" s="208"/>
      <c r="Z130" s="202"/>
      <c r="AA130" s="209"/>
      <c r="AB130" s="209"/>
      <c r="AC130" s="223"/>
      <c r="AD130" s="324"/>
      <c r="AE130" s="324"/>
      <c r="AF130" s="209"/>
      <c r="AG130" s="209"/>
      <c r="AH130" s="209"/>
      <c r="AI130" s="209"/>
      <c r="AO130" s="254"/>
      <c r="AP130" s="254"/>
      <c r="BA130" s="324"/>
      <c r="BF130" s="684"/>
      <c r="BJ130" s="695"/>
      <c r="BK130" s="684"/>
      <c r="BL130" s="684"/>
    </row>
    <row r="131" spans="3:64" s="201" customFormat="1" ht="12.75" customHeight="1" x14ac:dyDescent="0.2">
      <c r="C131" s="171"/>
      <c r="E131" s="202"/>
      <c r="F131" s="217"/>
      <c r="G131" s="202">
        <v>520518</v>
      </c>
      <c r="H131" s="171" t="s">
        <v>2078</v>
      </c>
      <c r="I131" s="217">
        <v>200185</v>
      </c>
      <c r="J131" s="171"/>
      <c r="K131" s="100"/>
      <c r="L131" s="212"/>
      <c r="M131" s="213"/>
      <c r="N131" s="172"/>
      <c r="O131" s="172"/>
      <c r="P131" s="206"/>
      <c r="V131" s="208"/>
      <c r="Z131" s="202"/>
      <c r="AA131" s="209"/>
      <c r="AB131" s="209"/>
      <c r="AC131" s="223"/>
      <c r="AD131" s="324"/>
      <c r="AE131" s="324"/>
      <c r="AF131" s="209"/>
      <c r="AG131" s="209"/>
      <c r="AH131" s="209"/>
      <c r="AI131" s="209"/>
      <c r="AO131" s="254"/>
      <c r="AP131" s="254"/>
      <c r="BA131" s="324"/>
      <c r="BF131" s="684"/>
      <c r="BJ131" s="695"/>
      <c r="BK131" s="684"/>
      <c r="BL131" s="684"/>
    </row>
    <row r="132" spans="3:64" s="201" customFormat="1" ht="12.75" customHeight="1" x14ac:dyDescent="0.2">
      <c r="C132" s="171"/>
      <c r="E132" s="202"/>
      <c r="F132" s="217"/>
      <c r="G132" s="202">
        <v>540730</v>
      </c>
      <c r="H132" s="171" t="s">
        <v>2079</v>
      </c>
      <c r="I132" s="217">
        <v>201687</v>
      </c>
      <c r="J132" s="171"/>
      <c r="K132" s="100"/>
      <c r="L132" s="212"/>
      <c r="M132" s="213"/>
      <c r="N132" s="172"/>
      <c r="O132" s="172"/>
      <c r="P132" s="206"/>
      <c r="V132" s="208"/>
      <c r="Z132" s="202"/>
      <c r="AA132" s="209"/>
      <c r="AB132" s="209"/>
      <c r="AC132" s="223"/>
      <c r="AD132" s="324"/>
      <c r="AE132" s="324"/>
      <c r="AF132" s="209"/>
      <c r="AG132" s="209"/>
      <c r="AH132" s="209"/>
      <c r="AI132" s="209"/>
      <c r="AO132" s="254"/>
      <c r="AP132" s="254"/>
      <c r="BA132" s="324"/>
      <c r="BF132" s="684"/>
      <c r="BJ132" s="695"/>
      <c r="BK132" s="684"/>
      <c r="BL132" s="684"/>
    </row>
    <row r="133" spans="3:64" s="201" customFormat="1" ht="12.75" customHeight="1" x14ac:dyDescent="0.2">
      <c r="C133" s="171"/>
      <c r="E133" s="202"/>
      <c r="F133" s="217"/>
      <c r="G133" s="202">
        <v>530612</v>
      </c>
      <c r="H133" s="171" t="s">
        <v>2080</v>
      </c>
      <c r="I133" s="217">
        <v>203094</v>
      </c>
      <c r="J133" s="171"/>
      <c r="K133" s="100"/>
      <c r="L133" s="212"/>
      <c r="M133" s="213"/>
      <c r="N133" s="172"/>
      <c r="O133" s="172"/>
      <c r="P133" s="206"/>
      <c r="V133" s="208"/>
      <c r="Z133" s="202"/>
      <c r="AA133" s="209"/>
      <c r="AB133" s="209"/>
      <c r="AC133" s="223"/>
      <c r="AD133" s="324"/>
      <c r="AE133" s="324"/>
      <c r="AF133" s="209"/>
      <c r="AG133" s="209"/>
      <c r="AH133" s="209"/>
      <c r="AI133" s="209"/>
      <c r="AO133" s="254"/>
      <c r="AP133" s="254"/>
      <c r="BA133" s="324"/>
      <c r="BF133" s="684"/>
      <c r="BJ133" s="695"/>
      <c r="BK133" s="684"/>
      <c r="BL133" s="684"/>
    </row>
    <row r="134" spans="3:64" s="201" customFormat="1" ht="12.75" customHeight="1" x14ac:dyDescent="0.2">
      <c r="C134" s="171"/>
      <c r="E134" s="202"/>
      <c r="F134" s="217"/>
      <c r="G134" s="202">
        <v>540714</v>
      </c>
      <c r="H134" s="171" t="s">
        <v>2081</v>
      </c>
      <c r="I134" s="217">
        <v>200200</v>
      </c>
      <c r="J134" s="171"/>
      <c r="K134" s="100"/>
      <c r="L134" s="212"/>
      <c r="M134" s="213"/>
      <c r="N134" s="172"/>
      <c r="O134" s="172"/>
      <c r="P134" s="206"/>
      <c r="V134" s="208"/>
      <c r="Z134" s="202"/>
      <c r="AA134" s="209"/>
      <c r="AB134" s="209"/>
      <c r="AC134" s="223"/>
      <c r="AD134" s="324"/>
      <c r="AE134" s="324"/>
      <c r="AF134" s="209"/>
      <c r="AG134" s="209"/>
      <c r="AH134" s="209"/>
      <c r="AI134" s="209"/>
      <c r="AO134" s="254"/>
      <c r="AP134" s="254"/>
      <c r="BA134" s="324"/>
      <c r="BF134" s="684"/>
      <c r="BJ134" s="695"/>
      <c r="BK134" s="684"/>
      <c r="BL134" s="684"/>
    </row>
    <row r="135" spans="3:64" s="201" customFormat="1" ht="12.75" customHeight="1" x14ac:dyDescent="0.2">
      <c r="C135" s="171"/>
      <c r="E135" s="202"/>
      <c r="F135" s="217"/>
      <c r="G135" s="202">
        <v>511102</v>
      </c>
      <c r="H135" s="171" t="s">
        <v>1904</v>
      </c>
      <c r="I135" s="217">
        <v>203512</v>
      </c>
      <c r="J135" s="171"/>
      <c r="K135" s="100"/>
      <c r="L135" s="212"/>
      <c r="M135" s="213"/>
      <c r="N135" s="172"/>
      <c r="O135" s="172"/>
      <c r="P135" s="206"/>
      <c r="V135" s="208"/>
      <c r="Z135" s="202"/>
      <c r="AA135" s="209"/>
      <c r="AB135" s="209"/>
      <c r="AC135" s="223"/>
      <c r="AD135" s="324"/>
      <c r="AE135" s="324"/>
      <c r="AF135" s="209"/>
      <c r="AG135" s="209"/>
      <c r="AH135" s="209"/>
      <c r="AI135" s="209"/>
      <c r="AO135" s="254"/>
      <c r="AP135" s="254"/>
      <c r="BA135" s="324"/>
      <c r="BF135" s="684"/>
      <c r="BJ135" s="695"/>
      <c r="BK135" s="684"/>
      <c r="BL135" s="684"/>
    </row>
    <row r="136" spans="3:64" s="201" customFormat="1" ht="12.75" customHeight="1" x14ac:dyDescent="0.2">
      <c r="C136" s="171"/>
      <c r="E136" s="202"/>
      <c r="F136" s="217"/>
      <c r="G136" s="202">
        <v>519866</v>
      </c>
      <c r="H136" s="171" t="s">
        <v>2082</v>
      </c>
      <c r="I136" s="217">
        <v>201173</v>
      </c>
      <c r="J136" s="171"/>
      <c r="K136" s="100"/>
      <c r="L136" s="212"/>
      <c r="M136" s="213"/>
      <c r="N136" s="172"/>
      <c r="O136" s="172"/>
      <c r="P136" s="206"/>
      <c r="V136" s="208"/>
      <c r="Z136" s="202"/>
      <c r="AA136" s="209"/>
      <c r="AB136" s="209"/>
      <c r="AC136" s="223"/>
      <c r="AD136" s="324"/>
      <c r="AE136" s="324"/>
      <c r="AF136" s="209"/>
      <c r="AG136" s="209"/>
      <c r="AH136" s="209"/>
      <c r="AI136" s="209"/>
      <c r="AO136" s="254"/>
      <c r="AP136" s="254"/>
      <c r="BA136" s="324"/>
      <c r="BF136" s="684"/>
      <c r="BJ136" s="695"/>
      <c r="BK136" s="684"/>
      <c r="BL136" s="684"/>
    </row>
    <row r="137" spans="3:64" s="201" customFormat="1" ht="12.75" customHeight="1" x14ac:dyDescent="0.2">
      <c r="C137" s="171"/>
      <c r="E137" s="202"/>
      <c r="F137" s="217"/>
      <c r="G137" s="202">
        <v>512499</v>
      </c>
      <c r="H137" s="171" t="s">
        <v>2083</v>
      </c>
      <c r="I137" s="217">
        <v>203178</v>
      </c>
      <c r="J137" s="171"/>
      <c r="K137" s="100"/>
      <c r="L137" s="212"/>
      <c r="M137" s="213"/>
      <c r="N137" s="172"/>
      <c r="O137" s="172"/>
      <c r="P137" s="206"/>
      <c r="V137" s="208"/>
      <c r="Z137" s="202"/>
      <c r="AA137" s="209"/>
      <c r="AB137" s="209"/>
      <c r="AC137" s="223"/>
      <c r="AD137" s="324"/>
      <c r="AE137" s="324"/>
      <c r="AF137" s="209"/>
      <c r="AG137" s="209"/>
      <c r="AH137" s="209"/>
      <c r="AI137" s="209"/>
      <c r="AO137" s="254"/>
      <c r="AP137" s="254"/>
      <c r="BA137" s="324"/>
      <c r="BF137" s="684"/>
      <c r="BJ137" s="695"/>
      <c r="BK137" s="684"/>
      <c r="BL137" s="684"/>
    </row>
    <row r="138" spans="3:64" s="201" customFormat="1" ht="12.75" customHeight="1" x14ac:dyDescent="0.2">
      <c r="C138" s="171"/>
      <c r="E138" s="202"/>
      <c r="F138" s="217"/>
      <c r="G138" s="202">
        <v>518986</v>
      </c>
      <c r="H138" s="171" t="s">
        <v>2084</v>
      </c>
      <c r="I138" s="217">
        <v>203103</v>
      </c>
      <c r="J138" s="171"/>
      <c r="K138" s="100"/>
      <c r="L138" s="212"/>
      <c r="M138" s="213"/>
      <c r="N138" s="172"/>
      <c r="O138" s="172"/>
      <c r="P138" s="206"/>
      <c r="V138" s="208"/>
      <c r="Z138" s="202"/>
      <c r="AA138" s="209"/>
      <c r="AB138" s="209"/>
      <c r="AC138" s="223"/>
      <c r="AD138" s="324"/>
      <c r="AE138" s="324"/>
      <c r="AF138" s="209"/>
      <c r="AG138" s="209"/>
      <c r="AH138" s="209"/>
      <c r="AI138" s="209"/>
      <c r="AO138" s="254"/>
      <c r="AP138" s="254"/>
      <c r="BA138" s="324"/>
      <c r="BF138" s="684"/>
      <c r="BJ138" s="695"/>
      <c r="BK138" s="684"/>
      <c r="BL138" s="684"/>
    </row>
    <row r="139" spans="3:64" s="201" customFormat="1" ht="12.75" customHeight="1" x14ac:dyDescent="0.2">
      <c r="C139" s="171"/>
      <c r="E139" s="202"/>
      <c r="F139" s="217"/>
      <c r="G139" s="202">
        <v>540720</v>
      </c>
      <c r="H139" s="175" t="s">
        <v>1905</v>
      </c>
      <c r="I139" s="217">
        <v>201999</v>
      </c>
      <c r="J139" s="171"/>
      <c r="K139" s="100"/>
      <c r="L139" s="212"/>
      <c r="M139" s="213"/>
      <c r="N139" s="172"/>
      <c r="O139" s="172"/>
      <c r="P139" s="206"/>
      <c r="V139" s="208"/>
      <c r="Z139" s="202"/>
      <c r="AA139" s="209"/>
      <c r="AB139" s="209"/>
      <c r="AC139" s="223"/>
      <c r="AD139" s="324"/>
      <c r="AE139" s="324"/>
      <c r="AF139" s="209"/>
      <c r="AG139" s="209"/>
      <c r="AH139" s="209"/>
      <c r="AI139" s="209"/>
      <c r="AO139" s="254"/>
      <c r="AP139" s="254"/>
      <c r="BA139" s="324"/>
      <c r="BF139" s="684"/>
      <c r="BJ139" s="695"/>
      <c r="BK139" s="684"/>
      <c r="BL139" s="684"/>
    </row>
    <row r="140" spans="3:64" s="201" customFormat="1" ht="12.75" customHeight="1" x14ac:dyDescent="0.2">
      <c r="C140" s="171"/>
      <c r="E140" s="202"/>
      <c r="F140" s="217"/>
      <c r="G140" s="202">
        <v>512321</v>
      </c>
      <c r="H140" s="171" t="s">
        <v>2085</v>
      </c>
      <c r="I140" s="217">
        <v>203102</v>
      </c>
      <c r="J140" s="171"/>
      <c r="K140" s="100"/>
      <c r="L140" s="212"/>
      <c r="M140" s="213"/>
      <c r="N140" s="172"/>
      <c r="O140" s="172"/>
      <c r="P140" s="206"/>
      <c r="V140" s="208"/>
      <c r="Z140" s="202"/>
      <c r="AA140" s="209"/>
      <c r="AB140" s="209"/>
      <c r="AC140" s="223"/>
      <c r="AD140" s="324"/>
      <c r="AE140" s="324"/>
      <c r="AF140" s="209"/>
      <c r="AG140" s="209"/>
      <c r="AH140" s="209"/>
      <c r="AI140" s="209"/>
      <c r="AO140" s="254"/>
      <c r="AP140" s="254"/>
      <c r="BA140" s="324"/>
      <c r="BF140" s="684"/>
      <c r="BJ140" s="695"/>
      <c r="BK140" s="684"/>
      <c r="BL140" s="684"/>
    </row>
    <row r="141" spans="3:64" s="201" customFormat="1" ht="12.75" customHeight="1" x14ac:dyDescent="0.2">
      <c r="C141" s="171"/>
      <c r="E141" s="202"/>
      <c r="F141" s="217"/>
      <c r="G141" s="202">
        <v>755257</v>
      </c>
      <c r="H141" s="171" t="s">
        <v>2086</v>
      </c>
      <c r="I141" s="217">
        <v>208852</v>
      </c>
      <c r="J141" s="171"/>
      <c r="K141" s="100"/>
      <c r="L141" s="212"/>
      <c r="M141" s="213"/>
      <c r="N141" s="172"/>
      <c r="O141" s="172"/>
      <c r="P141" s="206"/>
      <c r="V141" s="208"/>
      <c r="Z141" s="202"/>
      <c r="AA141" s="209"/>
      <c r="AB141" s="209"/>
      <c r="AC141" s="223"/>
      <c r="AD141" s="324"/>
      <c r="AE141" s="324"/>
      <c r="AF141" s="209"/>
      <c r="AG141" s="209"/>
      <c r="AH141" s="209"/>
      <c r="AI141" s="209"/>
      <c r="AO141" s="254"/>
      <c r="AP141" s="254"/>
      <c r="BA141" s="324"/>
      <c r="BF141" s="684"/>
      <c r="BJ141" s="695"/>
      <c r="BK141" s="684"/>
      <c r="BL141" s="684"/>
    </row>
    <row r="142" spans="3:64" s="201" customFormat="1" ht="12.75" customHeight="1" x14ac:dyDescent="0.2">
      <c r="C142" s="171"/>
      <c r="E142" s="202"/>
      <c r="F142" s="217"/>
      <c r="G142" s="202">
        <v>515818</v>
      </c>
      <c r="H142" s="171" t="s">
        <v>2087</v>
      </c>
      <c r="I142" s="217">
        <v>203101</v>
      </c>
      <c r="J142" s="171"/>
      <c r="K142" s="100"/>
      <c r="L142" s="212"/>
      <c r="M142" s="213"/>
      <c r="N142" s="172"/>
      <c r="O142" s="172"/>
      <c r="P142" s="206"/>
      <c r="V142" s="208"/>
      <c r="Z142" s="202"/>
      <c r="AA142" s="209"/>
      <c r="AB142" s="209"/>
      <c r="AC142" s="223"/>
      <c r="AD142" s="324"/>
      <c r="AE142" s="324"/>
      <c r="AF142" s="209"/>
      <c r="AG142" s="209"/>
      <c r="AH142" s="209"/>
      <c r="AI142" s="209"/>
      <c r="AO142" s="254"/>
      <c r="AP142" s="254"/>
      <c r="BA142" s="324"/>
      <c r="BF142" s="684"/>
      <c r="BJ142" s="695"/>
      <c r="BK142" s="684"/>
      <c r="BL142" s="684"/>
    </row>
    <row r="143" spans="3:64" s="201" customFormat="1" ht="12.75" customHeight="1" x14ac:dyDescent="0.2">
      <c r="C143" s="171"/>
      <c r="E143" s="202"/>
      <c r="F143" s="217"/>
      <c r="G143" s="202">
        <v>520826</v>
      </c>
      <c r="H143" s="171" t="s">
        <v>2088</v>
      </c>
      <c r="I143" s="217">
        <v>203097</v>
      </c>
      <c r="J143" s="171"/>
      <c r="K143" s="100"/>
      <c r="L143" s="212"/>
      <c r="M143" s="213"/>
      <c r="N143" s="172"/>
      <c r="O143" s="172"/>
      <c r="P143" s="206"/>
      <c r="V143" s="208"/>
      <c r="Z143" s="202"/>
      <c r="AA143" s="209"/>
      <c r="AB143" s="209"/>
      <c r="AC143" s="223"/>
      <c r="AD143" s="324"/>
      <c r="AE143" s="324"/>
      <c r="AF143" s="209"/>
      <c r="AG143" s="209"/>
      <c r="AH143" s="209"/>
      <c r="AI143" s="209"/>
      <c r="AO143" s="254"/>
      <c r="AP143" s="254"/>
      <c r="BA143" s="324"/>
      <c r="BF143" s="684"/>
      <c r="BJ143" s="695"/>
      <c r="BK143" s="684"/>
      <c r="BL143" s="684"/>
    </row>
    <row r="144" spans="3:64" s="201" customFormat="1" ht="12.75" customHeight="1" x14ac:dyDescent="0.2">
      <c r="C144" s="171"/>
      <c r="E144" s="202"/>
      <c r="F144" s="217"/>
      <c r="G144" s="202">
        <v>540721</v>
      </c>
      <c r="H144" s="171" t="s">
        <v>2089</v>
      </c>
      <c r="I144" s="217">
        <v>200807</v>
      </c>
      <c r="J144" s="171"/>
      <c r="K144" s="100"/>
      <c r="L144" s="212"/>
      <c r="M144" s="213"/>
      <c r="N144" s="172"/>
      <c r="O144" s="172"/>
      <c r="P144" s="206"/>
      <c r="V144" s="208"/>
      <c r="Z144" s="202"/>
      <c r="AA144" s="209"/>
      <c r="AB144" s="209"/>
      <c r="AC144" s="223"/>
      <c r="AD144" s="324"/>
      <c r="AE144" s="324"/>
      <c r="AF144" s="209"/>
      <c r="AG144" s="209"/>
      <c r="AH144" s="209"/>
      <c r="AI144" s="209"/>
      <c r="AO144" s="254"/>
      <c r="AP144" s="254"/>
      <c r="BA144" s="324"/>
      <c r="BF144" s="684"/>
      <c r="BJ144" s="695"/>
      <c r="BK144" s="684"/>
      <c r="BL144" s="684"/>
    </row>
    <row r="145" spans="3:64" s="201" customFormat="1" ht="12.75" customHeight="1" x14ac:dyDescent="0.2">
      <c r="C145" s="171"/>
      <c r="E145" s="202"/>
      <c r="F145" s="217"/>
      <c r="G145" s="202">
        <v>523094</v>
      </c>
      <c r="H145" s="171" t="s">
        <v>2090</v>
      </c>
      <c r="I145" s="217">
        <v>203090</v>
      </c>
      <c r="J145" s="171"/>
      <c r="K145" s="100"/>
      <c r="L145" s="212"/>
      <c r="M145" s="213"/>
      <c r="N145" s="172"/>
      <c r="O145" s="172"/>
      <c r="P145" s="206"/>
      <c r="V145" s="208"/>
      <c r="Z145" s="202"/>
      <c r="AA145" s="209"/>
      <c r="AB145" s="209"/>
      <c r="AC145" s="223"/>
      <c r="AD145" s="324"/>
      <c r="AE145" s="324"/>
      <c r="AF145" s="209"/>
      <c r="AG145" s="209"/>
      <c r="AH145" s="209"/>
      <c r="AI145" s="209"/>
      <c r="AO145" s="254"/>
      <c r="AP145" s="254"/>
      <c r="BA145" s="324"/>
      <c r="BF145" s="684"/>
      <c r="BJ145" s="695"/>
      <c r="BK145" s="684"/>
      <c r="BL145" s="684"/>
    </row>
    <row r="146" spans="3:64" s="201" customFormat="1" ht="12.75" customHeight="1" x14ac:dyDescent="0.2">
      <c r="C146" s="171"/>
      <c r="E146" s="202"/>
      <c r="F146" s="217"/>
      <c r="G146" s="202">
        <v>521757</v>
      </c>
      <c r="H146" s="171" t="s">
        <v>2091</v>
      </c>
      <c r="I146" s="217">
        <v>203091</v>
      </c>
      <c r="J146" s="171"/>
      <c r="K146" s="100"/>
      <c r="L146" s="212"/>
      <c r="M146" s="213"/>
      <c r="N146" s="172"/>
      <c r="O146" s="172"/>
      <c r="P146" s="206"/>
      <c r="V146" s="208"/>
      <c r="Z146" s="202"/>
      <c r="AA146" s="209"/>
      <c r="AB146" s="209"/>
      <c r="AC146" s="223"/>
      <c r="AD146" s="324"/>
      <c r="AE146" s="324"/>
      <c r="AF146" s="209"/>
      <c r="AG146" s="209"/>
      <c r="AH146" s="209"/>
      <c r="AI146" s="209"/>
      <c r="AO146" s="254"/>
      <c r="AP146" s="254"/>
      <c r="BA146" s="324"/>
      <c r="BF146" s="684"/>
      <c r="BJ146" s="695"/>
      <c r="BK146" s="684"/>
      <c r="BL146" s="684"/>
    </row>
    <row r="147" spans="3:64" s="201" customFormat="1" ht="12.75" customHeight="1" x14ac:dyDescent="0.2">
      <c r="C147" s="171"/>
      <c r="E147" s="202"/>
      <c r="F147" s="217"/>
      <c r="G147" s="202">
        <v>540719</v>
      </c>
      <c r="H147" s="171" t="s">
        <v>1899</v>
      </c>
      <c r="I147" s="217">
        <v>203513</v>
      </c>
      <c r="J147" s="171"/>
      <c r="K147" s="100"/>
      <c r="L147" s="212"/>
      <c r="M147" s="213"/>
      <c r="N147" s="172"/>
      <c r="O147" s="172"/>
      <c r="P147" s="206"/>
      <c r="V147" s="208"/>
      <c r="Z147" s="202"/>
      <c r="AA147" s="209"/>
      <c r="AB147" s="209"/>
      <c r="AC147" s="223"/>
      <c r="AD147" s="324"/>
      <c r="AE147" s="324"/>
      <c r="AF147" s="209"/>
      <c r="AG147" s="209"/>
      <c r="AH147" s="209"/>
      <c r="AI147" s="209"/>
      <c r="AO147" s="254"/>
      <c r="AP147" s="254"/>
      <c r="BA147" s="324"/>
      <c r="BF147" s="684"/>
      <c r="BJ147" s="695"/>
      <c r="BK147" s="684"/>
      <c r="BL147" s="684"/>
    </row>
    <row r="148" spans="3:64" s="201" customFormat="1" ht="12.75" customHeight="1" x14ac:dyDescent="0.2">
      <c r="C148" s="171"/>
      <c r="E148" s="202"/>
      <c r="F148" s="217"/>
      <c r="G148" s="202">
        <v>581519</v>
      </c>
      <c r="H148" s="171" t="s">
        <v>1971</v>
      </c>
      <c r="I148" s="217">
        <v>203572</v>
      </c>
      <c r="J148" s="171"/>
      <c r="K148" s="100"/>
      <c r="L148" s="212"/>
      <c r="M148" s="213"/>
      <c r="N148" s="172"/>
      <c r="O148" s="172"/>
      <c r="P148" s="206"/>
      <c r="V148" s="208"/>
      <c r="Z148" s="202"/>
      <c r="AA148" s="209"/>
      <c r="AB148" s="209"/>
      <c r="AC148" s="223"/>
      <c r="AD148" s="324"/>
      <c r="AE148" s="324"/>
      <c r="AF148" s="209"/>
      <c r="AG148" s="209"/>
      <c r="AH148" s="209"/>
      <c r="AI148" s="209"/>
      <c r="AO148" s="254"/>
      <c r="AP148" s="254"/>
      <c r="BA148" s="324"/>
      <c r="BF148" s="684"/>
      <c r="BJ148" s="695"/>
      <c r="BK148" s="684"/>
      <c r="BL148" s="684"/>
    </row>
    <row r="149" spans="3:64" s="201" customFormat="1" ht="12.75" customHeight="1" x14ac:dyDescent="0.2">
      <c r="C149" s="171"/>
      <c r="E149" s="202"/>
      <c r="F149" s="217"/>
      <c r="G149" s="202">
        <v>516816</v>
      </c>
      <c r="H149" s="171" t="s">
        <v>2092</v>
      </c>
      <c r="I149" s="217">
        <v>202139</v>
      </c>
      <c r="J149" s="171"/>
      <c r="K149" s="100"/>
      <c r="L149" s="212"/>
      <c r="M149" s="213"/>
      <c r="N149" s="172"/>
      <c r="O149" s="172"/>
      <c r="P149" s="206"/>
      <c r="V149" s="208"/>
      <c r="Z149" s="202"/>
      <c r="AA149" s="209"/>
      <c r="AB149" s="209"/>
      <c r="AC149" s="223"/>
      <c r="AD149" s="324"/>
      <c r="AE149" s="324"/>
      <c r="AF149" s="209"/>
      <c r="AG149" s="209"/>
      <c r="AH149" s="209"/>
      <c r="AI149" s="209"/>
      <c r="AO149" s="254"/>
      <c r="AP149" s="254"/>
      <c r="BA149" s="324"/>
      <c r="BF149" s="684"/>
      <c r="BJ149" s="695"/>
      <c r="BK149" s="684"/>
      <c r="BL149" s="684"/>
    </row>
    <row r="150" spans="3:64" s="201" customFormat="1" ht="12.75" customHeight="1" x14ac:dyDescent="0.2">
      <c r="C150" s="171"/>
      <c r="E150" s="202"/>
      <c r="F150" s="217"/>
      <c r="G150" s="202">
        <v>510687</v>
      </c>
      <c r="H150" s="171" t="s">
        <v>2093</v>
      </c>
      <c r="I150" s="217">
        <v>203142</v>
      </c>
      <c r="J150" s="171"/>
      <c r="K150" s="100"/>
      <c r="L150" s="212"/>
      <c r="M150" s="213"/>
      <c r="N150" s="172"/>
      <c r="O150" s="172"/>
      <c r="P150" s="206"/>
      <c r="V150" s="208"/>
      <c r="Z150" s="202"/>
      <c r="AA150" s="209"/>
      <c r="AB150" s="209"/>
      <c r="AC150" s="223"/>
      <c r="AD150" s="324"/>
      <c r="AE150" s="324"/>
      <c r="AF150" s="209"/>
      <c r="AG150" s="209"/>
      <c r="AH150" s="209"/>
      <c r="AI150" s="209"/>
      <c r="AO150" s="254"/>
      <c r="AP150" s="254"/>
      <c r="BA150" s="324"/>
      <c r="BF150" s="684"/>
      <c r="BJ150" s="695"/>
      <c r="BK150" s="684"/>
      <c r="BL150" s="684"/>
    </row>
    <row r="151" spans="3:64" s="201" customFormat="1" ht="12.75" customHeight="1" x14ac:dyDescent="0.2">
      <c r="C151" s="171"/>
      <c r="E151" s="202"/>
      <c r="F151" s="217"/>
      <c r="G151" s="202">
        <v>540718</v>
      </c>
      <c r="H151" s="171" t="s">
        <v>2094</v>
      </c>
      <c r="I151" s="217">
        <v>203092</v>
      </c>
      <c r="J151" s="171"/>
      <c r="K151" s="100"/>
      <c r="L151" s="212"/>
      <c r="M151" s="213"/>
      <c r="N151" s="172"/>
      <c r="O151" s="172"/>
      <c r="P151" s="206"/>
      <c r="V151" s="208"/>
      <c r="Z151" s="202"/>
      <c r="AA151" s="209"/>
      <c r="AB151" s="209"/>
      <c r="AC151" s="223"/>
      <c r="AD151" s="324"/>
      <c r="AE151" s="324"/>
      <c r="AF151" s="209"/>
      <c r="AG151" s="209"/>
      <c r="AH151" s="209"/>
      <c r="AI151" s="209"/>
      <c r="AO151" s="254"/>
      <c r="AP151" s="254"/>
      <c r="BA151" s="324"/>
      <c r="BF151" s="684"/>
      <c r="BJ151" s="695"/>
      <c r="BK151" s="684"/>
      <c r="BL151" s="684"/>
    </row>
    <row r="152" spans="3:64" s="201" customFormat="1" ht="12.75" customHeight="1" x14ac:dyDescent="0.2">
      <c r="C152" s="171"/>
      <c r="E152" s="202"/>
      <c r="F152" s="217"/>
      <c r="G152" s="202">
        <v>530293</v>
      </c>
      <c r="H152" s="171" t="s">
        <v>2095</v>
      </c>
      <c r="I152" s="217">
        <v>202240</v>
      </c>
      <c r="J152" s="171"/>
      <c r="K152" s="100"/>
      <c r="L152" s="212"/>
      <c r="M152" s="213"/>
      <c r="N152" s="172"/>
      <c r="O152" s="172"/>
      <c r="P152" s="206"/>
      <c r="V152" s="208"/>
      <c r="Z152" s="202"/>
      <c r="AA152" s="209"/>
      <c r="AB152" s="209"/>
      <c r="AC152" s="223"/>
      <c r="AD152" s="324"/>
      <c r="AE152" s="324"/>
      <c r="AF152" s="209"/>
      <c r="AG152" s="209"/>
      <c r="AH152" s="209"/>
      <c r="AI152" s="209"/>
      <c r="AO152" s="254"/>
      <c r="AP152" s="254"/>
      <c r="BA152" s="324"/>
      <c r="BF152" s="684"/>
      <c r="BJ152" s="695"/>
      <c r="BK152" s="684"/>
      <c r="BL152" s="684"/>
    </row>
    <row r="153" spans="3:64" s="201" customFormat="1" ht="12.75" customHeight="1" x14ac:dyDescent="0.2">
      <c r="C153" s="171"/>
      <c r="E153" s="202"/>
      <c r="F153" s="217"/>
      <c r="G153" s="202">
        <v>518985</v>
      </c>
      <c r="H153" s="171" t="s">
        <v>1906</v>
      </c>
      <c r="I153" s="217">
        <v>203093</v>
      </c>
      <c r="J153" s="171"/>
      <c r="K153" s="100"/>
      <c r="L153" s="212"/>
      <c r="M153" s="213"/>
      <c r="N153" s="172"/>
      <c r="O153" s="172"/>
      <c r="P153" s="206"/>
      <c r="V153" s="208"/>
      <c r="Z153" s="202"/>
      <c r="AA153" s="209"/>
      <c r="AB153" s="209"/>
      <c r="AC153" s="223"/>
      <c r="AD153" s="324"/>
      <c r="AE153" s="324"/>
      <c r="AF153" s="209"/>
      <c r="AG153" s="209"/>
      <c r="AH153" s="209"/>
      <c r="AI153" s="209"/>
      <c r="AO153" s="254"/>
      <c r="AP153" s="254"/>
      <c r="BA153" s="324"/>
      <c r="BF153" s="684"/>
      <c r="BJ153" s="695"/>
      <c r="BK153" s="684"/>
      <c r="BL153" s="684"/>
    </row>
    <row r="154" spans="3:64" s="201" customFormat="1" ht="12.75" customHeight="1" x14ac:dyDescent="0.2">
      <c r="C154" s="171"/>
      <c r="E154" s="202"/>
      <c r="F154" s="217"/>
      <c r="G154" s="202">
        <v>540726</v>
      </c>
      <c r="H154" s="171" t="s">
        <v>1907</v>
      </c>
      <c r="I154" s="217">
        <v>200100</v>
      </c>
      <c r="J154" s="171"/>
      <c r="K154" s="100"/>
      <c r="L154" s="212"/>
      <c r="M154" s="213"/>
      <c r="N154" s="172"/>
      <c r="O154" s="172"/>
      <c r="P154" s="206"/>
      <c r="V154" s="208"/>
      <c r="Z154" s="202"/>
      <c r="AA154" s="209"/>
      <c r="AB154" s="209"/>
      <c r="AC154" s="223"/>
      <c r="AD154" s="324"/>
      <c r="AE154" s="324"/>
      <c r="AF154" s="209"/>
      <c r="AG154" s="209"/>
      <c r="AH154" s="209"/>
      <c r="AI154" s="209"/>
      <c r="AO154" s="254"/>
      <c r="AP154" s="254"/>
      <c r="BA154" s="324"/>
      <c r="BF154" s="684"/>
      <c r="BJ154" s="695"/>
      <c r="BK154" s="684"/>
      <c r="BL154" s="684"/>
    </row>
    <row r="155" spans="3:64" s="201" customFormat="1" ht="12.75" customHeight="1" x14ac:dyDescent="0.2">
      <c r="C155" s="171"/>
      <c r="E155" s="202"/>
      <c r="F155" s="217"/>
      <c r="G155" s="202">
        <v>655146</v>
      </c>
      <c r="H155" s="171" t="s">
        <v>2096</v>
      </c>
      <c r="I155" s="217">
        <v>203819</v>
      </c>
      <c r="J155" s="171"/>
      <c r="K155" s="100"/>
      <c r="L155" s="212"/>
      <c r="M155" s="213"/>
      <c r="N155" s="172"/>
      <c r="O155" s="172"/>
      <c r="P155" s="206"/>
      <c r="V155" s="208"/>
      <c r="Z155" s="202"/>
      <c r="AA155" s="209"/>
      <c r="AB155" s="209"/>
      <c r="AC155" s="223"/>
      <c r="AD155" s="324"/>
      <c r="AE155" s="324"/>
      <c r="AF155" s="209"/>
      <c r="AG155" s="209"/>
      <c r="AH155" s="209"/>
      <c r="AI155" s="209"/>
      <c r="AO155" s="254"/>
      <c r="AP155" s="254"/>
      <c r="BA155" s="324"/>
      <c r="BF155" s="684"/>
      <c r="BJ155" s="695"/>
      <c r="BK155" s="684"/>
      <c r="BL155" s="684"/>
    </row>
    <row r="156" spans="3:64" s="201" customFormat="1" ht="12.75" customHeight="1" x14ac:dyDescent="0.2">
      <c r="C156" s="171"/>
      <c r="E156" s="202"/>
      <c r="F156" s="217"/>
      <c r="G156" s="202">
        <v>516494</v>
      </c>
      <c r="H156" s="171" t="s">
        <v>2097</v>
      </c>
      <c r="I156" s="217">
        <v>203095</v>
      </c>
      <c r="J156" s="171"/>
      <c r="K156" s="100"/>
      <c r="L156" s="212"/>
      <c r="M156" s="213"/>
      <c r="N156" s="172"/>
      <c r="O156" s="172"/>
      <c r="P156" s="206"/>
      <c r="V156" s="208"/>
      <c r="Z156" s="202"/>
      <c r="AA156" s="209"/>
      <c r="AB156" s="209"/>
      <c r="AC156" s="223"/>
      <c r="AD156" s="324"/>
      <c r="AE156" s="324"/>
      <c r="AF156" s="209"/>
      <c r="AG156" s="209"/>
      <c r="AH156" s="209"/>
      <c r="AI156" s="209"/>
      <c r="AO156" s="254"/>
      <c r="AP156" s="254"/>
      <c r="BA156" s="324"/>
      <c r="BF156" s="684"/>
      <c r="BJ156" s="695"/>
      <c r="BK156" s="684"/>
      <c r="BL156" s="684"/>
    </row>
    <row r="157" spans="3:64" s="201" customFormat="1" ht="12.75" customHeight="1" x14ac:dyDescent="0.2">
      <c r="C157" s="171"/>
      <c r="E157" s="202"/>
      <c r="F157" s="217"/>
      <c r="G157" s="202">
        <v>540729</v>
      </c>
      <c r="H157" s="171" t="s">
        <v>1991</v>
      </c>
      <c r="I157" s="217">
        <v>200276</v>
      </c>
      <c r="J157" s="171"/>
      <c r="K157" s="100"/>
      <c r="L157" s="212"/>
      <c r="M157" s="213"/>
      <c r="N157" s="172"/>
      <c r="O157" s="172"/>
      <c r="P157" s="206"/>
      <c r="V157" s="208"/>
      <c r="Z157" s="202"/>
      <c r="AA157" s="209"/>
      <c r="AB157" s="209"/>
      <c r="AC157" s="223"/>
      <c r="AD157" s="324"/>
      <c r="AE157" s="324"/>
      <c r="AF157" s="209"/>
      <c r="AG157" s="209"/>
      <c r="AH157" s="209"/>
      <c r="AI157" s="209"/>
      <c r="AO157" s="254"/>
      <c r="AP157" s="254"/>
      <c r="BA157" s="324"/>
      <c r="BF157" s="684"/>
      <c r="BJ157" s="695"/>
      <c r="BK157" s="684"/>
      <c r="BL157" s="684"/>
    </row>
    <row r="158" spans="3:64" s="201" customFormat="1" ht="12.75" customHeight="1" x14ac:dyDescent="0.2">
      <c r="C158" s="171"/>
      <c r="E158" s="202"/>
      <c r="F158" s="217"/>
      <c r="G158" s="202">
        <v>513869</v>
      </c>
      <c r="H158" s="171" t="s">
        <v>2098</v>
      </c>
      <c r="I158" s="217">
        <v>202686</v>
      </c>
      <c r="J158" s="171"/>
      <c r="K158" s="100"/>
      <c r="L158" s="212"/>
      <c r="M158" s="213"/>
      <c r="N158" s="172"/>
      <c r="O158" s="172"/>
      <c r="P158" s="206"/>
      <c r="V158" s="208"/>
      <c r="Z158" s="202"/>
      <c r="AA158" s="209"/>
      <c r="AB158" s="209"/>
      <c r="AC158" s="223"/>
      <c r="AD158" s="324"/>
      <c r="AE158" s="324"/>
      <c r="AF158" s="209"/>
      <c r="AG158" s="209"/>
      <c r="AH158" s="209"/>
      <c r="AI158" s="209"/>
      <c r="AO158" s="254"/>
      <c r="AP158" s="254"/>
      <c r="BA158" s="324"/>
      <c r="BF158" s="684"/>
      <c r="BJ158" s="695"/>
      <c r="BK158" s="684"/>
      <c r="BL158" s="684"/>
    </row>
    <row r="159" spans="3:64" s="201" customFormat="1" ht="12.75" customHeight="1" x14ac:dyDescent="0.2">
      <c r="C159" s="171"/>
      <c r="E159" s="202"/>
      <c r="F159" s="217"/>
      <c r="G159" s="202">
        <v>515909</v>
      </c>
      <c r="H159" s="171" t="s">
        <v>2099</v>
      </c>
      <c r="I159" s="217">
        <v>202687</v>
      </c>
      <c r="J159" s="171"/>
      <c r="K159" s="100"/>
      <c r="L159" s="212"/>
      <c r="M159" s="213"/>
      <c r="N159" s="172"/>
      <c r="O159" s="172"/>
      <c r="P159" s="206"/>
      <c r="V159" s="208"/>
      <c r="Z159" s="202"/>
      <c r="AA159" s="209"/>
      <c r="AB159" s="209"/>
      <c r="AC159" s="223"/>
      <c r="AD159" s="324"/>
      <c r="AE159" s="324"/>
      <c r="AF159" s="209"/>
      <c r="AG159" s="209"/>
      <c r="AH159" s="209"/>
      <c r="AI159" s="209"/>
      <c r="AO159" s="254"/>
      <c r="AP159" s="254"/>
      <c r="BA159" s="324"/>
      <c r="BF159" s="684"/>
      <c r="BJ159" s="695"/>
      <c r="BK159" s="684"/>
      <c r="BL159" s="684"/>
    </row>
    <row r="160" spans="3:64" s="201" customFormat="1" ht="12.75" customHeight="1" x14ac:dyDescent="0.2">
      <c r="C160" s="171"/>
      <c r="E160" s="202"/>
      <c r="F160" s="217"/>
      <c r="G160" s="202">
        <v>584179</v>
      </c>
      <c r="H160" s="171" t="s">
        <v>2100</v>
      </c>
      <c r="I160" s="217">
        <v>203114</v>
      </c>
      <c r="J160" s="171"/>
      <c r="K160" s="100"/>
      <c r="L160" s="212"/>
      <c r="M160" s="213"/>
      <c r="N160" s="172"/>
      <c r="O160" s="172"/>
      <c r="P160" s="206"/>
      <c r="V160" s="208"/>
      <c r="Z160" s="202"/>
      <c r="AA160" s="209"/>
      <c r="AB160" s="209"/>
      <c r="AC160" s="223"/>
      <c r="AD160" s="324"/>
      <c r="AE160" s="324"/>
      <c r="AF160" s="209"/>
      <c r="AG160" s="209"/>
      <c r="AH160" s="209"/>
      <c r="AI160" s="209"/>
      <c r="AO160" s="254"/>
      <c r="AP160" s="254"/>
      <c r="BA160" s="324"/>
      <c r="BF160" s="684"/>
      <c r="BJ160" s="695"/>
      <c r="BK160" s="684"/>
      <c r="BL160" s="684"/>
    </row>
    <row r="161" spans="3:64" s="201" customFormat="1" ht="12.75" customHeight="1" x14ac:dyDescent="0.2">
      <c r="C161" s="171"/>
      <c r="E161" s="202"/>
      <c r="F161" s="217"/>
      <c r="G161" s="202">
        <v>519252</v>
      </c>
      <c r="H161" s="171" t="s">
        <v>2101</v>
      </c>
      <c r="I161" s="217">
        <v>203096</v>
      </c>
      <c r="J161" s="171"/>
      <c r="K161" s="100"/>
      <c r="L161" s="212"/>
      <c r="M161" s="213"/>
      <c r="N161" s="172"/>
      <c r="O161" s="172"/>
      <c r="P161" s="206"/>
      <c r="V161" s="208"/>
      <c r="Z161" s="202"/>
      <c r="AA161" s="209"/>
      <c r="AB161" s="209"/>
      <c r="AC161" s="223"/>
      <c r="AD161" s="324"/>
      <c r="AE161" s="324"/>
      <c r="AF161" s="209"/>
      <c r="AG161" s="209"/>
      <c r="AH161" s="209"/>
      <c r="AI161" s="209"/>
      <c r="AO161" s="254"/>
      <c r="AP161" s="254"/>
      <c r="BA161" s="324"/>
      <c r="BF161" s="684"/>
      <c r="BJ161" s="695"/>
      <c r="BK161" s="684"/>
      <c r="BL161" s="684"/>
    </row>
    <row r="162" spans="3:64" s="201" customFormat="1" ht="12.75" customHeight="1" x14ac:dyDescent="0.2">
      <c r="C162" s="171"/>
      <c r="E162" s="202"/>
      <c r="F162" s="217"/>
      <c r="G162" s="202">
        <v>516833</v>
      </c>
      <c r="H162" s="171" t="s">
        <v>2102</v>
      </c>
      <c r="I162" s="217">
        <v>202707</v>
      </c>
      <c r="J162" s="171"/>
      <c r="K162" s="100"/>
      <c r="L162" s="212"/>
      <c r="M162" s="213"/>
      <c r="N162" s="172"/>
      <c r="O162" s="172"/>
      <c r="P162" s="206"/>
      <c r="V162" s="208"/>
      <c r="Z162" s="202"/>
      <c r="AA162" s="209"/>
      <c r="AB162" s="209"/>
      <c r="AC162" s="223"/>
      <c r="AD162" s="324"/>
      <c r="AE162" s="324"/>
      <c r="AF162" s="209"/>
      <c r="AG162" s="209"/>
      <c r="AH162" s="209"/>
      <c r="AI162" s="209"/>
      <c r="AO162" s="254"/>
      <c r="AP162" s="254"/>
      <c r="BA162" s="324"/>
      <c r="BF162" s="684"/>
      <c r="BJ162" s="695"/>
      <c r="BK162" s="684"/>
      <c r="BL162" s="684"/>
    </row>
    <row r="163" spans="3:64" s="201" customFormat="1" ht="12.75" customHeight="1" x14ac:dyDescent="0.2">
      <c r="C163" s="171"/>
      <c r="E163" s="202"/>
      <c r="F163" s="217"/>
      <c r="G163" s="202">
        <v>514292</v>
      </c>
      <c r="H163" s="171" t="s">
        <v>2103</v>
      </c>
      <c r="I163" s="217">
        <v>203098</v>
      </c>
      <c r="J163" s="171"/>
      <c r="K163" s="100"/>
      <c r="L163" s="212"/>
      <c r="M163" s="213"/>
      <c r="N163" s="172"/>
      <c r="O163" s="172"/>
      <c r="P163" s="206"/>
      <c r="V163" s="208"/>
      <c r="Z163" s="202"/>
      <c r="AA163" s="209"/>
      <c r="AB163" s="209"/>
      <c r="AC163" s="223"/>
      <c r="AD163" s="324"/>
      <c r="AE163" s="324"/>
      <c r="AF163" s="209"/>
      <c r="AG163" s="209"/>
      <c r="AH163" s="209"/>
      <c r="AI163" s="209"/>
      <c r="AO163" s="254"/>
      <c r="AP163" s="254"/>
      <c r="BA163" s="324"/>
      <c r="BF163" s="684"/>
      <c r="BJ163" s="695"/>
      <c r="BK163" s="684"/>
      <c r="BL163" s="684"/>
    </row>
    <row r="164" spans="3:64" s="201" customFormat="1" ht="12.75" customHeight="1" x14ac:dyDescent="0.2">
      <c r="C164" s="171"/>
      <c r="E164" s="202"/>
      <c r="F164" s="217"/>
      <c r="G164" s="202">
        <v>755238</v>
      </c>
      <c r="H164" s="171" t="s">
        <v>2104</v>
      </c>
      <c r="I164" s="217">
        <v>207572</v>
      </c>
      <c r="J164" s="171"/>
      <c r="K164" s="100"/>
      <c r="L164" s="212"/>
      <c r="M164" s="213"/>
      <c r="N164" s="172"/>
      <c r="O164" s="172"/>
      <c r="P164" s="206"/>
      <c r="V164" s="208"/>
      <c r="Z164" s="202"/>
      <c r="AA164" s="209"/>
      <c r="AB164" s="209"/>
      <c r="AC164" s="223"/>
      <c r="AD164" s="324"/>
      <c r="AE164" s="324"/>
      <c r="AF164" s="209"/>
      <c r="AG164" s="209"/>
      <c r="AH164" s="209"/>
      <c r="AI164" s="209"/>
      <c r="AO164" s="254"/>
      <c r="AP164" s="254"/>
      <c r="BA164" s="324"/>
      <c r="BF164" s="684"/>
      <c r="BJ164" s="695"/>
      <c r="BK164" s="684"/>
      <c r="BL164" s="684"/>
    </row>
    <row r="165" spans="3:64" s="201" customFormat="1" ht="12.75" customHeight="1" x14ac:dyDescent="0.2">
      <c r="C165" s="171"/>
      <c r="E165" s="202"/>
      <c r="F165" s="217"/>
      <c r="G165" s="202">
        <v>540716</v>
      </c>
      <c r="H165" s="171" t="s">
        <v>2105</v>
      </c>
      <c r="I165" s="217">
        <v>210514</v>
      </c>
      <c r="J165" s="171"/>
      <c r="K165" s="100"/>
      <c r="L165" s="212"/>
      <c r="M165" s="213"/>
      <c r="N165" s="172"/>
      <c r="O165" s="172"/>
      <c r="P165" s="206"/>
      <c r="V165" s="208"/>
      <c r="Z165" s="202"/>
      <c r="AA165" s="209"/>
      <c r="AB165" s="209"/>
      <c r="AC165" s="223"/>
      <c r="AD165" s="324"/>
      <c r="AE165" s="324"/>
      <c r="AF165" s="209"/>
      <c r="AG165" s="209"/>
      <c r="AH165" s="209"/>
      <c r="AI165" s="209"/>
      <c r="AO165" s="254"/>
      <c r="AP165" s="254"/>
      <c r="BA165" s="324"/>
      <c r="BF165" s="684"/>
      <c r="BJ165" s="695"/>
      <c r="BK165" s="684"/>
      <c r="BL165" s="684"/>
    </row>
    <row r="166" spans="3:64" s="201" customFormat="1" ht="12.75" customHeight="1" x14ac:dyDescent="0.2">
      <c r="C166" s="171"/>
      <c r="E166" s="202"/>
      <c r="F166" s="217"/>
      <c r="G166" s="202">
        <v>523134</v>
      </c>
      <c r="H166" s="171" t="s">
        <v>2106</v>
      </c>
      <c r="I166" s="217">
        <v>203109</v>
      </c>
      <c r="J166" s="171"/>
      <c r="K166" s="100"/>
      <c r="L166" s="212"/>
      <c r="M166" s="213"/>
      <c r="N166" s="172"/>
      <c r="O166" s="172"/>
      <c r="P166" s="206"/>
      <c r="V166" s="208"/>
      <c r="Z166" s="202"/>
      <c r="AA166" s="209"/>
      <c r="AB166" s="209"/>
      <c r="AC166" s="223"/>
      <c r="AD166" s="324"/>
      <c r="AE166" s="324"/>
      <c r="AF166" s="209"/>
      <c r="AG166" s="209"/>
      <c r="AH166" s="209"/>
      <c r="AI166" s="209"/>
      <c r="AO166" s="254"/>
      <c r="AP166" s="254"/>
      <c r="BA166" s="324"/>
      <c r="BF166" s="684"/>
      <c r="BJ166" s="695"/>
      <c r="BK166" s="684"/>
      <c r="BL166" s="684"/>
    </row>
    <row r="167" spans="3:64" s="201" customFormat="1" ht="12.75" customHeight="1" x14ac:dyDescent="0.2">
      <c r="C167" s="171"/>
      <c r="E167" s="202"/>
      <c r="F167" s="217"/>
      <c r="G167" s="202">
        <v>512403</v>
      </c>
      <c r="H167" s="171" t="s">
        <v>2016</v>
      </c>
      <c r="I167" s="217">
        <v>202770</v>
      </c>
      <c r="J167" s="171"/>
      <c r="K167" s="100"/>
      <c r="L167" s="212"/>
      <c r="M167" s="213"/>
      <c r="N167" s="172"/>
      <c r="O167" s="172"/>
      <c r="P167" s="206"/>
      <c r="V167" s="208"/>
      <c r="Z167" s="202"/>
      <c r="AA167" s="209"/>
      <c r="AB167" s="209"/>
      <c r="AC167" s="223"/>
      <c r="AD167" s="324"/>
      <c r="AE167" s="324"/>
      <c r="AF167" s="209"/>
      <c r="AG167" s="209"/>
      <c r="AH167" s="209"/>
      <c r="AI167" s="209"/>
      <c r="AO167" s="254"/>
      <c r="AP167" s="254"/>
      <c r="BA167" s="324"/>
      <c r="BF167" s="684"/>
      <c r="BJ167" s="695"/>
      <c r="BK167" s="684"/>
      <c r="BL167" s="684"/>
    </row>
    <row r="168" spans="3:64" s="201" customFormat="1" ht="12.75" customHeight="1" x14ac:dyDescent="0.2">
      <c r="E168" s="202"/>
      <c r="F168" s="217"/>
      <c r="G168" s="202">
        <v>540725</v>
      </c>
      <c r="H168" s="171" t="s">
        <v>2107</v>
      </c>
      <c r="I168" s="217">
        <v>200207</v>
      </c>
      <c r="J168" s="171"/>
      <c r="K168" s="100"/>
      <c r="L168" s="212"/>
      <c r="M168" s="213"/>
      <c r="N168" s="172"/>
      <c r="O168" s="172"/>
      <c r="P168" s="206"/>
      <c r="V168" s="208"/>
      <c r="Z168" s="202"/>
      <c r="AA168" s="209"/>
      <c r="AB168" s="209"/>
      <c r="AC168" s="223"/>
      <c r="AD168" s="324"/>
      <c r="AE168" s="324"/>
      <c r="AF168" s="209"/>
      <c r="AG168" s="209"/>
      <c r="AH168" s="209"/>
      <c r="AI168" s="209"/>
      <c r="AO168" s="254"/>
      <c r="AP168" s="254"/>
      <c r="BA168" s="324"/>
      <c r="BF168" s="684"/>
      <c r="BJ168" s="695"/>
      <c r="BK168" s="684"/>
      <c r="BL168" s="684"/>
    </row>
    <row r="169" spans="3:64" s="201" customFormat="1" ht="12.75" customHeight="1" x14ac:dyDescent="0.2">
      <c r="E169" s="202"/>
      <c r="F169" s="217"/>
      <c r="G169" s="202">
        <v>520832</v>
      </c>
      <c r="H169" s="171" t="s">
        <v>2108</v>
      </c>
      <c r="I169" s="217">
        <v>203108</v>
      </c>
      <c r="J169" s="171"/>
      <c r="K169" s="100"/>
      <c r="L169" s="212"/>
      <c r="M169" s="213"/>
      <c r="N169" s="172"/>
      <c r="O169" s="172"/>
      <c r="P169" s="206"/>
      <c r="V169" s="208"/>
      <c r="Z169" s="202"/>
      <c r="AA169" s="209"/>
      <c r="AB169" s="209"/>
      <c r="AC169" s="223"/>
      <c r="AD169" s="324"/>
      <c r="AE169" s="324"/>
      <c r="AF169" s="209"/>
      <c r="AG169" s="209"/>
      <c r="AH169" s="209"/>
      <c r="AI169" s="209"/>
      <c r="AO169" s="254"/>
      <c r="AP169" s="254"/>
      <c r="BA169" s="324"/>
      <c r="BF169" s="684"/>
      <c r="BJ169" s="695"/>
      <c r="BK169" s="684"/>
      <c r="BL169" s="684"/>
    </row>
    <row r="170" spans="3:64" s="201" customFormat="1" ht="12.75" customHeight="1" x14ac:dyDescent="0.2">
      <c r="E170" s="202"/>
      <c r="F170" s="217"/>
      <c r="G170" s="202">
        <v>540712</v>
      </c>
      <c r="H170" s="171" t="s">
        <v>2109</v>
      </c>
      <c r="I170" s="217">
        <v>202849</v>
      </c>
      <c r="J170" s="171"/>
      <c r="K170" s="100"/>
      <c r="L170" s="212"/>
      <c r="M170" s="213"/>
      <c r="N170" s="172"/>
      <c r="O170" s="172"/>
      <c r="P170" s="206"/>
      <c r="V170" s="208"/>
      <c r="Z170" s="202"/>
      <c r="AA170" s="209"/>
      <c r="AB170" s="209"/>
      <c r="AC170" s="223"/>
      <c r="AD170" s="324"/>
      <c r="AE170" s="324"/>
      <c r="AF170" s="209"/>
      <c r="AG170" s="209"/>
      <c r="AH170" s="209"/>
      <c r="AI170" s="209"/>
      <c r="AO170" s="254"/>
      <c r="AP170" s="254"/>
      <c r="BA170" s="324"/>
      <c r="BF170" s="684"/>
      <c r="BJ170" s="695"/>
      <c r="BK170" s="684"/>
      <c r="BL170" s="684"/>
    </row>
    <row r="171" spans="3:64" s="201" customFormat="1" ht="12.75" customHeight="1" x14ac:dyDescent="0.2">
      <c r="E171" s="202"/>
      <c r="F171" s="217"/>
      <c r="G171" s="202">
        <v>520122</v>
      </c>
      <c r="H171" s="171" t="s">
        <v>2110</v>
      </c>
      <c r="I171" s="217">
        <v>203115</v>
      </c>
      <c r="J171" s="171"/>
      <c r="K171" s="100"/>
      <c r="L171" s="212"/>
      <c r="M171" s="213"/>
      <c r="N171" s="172"/>
      <c r="O171" s="172"/>
      <c r="P171" s="206"/>
      <c r="V171" s="208"/>
      <c r="Z171" s="202"/>
      <c r="AA171" s="209"/>
      <c r="AB171" s="209"/>
      <c r="AC171" s="223"/>
      <c r="AD171" s="324"/>
      <c r="AE171" s="324"/>
      <c r="AF171" s="209"/>
      <c r="AG171" s="209"/>
      <c r="AH171" s="209"/>
      <c r="AI171" s="209"/>
      <c r="AO171" s="254"/>
      <c r="AP171" s="254"/>
      <c r="BA171" s="324"/>
      <c r="BF171" s="684"/>
      <c r="BJ171" s="695"/>
      <c r="BK171" s="684"/>
      <c r="BL171" s="684"/>
    </row>
    <row r="172" spans="3:64" s="201" customFormat="1" ht="12.75" customHeight="1" x14ac:dyDescent="0.2">
      <c r="E172" s="202"/>
      <c r="F172" s="217"/>
      <c r="G172" s="202">
        <v>512988</v>
      </c>
      <c r="H172" s="171" t="s">
        <v>2111</v>
      </c>
      <c r="I172" s="217">
        <v>208540</v>
      </c>
      <c r="J172" s="171"/>
      <c r="K172" s="100"/>
      <c r="L172" s="212"/>
      <c r="M172" s="213"/>
      <c r="N172" s="172"/>
      <c r="O172" s="172"/>
      <c r="P172" s="206"/>
      <c r="V172" s="208"/>
      <c r="Z172" s="202"/>
      <c r="AA172" s="209"/>
      <c r="AB172" s="209"/>
      <c r="AC172" s="223"/>
      <c r="AD172" s="324"/>
      <c r="AE172" s="324"/>
      <c r="AF172" s="209"/>
      <c r="AG172" s="209"/>
      <c r="AH172" s="209"/>
      <c r="AI172" s="209"/>
      <c r="AO172" s="254"/>
      <c r="AP172" s="254"/>
      <c r="BA172" s="324"/>
      <c r="BF172" s="684"/>
      <c r="BJ172" s="695"/>
      <c r="BK172" s="684"/>
      <c r="BL172" s="684"/>
    </row>
    <row r="173" spans="3:64" s="201" customFormat="1" ht="12.75" customHeight="1" x14ac:dyDescent="0.2">
      <c r="E173" s="202"/>
      <c r="F173" s="217"/>
      <c r="G173" s="202">
        <v>514293</v>
      </c>
      <c r="H173" s="171" t="s">
        <v>1908</v>
      </c>
      <c r="I173" s="217">
        <v>203085</v>
      </c>
      <c r="J173" s="171"/>
      <c r="K173" s="100"/>
      <c r="L173" s="212"/>
      <c r="M173" s="213"/>
      <c r="N173" s="172"/>
      <c r="O173" s="172"/>
      <c r="P173" s="206"/>
      <c r="V173" s="208"/>
      <c r="Z173" s="202"/>
      <c r="AA173" s="209"/>
      <c r="AB173" s="209"/>
      <c r="AC173" s="223"/>
      <c r="AD173" s="324"/>
      <c r="AE173" s="324"/>
      <c r="AF173" s="209"/>
      <c r="AG173" s="209"/>
      <c r="AH173" s="209"/>
      <c r="AI173" s="209"/>
      <c r="AO173" s="254"/>
      <c r="AP173" s="254"/>
      <c r="BA173" s="324"/>
      <c r="BF173" s="684"/>
      <c r="BJ173" s="695"/>
      <c r="BK173" s="684"/>
      <c r="BL173" s="684"/>
    </row>
    <row r="174" spans="3:64" s="201" customFormat="1" ht="12.75" customHeight="1" x14ac:dyDescent="0.2">
      <c r="E174" s="202"/>
      <c r="F174" s="217"/>
      <c r="G174" s="202">
        <v>515924</v>
      </c>
      <c r="H174" s="171" t="s">
        <v>2034</v>
      </c>
      <c r="I174" s="217">
        <v>202868</v>
      </c>
      <c r="J174" s="171"/>
      <c r="K174" s="100"/>
      <c r="L174" s="212"/>
      <c r="M174" s="213"/>
      <c r="N174" s="172"/>
      <c r="O174" s="172"/>
      <c r="P174" s="206"/>
      <c r="V174" s="208"/>
      <c r="Z174" s="202"/>
      <c r="AA174" s="209"/>
      <c r="AB174" s="209"/>
      <c r="AC174" s="223"/>
      <c r="AD174" s="324"/>
      <c r="AE174" s="324"/>
      <c r="AF174" s="209"/>
      <c r="AG174" s="209"/>
      <c r="AH174" s="209"/>
      <c r="AI174" s="209"/>
      <c r="AO174" s="254"/>
      <c r="AP174" s="254"/>
      <c r="BA174" s="324"/>
      <c r="BF174" s="684"/>
      <c r="BJ174" s="695"/>
      <c r="BK174" s="684"/>
      <c r="BL174" s="684"/>
    </row>
    <row r="175" spans="3:64" s="201" customFormat="1" ht="12.75" customHeight="1" x14ac:dyDescent="0.2">
      <c r="E175" s="202"/>
      <c r="F175" s="217"/>
      <c r="G175" s="202">
        <v>511656</v>
      </c>
      <c r="H175" s="171" t="s">
        <v>2112</v>
      </c>
      <c r="I175" s="217">
        <v>203144</v>
      </c>
      <c r="J175" s="171"/>
      <c r="K175" s="100"/>
      <c r="L175" s="212"/>
      <c r="M175" s="213"/>
      <c r="N175" s="172"/>
      <c r="O175" s="172"/>
      <c r="P175" s="206"/>
      <c r="V175" s="208"/>
      <c r="Z175" s="202"/>
      <c r="AA175" s="209"/>
      <c r="AB175" s="209"/>
      <c r="AC175" s="223"/>
      <c r="AD175" s="324"/>
      <c r="AE175" s="324"/>
      <c r="AF175" s="209"/>
      <c r="AG175" s="209"/>
      <c r="AH175" s="209"/>
      <c r="AI175" s="209"/>
      <c r="AO175" s="254"/>
      <c r="AP175" s="254"/>
      <c r="BA175" s="324"/>
      <c r="BF175" s="684"/>
      <c r="BJ175" s="695"/>
      <c r="BK175" s="684"/>
      <c r="BL175" s="684"/>
    </row>
    <row r="176" spans="3:64" s="201" customFormat="1" ht="12.75" customHeight="1" x14ac:dyDescent="0.2">
      <c r="E176" s="202"/>
      <c r="F176" s="217"/>
      <c r="G176" s="202">
        <v>655147</v>
      </c>
      <c r="H176" s="171" t="s">
        <v>1902</v>
      </c>
      <c r="I176" s="217">
        <v>202198</v>
      </c>
      <c r="J176" s="171"/>
      <c r="K176" s="100"/>
      <c r="L176" s="212"/>
      <c r="M176" s="213"/>
      <c r="N176" s="172"/>
      <c r="O176" s="172"/>
      <c r="P176" s="206"/>
      <c r="V176" s="208"/>
      <c r="Z176" s="202"/>
      <c r="AA176" s="209"/>
      <c r="AB176" s="209"/>
      <c r="AC176" s="223"/>
      <c r="AD176" s="324"/>
      <c r="AE176" s="324"/>
      <c r="AF176" s="209"/>
      <c r="AG176" s="209"/>
      <c r="AH176" s="209"/>
      <c r="AI176" s="209"/>
      <c r="AO176" s="254"/>
      <c r="AP176" s="254"/>
      <c r="BA176" s="324"/>
      <c r="BF176" s="684"/>
      <c r="BJ176" s="695"/>
      <c r="BK176" s="684"/>
      <c r="BL176" s="684"/>
    </row>
    <row r="177" spans="5:64" s="201" customFormat="1" ht="12.75" customHeight="1" x14ac:dyDescent="0.2">
      <c r="E177" s="202"/>
      <c r="F177" s="217"/>
      <c r="G177" s="202">
        <v>519253</v>
      </c>
      <c r="H177" s="171" t="s">
        <v>2048</v>
      </c>
      <c r="I177" s="217">
        <v>202896</v>
      </c>
      <c r="J177" s="171"/>
      <c r="K177" s="100"/>
      <c r="L177" s="212"/>
      <c r="M177" s="213"/>
      <c r="N177" s="172"/>
      <c r="O177" s="172"/>
      <c r="P177" s="206"/>
      <c r="V177" s="208"/>
      <c r="Z177" s="202"/>
      <c r="AA177" s="209"/>
      <c r="AB177" s="209"/>
      <c r="AC177" s="223"/>
      <c r="AD177" s="324"/>
      <c r="AE177" s="324"/>
      <c r="AF177" s="209"/>
      <c r="AG177" s="209"/>
      <c r="AH177" s="209"/>
      <c r="AI177" s="209"/>
      <c r="AO177" s="254"/>
      <c r="AP177" s="254"/>
      <c r="BA177" s="324"/>
      <c r="BF177" s="684"/>
      <c r="BJ177" s="695"/>
      <c r="BK177" s="684"/>
      <c r="BL177" s="684"/>
    </row>
    <row r="178" spans="5:64" s="201" customFormat="1" ht="12.75" customHeight="1" x14ac:dyDescent="0.2">
      <c r="E178" s="202"/>
      <c r="F178" s="217"/>
      <c r="G178" s="202">
        <v>755220</v>
      </c>
      <c r="H178" s="171" t="s">
        <v>2113</v>
      </c>
      <c r="I178" s="217">
        <v>209088</v>
      </c>
      <c r="J178" s="171"/>
      <c r="K178" s="100"/>
      <c r="L178" s="212"/>
      <c r="M178" s="245"/>
      <c r="N178" s="172"/>
      <c r="O178" s="172"/>
      <c r="P178" s="206"/>
      <c r="V178" s="208"/>
      <c r="Z178" s="202"/>
      <c r="AA178" s="209"/>
      <c r="AB178" s="209"/>
      <c r="AC178" s="223"/>
      <c r="AD178" s="324"/>
      <c r="AE178" s="324"/>
      <c r="AF178" s="209"/>
      <c r="AG178" s="209"/>
      <c r="AH178" s="209"/>
      <c r="AI178" s="209"/>
      <c r="AO178" s="254"/>
      <c r="AP178" s="254"/>
      <c r="BA178" s="324"/>
      <c r="BF178" s="684"/>
      <c r="BJ178" s="695"/>
      <c r="BK178" s="684"/>
      <c r="BL178" s="684"/>
    </row>
    <row r="179" spans="5:64" s="201" customFormat="1" ht="12.75" customHeight="1" x14ac:dyDescent="0.2">
      <c r="E179" s="202"/>
      <c r="F179" s="217"/>
      <c r="G179" s="202">
        <v>515308</v>
      </c>
      <c r="H179" s="171" t="s">
        <v>1901</v>
      </c>
      <c r="I179" s="217">
        <v>203067</v>
      </c>
      <c r="J179" s="171"/>
      <c r="K179" s="100"/>
      <c r="L179" s="212"/>
      <c r="M179" s="245"/>
      <c r="N179" s="172"/>
      <c r="O179" s="172"/>
      <c r="P179" s="206"/>
      <c r="V179" s="208"/>
      <c r="Z179" s="202"/>
      <c r="AA179" s="209"/>
      <c r="AB179" s="209"/>
      <c r="AC179" s="223"/>
      <c r="AD179" s="324"/>
      <c r="AE179" s="324"/>
      <c r="AF179" s="209"/>
      <c r="AG179" s="209"/>
      <c r="AH179" s="209"/>
      <c r="AI179" s="209"/>
      <c r="AO179" s="254"/>
      <c r="AP179" s="254"/>
      <c r="BA179" s="324"/>
      <c r="BF179" s="684"/>
      <c r="BJ179" s="695"/>
      <c r="BK179" s="684"/>
      <c r="BL179" s="684"/>
    </row>
    <row r="180" spans="5:64" s="201" customFormat="1" ht="12.75" customHeight="1" x14ac:dyDescent="0.2">
      <c r="E180" s="202"/>
      <c r="F180" s="217"/>
      <c r="G180" s="202">
        <v>520090</v>
      </c>
      <c r="H180" s="246" t="s">
        <v>2053</v>
      </c>
      <c r="I180" s="217">
        <v>200270</v>
      </c>
      <c r="J180" s="171"/>
      <c r="K180" s="100"/>
      <c r="L180" s="212"/>
      <c r="M180" s="245"/>
      <c r="N180" s="172"/>
      <c r="O180" s="172"/>
      <c r="P180" s="206"/>
      <c r="V180" s="208"/>
      <c r="Z180" s="202"/>
      <c r="AA180" s="209"/>
      <c r="AB180" s="209"/>
      <c r="AC180" s="223"/>
      <c r="AD180" s="324"/>
      <c r="AE180" s="324"/>
      <c r="AF180" s="209"/>
      <c r="AG180" s="209"/>
      <c r="AH180" s="209"/>
      <c r="AI180" s="209"/>
      <c r="AO180" s="254"/>
      <c r="AP180" s="254"/>
      <c r="BA180" s="324"/>
      <c r="BF180" s="684"/>
      <c r="BJ180" s="695"/>
      <c r="BK180" s="684"/>
      <c r="BL180" s="684"/>
    </row>
    <row r="181" spans="5:64" s="201" customFormat="1" ht="12.75" customHeight="1" x14ac:dyDescent="0.2">
      <c r="E181" s="202"/>
      <c r="F181" s="217"/>
      <c r="G181" s="202">
        <v>515256</v>
      </c>
      <c r="H181" s="171" t="s">
        <v>2114</v>
      </c>
      <c r="I181" s="217">
        <v>203113</v>
      </c>
      <c r="J181" s="171"/>
      <c r="K181" s="100"/>
      <c r="L181" s="212"/>
      <c r="M181" s="245"/>
      <c r="N181" s="172"/>
      <c r="O181" s="172"/>
      <c r="P181" s="206"/>
      <c r="V181" s="208"/>
      <c r="Z181" s="202"/>
      <c r="AA181" s="209"/>
      <c r="AB181" s="209"/>
      <c r="AC181" s="223"/>
      <c r="AD181" s="324"/>
      <c r="AE181" s="324"/>
      <c r="AF181" s="209"/>
      <c r="AG181" s="209"/>
      <c r="AH181" s="209"/>
      <c r="AI181" s="209"/>
      <c r="AO181" s="254"/>
      <c r="AP181" s="254"/>
      <c r="BA181" s="324"/>
      <c r="BF181" s="684"/>
      <c r="BJ181" s="695"/>
      <c r="BK181" s="684"/>
      <c r="BL181" s="684"/>
    </row>
    <row r="182" spans="5:64" x14ac:dyDescent="0.2">
      <c r="G182" s="202">
        <v>520938</v>
      </c>
      <c r="H182" s="201" t="s">
        <v>2115</v>
      </c>
      <c r="I182" s="217">
        <v>203106</v>
      </c>
      <c r="S182" s="201"/>
    </row>
    <row r="183" spans="5:64" x14ac:dyDescent="0.2">
      <c r="G183" s="202">
        <v>755168</v>
      </c>
      <c r="H183" s="201" t="s">
        <v>2116</v>
      </c>
      <c r="I183" s="217">
        <v>206333</v>
      </c>
      <c r="S183" s="201"/>
    </row>
    <row r="184" spans="5:64" x14ac:dyDescent="0.2">
      <c r="G184" s="202">
        <v>519868</v>
      </c>
      <c r="H184" s="201" t="s">
        <v>2117</v>
      </c>
      <c r="I184" s="217">
        <v>203140</v>
      </c>
      <c r="S184" s="201"/>
    </row>
    <row r="185" spans="5:64" x14ac:dyDescent="0.2">
      <c r="G185" s="202">
        <v>511375</v>
      </c>
      <c r="H185" s="201" t="s">
        <v>2118</v>
      </c>
      <c r="I185" s="217">
        <v>203508</v>
      </c>
      <c r="S185" s="201"/>
    </row>
    <row r="186" spans="5:64" x14ac:dyDescent="0.2">
      <c r="G186" s="202">
        <v>512043</v>
      </c>
      <c r="H186" s="201" t="s">
        <v>2119</v>
      </c>
      <c r="I186" s="217">
        <v>203511</v>
      </c>
      <c r="S186" s="201"/>
    </row>
    <row r="187" spans="5:64" x14ac:dyDescent="0.2">
      <c r="S187" s="201"/>
    </row>
    <row r="188" spans="5:64" x14ac:dyDescent="0.2">
      <c r="S188" s="201"/>
    </row>
    <row r="194" spans="2:64" s="475" customFormat="1" x14ac:dyDescent="0.2">
      <c r="B194" s="463"/>
      <c r="C194" s="464" t="s">
        <v>2330</v>
      </c>
      <c r="D194" s="464"/>
      <c r="E194" s="465" t="s">
        <v>2352</v>
      </c>
      <c r="F194" s="465"/>
      <c r="G194" s="466"/>
      <c r="H194" s="464"/>
      <c r="I194" s="464"/>
      <c r="J194" s="464"/>
      <c r="K194" s="464"/>
      <c r="L194" s="466"/>
      <c r="M194" s="466"/>
      <c r="N194" s="467"/>
      <c r="O194" s="467"/>
      <c r="P194" s="468"/>
      <c r="Q194" s="469"/>
      <c r="R194" s="464"/>
      <c r="S194" s="470"/>
      <c r="T194" s="464"/>
      <c r="U194" s="464"/>
      <c r="V194" s="471"/>
      <c r="W194" s="464"/>
      <c r="X194" s="464"/>
      <c r="Y194" s="464"/>
      <c r="Z194" s="466" t="s">
        <v>2329</v>
      </c>
      <c r="AA194" s="472"/>
      <c r="AB194" s="472"/>
      <c r="AC194" s="473"/>
      <c r="AD194" s="474"/>
      <c r="AE194" s="474"/>
      <c r="AF194" s="472"/>
      <c r="AG194" s="472"/>
      <c r="AH194" s="472"/>
      <c r="AI194" s="472"/>
      <c r="AO194" s="476"/>
      <c r="AP194" s="476"/>
      <c r="BA194" s="476"/>
      <c r="BF194" s="685"/>
      <c r="BG194" s="110"/>
      <c r="BH194" s="110"/>
      <c r="BJ194" s="696"/>
      <c r="BK194" s="830"/>
      <c r="BL194" s="830"/>
    </row>
    <row r="195" spans="2:64" s="475" customFormat="1" x14ac:dyDescent="0.2">
      <c r="B195" s="463">
        <v>45078</v>
      </c>
      <c r="C195" s="464">
        <v>41111</v>
      </c>
      <c r="D195" s="464">
        <v>1</v>
      </c>
      <c r="E195" s="466">
        <v>43011</v>
      </c>
      <c r="F195" s="465"/>
      <c r="G195" s="466">
        <v>449508</v>
      </c>
      <c r="H195" s="464" t="s">
        <v>602</v>
      </c>
      <c r="I195" s="464" t="s">
        <v>2296</v>
      </c>
      <c r="J195" s="464" t="s">
        <v>2297</v>
      </c>
      <c r="K195" s="464" t="s">
        <v>2298</v>
      </c>
      <c r="L195" s="466" t="s">
        <v>2377</v>
      </c>
      <c r="M195" s="477">
        <v>43463</v>
      </c>
      <c r="N195" s="478">
        <f t="shared" ref="N195:N198" ca="1" si="71">(TODAY()-M195)/365.25</f>
        <v>6.7323750855578375</v>
      </c>
      <c r="O195" s="478"/>
      <c r="P195" s="468">
        <v>-1</v>
      </c>
      <c r="Q195" s="469">
        <v>872</v>
      </c>
      <c r="R195" s="464">
        <v>872</v>
      </c>
      <c r="S195" s="470">
        <v>45086</v>
      </c>
      <c r="T195" s="464">
        <v>34</v>
      </c>
      <c r="U195" s="470">
        <v>45382</v>
      </c>
      <c r="V195" s="471">
        <v>192</v>
      </c>
      <c r="W195" s="464">
        <f t="shared" ref="W195:W198" si="72">V195-T195+1</f>
        <v>159</v>
      </c>
      <c r="X195" s="474">
        <f t="shared" ref="X195:X198" si="73">W195/192</f>
        <v>0.828125</v>
      </c>
      <c r="Y195" s="464" t="s">
        <v>36</v>
      </c>
      <c r="Z195" s="466">
        <v>30</v>
      </c>
      <c r="AA195" s="472">
        <v>0</v>
      </c>
      <c r="AB195" s="472">
        <f>Z195*$AA$121</f>
        <v>14183.099999999999</v>
      </c>
      <c r="AC195" s="473" t="s">
        <v>56</v>
      </c>
      <c r="AD195" s="474">
        <v>1</v>
      </c>
      <c r="AE195" s="474">
        <f t="shared" ref="AE195:AE198" si="74">X195*AD195</f>
        <v>0.828125</v>
      </c>
      <c r="AF195" s="472">
        <f t="shared" ref="AF195:AF198" si="75">AB195*AE195</f>
        <v>11745.379687499999</v>
      </c>
      <c r="AG195" s="472"/>
      <c r="AH195" s="472"/>
      <c r="AI195" s="472"/>
      <c r="AL195" s="475" t="s">
        <v>2192</v>
      </c>
      <c r="AO195" s="476"/>
      <c r="AP195" s="476"/>
      <c r="BA195" s="476"/>
      <c r="BF195" s="685"/>
      <c r="BG195" s="110"/>
      <c r="BH195" s="110"/>
      <c r="BJ195" s="696"/>
      <c r="BK195" s="830"/>
      <c r="BL195" s="830"/>
    </row>
    <row r="196" spans="2:64" s="475" customFormat="1" x14ac:dyDescent="0.2">
      <c r="B196" s="463">
        <v>45078</v>
      </c>
      <c r="C196" s="464">
        <v>41135</v>
      </c>
      <c r="D196" s="464">
        <v>1</v>
      </c>
      <c r="E196" s="466">
        <v>43012</v>
      </c>
      <c r="F196" s="465"/>
      <c r="G196" s="466">
        <v>449681</v>
      </c>
      <c r="H196" s="464" t="s">
        <v>1382</v>
      </c>
      <c r="I196" s="464" t="s">
        <v>325</v>
      </c>
      <c r="J196" s="464" t="s">
        <v>329</v>
      </c>
      <c r="K196" s="464" t="s">
        <v>1406</v>
      </c>
      <c r="L196" s="466" t="s">
        <v>1965</v>
      </c>
      <c r="M196" s="477">
        <v>43359</v>
      </c>
      <c r="N196" s="478">
        <f t="shared" ca="1" si="71"/>
        <v>7.0171115674195752</v>
      </c>
      <c r="O196" s="478"/>
      <c r="P196" s="468">
        <v>-1</v>
      </c>
      <c r="Q196" s="469">
        <v>872</v>
      </c>
      <c r="R196" s="464">
        <v>872</v>
      </c>
      <c r="S196" s="470">
        <v>45017</v>
      </c>
      <c r="T196" s="464">
        <v>1</v>
      </c>
      <c r="U196" s="470">
        <v>45382</v>
      </c>
      <c r="V196" s="471">
        <v>192</v>
      </c>
      <c r="W196" s="464">
        <f t="shared" si="72"/>
        <v>192</v>
      </c>
      <c r="X196" s="474">
        <f t="shared" si="73"/>
        <v>1</v>
      </c>
      <c r="Y196" s="464" t="s">
        <v>36</v>
      </c>
      <c r="Z196" s="466">
        <v>9</v>
      </c>
      <c r="AA196" s="472">
        <v>0</v>
      </c>
      <c r="AB196" s="472">
        <f>Z196*$AA$121</f>
        <v>4254.93</v>
      </c>
      <c r="AC196" s="473" t="s">
        <v>37</v>
      </c>
      <c r="AD196" s="474">
        <v>1</v>
      </c>
      <c r="AE196" s="474">
        <f t="shared" si="74"/>
        <v>1</v>
      </c>
      <c r="AF196" s="472">
        <f t="shared" si="75"/>
        <v>4254.93</v>
      </c>
      <c r="AG196" s="472"/>
      <c r="AH196" s="472"/>
      <c r="AI196" s="472"/>
      <c r="AL196" s="475" t="s">
        <v>2192</v>
      </c>
      <c r="AO196" s="476"/>
      <c r="AP196" s="476"/>
      <c r="BA196" s="476"/>
      <c r="BF196" s="685"/>
      <c r="BG196" s="110"/>
      <c r="BH196" s="110"/>
      <c r="BJ196" s="696"/>
      <c r="BK196" s="830"/>
      <c r="BL196" s="830"/>
    </row>
    <row r="197" spans="2:64" s="475" customFormat="1" x14ac:dyDescent="0.2">
      <c r="B197" s="463">
        <v>45078</v>
      </c>
      <c r="C197" s="464">
        <v>201999</v>
      </c>
      <c r="D197" s="464">
        <v>1</v>
      </c>
      <c r="E197" s="466">
        <v>43012</v>
      </c>
      <c r="F197" s="465"/>
      <c r="G197" s="466">
        <v>449681</v>
      </c>
      <c r="H197" s="464" t="s">
        <v>2327</v>
      </c>
      <c r="I197" s="464" t="s">
        <v>325</v>
      </c>
      <c r="J197" s="464" t="s">
        <v>329</v>
      </c>
      <c r="K197" s="464" t="s">
        <v>1406</v>
      </c>
      <c r="L197" s="466" t="s">
        <v>1965</v>
      </c>
      <c r="M197" s="477">
        <v>43359</v>
      </c>
      <c r="N197" s="478">
        <f t="shared" ca="1" si="71"/>
        <v>7.0171115674195752</v>
      </c>
      <c r="O197" s="478"/>
      <c r="P197" s="468">
        <v>-1</v>
      </c>
      <c r="Q197" s="469">
        <v>872</v>
      </c>
      <c r="R197" s="464">
        <v>872</v>
      </c>
      <c r="S197" s="470">
        <v>45017</v>
      </c>
      <c r="T197" s="464">
        <v>1</v>
      </c>
      <c r="U197" s="470">
        <v>45382</v>
      </c>
      <c r="V197" s="471">
        <v>192</v>
      </c>
      <c r="W197" s="464">
        <f t="shared" si="72"/>
        <v>192</v>
      </c>
      <c r="X197" s="474">
        <f t="shared" si="73"/>
        <v>1</v>
      </c>
      <c r="Y197" s="464" t="s">
        <v>36</v>
      </c>
      <c r="Z197" s="466">
        <v>6</v>
      </c>
      <c r="AA197" s="472">
        <v>0</v>
      </c>
      <c r="AB197" s="472">
        <f>Z197*$AA$121</f>
        <v>2836.62</v>
      </c>
      <c r="AC197" s="473" t="s">
        <v>37</v>
      </c>
      <c r="AD197" s="474">
        <v>1</v>
      </c>
      <c r="AE197" s="474">
        <f t="shared" si="74"/>
        <v>1</v>
      </c>
      <c r="AF197" s="472">
        <f t="shared" si="75"/>
        <v>2836.62</v>
      </c>
      <c r="AG197" s="472"/>
      <c r="AH197" s="472"/>
      <c r="AI197" s="472"/>
      <c r="AL197" s="475" t="s">
        <v>2192</v>
      </c>
      <c r="AO197" s="476"/>
      <c r="AP197" s="476"/>
      <c r="BA197" s="476"/>
      <c r="BF197" s="685"/>
      <c r="BG197" s="110"/>
      <c r="BH197" s="110"/>
      <c r="BJ197" s="696"/>
      <c r="BK197" s="830"/>
      <c r="BL197" s="830"/>
    </row>
    <row r="198" spans="2:64" s="475" customFormat="1" x14ac:dyDescent="0.2">
      <c r="B198" s="463">
        <v>45078</v>
      </c>
      <c r="C198" s="464">
        <v>41135</v>
      </c>
      <c r="D198" s="464">
        <v>1</v>
      </c>
      <c r="E198" s="466">
        <v>43012</v>
      </c>
      <c r="F198" s="465"/>
      <c r="G198" s="466">
        <v>444838</v>
      </c>
      <c r="H198" s="464" t="s">
        <v>1382</v>
      </c>
      <c r="I198" s="464" t="s">
        <v>2316</v>
      </c>
      <c r="J198" s="464" t="s">
        <v>2317</v>
      </c>
      <c r="K198" s="464" t="s">
        <v>2318</v>
      </c>
      <c r="L198" s="466" t="s">
        <v>2328</v>
      </c>
      <c r="M198" s="477">
        <v>43382</v>
      </c>
      <c r="N198" s="478">
        <f t="shared" ca="1" si="71"/>
        <v>6.9541409993155376</v>
      </c>
      <c r="O198" s="478"/>
      <c r="P198" s="468">
        <v>-1</v>
      </c>
      <c r="Q198" s="469">
        <v>872</v>
      </c>
      <c r="R198" s="464">
        <v>872</v>
      </c>
      <c r="S198" s="470">
        <v>45089</v>
      </c>
      <c r="T198" s="464">
        <v>35</v>
      </c>
      <c r="U198" s="470">
        <v>45382</v>
      </c>
      <c r="V198" s="471">
        <v>192</v>
      </c>
      <c r="W198" s="464">
        <f t="shared" si="72"/>
        <v>158</v>
      </c>
      <c r="X198" s="474">
        <f t="shared" si="73"/>
        <v>0.82291666666666663</v>
      </c>
      <c r="Y198" s="464" t="s">
        <v>36</v>
      </c>
      <c r="Z198" s="466">
        <v>30</v>
      </c>
      <c r="AA198" s="472">
        <v>0</v>
      </c>
      <c r="AB198" s="472">
        <f>Z198*$AA$121</f>
        <v>14183.099999999999</v>
      </c>
      <c r="AC198" s="473" t="s">
        <v>254</v>
      </c>
      <c r="AD198" s="474">
        <v>1</v>
      </c>
      <c r="AE198" s="474">
        <f t="shared" si="74"/>
        <v>0.82291666666666663</v>
      </c>
      <c r="AF198" s="472">
        <f t="shared" si="75"/>
        <v>11671.509374999998</v>
      </c>
      <c r="AG198" s="472"/>
      <c r="AH198" s="472"/>
      <c r="AI198" s="472"/>
      <c r="AL198" s="475" t="s">
        <v>2192</v>
      </c>
      <c r="AO198" s="476"/>
      <c r="AP198" s="476"/>
      <c r="BA198" s="476"/>
      <c r="BF198" s="685"/>
      <c r="BG198" s="110"/>
      <c r="BH198" s="110"/>
      <c r="BJ198" s="696"/>
      <c r="BK198" s="830"/>
      <c r="BL198" s="830"/>
    </row>
  </sheetData>
  <autoFilter ref="A1:BQ198" xr:uid="{9C4E449A-6E61-48A6-9C2D-4C94455FDA92}"/>
  <sortState xmlns:xlrd2="http://schemas.microsoft.com/office/spreadsheetml/2017/richdata2" ref="A2:BE69">
    <sortCondition ref="A2:A69"/>
    <sortCondition ref="E2:E69"/>
    <sortCondition ref="H2:H69"/>
    <sortCondition ref="I2:I69"/>
  </sortState>
  <conditionalFormatting sqref="J1:J86 J88:J1048576">
    <cfRule type="duplicateValues" dxfId="0" priority="1"/>
  </conditionalFormatting>
  <pageMargins left="0.75" right="0.75" top="1" bottom="1" header="0.5" footer="0.5"/>
  <pageSetup paperSize="9" orientation="portrait" r:id="rId1"/>
  <headerFooter alignWithMargins="0">
    <oddFooter>&amp;L_x000D_&amp;1#&amp;"Calibri"&amp;10&amp;K000000 Confidential: Information that needs to be handled with care to avoid loss, damage or inappropriate access. Information which incorrectly disseminated could cause some distress to a limited number of individuals.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5426D6-FB40-40DF-AB0C-353FEB379791}">
  <dimension ref="B2:L23"/>
  <sheetViews>
    <sheetView workbookViewId="0">
      <selection activeCell="J10" sqref="J10"/>
    </sheetView>
  </sheetViews>
  <sheetFormatPr defaultColWidth="8.85546875" defaultRowHeight="12.75" x14ac:dyDescent="0.2"/>
  <cols>
    <col min="1" max="1" width="3" style="2051" customWidth="1"/>
    <col min="2" max="2" width="35" style="2051" bestFit="1" customWidth="1"/>
    <col min="3" max="3" width="15" style="2051" customWidth="1"/>
    <col min="4" max="4" width="31.42578125" style="2052" customWidth="1"/>
    <col min="5" max="5" width="8.85546875" style="2051"/>
    <col min="6" max="7" width="12.5703125" style="2051" customWidth="1"/>
    <col min="8" max="8" width="12.42578125" style="2051" customWidth="1"/>
    <col min="9" max="9" width="12.5703125" style="2051" customWidth="1"/>
    <col min="10" max="10" width="12.85546875" style="2051" customWidth="1"/>
    <col min="11" max="16384" width="8.85546875" style="2051"/>
  </cols>
  <sheetData>
    <row r="2" spans="2:12" ht="13.35" customHeight="1" x14ac:dyDescent="0.25">
      <c r="B2" s="2068" t="s">
        <v>9</v>
      </c>
      <c r="C2" s="2069" t="s">
        <v>3912</v>
      </c>
      <c r="D2" s="2070" t="s">
        <v>3923</v>
      </c>
      <c r="E2" s="2071" t="s">
        <v>3913</v>
      </c>
      <c r="F2" s="2072"/>
      <c r="G2" s="2072"/>
      <c r="H2" s="2072"/>
      <c r="I2" s="2072"/>
      <c r="J2" s="2072"/>
      <c r="K2" s="2072"/>
      <c r="L2" s="2073"/>
    </row>
    <row r="3" spans="2:12" ht="44.45" customHeight="1" x14ac:dyDescent="0.25">
      <c r="B3" s="2068"/>
      <c r="C3" s="2069"/>
      <c r="D3" s="2070"/>
      <c r="E3" s="2053" t="s">
        <v>3921</v>
      </c>
      <c r="F3" s="2053" t="s">
        <v>3914</v>
      </c>
      <c r="G3" s="2053" t="s">
        <v>3915</v>
      </c>
      <c r="H3" s="2053" t="s">
        <v>3916</v>
      </c>
      <c r="I3" s="2053" t="s">
        <v>3917</v>
      </c>
      <c r="J3" s="2053" t="s">
        <v>3918</v>
      </c>
      <c r="K3" s="2053" t="s">
        <v>3919</v>
      </c>
      <c r="L3" s="2053" t="s">
        <v>3920</v>
      </c>
    </row>
    <row r="4" spans="2:12" ht="14.25" x14ac:dyDescent="0.2">
      <c r="B4" s="2049" t="s">
        <v>3864</v>
      </c>
      <c r="C4" s="2049">
        <v>11</v>
      </c>
      <c r="D4" s="2050">
        <v>242791.93</v>
      </c>
      <c r="E4" s="2049">
        <v>0</v>
      </c>
      <c r="F4" s="2049">
        <v>0</v>
      </c>
      <c r="G4" s="2049">
        <v>0</v>
      </c>
      <c r="H4" s="2049" t="s">
        <v>3922</v>
      </c>
      <c r="I4" s="2049">
        <v>8</v>
      </c>
      <c r="J4" s="2049" t="s">
        <v>3922</v>
      </c>
      <c r="K4" s="2049">
        <v>0</v>
      </c>
      <c r="L4" s="2049">
        <v>0</v>
      </c>
    </row>
    <row r="5" spans="2:12" ht="14.25" x14ac:dyDescent="0.2">
      <c r="B5" s="2049" t="s">
        <v>3659</v>
      </c>
      <c r="C5" s="2049" t="s">
        <v>3922</v>
      </c>
      <c r="D5" s="2050">
        <v>143788.27999999997</v>
      </c>
      <c r="E5" s="2049">
        <v>0</v>
      </c>
      <c r="F5" s="2049">
        <v>0</v>
      </c>
      <c r="G5" s="2049">
        <v>0</v>
      </c>
      <c r="H5" s="2049" t="s">
        <v>3922</v>
      </c>
      <c r="I5" s="2049">
        <v>0</v>
      </c>
      <c r="J5" s="2049">
        <v>0</v>
      </c>
      <c r="K5" s="2049">
        <v>0</v>
      </c>
      <c r="L5" s="2049">
        <v>0</v>
      </c>
    </row>
    <row r="6" spans="2:12" ht="14.25" x14ac:dyDescent="0.2">
      <c r="B6" s="2049" t="s">
        <v>3869</v>
      </c>
      <c r="C6" s="2049" t="s">
        <v>3922</v>
      </c>
      <c r="D6" s="2050">
        <v>10655.2</v>
      </c>
      <c r="E6" s="2049">
        <v>0</v>
      </c>
      <c r="F6" s="2049" t="s">
        <v>3922</v>
      </c>
      <c r="G6" s="2049">
        <v>0</v>
      </c>
      <c r="H6" s="2049">
        <v>0</v>
      </c>
      <c r="I6" s="2049">
        <v>0</v>
      </c>
      <c r="J6" s="2049">
        <v>0</v>
      </c>
      <c r="K6" s="2049">
        <v>0</v>
      </c>
      <c r="L6" s="2049">
        <v>0</v>
      </c>
    </row>
    <row r="7" spans="2:12" ht="14.25" x14ac:dyDescent="0.2">
      <c r="B7" s="2049" t="s">
        <v>3874</v>
      </c>
      <c r="C7" s="2049" t="s">
        <v>3922</v>
      </c>
      <c r="D7" s="2050">
        <v>145572.35999999999</v>
      </c>
      <c r="E7" s="2049">
        <v>0</v>
      </c>
      <c r="F7" s="2049">
        <v>0</v>
      </c>
      <c r="G7" s="2049">
        <v>0</v>
      </c>
      <c r="H7" s="2049">
        <v>0</v>
      </c>
      <c r="I7" s="2049">
        <v>0</v>
      </c>
      <c r="J7" s="2049" t="s">
        <v>3922</v>
      </c>
      <c r="K7" s="2049">
        <v>0</v>
      </c>
      <c r="L7" s="2049">
        <v>0</v>
      </c>
    </row>
    <row r="8" spans="2:12" ht="14.25" x14ac:dyDescent="0.2">
      <c r="B8" s="2049" t="s">
        <v>3875</v>
      </c>
      <c r="C8" s="2049" t="s">
        <v>3922</v>
      </c>
      <c r="D8" s="2050">
        <v>70240.91</v>
      </c>
      <c r="E8" s="2049">
        <v>0</v>
      </c>
      <c r="F8" s="2049">
        <v>0</v>
      </c>
      <c r="G8" s="2049">
        <v>0</v>
      </c>
      <c r="H8" s="2049">
        <v>0</v>
      </c>
      <c r="I8" s="2049" t="s">
        <v>3922</v>
      </c>
      <c r="J8" s="2049" t="s">
        <v>3922</v>
      </c>
      <c r="K8" s="2049">
        <v>0</v>
      </c>
      <c r="L8" s="2049">
        <v>0</v>
      </c>
    </row>
    <row r="9" spans="2:12" ht="14.25" x14ac:dyDescent="0.2">
      <c r="B9" s="2049" t="s">
        <v>3877</v>
      </c>
      <c r="C9" s="2049">
        <v>5</v>
      </c>
      <c r="D9" s="2050">
        <v>216539</v>
      </c>
      <c r="E9" s="2049">
        <v>0</v>
      </c>
      <c r="F9" s="2049">
        <v>0</v>
      </c>
      <c r="G9" s="2049">
        <v>0</v>
      </c>
      <c r="H9" s="2049">
        <v>5</v>
      </c>
      <c r="I9" s="2049">
        <v>0</v>
      </c>
      <c r="J9" s="2049">
        <v>0</v>
      </c>
      <c r="K9" s="2049">
        <v>0</v>
      </c>
      <c r="L9" s="2049">
        <v>0</v>
      </c>
    </row>
    <row r="10" spans="2:12" ht="14.25" x14ac:dyDescent="0.2">
      <c r="B10" s="2049" t="s">
        <v>3890</v>
      </c>
      <c r="C10" s="2049" t="s">
        <v>3922</v>
      </c>
      <c r="D10" s="2050">
        <v>22363.33</v>
      </c>
      <c r="E10" s="2049">
        <v>0</v>
      </c>
      <c r="F10" s="2049">
        <v>0</v>
      </c>
      <c r="G10" s="2049">
        <v>0</v>
      </c>
      <c r="H10" s="2049">
        <v>0</v>
      </c>
      <c r="I10" s="2049" t="s">
        <v>3922</v>
      </c>
      <c r="J10" s="2049">
        <v>0</v>
      </c>
      <c r="K10" s="2049">
        <v>0</v>
      </c>
      <c r="L10" s="2049">
        <v>0</v>
      </c>
    </row>
    <row r="11" spans="2:12" ht="14.25" x14ac:dyDescent="0.2">
      <c r="B11" s="2049" t="s">
        <v>3891</v>
      </c>
      <c r="C11" s="2049" t="s">
        <v>3922</v>
      </c>
      <c r="D11" s="2050">
        <v>24484.17</v>
      </c>
      <c r="E11" s="2049">
        <v>0</v>
      </c>
      <c r="F11" s="2049">
        <v>0</v>
      </c>
      <c r="G11" s="2049">
        <v>0</v>
      </c>
      <c r="H11" s="2049">
        <v>0</v>
      </c>
      <c r="I11" s="2049" t="s">
        <v>3922</v>
      </c>
      <c r="J11" s="2049">
        <v>0</v>
      </c>
      <c r="K11" s="2049">
        <v>0</v>
      </c>
      <c r="L11" s="2049">
        <v>0</v>
      </c>
    </row>
    <row r="12" spans="2:12" ht="14.25" x14ac:dyDescent="0.2">
      <c r="B12" s="2049" t="s">
        <v>3865</v>
      </c>
      <c r="C12" s="2049" t="s">
        <v>3922</v>
      </c>
      <c r="D12" s="2050">
        <v>54669.329999999994</v>
      </c>
      <c r="E12" s="2049">
        <v>0</v>
      </c>
      <c r="F12" s="2049">
        <v>0</v>
      </c>
      <c r="G12" s="2049">
        <v>0</v>
      </c>
      <c r="H12" s="2049">
        <v>0</v>
      </c>
      <c r="I12" s="2049" t="s">
        <v>3922</v>
      </c>
      <c r="J12" s="2049">
        <v>0</v>
      </c>
      <c r="K12" s="2049">
        <v>0</v>
      </c>
      <c r="L12" s="2049">
        <v>0</v>
      </c>
    </row>
    <row r="13" spans="2:12" ht="14.25" x14ac:dyDescent="0.2">
      <c r="B13" s="2049" t="s">
        <v>3881</v>
      </c>
      <c r="C13" s="2049" t="s">
        <v>3922</v>
      </c>
      <c r="D13" s="2050">
        <v>118598.62000000001</v>
      </c>
      <c r="E13" s="2049">
        <v>0</v>
      </c>
      <c r="F13" s="2049">
        <v>0</v>
      </c>
      <c r="G13" s="2049">
        <v>0</v>
      </c>
      <c r="H13" s="2049">
        <v>0</v>
      </c>
      <c r="I13" s="2049" t="s">
        <v>3922</v>
      </c>
      <c r="J13" s="2049" t="s">
        <v>3922</v>
      </c>
      <c r="K13" s="2049">
        <v>0</v>
      </c>
      <c r="L13" s="2049">
        <v>0</v>
      </c>
    </row>
    <row r="14" spans="2:12" ht="14.25" x14ac:dyDescent="0.2">
      <c r="B14" s="2049" t="s">
        <v>3798</v>
      </c>
      <c r="C14" s="2049">
        <v>14</v>
      </c>
      <c r="D14" s="2050">
        <v>701000</v>
      </c>
      <c r="E14" s="2049">
        <v>0</v>
      </c>
      <c r="F14" s="2049">
        <v>0</v>
      </c>
      <c r="G14" s="2049">
        <v>0</v>
      </c>
      <c r="H14" s="2049">
        <v>0</v>
      </c>
      <c r="I14" s="2049">
        <v>0</v>
      </c>
      <c r="J14" s="2049">
        <v>14</v>
      </c>
      <c r="K14" s="2049">
        <v>0</v>
      </c>
      <c r="L14" s="2049">
        <v>0</v>
      </c>
    </row>
    <row r="15" spans="2:12" ht="14.25" x14ac:dyDescent="0.2">
      <c r="B15" s="2049" t="s">
        <v>3870</v>
      </c>
      <c r="C15" s="2049" t="s">
        <v>3922</v>
      </c>
      <c r="D15" s="2050">
        <v>181262.74</v>
      </c>
      <c r="E15" s="2049">
        <v>0</v>
      </c>
      <c r="F15" s="2049">
        <v>0</v>
      </c>
      <c r="G15" s="2049">
        <v>0</v>
      </c>
      <c r="H15" s="2049">
        <v>0</v>
      </c>
      <c r="I15" s="2049">
        <v>0</v>
      </c>
      <c r="J15" s="2049" t="s">
        <v>3922</v>
      </c>
      <c r="K15" s="2049">
        <v>0</v>
      </c>
      <c r="L15" s="2049">
        <v>0</v>
      </c>
    </row>
    <row r="16" spans="2:12" ht="14.25" x14ac:dyDescent="0.2">
      <c r="B16" s="2049" t="s">
        <v>3863</v>
      </c>
      <c r="C16" s="2049" t="s">
        <v>3922</v>
      </c>
      <c r="D16" s="2050">
        <v>38293</v>
      </c>
      <c r="E16" s="2049">
        <v>0</v>
      </c>
      <c r="F16" s="2049" t="s">
        <v>3922</v>
      </c>
      <c r="G16" s="2049" t="s">
        <v>3922</v>
      </c>
      <c r="H16" s="2049">
        <v>0</v>
      </c>
      <c r="I16" s="2049">
        <v>0</v>
      </c>
      <c r="J16" s="2049">
        <v>0</v>
      </c>
      <c r="K16" s="2049">
        <v>0</v>
      </c>
      <c r="L16" s="2049">
        <v>0</v>
      </c>
    </row>
    <row r="17" spans="2:12" ht="14.25" x14ac:dyDescent="0.2">
      <c r="B17" s="2049" t="s">
        <v>3871</v>
      </c>
      <c r="C17" s="2049">
        <v>7</v>
      </c>
      <c r="D17" s="2050">
        <v>439805.94</v>
      </c>
      <c r="E17" s="2049">
        <v>0</v>
      </c>
      <c r="F17" s="2049">
        <v>0</v>
      </c>
      <c r="G17" s="2049">
        <v>0</v>
      </c>
      <c r="H17" s="2049">
        <v>0</v>
      </c>
      <c r="I17" s="2049">
        <v>0</v>
      </c>
      <c r="J17" s="2049">
        <v>7</v>
      </c>
      <c r="K17" s="2049">
        <v>0</v>
      </c>
      <c r="L17" s="2049">
        <v>0</v>
      </c>
    </row>
    <row r="18" spans="2:12" ht="14.25" x14ac:dyDescent="0.2">
      <c r="B18" s="2049" t="s">
        <v>3800</v>
      </c>
      <c r="C18" s="2049" t="s">
        <v>3922</v>
      </c>
      <c r="D18" s="2050">
        <v>161007.57</v>
      </c>
      <c r="E18" s="2049">
        <v>0</v>
      </c>
      <c r="F18" s="2049">
        <v>0</v>
      </c>
      <c r="G18" s="2049">
        <v>0</v>
      </c>
      <c r="H18" s="2049">
        <v>0</v>
      </c>
      <c r="I18" s="2049" t="s">
        <v>3922</v>
      </c>
      <c r="J18" s="2049" t="s">
        <v>3922</v>
      </c>
      <c r="K18" s="2049">
        <v>0</v>
      </c>
      <c r="L18" s="2049">
        <v>0</v>
      </c>
    </row>
    <row r="19" spans="2:12" ht="14.25" x14ac:dyDescent="0.2">
      <c r="B19" s="2049" t="s">
        <v>3868</v>
      </c>
      <c r="C19" s="2049" t="s">
        <v>3922</v>
      </c>
      <c r="D19" s="2050">
        <v>30750</v>
      </c>
      <c r="E19" s="2049">
        <v>0</v>
      </c>
      <c r="F19" s="2049">
        <v>0</v>
      </c>
      <c r="G19" s="2049" t="s">
        <v>3922</v>
      </c>
      <c r="H19" s="2049">
        <v>0</v>
      </c>
      <c r="I19" s="2049">
        <v>0</v>
      </c>
      <c r="J19" s="2049">
        <v>0</v>
      </c>
      <c r="K19" s="2049">
        <v>0</v>
      </c>
      <c r="L19" s="2049">
        <v>0</v>
      </c>
    </row>
    <row r="20" spans="2:12" ht="14.25" x14ac:dyDescent="0.2">
      <c r="B20" s="2049" t="s">
        <v>3867</v>
      </c>
      <c r="C20" s="2049">
        <v>7</v>
      </c>
      <c r="D20" s="2050">
        <v>130820</v>
      </c>
      <c r="E20" s="2049">
        <v>0</v>
      </c>
      <c r="F20" s="2049" t="s">
        <v>3922</v>
      </c>
      <c r="G20" s="2049" t="s">
        <v>3922</v>
      </c>
      <c r="H20" s="2049">
        <v>0</v>
      </c>
      <c r="I20" s="2049">
        <v>0</v>
      </c>
      <c r="J20" s="2049">
        <v>0</v>
      </c>
      <c r="K20" s="2049">
        <v>0</v>
      </c>
      <c r="L20" s="2049">
        <v>0</v>
      </c>
    </row>
    <row r="21" spans="2:12" ht="14.25" x14ac:dyDescent="0.2">
      <c r="B21" s="2049" t="s">
        <v>3857</v>
      </c>
      <c r="C21" s="2049" t="s">
        <v>3922</v>
      </c>
      <c r="D21" s="2050">
        <v>107533.75</v>
      </c>
      <c r="E21" s="2049">
        <v>0</v>
      </c>
      <c r="F21" s="2049">
        <v>0</v>
      </c>
      <c r="G21" s="2049">
        <v>0</v>
      </c>
      <c r="H21" s="2049" t="s">
        <v>3922</v>
      </c>
      <c r="I21" s="2049">
        <v>0</v>
      </c>
      <c r="J21" s="2049" t="s">
        <v>3922</v>
      </c>
      <c r="K21" s="2049">
        <v>0</v>
      </c>
      <c r="L21" s="2049">
        <v>0</v>
      </c>
    </row>
    <row r="22" spans="2:12" ht="14.25" x14ac:dyDescent="0.2">
      <c r="B22" s="2049" t="s">
        <v>3889</v>
      </c>
      <c r="C22" s="2049" t="s">
        <v>3922</v>
      </c>
      <c r="D22" s="2050">
        <v>10892.42</v>
      </c>
      <c r="E22" s="2049">
        <v>0</v>
      </c>
      <c r="F22" s="2049">
        <v>0</v>
      </c>
      <c r="G22" s="2049">
        <v>0</v>
      </c>
      <c r="H22" s="2049">
        <v>0</v>
      </c>
      <c r="I22" s="2049" t="s">
        <v>3922</v>
      </c>
      <c r="J22" s="2049">
        <v>0</v>
      </c>
      <c r="K22" s="2049">
        <v>0</v>
      </c>
      <c r="L22" s="2049">
        <v>0</v>
      </c>
    </row>
    <row r="23" spans="2:12" ht="14.25" x14ac:dyDescent="0.2">
      <c r="B23" s="2049" t="s">
        <v>3888</v>
      </c>
      <c r="C23" s="2049" t="s">
        <v>3922</v>
      </c>
      <c r="D23" s="2050">
        <v>119371.22</v>
      </c>
      <c r="E23" s="2049">
        <v>0</v>
      </c>
      <c r="F23" s="2049">
        <v>0</v>
      </c>
      <c r="G23" s="2049">
        <v>0</v>
      </c>
      <c r="H23" s="2049">
        <v>0</v>
      </c>
      <c r="I23" s="2049">
        <v>0</v>
      </c>
      <c r="J23" s="2049" t="s">
        <v>3922</v>
      </c>
      <c r="K23" s="2049">
        <v>0</v>
      </c>
      <c r="L23" s="2049">
        <v>0</v>
      </c>
    </row>
  </sheetData>
  <mergeCells count="4">
    <mergeCell ref="B2:B3"/>
    <mergeCell ref="C2:C3"/>
    <mergeCell ref="D2:D3"/>
    <mergeCell ref="E2:L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833F0E-49E3-45BF-9350-DD48D880CFE5}">
  <sheetPr codeName="Sheet6"/>
  <dimension ref="A1:CB981"/>
  <sheetViews>
    <sheetView zoomScale="75" zoomScaleNormal="75" workbookViewId="0">
      <pane xSplit="14" ySplit="1" topLeftCell="BX853" activePane="bottomRight" state="frozen"/>
      <selection pane="topRight" activeCell="M1" sqref="M1"/>
      <selection pane="bottomLeft" activeCell="A2" sqref="A2"/>
      <selection pane="bottomRight" activeCell="J912" sqref="J912"/>
    </sheetView>
  </sheetViews>
  <sheetFormatPr defaultRowHeight="12.75" x14ac:dyDescent="0.2"/>
  <cols>
    <col min="1" max="1" width="5.5703125" customWidth="1"/>
    <col min="2" max="2" width="4.140625" customWidth="1"/>
    <col min="7" max="7" width="6.42578125" customWidth="1"/>
    <col min="8" max="8" width="7" customWidth="1"/>
    <col min="12" max="12" width="33.42578125" customWidth="1"/>
    <col min="13" max="13" width="13.42578125" customWidth="1"/>
    <col min="14" max="15" width="18.5703125" customWidth="1"/>
    <col min="16" max="16" width="12.140625" customWidth="1"/>
    <col min="17" max="17" width="8.5703125" customWidth="1"/>
    <col min="18" max="18" width="8.85546875" customWidth="1"/>
    <col min="19" max="19" width="8.140625" style="108" customWidth="1"/>
    <col min="20" max="20" width="8.42578125" style="108" customWidth="1"/>
    <col min="21" max="21" width="15.42578125" customWidth="1"/>
    <col min="22" max="22" width="6.42578125" customWidth="1"/>
    <col min="23" max="23" width="13.140625" customWidth="1"/>
    <col min="24" max="24" width="8.42578125" customWidth="1"/>
    <col min="25" max="25" width="11.42578125" customWidth="1"/>
    <col min="26" max="26" width="10.85546875" customWidth="1"/>
    <col min="27" max="27" width="14.5703125" customWidth="1"/>
    <col min="28" max="28" width="16.5703125" customWidth="1"/>
    <col min="29" max="29" width="7.42578125" customWidth="1"/>
    <col min="30" max="30" width="10.5703125" customWidth="1"/>
    <col min="31" max="31" width="9.42578125" customWidth="1"/>
    <col min="32" max="32" width="9.140625" customWidth="1"/>
    <col min="33" max="33" width="8.42578125" customWidth="1"/>
    <col min="34" max="34" width="17.42578125" customWidth="1"/>
    <col min="35" max="35" width="8.85546875" customWidth="1"/>
    <col min="36" max="36" width="5.5703125" customWidth="1"/>
    <col min="37" max="37" width="7" customWidth="1"/>
    <col min="38" max="38" width="12.140625" customWidth="1"/>
    <col min="39" max="39" width="13.85546875" customWidth="1"/>
    <col min="40" max="40" width="14.5703125" customWidth="1"/>
    <col min="41" max="41" width="8.85546875" customWidth="1"/>
    <col min="42" max="42" width="10.42578125" customWidth="1"/>
    <col min="43" max="43" width="19.5703125" customWidth="1"/>
    <col min="44" max="44" width="16.42578125" customWidth="1"/>
    <col min="45" max="45" width="15.5703125" style="98" customWidth="1"/>
    <col min="46" max="46" width="19.5703125" customWidth="1"/>
    <col min="47" max="47" width="17.42578125" customWidth="1"/>
    <col min="48" max="48" width="14.5703125" customWidth="1"/>
    <col min="49" max="49" width="12" customWidth="1"/>
    <col min="50" max="50" width="11" customWidth="1"/>
    <col min="51" max="51" width="11.5703125" customWidth="1"/>
    <col min="52" max="52" width="10.140625" customWidth="1"/>
    <col min="53" max="53" width="12.140625" customWidth="1"/>
    <col min="54" max="54" width="18.42578125" style="106" customWidth="1"/>
    <col min="55" max="55" width="16.42578125" customWidth="1"/>
    <col min="56" max="56" width="24.42578125" customWidth="1"/>
    <col min="57" max="57" width="11.85546875" customWidth="1"/>
    <col min="58" max="58" width="8.42578125" customWidth="1"/>
    <col min="59" max="59" width="8.5703125" customWidth="1"/>
    <col min="60" max="60" width="9.42578125" customWidth="1"/>
    <col min="61" max="61" width="17.85546875" customWidth="1"/>
    <col min="62" max="62" width="15.42578125" customWidth="1"/>
    <col min="63" max="63" width="16.42578125" customWidth="1"/>
    <col min="64" max="66" width="8.85546875" style="108"/>
    <col min="67" max="67" width="13.5703125" customWidth="1"/>
    <col min="68" max="68" width="13.85546875" customWidth="1"/>
    <col min="69" max="69" width="10.140625" customWidth="1"/>
    <col min="70" max="70" width="8.140625" customWidth="1"/>
    <col min="71" max="71" width="12.42578125" customWidth="1"/>
    <col min="72" max="72" width="16.42578125" customWidth="1"/>
    <col min="73" max="73" width="14.85546875" customWidth="1"/>
    <col min="74" max="74" width="12" customWidth="1"/>
    <col min="75" max="75" width="16.42578125" customWidth="1"/>
    <col min="76" max="76" width="26.42578125" style="497" customWidth="1"/>
    <col min="77" max="78" width="18.42578125" customWidth="1"/>
    <col min="79" max="79" width="17.5703125" customWidth="1"/>
    <col min="270" max="270" width="10.42578125" customWidth="1"/>
    <col min="275" max="275" width="10.140625" customWidth="1"/>
    <col min="279" max="279" width="33.42578125" customWidth="1"/>
    <col min="280" max="280" width="13.42578125" customWidth="1"/>
    <col min="281" max="281" width="18.5703125" customWidth="1"/>
    <col min="282" max="282" width="27.5703125" bestFit="1" customWidth="1"/>
    <col min="283" max="283" width="12.140625" customWidth="1"/>
    <col min="284" max="284" width="13.5703125" customWidth="1"/>
    <col min="285" max="285" width="11.42578125" customWidth="1"/>
    <col min="287" max="287" width="8.140625" customWidth="1"/>
    <col min="288" max="288" width="8.42578125" customWidth="1"/>
    <col min="289" max="289" width="15.42578125" customWidth="1"/>
    <col min="290" max="290" width="6.42578125" customWidth="1"/>
    <col min="291" max="291" width="13.140625" customWidth="1"/>
    <col min="292" max="292" width="8.42578125" customWidth="1"/>
    <col min="293" max="293" width="11.42578125" customWidth="1"/>
    <col min="294" max="294" width="10.85546875" customWidth="1"/>
    <col min="295" max="295" width="14.5703125" customWidth="1"/>
    <col min="296" max="296" width="16.5703125" customWidth="1"/>
    <col min="297" max="297" width="12.140625" customWidth="1"/>
    <col min="298" max="298" width="13.85546875" customWidth="1"/>
    <col min="299" max="299" width="14.5703125" customWidth="1"/>
    <col min="301" max="301" width="10.42578125" customWidth="1"/>
    <col min="302" max="302" width="12.5703125" customWidth="1"/>
    <col min="303" max="303" width="15.5703125" customWidth="1"/>
    <col min="304" max="304" width="24.85546875" customWidth="1"/>
    <col min="305" max="305" width="16" customWidth="1"/>
    <col min="306" max="306" width="16.42578125" customWidth="1"/>
    <col min="307" max="307" width="16" customWidth="1"/>
    <col min="308" max="314" width="14.5703125" customWidth="1"/>
    <col min="526" max="526" width="10.42578125" customWidth="1"/>
    <col min="531" max="531" width="10.140625" customWidth="1"/>
    <col min="535" max="535" width="33.42578125" customWidth="1"/>
    <col min="536" max="536" width="13.42578125" customWidth="1"/>
    <col min="537" max="537" width="18.5703125" customWidth="1"/>
    <col min="538" max="538" width="27.5703125" bestFit="1" customWidth="1"/>
    <col min="539" max="539" width="12.140625" customWidth="1"/>
    <col min="540" max="540" width="13.5703125" customWidth="1"/>
    <col min="541" max="541" width="11.42578125" customWidth="1"/>
    <col min="543" max="543" width="8.140625" customWidth="1"/>
    <col min="544" max="544" width="8.42578125" customWidth="1"/>
    <col min="545" max="545" width="15.42578125" customWidth="1"/>
    <col min="546" max="546" width="6.42578125" customWidth="1"/>
    <col min="547" max="547" width="13.140625" customWidth="1"/>
    <col min="548" max="548" width="8.42578125" customWidth="1"/>
    <col min="549" max="549" width="11.42578125" customWidth="1"/>
    <col min="550" max="550" width="10.85546875" customWidth="1"/>
    <col min="551" max="551" width="14.5703125" customWidth="1"/>
    <col min="552" max="552" width="16.5703125" customWidth="1"/>
    <col min="553" max="553" width="12.140625" customWidth="1"/>
    <col min="554" max="554" width="13.85546875" customWidth="1"/>
    <col min="555" max="555" width="14.5703125" customWidth="1"/>
    <col min="557" max="557" width="10.42578125" customWidth="1"/>
    <col min="558" max="558" width="12.5703125" customWidth="1"/>
    <col min="559" max="559" width="15.5703125" customWidth="1"/>
    <col min="560" max="560" width="24.85546875" customWidth="1"/>
    <col min="561" max="561" width="16" customWidth="1"/>
    <col min="562" max="562" width="16.42578125" customWidth="1"/>
    <col min="563" max="563" width="16" customWidth="1"/>
    <col min="564" max="570" width="14.5703125" customWidth="1"/>
    <col min="782" max="782" width="10.42578125" customWidth="1"/>
    <col min="787" max="787" width="10.140625" customWidth="1"/>
    <col min="791" max="791" width="33.42578125" customWidth="1"/>
    <col min="792" max="792" width="13.42578125" customWidth="1"/>
    <col min="793" max="793" width="18.5703125" customWidth="1"/>
    <col min="794" max="794" width="27.5703125" bestFit="1" customWidth="1"/>
    <col min="795" max="795" width="12.140625" customWidth="1"/>
    <col min="796" max="796" width="13.5703125" customWidth="1"/>
    <col min="797" max="797" width="11.42578125" customWidth="1"/>
    <col min="799" max="799" width="8.140625" customWidth="1"/>
    <col min="800" max="800" width="8.42578125" customWidth="1"/>
    <col min="801" max="801" width="15.42578125" customWidth="1"/>
    <col min="802" max="802" width="6.42578125" customWidth="1"/>
    <col min="803" max="803" width="13.140625" customWidth="1"/>
    <col min="804" max="804" width="8.42578125" customWidth="1"/>
    <col min="805" max="805" width="11.42578125" customWidth="1"/>
    <col min="806" max="806" width="10.85546875" customWidth="1"/>
    <col min="807" max="807" width="14.5703125" customWidth="1"/>
    <col min="808" max="808" width="16.5703125" customWidth="1"/>
    <col min="809" max="809" width="12.140625" customWidth="1"/>
    <col min="810" max="810" width="13.85546875" customWidth="1"/>
    <col min="811" max="811" width="14.5703125" customWidth="1"/>
    <col min="813" max="813" width="10.42578125" customWidth="1"/>
    <col min="814" max="814" width="12.5703125" customWidth="1"/>
    <col min="815" max="815" width="15.5703125" customWidth="1"/>
    <col min="816" max="816" width="24.85546875" customWidth="1"/>
    <col min="817" max="817" width="16" customWidth="1"/>
    <col min="818" max="818" width="16.42578125" customWidth="1"/>
    <col min="819" max="819" width="16" customWidth="1"/>
    <col min="820" max="826" width="14.5703125" customWidth="1"/>
    <col min="1038" max="1038" width="10.42578125" customWidth="1"/>
    <col min="1043" max="1043" width="10.140625" customWidth="1"/>
    <col min="1047" max="1047" width="33.42578125" customWidth="1"/>
    <col min="1048" max="1048" width="13.42578125" customWidth="1"/>
    <col min="1049" max="1049" width="18.5703125" customWidth="1"/>
    <col min="1050" max="1050" width="27.5703125" bestFit="1" customWidth="1"/>
    <col min="1051" max="1051" width="12.140625" customWidth="1"/>
    <col min="1052" max="1052" width="13.5703125" customWidth="1"/>
    <col min="1053" max="1053" width="11.42578125" customWidth="1"/>
    <col min="1055" max="1055" width="8.140625" customWidth="1"/>
    <col min="1056" max="1056" width="8.42578125" customWidth="1"/>
    <col min="1057" max="1057" width="15.42578125" customWidth="1"/>
    <col min="1058" max="1058" width="6.42578125" customWidth="1"/>
    <col min="1059" max="1059" width="13.140625" customWidth="1"/>
    <col min="1060" max="1060" width="8.42578125" customWidth="1"/>
    <col min="1061" max="1061" width="11.42578125" customWidth="1"/>
    <col min="1062" max="1062" width="10.85546875" customWidth="1"/>
    <col min="1063" max="1063" width="14.5703125" customWidth="1"/>
    <col min="1064" max="1064" width="16.5703125" customWidth="1"/>
    <col min="1065" max="1065" width="12.140625" customWidth="1"/>
    <col min="1066" max="1066" width="13.85546875" customWidth="1"/>
    <col min="1067" max="1067" width="14.5703125" customWidth="1"/>
    <col min="1069" max="1069" width="10.42578125" customWidth="1"/>
    <col min="1070" max="1070" width="12.5703125" customWidth="1"/>
    <col min="1071" max="1071" width="15.5703125" customWidth="1"/>
    <col min="1072" max="1072" width="24.85546875" customWidth="1"/>
    <col min="1073" max="1073" width="16" customWidth="1"/>
    <col min="1074" max="1074" width="16.42578125" customWidth="1"/>
    <col min="1075" max="1075" width="16" customWidth="1"/>
    <col min="1076" max="1082" width="14.5703125" customWidth="1"/>
    <col min="1294" max="1294" width="10.42578125" customWidth="1"/>
    <col min="1299" max="1299" width="10.140625" customWidth="1"/>
    <col min="1303" max="1303" width="33.42578125" customWidth="1"/>
    <col min="1304" max="1304" width="13.42578125" customWidth="1"/>
    <col min="1305" max="1305" width="18.5703125" customWidth="1"/>
    <col min="1306" max="1306" width="27.5703125" bestFit="1" customWidth="1"/>
    <col min="1307" max="1307" width="12.140625" customWidth="1"/>
    <col min="1308" max="1308" width="13.5703125" customWidth="1"/>
    <col min="1309" max="1309" width="11.42578125" customWidth="1"/>
    <col min="1311" max="1311" width="8.140625" customWidth="1"/>
    <col min="1312" max="1312" width="8.42578125" customWidth="1"/>
    <col min="1313" max="1313" width="15.42578125" customWidth="1"/>
    <col min="1314" max="1314" width="6.42578125" customWidth="1"/>
    <col min="1315" max="1315" width="13.140625" customWidth="1"/>
    <col min="1316" max="1316" width="8.42578125" customWidth="1"/>
    <col min="1317" max="1317" width="11.42578125" customWidth="1"/>
    <col min="1318" max="1318" width="10.85546875" customWidth="1"/>
    <col min="1319" max="1319" width="14.5703125" customWidth="1"/>
    <col min="1320" max="1320" width="16.5703125" customWidth="1"/>
    <col min="1321" max="1321" width="12.140625" customWidth="1"/>
    <col min="1322" max="1322" width="13.85546875" customWidth="1"/>
    <col min="1323" max="1323" width="14.5703125" customWidth="1"/>
    <col min="1325" max="1325" width="10.42578125" customWidth="1"/>
    <col min="1326" max="1326" width="12.5703125" customWidth="1"/>
    <col min="1327" max="1327" width="15.5703125" customWidth="1"/>
    <col min="1328" max="1328" width="24.85546875" customWidth="1"/>
    <col min="1329" max="1329" width="16" customWidth="1"/>
    <col min="1330" max="1330" width="16.42578125" customWidth="1"/>
    <col min="1331" max="1331" width="16" customWidth="1"/>
    <col min="1332" max="1338" width="14.5703125" customWidth="1"/>
    <col min="1550" max="1550" width="10.42578125" customWidth="1"/>
    <col min="1555" max="1555" width="10.140625" customWidth="1"/>
    <col min="1559" max="1559" width="33.42578125" customWidth="1"/>
    <col min="1560" max="1560" width="13.42578125" customWidth="1"/>
    <col min="1561" max="1561" width="18.5703125" customWidth="1"/>
    <col min="1562" max="1562" width="27.5703125" bestFit="1" customWidth="1"/>
    <col min="1563" max="1563" width="12.140625" customWidth="1"/>
    <col min="1564" max="1564" width="13.5703125" customWidth="1"/>
    <col min="1565" max="1565" width="11.42578125" customWidth="1"/>
    <col min="1567" max="1567" width="8.140625" customWidth="1"/>
    <col min="1568" max="1568" width="8.42578125" customWidth="1"/>
    <col min="1569" max="1569" width="15.42578125" customWidth="1"/>
    <col min="1570" max="1570" width="6.42578125" customWidth="1"/>
    <col min="1571" max="1571" width="13.140625" customWidth="1"/>
    <col min="1572" max="1572" width="8.42578125" customWidth="1"/>
    <col min="1573" max="1573" width="11.42578125" customWidth="1"/>
    <col min="1574" max="1574" width="10.85546875" customWidth="1"/>
    <col min="1575" max="1575" width="14.5703125" customWidth="1"/>
    <col min="1576" max="1576" width="16.5703125" customWidth="1"/>
    <col min="1577" max="1577" width="12.140625" customWidth="1"/>
    <col min="1578" max="1578" width="13.85546875" customWidth="1"/>
    <col min="1579" max="1579" width="14.5703125" customWidth="1"/>
    <col min="1581" max="1581" width="10.42578125" customWidth="1"/>
    <col min="1582" max="1582" width="12.5703125" customWidth="1"/>
    <col min="1583" max="1583" width="15.5703125" customWidth="1"/>
    <col min="1584" max="1584" width="24.85546875" customWidth="1"/>
    <col min="1585" max="1585" width="16" customWidth="1"/>
    <col min="1586" max="1586" width="16.42578125" customWidth="1"/>
    <col min="1587" max="1587" width="16" customWidth="1"/>
    <col min="1588" max="1594" width="14.5703125" customWidth="1"/>
    <col min="1806" max="1806" width="10.42578125" customWidth="1"/>
    <col min="1811" max="1811" width="10.140625" customWidth="1"/>
    <col min="1815" max="1815" width="33.42578125" customWidth="1"/>
    <col min="1816" max="1816" width="13.42578125" customWidth="1"/>
    <col min="1817" max="1817" width="18.5703125" customWidth="1"/>
    <col min="1818" max="1818" width="27.5703125" bestFit="1" customWidth="1"/>
    <col min="1819" max="1819" width="12.140625" customWidth="1"/>
    <col min="1820" max="1820" width="13.5703125" customWidth="1"/>
    <col min="1821" max="1821" width="11.42578125" customWidth="1"/>
    <col min="1823" max="1823" width="8.140625" customWidth="1"/>
    <col min="1824" max="1824" width="8.42578125" customWidth="1"/>
    <col min="1825" max="1825" width="15.42578125" customWidth="1"/>
    <col min="1826" max="1826" width="6.42578125" customWidth="1"/>
    <col min="1827" max="1827" width="13.140625" customWidth="1"/>
    <col min="1828" max="1828" width="8.42578125" customWidth="1"/>
    <col min="1829" max="1829" width="11.42578125" customWidth="1"/>
    <col min="1830" max="1830" width="10.85546875" customWidth="1"/>
    <col min="1831" max="1831" width="14.5703125" customWidth="1"/>
    <col min="1832" max="1832" width="16.5703125" customWidth="1"/>
    <col min="1833" max="1833" width="12.140625" customWidth="1"/>
    <col min="1834" max="1834" width="13.85546875" customWidth="1"/>
    <col min="1835" max="1835" width="14.5703125" customWidth="1"/>
    <col min="1837" max="1837" width="10.42578125" customWidth="1"/>
    <col min="1838" max="1838" width="12.5703125" customWidth="1"/>
    <col min="1839" max="1839" width="15.5703125" customWidth="1"/>
    <col min="1840" max="1840" width="24.85546875" customWidth="1"/>
    <col min="1841" max="1841" width="16" customWidth="1"/>
    <col min="1842" max="1842" width="16.42578125" customWidth="1"/>
    <col min="1843" max="1843" width="16" customWidth="1"/>
    <col min="1844" max="1850" width="14.5703125" customWidth="1"/>
    <col min="2062" max="2062" width="10.42578125" customWidth="1"/>
    <col min="2067" max="2067" width="10.140625" customWidth="1"/>
    <col min="2071" max="2071" width="33.42578125" customWidth="1"/>
    <col min="2072" max="2072" width="13.42578125" customWidth="1"/>
    <col min="2073" max="2073" width="18.5703125" customWidth="1"/>
    <col min="2074" max="2074" width="27.5703125" bestFit="1" customWidth="1"/>
    <col min="2075" max="2075" width="12.140625" customWidth="1"/>
    <col min="2076" max="2076" width="13.5703125" customWidth="1"/>
    <col min="2077" max="2077" width="11.42578125" customWidth="1"/>
    <col min="2079" max="2079" width="8.140625" customWidth="1"/>
    <col min="2080" max="2080" width="8.42578125" customWidth="1"/>
    <col min="2081" max="2081" width="15.42578125" customWidth="1"/>
    <col min="2082" max="2082" width="6.42578125" customWidth="1"/>
    <col min="2083" max="2083" width="13.140625" customWidth="1"/>
    <col min="2084" max="2084" width="8.42578125" customWidth="1"/>
    <col min="2085" max="2085" width="11.42578125" customWidth="1"/>
    <col min="2086" max="2086" width="10.85546875" customWidth="1"/>
    <col min="2087" max="2087" width="14.5703125" customWidth="1"/>
    <col min="2088" max="2088" width="16.5703125" customWidth="1"/>
    <col min="2089" max="2089" width="12.140625" customWidth="1"/>
    <col min="2090" max="2090" width="13.85546875" customWidth="1"/>
    <col min="2091" max="2091" width="14.5703125" customWidth="1"/>
    <col min="2093" max="2093" width="10.42578125" customWidth="1"/>
    <col min="2094" max="2094" width="12.5703125" customWidth="1"/>
    <col min="2095" max="2095" width="15.5703125" customWidth="1"/>
    <col min="2096" max="2096" width="24.85546875" customWidth="1"/>
    <col min="2097" max="2097" width="16" customWidth="1"/>
    <col min="2098" max="2098" width="16.42578125" customWidth="1"/>
    <col min="2099" max="2099" width="16" customWidth="1"/>
    <col min="2100" max="2106" width="14.5703125" customWidth="1"/>
    <col min="2318" max="2318" width="10.42578125" customWidth="1"/>
    <col min="2323" max="2323" width="10.140625" customWidth="1"/>
    <col min="2327" max="2327" width="33.42578125" customWidth="1"/>
    <col min="2328" max="2328" width="13.42578125" customWidth="1"/>
    <col min="2329" max="2329" width="18.5703125" customWidth="1"/>
    <col min="2330" max="2330" width="27.5703125" bestFit="1" customWidth="1"/>
    <col min="2331" max="2331" width="12.140625" customWidth="1"/>
    <col min="2332" max="2332" width="13.5703125" customWidth="1"/>
    <col min="2333" max="2333" width="11.42578125" customWidth="1"/>
    <col min="2335" max="2335" width="8.140625" customWidth="1"/>
    <col min="2336" max="2336" width="8.42578125" customWidth="1"/>
    <col min="2337" max="2337" width="15.42578125" customWidth="1"/>
    <col min="2338" max="2338" width="6.42578125" customWidth="1"/>
    <col min="2339" max="2339" width="13.140625" customWidth="1"/>
    <col min="2340" max="2340" width="8.42578125" customWidth="1"/>
    <col min="2341" max="2341" width="11.42578125" customWidth="1"/>
    <col min="2342" max="2342" width="10.85546875" customWidth="1"/>
    <col min="2343" max="2343" width="14.5703125" customWidth="1"/>
    <col min="2344" max="2344" width="16.5703125" customWidth="1"/>
    <col min="2345" max="2345" width="12.140625" customWidth="1"/>
    <col min="2346" max="2346" width="13.85546875" customWidth="1"/>
    <col min="2347" max="2347" width="14.5703125" customWidth="1"/>
    <col min="2349" max="2349" width="10.42578125" customWidth="1"/>
    <col min="2350" max="2350" width="12.5703125" customWidth="1"/>
    <col min="2351" max="2351" width="15.5703125" customWidth="1"/>
    <col min="2352" max="2352" width="24.85546875" customWidth="1"/>
    <col min="2353" max="2353" width="16" customWidth="1"/>
    <col min="2354" max="2354" width="16.42578125" customWidth="1"/>
    <col min="2355" max="2355" width="16" customWidth="1"/>
    <col min="2356" max="2362" width="14.5703125" customWidth="1"/>
    <col min="2574" max="2574" width="10.42578125" customWidth="1"/>
    <col min="2579" max="2579" width="10.140625" customWidth="1"/>
    <col min="2583" max="2583" width="33.42578125" customWidth="1"/>
    <col min="2584" max="2584" width="13.42578125" customWidth="1"/>
    <col min="2585" max="2585" width="18.5703125" customWidth="1"/>
    <col min="2586" max="2586" width="27.5703125" bestFit="1" customWidth="1"/>
    <col min="2587" max="2587" width="12.140625" customWidth="1"/>
    <col min="2588" max="2588" width="13.5703125" customWidth="1"/>
    <col min="2589" max="2589" width="11.42578125" customWidth="1"/>
    <col min="2591" max="2591" width="8.140625" customWidth="1"/>
    <col min="2592" max="2592" width="8.42578125" customWidth="1"/>
    <col min="2593" max="2593" width="15.42578125" customWidth="1"/>
    <col min="2594" max="2594" width="6.42578125" customWidth="1"/>
    <col min="2595" max="2595" width="13.140625" customWidth="1"/>
    <col min="2596" max="2596" width="8.42578125" customWidth="1"/>
    <col min="2597" max="2597" width="11.42578125" customWidth="1"/>
    <col min="2598" max="2598" width="10.85546875" customWidth="1"/>
    <col min="2599" max="2599" width="14.5703125" customWidth="1"/>
    <col min="2600" max="2600" width="16.5703125" customWidth="1"/>
    <col min="2601" max="2601" width="12.140625" customWidth="1"/>
    <col min="2602" max="2602" width="13.85546875" customWidth="1"/>
    <col min="2603" max="2603" width="14.5703125" customWidth="1"/>
    <col min="2605" max="2605" width="10.42578125" customWidth="1"/>
    <col min="2606" max="2606" width="12.5703125" customWidth="1"/>
    <col min="2607" max="2607" width="15.5703125" customWidth="1"/>
    <col min="2608" max="2608" width="24.85546875" customWidth="1"/>
    <col min="2609" max="2609" width="16" customWidth="1"/>
    <col min="2610" max="2610" width="16.42578125" customWidth="1"/>
    <col min="2611" max="2611" width="16" customWidth="1"/>
    <col min="2612" max="2618" width="14.5703125" customWidth="1"/>
    <col min="2830" max="2830" width="10.42578125" customWidth="1"/>
    <col min="2835" max="2835" width="10.140625" customWidth="1"/>
    <col min="2839" max="2839" width="33.42578125" customWidth="1"/>
    <col min="2840" max="2840" width="13.42578125" customWidth="1"/>
    <col min="2841" max="2841" width="18.5703125" customWidth="1"/>
    <col min="2842" max="2842" width="27.5703125" bestFit="1" customWidth="1"/>
    <col min="2843" max="2843" width="12.140625" customWidth="1"/>
    <col min="2844" max="2844" width="13.5703125" customWidth="1"/>
    <col min="2845" max="2845" width="11.42578125" customWidth="1"/>
    <col min="2847" max="2847" width="8.140625" customWidth="1"/>
    <col min="2848" max="2848" width="8.42578125" customWidth="1"/>
    <col min="2849" max="2849" width="15.42578125" customWidth="1"/>
    <col min="2850" max="2850" width="6.42578125" customWidth="1"/>
    <col min="2851" max="2851" width="13.140625" customWidth="1"/>
    <col min="2852" max="2852" width="8.42578125" customWidth="1"/>
    <col min="2853" max="2853" width="11.42578125" customWidth="1"/>
    <col min="2854" max="2854" width="10.85546875" customWidth="1"/>
    <col min="2855" max="2855" width="14.5703125" customWidth="1"/>
    <col min="2856" max="2856" width="16.5703125" customWidth="1"/>
    <col min="2857" max="2857" width="12.140625" customWidth="1"/>
    <col min="2858" max="2858" width="13.85546875" customWidth="1"/>
    <col min="2859" max="2859" width="14.5703125" customWidth="1"/>
    <col min="2861" max="2861" width="10.42578125" customWidth="1"/>
    <col min="2862" max="2862" width="12.5703125" customWidth="1"/>
    <col min="2863" max="2863" width="15.5703125" customWidth="1"/>
    <col min="2864" max="2864" width="24.85546875" customWidth="1"/>
    <col min="2865" max="2865" width="16" customWidth="1"/>
    <col min="2866" max="2866" width="16.42578125" customWidth="1"/>
    <col min="2867" max="2867" width="16" customWidth="1"/>
    <col min="2868" max="2874" width="14.5703125" customWidth="1"/>
    <col min="3086" max="3086" width="10.42578125" customWidth="1"/>
    <col min="3091" max="3091" width="10.140625" customWidth="1"/>
    <col min="3095" max="3095" width="33.42578125" customWidth="1"/>
    <col min="3096" max="3096" width="13.42578125" customWidth="1"/>
    <col min="3097" max="3097" width="18.5703125" customWidth="1"/>
    <col min="3098" max="3098" width="27.5703125" bestFit="1" customWidth="1"/>
    <col min="3099" max="3099" width="12.140625" customWidth="1"/>
    <col min="3100" max="3100" width="13.5703125" customWidth="1"/>
    <col min="3101" max="3101" width="11.42578125" customWidth="1"/>
    <col min="3103" max="3103" width="8.140625" customWidth="1"/>
    <col min="3104" max="3104" width="8.42578125" customWidth="1"/>
    <col min="3105" max="3105" width="15.42578125" customWidth="1"/>
    <col min="3106" max="3106" width="6.42578125" customWidth="1"/>
    <col min="3107" max="3107" width="13.140625" customWidth="1"/>
    <col min="3108" max="3108" width="8.42578125" customWidth="1"/>
    <col min="3109" max="3109" width="11.42578125" customWidth="1"/>
    <col min="3110" max="3110" width="10.85546875" customWidth="1"/>
    <col min="3111" max="3111" width="14.5703125" customWidth="1"/>
    <col min="3112" max="3112" width="16.5703125" customWidth="1"/>
    <col min="3113" max="3113" width="12.140625" customWidth="1"/>
    <col min="3114" max="3114" width="13.85546875" customWidth="1"/>
    <col min="3115" max="3115" width="14.5703125" customWidth="1"/>
    <col min="3117" max="3117" width="10.42578125" customWidth="1"/>
    <col min="3118" max="3118" width="12.5703125" customWidth="1"/>
    <col min="3119" max="3119" width="15.5703125" customWidth="1"/>
    <col min="3120" max="3120" width="24.85546875" customWidth="1"/>
    <col min="3121" max="3121" width="16" customWidth="1"/>
    <col min="3122" max="3122" width="16.42578125" customWidth="1"/>
    <col min="3123" max="3123" width="16" customWidth="1"/>
    <col min="3124" max="3130" width="14.5703125" customWidth="1"/>
    <col min="3342" max="3342" width="10.42578125" customWidth="1"/>
    <col min="3347" max="3347" width="10.140625" customWidth="1"/>
    <col min="3351" max="3351" width="33.42578125" customWidth="1"/>
    <col min="3352" max="3352" width="13.42578125" customWidth="1"/>
    <col min="3353" max="3353" width="18.5703125" customWidth="1"/>
    <col min="3354" max="3354" width="27.5703125" bestFit="1" customWidth="1"/>
    <col min="3355" max="3355" width="12.140625" customWidth="1"/>
    <col min="3356" max="3356" width="13.5703125" customWidth="1"/>
    <col min="3357" max="3357" width="11.42578125" customWidth="1"/>
    <col min="3359" max="3359" width="8.140625" customWidth="1"/>
    <col min="3360" max="3360" width="8.42578125" customWidth="1"/>
    <col min="3361" max="3361" width="15.42578125" customWidth="1"/>
    <col min="3362" max="3362" width="6.42578125" customWidth="1"/>
    <col min="3363" max="3363" width="13.140625" customWidth="1"/>
    <col min="3364" max="3364" width="8.42578125" customWidth="1"/>
    <col min="3365" max="3365" width="11.42578125" customWidth="1"/>
    <col min="3366" max="3366" width="10.85546875" customWidth="1"/>
    <col min="3367" max="3367" width="14.5703125" customWidth="1"/>
    <col min="3368" max="3368" width="16.5703125" customWidth="1"/>
    <col min="3369" max="3369" width="12.140625" customWidth="1"/>
    <col min="3370" max="3370" width="13.85546875" customWidth="1"/>
    <col min="3371" max="3371" width="14.5703125" customWidth="1"/>
    <col min="3373" max="3373" width="10.42578125" customWidth="1"/>
    <col min="3374" max="3374" width="12.5703125" customWidth="1"/>
    <col min="3375" max="3375" width="15.5703125" customWidth="1"/>
    <col min="3376" max="3376" width="24.85546875" customWidth="1"/>
    <col min="3377" max="3377" width="16" customWidth="1"/>
    <col min="3378" max="3378" width="16.42578125" customWidth="1"/>
    <col min="3379" max="3379" width="16" customWidth="1"/>
    <col min="3380" max="3386" width="14.5703125" customWidth="1"/>
    <col min="3598" max="3598" width="10.42578125" customWidth="1"/>
    <col min="3603" max="3603" width="10.140625" customWidth="1"/>
    <col min="3607" max="3607" width="33.42578125" customWidth="1"/>
    <col min="3608" max="3608" width="13.42578125" customWidth="1"/>
    <col min="3609" max="3609" width="18.5703125" customWidth="1"/>
    <col min="3610" max="3610" width="27.5703125" bestFit="1" customWidth="1"/>
    <col min="3611" max="3611" width="12.140625" customWidth="1"/>
    <col min="3612" max="3612" width="13.5703125" customWidth="1"/>
    <col min="3613" max="3613" width="11.42578125" customWidth="1"/>
    <col min="3615" max="3615" width="8.140625" customWidth="1"/>
    <col min="3616" max="3616" width="8.42578125" customWidth="1"/>
    <col min="3617" max="3617" width="15.42578125" customWidth="1"/>
    <col min="3618" max="3618" width="6.42578125" customWidth="1"/>
    <col min="3619" max="3619" width="13.140625" customWidth="1"/>
    <col min="3620" max="3620" width="8.42578125" customWidth="1"/>
    <col min="3621" max="3621" width="11.42578125" customWidth="1"/>
    <col min="3622" max="3622" width="10.85546875" customWidth="1"/>
    <col min="3623" max="3623" width="14.5703125" customWidth="1"/>
    <col min="3624" max="3624" width="16.5703125" customWidth="1"/>
    <col min="3625" max="3625" width="12.140625" customWidth="1"/>
    <col min="3626" max="3626" width="13.85546875" customWidth="1"/>
    <col min="3627" max="3627" width="14.5703125" customWidth="1"/>
    <col min="3629" max="3629" width="10.42578125" customWidth="1"/>
    <col min="3630" max="3630" width="12.5703125" customWidth="1"/>
    <col min="3631" max="3631" width="15.5703125" customWidth="1"/>
    <col min="3632" max="3632" width="24.85546875" customWidth="1"/>
    <col min="3633" max="3633" width="16" customWidth="1"/>
    <col min="3634" max="3634" width="16.42578125" customWidth="1"/>
    <col min="3635" max="3635" width="16" customWidth="1"/>
    <col min="3636" max="3642" width="14.5703125" customWidth="1"/>
    <col min="3854" max="3854" width="10.42578125" customWidth="1"/>
    <col min="3859" max="3859" width="10.140625" customWidth="1"/>
    <col min="3863" max="3863" width="33.42578125" customWidth="1"/>
    <col min="3864" max="3864" width="13.42578125" customWidth="1"/>
    <col min="3865" max="3865" width="18.5703125" customWidth="1"/>
    <col min="3866" max="3866" width="27.5703125" bestFit="1" customWidth="1"/>
    <col min="3867" max="3867" width="12.140625" customWidth="1"/>
    <col min="3868" max="3868" width="13.5703125" customWidth="1"/>
    <col min="3869" max="3869" width="11.42578125" customWidth="1"/>
    <col min="3871" max="3871" width="8.140625" customWidth="1"/>
    <col min="3872" max="3872" width="8.42578125" customWidth="1"/>
    <col min="3873" max="3873" width="15.42578125" customWidth="1"/>
    <col min="3874" max="3874" width="6.42578125" customWidth="1"/>
    <col min="3875" max="3875" width="13.140625" customWidth="1"/>
    <col min="3876" max="3876" width="8.42578125" customWidth="1"/>
    <col min="3877" max="3877" width="11.42578125" customWidth="1"/>
    <col min="3878" max="3878" width="10.85546875" customWidth="1"/>
    <col min="3879" max="3879" width="14.5703125" customWidth="1"/>
    <col min="3880" max="3880" width="16.5703125" customWidth="1"/>
    <col min="3881" max="3881" width="12.140625" customWidth="1"/>
    <col min="3882" max="3882" width="13.85546875" customWidth="1"/>
    <col min="3883" max="3883" width="14.5703125" customWidth="1"/>
    <col min="3885" max="3885" width="10.42578125" customWidth="1"/>
    <col min="3886" max="3886" width="12.5703125" customWidth="1"/>
    <col min="3887" max="3887" width="15.5703125" customWidth="1"/>
    <col min="3888" max="3888" width="24.85546875" customWidth="1"/>
    <col min="3889" max="3889" width="16" customWidth="1"/>
    <col min="3890" max="3890" width="16.42578125" customWidth="1"/>
    <col min="3891" max="3891" width="16" customWidth="1"/>
    <col min="3892" max="3898" width="14.5703125" customWidth="1"/>
    <col min="4110" max="4110" width="10.42578125" customWidth="1"/>
    <col min="4115" max="4115" width="10.140625" customWidth="1"/>
    <col min="4119" max="4119" width="33.42578125" customWidth="1"/>
    <col min="4120" max="4120" width="13.42578125" customWidth="1"/>
    <col min="4121" max="4121" width="18.5703125" customWidth="1"/>
    <col min="4122" max="4122" width="27.5703125" bestFit="1" customWidth="1"/>
    <col min="4123" max="4123" width="12.140625" customWidth="1"/>
    <col min="4124" max="4124" width="13.5703125" customWidth="1"/>
    <col min="4125" max="4125" width="11.42578125" customWidth="1"/>
    <col min="4127" max="4127" width="8.140625" customWidth="1"/>
    <col min="4128" max="4128" width="8.42578125" customWidth="1"/>
    <col min="4129" max="4129" width="15.42578125" customWidth="1"/>
    <col min="4130" max="4130" width="6.42578125" customWidth="1"/>
    <col min="4131" max="4131" width="13.140625" customWidth="1"/>
    <col min="4132" max="4132" width="8.42578125" customWidth="1"/>
    <col min="4133" max="4133" width="11.42578125" customWidth="1"/>
    <col min="4134" max="4134" width="10.85546875" customWidth="1"/>
    <col min="4135" max="4135" width="14.5703125" customWidth="1"/>
    <col min="4136" max="4136" width="16.5703125" customWidth="1"/>
    <col min="4137" max="4137" width="12.140625" customWidth="1"/>
    <col min="4138" max="4138" width="13.85546875" customWidth="1"/>
    <col min="4139" max="4139" width="14.5703125" customWidth="1"/>
    <col min="4141" max="4141" width="10.42578125" customWidth="1"/>
    <col min="4142" max="4142" width="12.5703125" customWidth="1"/>
    <col min="4143" max="4143" width="15.5703125" customWidth="1"/>
    <col min="4144" max="4144" width="24.85546875" customWidth="1"/>
    <col min="4145" max="4145" width="16" customWidth="1"/>
    <col min="4146" max="4146" width="16.42578125" customWidth="1"/>
    <col min="4147" max="4147" width="16" customWidth="1"/>
    <col min="4148" max="4154" width="14.5703125" customWidth="1"/>
    <col min="4366" max="4366" width="10.42578125" customWidth="1"/>
    <col min="4371" max="4371" width="10.140625" customWidth="1"/>
    <col min="4375" max="4375" width="33.42578125" customWidth="1"/>
    <col min="4376" max="4376" width="13.42578125" customWidth="1"/>
    <col min="4377" max="4377" width="18.5703125" customWidth="1"/>
    <col min="4378" max="4378" width="27.5703125" bestFit="1" customWidth="1"/>
    <col min="4379" max="4379" width="12.140625" customWidth="1"/>
    <col min="4380" max="4380" width="13.5703125" customWidth="1"/>
    <col min="4381" max="4381" width="11.42578125" customWidth="1"/>
    <col min="4383" max="4383" width="8.140625" customWidth="1"/>
    <col min="4384" max="4384" width="8.42578125" customWidth="1"/>
    <col min="4385" max="4385" width="15.42578125" customWidth="1"/>
    <col min="4386" max="4386" width="6.42578125" customWidth="1"/>
    <col min="4387" max="4387" width="13.140625" customWidth="1"/>
    <col min="4388" max="4388" width="8.42578125" customWidth="1"/>
    <col min="4389" max="4389" width="11.42578125" customWidth="1"/>
    <col min="4390" max="4390" width="10.85546875" customWidth="1"/>
    <col min="4391" max="4391" width="14.5703125" customWidth="1"/>
    <col min="4392" max="4392" width="16.5703125" customWidth="1"/>
    <col min="4393" max="4393" width="12.140625" customWidth="1"/>
    <col min="4394" max="4394" width="13.85546875" customWidth="1"/>
    <col min="4395" max="4395" width="14.5703125" customWidth="1"/>
    <col min="4397" max="4397" width="10.42578125" customWidth="1"/>
    <col min="4398" max="4398" width="12.5703125" customWidth="1"/>
    <col min="4399" max="4399" width="15.5703125" customWidth="1"/>
    <col min="4400" max="4400" width="24.85546875" customWidth="1"/>
    <col min="4401" max="4401" width="16" customWidth="1"/>
    <col min="4402" max="4402" width="16.42578125" customWidth="1"/>
    <col min="4403" max="4403" width="16" customWidth="1"/>
    <col min="4404" max="4410" width="14.5703125" customWidth="1"/>
    <col min="4622" max="4622" width="10.42578125" customWidth="1"/>
    <col min="4627" max="4627" width="10.140625" customWidth="1"/>
    <col min="4631" max="4631" width="33.42578125" customWidth="1"/>
    <col min="4632" max="4632" width="13.42578125" customWidth="1"/>
    <col min="4633" max="4633" width="18.5703125" customWidth="1"/>
    <col min="4634" max="4634" width="27.5703125" bestFit="1" customWidth="1"/>
    <col min="4635" max="4635" width="12.140625" customWidth="1"/>
    <col min="4636" max="4636" width="13.5703125" customWidth="1"/>
    <col min="4637" max="4637" width="11.42578125" customWidth="1"/>
    <col min="4639" max="4639" width="8.140625" customWidth="1"/>
    <col min="4640" max="4640" width="8.42578125" customWidth="1"/>
    <col min="4641" max="4641" width="15.42578125" customWidth="1"/>
    <col min="4642" max="4642" width="6.42578125" customWidth="1"/>
    <col min="4643" max="4643" width="13.140625" customWidth="1"/>
    <col min="4644" max="4644" width="8.42578125" customWidth="1"/>
    <col min="4645" max="4645" width="11.42578125" customWidth="1"/>
    <col min="4646" max="4646" width="10.85546875" customWidth="1"/>
    <col min="4647" max="4647" width="14.5703125" customWidth="1"/>
    <col min="4648" max="4648" width="16.5703125" customWidth="1"/>
    <col min="4649" max="4649" width="12.140625" customWidth="1"/>
    <col min="4650" max="4650" width="13.85546875" customWidth="1"/>
    <col min="4651" max="4651" width="14.5703125" customWidth="1"/>
    <col min="4653" max="4653" width="10.42578125" customWidth="1"/>
    <col min="4654" max="4654" width="12.5703125" customWidth="1"/>
    <col min="4655" max="4655" width="15.5703125" customWidth="1"/>
    <col min="4656" max="4656" width="24.85546875" customWidth="1"/>
    <col min="4657" max="4657" width="16" customWidth="1"/>
    <col min="4658" max="4658" width="16.42578125" customWidth="1"/>
    <col min="4659" max="4659" width="16" customWidth="1"/>
    <col min="4660" max="4666" width="14.5703125" customWidth="1"/>
    <col min="4878" max="4878" width="10.42578125" customWidth="1"/>
    <col min="4883" max="4883" width="10.140625" customWidth="1"/>
    <col min="4887" max="4887" width="33.42578125" customWidth="1"/>
    <col min="4888" max="4888" width="13.42578125" customWidth="1"/>
    <col min="4889" max="4889" width="18.5703125" customWidth="1"/>
    <col min="4890" max="4890" width="27.5703125" bestFit="1" customWidth="1"/>
    <col min="4891" max="4891" width="12.140625" customWidth="1"/>
    <col min="4892" max="4892" width="13.5703125" customWidth="1"/>
    <col min="4893" max="4893" width="11.42578125" customWidth="1"/>
    <col min="4895" max="4895" width="8.140625" customWidth="1"/>
    <col min="4896" max="4896" width="8.42578125" customWidth="1"/>
    <col min="4897" max="4897" width="15.42578125" customWidth="1"/>
    <col min="4898" max="4898" width="6.42578125" customWidth="1"/>
    <col min="4899" max="4899" width="13.140625" customWidth="1"/>
    <col min="4900" max="4900" width="8.42578125" customWidth="1"/>
    <col min="4901" max="4901" width="11.42578125" customWidth="1"/>
    <col min="4902" max="4902" width="10.85546875" customWidth="1"/>
    <col min="4903" max="4903" width="14.5703125" customWidth="1"/>
    <col min="4904" max="4904" width="16.5703125" customWidth="1"/>
    <col min="4905" max="4905" width="12.140625" customWidth="1"/>
    <col min="4906" max="4906" width="13.85546875" customWidth="1"/>
    <col min="4907" max="4907" width="14.5703125" customWidth="1"/>
    <col min="4909" max="4909" width="10.42578125" customWidth="1"/>
    <col min="4910" max="4910" width="12.5703125" customWidth="1"/>
    <col min="4911" max="4911" width="15.5703125" customWidth="1"/>
    <col min="4912" max="4912" width="24.85546875" customWidth="1"/>
    <col min="4913" max="4913" width="16" customWidth="1"/>
    <col min="4914" max="4914" width="16.42578125" customWidth="1"/>
    <col min="4915" max="4915" width="16" customWidth="1"/>
    <col min="4916" max="4922" width="14.5703125" customWidth="1"/>
    <col min="5134" max="5134" width="10.42578125" customWidth="1"/>
    <col min="5139" max="5139" width="10.140625" customWidth="1"/>
    <col min="5143" max="5143" width="33.42578125" customWidth="1"/>
    <col min="5144" max="5144" width="13.42578125" customWidth="1"/>
    <col min="5145" max="5145" width="18.5703125" customWidth="1"/>
    <col min="5146" max="5146" width="27.5703125" bestFit="1" customWidth="1"/>
    <col min="5147" max="5147" width="12.140625" customWidth="1"/>
    <col min="5148" max="5148" width="13.5703125" customWidth="1"/>
    <col min="5149" max="5149" width="11.42578125" customWidth="1"/>
    <col min="5151" max="5151" width="8.140625" customWidth="1"/>
    <col min="5152" max="5152" width="8.42578125" customWidth="1"/>
    <col min="5153" max="5153" width="15.42578125" customWidth="1"/>
    <col min="5154" max="5154" width="6.42578125" customWidth="1"/>
    <col min="5155" max="5155" width="13.140625" customWidth="1"/>
    <col min="5156" max="5156" width="8.42578125" customWidth="1"/>
    <col min="5157" max="5157" width="11.42578125" customWidth="1"/>
    <col min="5158" max="5158" width="10.85546875" customWidth="1"/>
    <col min="5159" max="5159" width="14.5703125" customWidth="1"/>
    <col min="5160" max="5160" width="16.5703125" customWidth="1"/>
    <col min="5161" max="5161" width="12.140625" customWidth="1"/>
    <col min="5162" max="5162" width="13.85546875" customWidth="1"/>
    <col min="5163" max="5163" width="14.5703125" customWidth="1"/>
    <col min="5165" max="5165" width="10.42578125" customWidth="1"/>
    <col min="5166" max="5166" width="12.5703125" customWidth="1"/>
    <col min="5167" max="5167" width="15.5703125" customWidth="1"/>
    <col min="5168" max="5168" width="24.85546875" customWidth="1"/>
    <col min="5169" max="5169" width="16" customWidth="1"/>
    <col min="5170" max="5170" width="16.42578125" customWidth="1"/>
    <col min="5171" max="5171" width="16" customWidth="1"/>
    <col min="5172" max="5178" width="14.5703125" customWidth="1"/>
    <col min="5390" max="5390" width="10.42578125" customWidth="1"/>
    <col min="5395" max="5395" width="10.140625" customWidth="1"/>
    <col min="5399" max="5399" width="33.42578125" customWidth="1"/>
    <col min="5400" max="5400" width="13.42578125" customWidth="1"/>
    <col min="5401" max="5401" width="18.5703125" customWidth="1"/>
    <col min="5402" max="5402" width="27.5703125" bestFit="1" customWidth="1"/>
    <col min="5403" max="5403" width="12.140625" customWidth="1"/>
    <col min="5404" max="5404" width="13.5703125" customWidth="1"/>
    <col min="5405" max="5405" width="11.42578125" customWidth="1"/>
    <col min="5407" max="5407" width="8.140625" customWidth="1"/>
    <col min="5408" max="5408" width="8.42578125" customWidth="1"/>
    <col min="5409" max="5409" width="15.42578125" customWidth="1"/>
    <col min="5410" max="5410" width="6.42578125" customWidth="1"/>
    <col min="5411" max="5411" width="13.140625" customWidth="1"/>
    <col min="5412" max="5412" width="8.42578125" customWidth="1"/>
    <col min="5413" max="5413" width="11.42578125" customWidth="1"/>
    <col min="5414" max="5414" width="10.85546875" customWidth="1"/>
    <col min="5415" max="5415" width="14.5703125" customWidth="1"/>
    <col min="5416" max="5416" width="16.5703125" customWidth="1"/>
    <col min="5417" max="5417" width="12.140625" customWidth="1"/>
    <col min="5418" max="5418" width="13.85546875" customWidth="1"/>
    <col min="5419" max="5419" width="14.5703125" customWidth="1"/>
    <col min="5421" max="5421" width="10.42578125" customWidth="1"/>
    <col min="5422" max="5422" width="12.5703125" customWidth="1"/>
    <col min="5423" max="5423" width="15.5703125" customWidth="1"/>
    <col min="5424" max="5424" width="24.85546875" customWidth="1"/>
    <col min="5425" max="5425" width="16" customWidth="1"/>
    <col min="5426" max="5426" width="16.42578125" customWidth="1"/>
    <col min="5427" max="5427" width="16" customWidth="1"/>
    <col min="5428" max="5434" width="14.5703125" customWidth="1"/>
    <col min="5646" max="5646" width="10.42578125" customWidth="1"/>
    <col min="5651" max="5651" width="10.140625" customWidth="1"/>
    <col min="5655" max="5655" width="33.42578125" customWidth="1"/>
    <col min="5656" max="5656" width="13.42578125" customWidth="1"/>
    <col min="5657" max="5657" width="18.5703125" customWidth="1"/>
    <col min="5658" max="5658" width="27.5703125" bestFit="1" customWidth="1"/>
    <col min="5659" max="5659" width="12.140625" customWidth="1"/>
    <col min="5660" max="5660" width="13.5703125" customWidth="1"/>
    <col min="5661" max="5661" width="11.42578125" customWidth="1"/>
    <col min="5663" max="5663" width="8.140625" customWidth="1"/>
    <col min="5664" max="5664" width="8.42578125" customWidth="1"/>
    <col min="5665" max="5665" width="15.42578125" customWidth="1"/>
    <col min="5666" max="5666" width="6.42578125" customWidth="1"/>
    <col min="5667" max="5667" width="13.140625" customWidth="1"/>
    <col min="5668" max="5668" width="8.42578125" customWidth="1"/>
    <col min="5669" max="5669" width="11.42578125" customWidth="1"/>
    <col min="5670" max="5670" width="10.85546875" customWidth="1"/>
    <col min="5671" max="5671" width="14.5703125" customWidth="1"/>
    <col min="5672" max="5672" width="16.5703125" customWidth="1"/>
    <col min="5673" max="5673" width="12.140625" customWidth="1"/>
    <col min="5674" max="5674" width="13.85546875" customWidth="1"/>
    <col min="5675" max="5675" width="14.5703125" customWidth="1"/>
    <col min="5677" max="5677" width="10.42578125" customWidth="1"/>
    <col min="5678" max="5678" width="12.5703125" customWidth="1"/>
    <col min="5679" max="5679" width="15.5703125" customWidth="1"/>
    <col min="5680" max="5680" width="24.85546875" customWidth="1"/>
    <col min="5681" max="5681" width="16" customWidth="1"/>
    <col min="5682" max="5682" width="16.42578125" customWidth="1"/>
    <col min="5683" max="5683" width="16" customWidth="1"/>
    <col min="5684" max="5690" width="14.5703125" customWidth="1"/>
    <col min="5902" max="5902" width="10.42578125" customWidth="1"/>
    <col min="5907" max="5907" width="10.140625" customWidth="1"/>
    <col min="5911" max="5911" width="33.42578125" customWidth="1"/>
    <col min="5912" max="5912" width="13.42578125" customWidth="1"/>
    <col min="5913" max="5913" width="18.5703125" customWidth="1"/>
    <col min="5914" max="5914" width="27.5703125" bestFit="1" customWidth="1"/>
    <col min="5915" max="5915" width="12.140625" customWidth="1"/>
    <col min="5916" max="5916" width="13.5703125" customWidth="1"/>
    <col min="5917" max="5917" width="11.42578125" customWidth="1"/>
    <col min="5919" max="5919" width="8.140625" customWidth="1"/>
    <col min="5920" max="5920" width="8.42578125" customWidth="1"/>
    <col min="5921" max="5921" width="15.42578125" customWidth="1"/>
    <col min="5922" max="5922" width="6.42578125" customWidth="1"/>
    <col min="5923" max="5923" width="13.140625" customWidth="1"/>
    <col min="5924" max="5924" width="8.42578125" customWidth="1"/>
    <col min="5925" max="5925" width="11.42578125" customWidth="1"/>
    <col min="5926" max="5926" width="10.85546875" customWidth="1"/>
    <col min="5927" max="5927" width="14.5703125" customWidth="1"/>
    <col min="5928" max="5928" width="16.5703125" customWidth="1"/>
    <col min="5929" max="5929" width="12.140625" customWidth="1"/>
    <col min="5930" max="5930" width="13.85546875" customWidth="1"/>
    <col min="5931" max="5931" width="14.5703125" customWidth="1"/>
    <col min="5933" max="5933" width="10.42578125" customWidth="1"/>
    <col min="5934" max="5934" width="12.5703125" customWidth="1"/>
    <col min="5935" max="5935" width="15.5703125" customWidth="1"/>
    <col min="5936" max="5936" width="24.85546875" customWidth="1"/>
    <col min="5937" max="5937" width="16" customWidth="1"/>
    <col min="5938" max="5938" width="16.42578125" customWidth="1"/>
    <col min="5939" max="5939" width="16" customWidth="1"/>
    <col min="5940" max="5946" width="14.5703125" customWidth="1"/>
    <col min="6158" max="6158" width="10.42578125" customWidth="1"/>
    <col min="6163" max="6163" width="10.140625" customWidth="1"/>
    <col min="6167" max="6167" width="33.42578125" customWidth="1"/>
    <col min="6168" max="6168" width="13.42578125" customWidth="1"/>
    <col min="6169" max="6169" width="18.5703125" customWidth="1"/>
    <col min="6170" max="6170" width="27.5703125" bestFit="1" customWidth="1"/>
    <col min="6171" max="6171" width="12.140625" customWidth="1"/>
    <col min="6172" max="6172" width="13.5703125" customWidth="1"/>
    <col min="6173" max="6173" width="11.42578125" customWidth="1"/>
    <col min="6175" max="6175" width="8.140625" customWidth="1"/>
    <col min="6176" max="6176" width="8.42578125" customWidth="1"/>
    <col min="6177" max="6177" width="15.42578125" customWidth="1"/>
    <col min="6178" max="6178" width="6.42578125" customWidth="1"/>
    <col min="6179" max="6179" width="13.140625" customWidth="1"/>
    <col min="6180" max="6180" width="8.42578125" customWidth="1"/>
    <col min="6181" max="6181" width="11.42578125" customWidth="1"/>
    <col min="6182" max="6182" width="10.85546875" customWidth="1"/>
    <col min="6183" max="6183" width="14.5703125" customWidth="1"/>
    <col min="6184" max="6184" width="16.5703125" customWidth="1"/>
    <col min="6185" max="6185" width="12.140625" customWidth="1"/>
    <col min="6186" max="6186" width="13.85546875" customWidth="1"/>
    <col min="6187" max="6187" width="14.5703125" customWidth="1"/>
    <col min="6189" max="6189" width="10.42578125" customWidth="1"/>
    <col min="6190" max="6190" width="12.5703125" customWidth="1"/>
    <col min="6191" max="6191" width="15.5703125" customWidth="1"/>
    <col min="6192" max="6192" width="24.85546875" customWidth="1"/>
    <col min="6193" max="6193" width="16" customWidth="1"/>
    <col min="6194" max="6194" width="16.42578125" customWidth="1"/>
    <col min="6195" max="6195" width="16" customWidth="1"/>
    <col min="6196" max="6202" width="14.5703125" customWidth="1"/>
    <col min="6414" max="6414" width="10.42578125" customWidth="1"/>
    <col min="6419" max="6419" width="10.140625" customWidth="1"/>
    <col min="6423" max="6423" width="33.42578125" customWidth="1"/>
    <col min="6424" max="6424" width="13.42578125" customWidth="1"/>
    <col min="6425" max="6425" width="18.5703125" customWidth="1"/>
    <col min="6426" max="6426" width="27.5703125" bestFit="1" customWidth="1"/>
    <col min="6427" max="6427" width="12.140625" customWidth="1"/>
    <col min="6428" max="6428" width="13.5703125" customWidth="1"/>
    <col min="6429" max="6429" width="11.42578125" customWidth="1"/>
    <col min="6431" max="6431" width="8.140625" customWidth="1"/>
    <col min="6432" max="6432" width="8.42578125" customWidth="1"/>
    <col min="6433" max="6433" width="15.42578125" customWidth="1"/>
    <col min="6434" max="6434" width="6.42578125" customWidth="1"/>
    <col min="6435" max="6435" width="13.140625" customWidth="1"/>
    <col min="6436" max="6436" width="8.42578125" customWidth="1"/>
    <col min="6437" max="6437" width="11.42578125" customWidth="1"/>
    <col min="6438" max="6438" width="10.85546875" customWidth="1"/>
    <col min="6439" max="6439" width="14.5703125" customWidth="1"/>
    <col min="6440" max="6440" width="16.5703125" customWidth="1"/>
    <col min="6441" max="6441" width="12.140625" customWidth="1"/>
    <col min="6442" max="6442" width="13.85546875" customWidth="1"/>
    <col min="6443" max="6443" width="14.5703125" customWidth="1"/>
    <col min="6445" max="6445" width="10.42578125" customWidth="1"/>
    <col min="6446" max="6446" width="12.5703125" customWidth="1"/>
    <col min="6447" max="6447" width="15.5703125" customWidth="1"/>
    <col min="6448" max="6448" width="24.85546875" customWidth="1"/>
    <col min="6449" max="6449" width="16" customWidth="1"/>
    <col min="6450" max="6450" width="16.42578125" customWidth="1"/>
    <col min="6451" max="6451" width="16" customWidth="1"/>
    <col min="6452" max="6458" width="14.5703125" customWidth="1"/>
    <col min="6670" max="6670" width="10.42578125" customWidth="1"/>
    <col min="6675" max="6675" width="10.140625" customWidth="1"/>
    <col min="6679" max="6679" width="33.42578125" customWidth="1"/>
    <col min="6680" max="6680" width="13.42578125" customWidth="1"/>
    <col min="6681" max="6681" width="18.5703125" customWidth="1"/>
    <col min="6682" max="6682" width="27.5703125" bestFit="1" customWidth="1"/>
    <col min="6683" max="6683" width="12.140625" customWidth="1"/>
    <col min="6684" max="6684" width="13.5703125" customWidth="1"/>
    <col min="6685" max="6685" width="11.42578125" customWidth="1"/>
    <col min="6687" max="6687" width="8.140625" customWidth="1"/>
    <col min="6688" max="6688" width="8.42578125" customWidth="1"/>
    <col min="6689" max="6689" width="15.42578125" customWidth="1"/>
    <col min="6690" max="6690" width="6.42578125" customWidth="1"/>
    <col min="6691" max="6691" width="13.140625" customWidth="1"/>
    <col min="6692" max="6692" width="8.42578125" customWidth="1"/>
    <col min="6693" max="6693" width="11.42578125" customWidth="1"/>
    <col min="6694" max="6694" width="10.85546875" customWidth="1"/>
    <col min="6695" max="6695" width="14.5703125" customWidth="1"/>
    <col min="6696" max="6696" width="16.5703125" customWidth="1"/>
    <col min="6697" max="6697" width="12.140625" customWidth="1"/>
    <col min="6698" max="6698" width="13.85546875" customWidth="1"/>
    <col min="6699" max="6699" width="14.5703125" customWidth="1"/>
    <col min="6701" max="6701" width="10.42578125" customWidth="1"/>
    <col min="6702" max="6702" width="12.5703125" customWidth="1"/>
    <col min="6703" max="6703" width="15.5703125" customWidth="1"/>
    <col min="6704" max="6704" width="24.85546875" customWidth="1"/>
    <col min="6705" max="6705" width="16" customWidth="1"/>
    <col min="6706" max="6706" width="16.42578125" customWidth="1"/>
    <col min="6707" max="6707" width="16" customWidth="1"/>
    <col min="6708" max="6714" width="14.5703125" customWidth="1"/>
    <col min="6926" max="6926" width="10.42578125" customWidth="1"/>
    <col min="6931" max="6931" width="10.140625" customWidth="1"/>
    <col min="6935" max="6935" width="33.42578125" customWidth="1"/>
    <col min="6936" max="6936" width="13.42578125" customWidth="1"/>
    <col min="6937" max="6937" width="18.5703125" customWidth="1"/>
    <col min="6938" max="6938" width="27.5703125" bestFit="1" customWidth="1"/>
    <col min="6939" max="6939" width="12.140625" customWidth="1"/>
    <col min="6940" max="6940" width="13.5703125" customWidth="1"/>
    <col min="6941" max="6941" width="11.42578125" customWidth="1"/>
    <col min="6943" max="6943" width="8.140625" customWidth="1"/>
    <col min="6944" max="6944" width="8.42578125" customWidth="1"/>
    <col min="6945" max="6945" width="15.42578125" customWidth="1"/>
    <col min="6946" max="6946" width="6.42578125" customWidth="1"/>
    <col min="6947" max="6947" width="13.140625" customWidth="1"/>
    <col min="6948" max="6948" width="8.42578125" customWidth="1"/>
    <col min="6949" max="6949" width="11.42578125" customWidth="1"/>
    <col min="6950" max="6950" width="10.85546875" customWidth="1"/>
    <col min="6951" max="6951" width="14.5703125" customWidth="1"/>
    <col min="6952" max="6952" width="16.5703125" customWidth="1"/>
    <col min="6953" max="6953" width="12.140625" customWidth="1"/>
    <col min="6954" max="6954" width="13.85546875" customWidth="1"/>
    <col min="6955" max="6955" width="14.5703125" customWidth="1"/>
    <col min="6957" max="6957" width="10.42578125" customWidth="1"/>
    <col min="6958" max="6958" width="12.5703125" customWidth="1"/>
    <col min="6959" max="6959" width="15.5703125" customWidth="1"/>
    <col min="6960" max="6960" width="24.85546875" customWidth="1"/>
    <col min="6961" max="6961" width="16" customWidth="1"/>
    <col min="6962" max="6962" width="16.42578125" customWidth="1"/>
    <col min="6963" max="6963" width="16" customWidth="1"/>
    <col min="6964" max="6970" width="14.5703125" customWidth="1"/>
    <col min="7182" max="7182" width="10.42578125" customWidth="1"/>
    <col min="7187" max="7187" width="10.140625" customWidth="1"/>
    <col min="7191" max="7191" width="33.42578125" customWidth="1"/>
    <col min="7192" max="7192" width="13.42578125" customWidth="1"/>
    <col min="7193" max="7193" width="18.5703125" customWidth="1"/>
    <col min="7194" max="7194" width="27.5703125" bestFit="1" customWidth="1"/>
    <col min="7195" max="7195" width="12.140625" customWidth="1"/>
    <col min="7196" max="7196" width="13.5703125" customWidth="1"/>
    <col min="7197" max="7197" width="11.42578125" customWidth="1"/>
    <col min="7199" max="7199" width="8.140625" customWidth="1"/>
    <col min="7200" max="7200" width="8.42578125" customWidth="1"/>
    <col min="7201" max="7201" width="15.42578125" customWidth="1"/>
    <col min="7202" max="7202" width="6.42578125" customWidth="1"/>
    <col min="7203" max="7203" width="13.140625" customWidth="1"/>
    <col min="7204" max="7204" width="8.42578125" customWidth="1"/>
    <col min="7205" max="7205" width="11.42578125" customWidth="1"/>
    <col min="7206" max="7206" width="10.85546875" customWidth="1"/>
    <col min="7207" max="7207" width="14.5703125" customWidth="1"/>
    <col min="7208" max="7208" width="16.5703125" customWidth="1"/>
    <col min="7209" max="7209" width="12.140625" customWidth="1"/>
    <col min="7210" max="7210" width="13.85546875" customWidth="1"/>
    <col min="7211" max="7211" width="14.5703125" customWidth="1"/>
    <col min="7213" max="7213" width="10.42578125" customWidth="1"/>
    <col min="7214" max="7214" width="12.5703125" customWidth="1"/>
    <col min="7215" max="7215" width="15.5703125" customWidth="1"/>
    <col min="7216" max="7216" width="24.85546875" customWidth="1"/>
    <col min="7217" max="7217" width="16" customWidth="1"/>
    <col min="7218" max="7218" width="16.42578125" customWidth="1"/>
    <col min="7219" max="7219" width="16" customWidth="1"/>
    <col min="7220" max="7226" width="14.5703125" customWidth="1"/>
    <col min="7438" max="7438" width="10.42578125" customWidth="1"/>
    <col min="7443" max="7443" width="10.140625" customWidth="1"/>
    <col min="7447" max="7447" width="33.42578125" customWidth="1"/>
    <col min="7448" max="7448" width="13.42578125" customWidth="1"/>
    <col min="7449" max="7449" width="18.5703125" customWidth="1"/>
    <col min="7450" max="7450" width="27.5703125" bestFit="1" customWidth="1"/>
    <col min="7451" max="7451" width="12.140625" customWidth="1"/>
    <col min="7452" max="7452" width="13.5703125" customWidth="1"/>
    <col min="7453" max="7453" width="11.42578125" customWidth="1"/>
    <col min="7455" max="7455" width="8.140625" customWidth="1"/>
    <col min="7456" max="7456" width="8.42578125" customWidth="1"/>
    <col min="7457" max="7457" width="15.42578125" customWidth="1"/>
    <col min="7458" max="7458" width="6.42578125" customWidth="1"/>
    <col min="7459" max="7459" width="13.140625" customWidth="1"/>
    <col min="7460" max="7460" width="8.42578125" customWidth="1"/>
    <col min="7461" max="7461" width="11.42578125" customWidth="1"/>
    <col min="7462" max="7462" width="10.85546875" customWidth="1"/>
    <col min="7463" max="7463" width="14.5703125" customWidth="1"/>
    <col min="7464" max="7464" width="16.5703125" customWidth="1"/>
    <col min="7465" max="7465" width="12.140625" customWidth="1"/>
    <col min="7466" max="7466" width="13.85546875" customWidth="1"/>
    <col min="7467" max="7467" width="14.5703125" customWidth="1"/>
    <col min="7469" max="7469" width="10.42578125" customWidth="1"/>
    <col min="7470" max="7470" width="12.5703125" customWidth="1"/>
    <col min="7471" max="7471" width="15.5703125" customWidth="1"/>
    <col min="7472" max="7472" width="24.85546875" customWidth="1"/>
    <col min="7473" max="7473" width="16" customWidth="1"/>
    <col min="7474" max="7474" width="16.42578125" customWidth="1"/>
    <col min="7475" max="7475" width="16" customWidth="1"/>
    <col min="7476" max="7482" width="14.5703125" customWidth="1"/>
    <col min="7694" max="7694" width="10.42578125" customWidth="1"/>
    <col min="7699" max="7699" width="10.140625" customWidth="1"/>
    <col min="7703" max="7703" width="33.42578125" customWidth="1"/>
    <col min="7704" max="7704" width="13.42578125" customWidth="1"/>
    <col min="7705" max="7705" width="18.5703125" customWidth="1"/>
    <col min="7706" max="7706" width="27.5703125" bestFit="1" customWidth="1"/>
    <col min="7707" max="7707" width="12.140625" customWidth="1"/>
    <col min="7708" max="7708" width="13.5703125" customWidth="1"/>
    <col min="7709" max="7709" width="11.42578125" customWidth="1"/>
    <col min="7711" max="7711" width="8.140625" customWidth="1"/>
    <col min="7712" max="7712" width="8.42578125" customWidth="1"/>
    <col min="7713" max="7713" width="15.42578125" customWidth="1"/>
    <col min="7714" max="7714" width="6.42578125" customWidth="1"/>
    <col min="7715" max="7715" width="13.140625" customWidth="1"/>
    <col min="7716" max="7716" width="8.42578125" customWidth="1"/>
    <col min="7717" max="7717" width="11.42578125" customWidth="1"/>
    <col min="7718" max="7718" width="10.85546875" customWidth="1"/>
    <col min="7719" max="7719" width="14.5703125" customWidth="1"/>
    <col min="7720" max="7720" width="16.5703125" customWidth="1"/>
    <col min="7721" max="7721" width="12.140625" customWidth="1"/>
    <col min="7722" max="7722" width="13.85546875" customWidth="1"/>
    <col min="7723" max="7723" width="14.5703125" customWidth="1"/>
    <col min="7725" max="7725" width="10.42578125" customWidth="1"/>
    <col min="7726" max="7726" width="12.5703125" customWidth="1"/>
    <col min="7727" max="7727" width="15.5703125" customWidth="1"/>
    <col min="7728" max="7728" width="24.85546875" customWidth="1"/>
    <col min="7729" max="7729" width="16" customWidth="1"/>
    <col min="7730" max="7730" width="16.42578125" customWidth="1"/>
    <col min="7731" max="7731" width="16" customWidth="1"/>
    <col min="7732" max="7738" width="14.5703125" customWidth="1"/>
    <col min="7950" max="7950" width="10.42578125" customWidth="1"/>
    <col min="7955" max="7955" width="10.140625" customWidth="1"/>
    <col min="7959" max="7959" width="33.42578125" customWidth="1"/>
    <col min="7960" max="7960" width="13.42578125" customWidth="1"/>
    <col min="7961" max="7961" width="18.5703125" customWidth="1"/>
    <col min="7962" max="7962" width="27.5703125" bestFit="1" customWidth="1"/>
    <col min="7963" max="7963" width="12.140625" customWidth="1"/>
    <col min="7964" max="7964" width="13.5703125" customWidth="1"/>
    <col min="7965" max="7965" width="11.42578125" customWidth="1"/>
    <col min="7967" max="7967" width="8.140625" customWidth="1"/>
    <col min="7968" max="7968" width="8.42578125" customWidth="1"/>
    <col min="7969" max="7969" width="15.42578125" customWidth="1"/>
    <col min="7970" max="7970" width="6.42578125" customWidth="1"/>
    <col min="7971" max="7971" width="13.140625" customWidth="1"/>
    <col min="7972" max="7972" width="8.42578125" customWidth="1"/>
    <col min="7973" max="7973" width="11.42578125" customWidth="1"/>
    <col min="7974" max="7974" width="10.85546875" customWidth="1"/>
    <col min="7975" max="7975" width="14.5703125" customWidth="1"/>
    <col min="7976" max="7976" width="16.5703125" customWidth="1"/>
    <col min="7977" max="7977" width="12.140625" customWidth="1"/>
    <col min="7978" max="7978" width="13.85546875" customWidth="1"/>
    <col min="7979" max="7979" width="14.5703125" customWidth="1"/>
    <col min="7981" max="7981" width="10.42578125" customWidth="1"/>
    <col min="7982" max="7982" width="12.5703125" customWidth="1"/>
    <col min="7983" max="7983" width="15.5703125" customWidth="1"/>
    <col min="7984" max="7984" width="24.85546875" customWidth="1"/>
    <col min="7985" max="7985" width="16" customWidth="1"/>
    <col min="7986" max="7986" width="16.42578125" customWidth="1"/>
    <col min="7987" max="7987" width="16" customWidth="1"/>
    <col min="7988" max="7994" width="14.5703125" customWidth="1"/>
    <col min="8206" max="8206" width="10.42578125" customWidth="1"/>
    <col min="8211" max="8211" width="10.140625" customWidth="1"/>
    <col min="8215" max="8215" width="33.42578125" customWidth="1"/>
    <col min="8216" max="8216" width="13.42578125" customWidth="1"/>
    <col min="8217" max="8217" width="18.5703125" customWidth="1"/>
    <col min="8218" max="8218" width="27.5703125" bestFit="1" customWidth="1"/>
    <col min="8219" max="8219" width="12.140625" customWidth="1"/>
    <col min="8220" max="8220" width="13.5703125" customWidth="1"/>
    <col min="8221" max="8221" width="11.42578125" customWidth="1"/>
    <col min="8223" max="8223" width="8.140625" customWidth="1"/>
    <col min="8224" max="8224" width="8.42578125" customWidth="1"/>
    <col min="8225" max="8225" width="15.42578125" customWidth="1"/>
    <col min="8226" max="8226" width="6.42578125" customWidth="1"/>
    <col min="8227" max="8227" width="13.140625" customWidth="1"/>
    <col min="8228" max="8228" width="8.42578125" customWidth="1"/>
    <col min="8229" max="8229" width="11.42578125" customWidth="1"/>
    <col min="8230" max="8230" width="10.85546875" customWidth="1"/>
    <col min="8231" max="8231" width="14.5703125" customWidth="1"/>
    <col min="8232" max="8232" width="16.5703125" customWidth="1"/>
    <col min="8233" max="8233" width="12.140625" customWidth="1"/>
    <col min="8234" max="8234" width="13.85546875" customWidth="1"/>
    <col min="8235" max="8235" width="14.5703125" customWidth="1"/>
    <col min="8237" max="8237" width="10.42578125" customWidth="1"/>
    <col min="8238" max="8238" width="12.5703125" customWidth="1"/>
    <col min="8239" max="8239" width="15.5703125" customWidth="1"/>
    <col min="8240" max="8240" width="24.85546875" customWidth="1"/>
    <col min="8241" max="8241" width="16" customWidth="1"/>
    <col min="8242" max="8242" width="16.42578125" customWidth="1"/>
    <col min="8243" max="8243" width="16" customWidth="1"/>
    <col min="8244" max="8250" width="14.5703125" customWidth="1"/>
    <col min="8462" max="8462" width="10.42578125" customWidth="1"/>
    <col min="8467" max="8467" width="10.140625" customWidth="1"/>
    <col min="8471" max="8471" width="33.42578125" customWidth="1"/>
    <col min="8472" max="8472" width="13.42578125" customWidth="1"/>
    <col min="8473" max="8473" width="18.5703125" customWidth="1"/>
    <col min="8474" max="8474" width="27.5703125" bestFit="1" customWidth="1"/>
    <col min="8475" max="8475" width="12.140625" customWidth="1"/>
    <col min="8476" max="8476" width="13.5703125" customWidth="1"/>
    <col min="8477" max="8477" width="11.42578125" customWidth="1"/>
    <col min="8479" max="8479" width="8.140625" customWidth="1"/>
    <col min="8480" max="8480" width="8.42578125" customWidth="1"/>
    <col min="8481" max="8481" width="15.42578125" customWidth="1"/>
    <col min="8482" max="8482" width="6.42578125" customWidth="1"/>
    <col min="8483" max="8483" width="13.140625" customWidth="1"/>
    <col min="8484" max="8484" width="8.42578125" customWidth="1"/>
    <col min="8485" max="8485" width="11.42578125" customWidth="1"/>
    <col min="8486" max="8486" width="10.85546875" customWidth="1"/>
    <col min="8487" max="8487" width="14.5703125" customWidth="1"/>
    <col min="8488" max="8488" width="16.5703125" customWidth="1"/>
    <col min="8489" max="8489" width="12.140625" customWidth="1"/>
    <col min="8490" max="8490" width="13.85546875" customWidth="1"/>
    <col min="8491" max="8491" width="14.5703125" customWidth="1"/>
    <col min="8493" max="8493" width="10.42578125" customWidth="1"/>
    <col min="8494" max="8494" width="12.5703125" customWidth="1"/>
    <col min="8495" max="8495" width="15.5703125" customWidth="1"/>
    <col min="8496" max="8496" width="24.85546875" customWidth="1"/>
    <col min="8497" max="8497" width="16" customWidth="1"/>
    <col min="8498" max="8498" width="16.42578125" customWidth="1"/>
    <col min="8499" max="8499" width="16" customWidth="1"/>
    <col min="8500" max="8506" width="14.5703125" customWidth="1"/>
    <col min="8718" max="8718" width="10.42578125" customWidth="1"/>
    <col min="8723" max="8723" width="10.140625" customWidth="1"/>
    <col min="8727" max="8727" width="33.42578125" customWidth="1"/>
    <col min="8728" max="8728" width="13.42578125" customWidth="1"/>
    <col min="8729" max="8729" width="18.5703125" customWidth="1"/>
    <col min="8730" max="8730" width="27.5703125" bestFit="1" customWidth="1"/>
    <col min="8731" max="8731" width="12.140625" customWidth="1"/>
    <col min="8732" max="8732" width="13.5703125" customWidth="1"/>
    <col min="8733" max="8733" width="11.42578125" customWidth="1"/>
    <col min="8735" max="8735" width="8.140625" customWidth="1"/>
    <col min="8736" max="8736" width="8.42578125" customWidth="1"/>
    <col min="8737" max="8737" width="15.42578125" customWidth="1"/>
    <col min="8738" max="8738" width="6.42578125" customWidth="1"/>
    <col min="8739" max="8739" width="13.140625" customWidth="1"/>
    <col min="8740" max="8740" width="8.42578125" customWidth="1"/>
    <col min="8741" max="8741" width="11.42578125" customWidth="1"/>
    <col min="8742" max="8742" width="10.85546875" customWidth="1"/>
    <col min="8743" max="8743" width="14.5703125" customWidth="1"/>
    <col min="8744" max="8744" width="16.5703125" customWidth="1"/>
    <col min="8745" max="8745" width="12.140625" customWidth="1"/>
    <col min="8746" max="8746" width="13.85546875" customWidth="1"/>
    <col min="8747" max="8747" width="14.5703125" customWidth="1"/>
    <col min="8749" max="8749" width="10.42578125" customWidth="1"/>
    <col min="8750" max="8750" width="12.5703125" customWidth="1"/>
    <col min="8751" max="8751" width="15.5703125" customWidth="1"/>
    <col min="8752" max="8752" width="24.85546875" customWidth="1"/>
    <col min="8753" max="8753" width="16" customWidth="1"/>
    <col min="8754" max="8754" width="16.42578125" customWidth="1"/>
    <col min="8755" max="8755" width="16" customWidth="1"/>
    <col min="8756" max="8762" width="14.5703125" customWidth="1"/>
    <col min="8974" max="8974" width="10.42578125" customWidth="1"/>
    <col min="8979" max="8979" width="10.140625" customWidth="1"/>
    <col min="8983" max="8983" width="33.42578125" customWidth="1"/>
    <col min="8984" max="8984" width="13.42578125" customWidth="1"/>
    <col min="8985" max="8985" width="18.5703125" customWidth="1"/>
    <col min="8986" max="8986" width="27.5703125" bestFit="1" customWidth="1"/>
    <col min="8987" max="8987" width="12.140625" customWidth="1"/>
    <col min="8988" max="8988" width="13.5703125" customWidth="1"/>
    <col min="8989" max="8989" width="11.42578125" customWidth="1"/>
    <col min="8991" max="8991" width="8.140625" customWidth="1"/>
    <col min="8992" max="8992" width="8.42578125" customWidth="1"/>
    <col min="8993" max="8993" width="15.42578125" customWidth="1"/>
    <col min="8994" max="8994" width="6.42578125" customWidth="1"/>
    <col min="8995" max="8995" width="13.140625" customWidth="1"/>
    <col min="8996" max="8996" width="8.42578125" customWidth="1"/>
    <col min="8997" max="8997" width="11.42578125" customWidth="1"/>
    <col min="8998" max="8998" width="10.85546875" customWidth="1"/>
    <col min="8999" max="8999" width="14.5703125" customWidth="1"/>
    <col min="9000" max="9000" width="16.5703125" customWidth="1"/>
    <col min="9001" max="9001" width="12.140625" customWidth="1"/>
    <col min="9002" max="9002" width="13.85546875" customWidth="1"/>
    <col min="9003" max="9003" width="14.5703125" customWidth="1"/>
    <col min="9005" max="9005" width="10.42578125" customWidth="1"/>
    <col min="9006" max="9006" width="12.5703125" customWidth="1"/>
    <col min="9007" max="9007" width="15.5703125" customWidth="1"/>
    <col min="9008" max="9008" width="24.85546875" customWidth="1"/>
    <col min="9009" max="9009" width="16" customWidth="1"/>
    <col min="9010" max="9010" width="16.42578125" customWidth="1"/>
    <col min="9011" max="9011" width="16" customWidth="1"/>
    <col min="9012" max="9018" width="14.5703125" customWidth="1"/>
    <col min="9230" max="9230" width="10.42578125" customWidth="1"/>
    <col min="9235" max="9235" width="10.140625" customWidth="1"/>
    <col min="9239" max="9239" width="33.42578125" customWidth="1"/>
    <col min="9240" max="9240" width="13.42578125" customWidth="1"/>
    <col min="9241" max="9241" width="18.5703125" customWidth="1"/>
    <col min="9242" max="9242" width="27.5703125" bestFit="1" customWidth="1"/>
    <col min="9243" max="9243" width="12.140625" customWidth="1"/>
    <col min="9244" max="9244" width="13.5703125" customWidth="1"/>
    <col min="9245" max="9245" width="11.42578125" customWidth="1"/>
    <col min="9247" max="9247" width="8.140625" customWidth="1"/>
    <col min="9248" max="9248" width="8.42578125" customWidth="1"/>
    <col min="9249" max="9249" width="15.42578125" customWidth="1"/>
    <col min="9250" max="9250" width="6.42578125" customWidth="1"/>
    <col min="9251" max="9251" width="13.140625" customWidth="1"/>
    <col min="9252" max="9252" width="8.42578125" customWidth="1"/>
    <col min="9253" max="9253" width="11.42578125" customWidth="1"/>
    <col min="9254" max="9254" width="10.85546875" customWidth="1"/>
    <col min="9255" max="9255" width="14.5703125" customWidth="1"/>
    <col min="9256" max="9256" width="16.5703125" customWidth="1"/>
    <col min="9257" max="9257" width="12.140625" customWidth="1"/>
    <col min="9258" max="9258" width="13.85546875" customWidth="1"/>
    <col min="9259" max="9259" width="14.5703125" customWidth="1"/>
    <col min="9261" max="9261" width="10.42578125" customWidth="1"/>
    <col min="9262" max="9262" width="12.5703125" customWidth="1"/>
    <col min="9263" max="9263" width="15.5703125" customWidth="1"/>
    <col min="9264" max="9264" width="24.85546875" customWidth="1"/>
    <col min="9265" max="9265" width="16" customWidth="1"/>
    <col min="9266" max="9266" width="16.42578125" customWidth="1"/>
    <col min="9267" max="9267" width="16" customWidth="1"/>
    <col min="9268" max="9274" width="14.5703125" customWidth="1"/>
    <col min="9486" max="9486" width="10.42578125" customWidth="1"/>
    <col min="9491" max="9491" width="10.140625" customWidth="1"/>
    <col min="9495" max="9495" width="33.42578125" customWidth="1"/>
    <col min="9496" max="9496" width="13.42578125" customWidth="1"/>
    <col min="9497" max="9497" width="18.5703125" customWidth="1"/>
    <col min="9498" max="9498" width="27.5703125" bestFit="1" customWidth="1"/>
    <col min="9499" max="9499" width="12.140625" customWidth="1"/>
    <col min="9500" max="9500" width="13.5703125" customWidth="1"/>
    <col min="9501" max="9501" width="11.42578125" customWidth="1"/>
    <col min="9503" max="9503" width="8.140625" customWidth="1"/>
    <col min="9504" max="9504" width="8.42578125" customWidth="1"/>
    <col min="9505" max="9505" width="15.42578125" customWidth="1"/>
    <col min="9506" max="9506" width="6.42578125" customWidth="1"/>
    <col min="9507" max="9507" width="13.140625" customWidth="1"/>
    <col min="9508" max="9508" width="8.42578125" customWidth="1"/>
    <col min="9509" max="9509" width="11.42578125" customWidth="1"/>
    <col min="9510" max="9510" width="10.85546875" customWidth="1"/>
    <col min="9511" max="9511" width="14.5703125" customWidth="1"/>
    <col min="9512" max="9512" width="16.5703125" customWidth="1"/>
    <col min="9513" max="9513" width="12.140625" customWidth="1"/>
    <col min="9514" max="9514" width="13.85546875" customWidth="1"/>
    <col min="9515" max="9515" width="14.5703125" customWidth="1"/>
    <col min="9517" max="9517" width="10.42578125" customWidth="1"/>
    <col min="9518" max="9518" width="12.5703125" customWidth="1"/>
    <col min="9519" max="9519" width="15.5703125" customWidth="1"/>
    <col min="9520" max="9520" width="24.85546875" customWidth="1"/>
    <col min="9521" max="9521" width="16" customWidth="1"/>
    <col min="9522" max="9522" width="16.42578125" customWidth="1"/>
    <col min="9523" max="9523" width="16" customWidth="1"/>
    <col min="9524" max="9530" width="14.5703125" customWidth="1"/>
    <col min="9742" max="9742" width="10.42578125" customWidth="1"/>
    <col min="9747" max="9747" width="10.140625" customWidth="1"/>
    <col min="9751" max="9751" width="33.42578125" customWidth="1"/>
    <col min="9752" max="9752" width="13.42578125" customWidth="1"/>
    <col min="9753" max="9753" width="18.5703125" customWidth="1"/>
    <col min="9754" max="9754" width="27.5703125" bestFit="1" customWidth="1"/>
    <col min="9755" max="9755" width="12.140625" customWidth="1"/>
    <col min="9756" max="9756" width="13.5703125" customWidth="1"/>
    <col min="9757" max="9757" width="11.42578125" customWidth="1"/>
    <col min="9759" max="9759" width="8.140625" customWidth="1"/>
    <col min="9760" max="9760" width="8.42578125" customWidth="1"/>
    <col min="9761" max="9761" width="15.42578125" customWidth="1"/>
    <col min="9762" max="9762" width="6.42578125" customWidth="1"/>
    <col min="9763" max="9763" width="13.140625" customWidth="1"/>
    <col min="9764" max="9764" width="8.42578125" customWidth="1"/>
    <col min="9765" max="9765" width="11.42578125" customWidth="1"/>
    <col min="9766" max="9766" width="10.85546875" customWidth="1"/>
    <col min="9767" max="9767" width="14.5703125" customWidth="1"/>
    <col min="9768" max="9768" width="16.5703125" customWidth="1"/>
    <col min="9769" max="9769" width="12.140625" customWidth="1"/>
    <col min="9770" max="9770" width="13.85546875" customWidth="1"/>
    <col min="9771" max="9771" width="14.5703125" customWidth="1"/>
    <col min="9773" max="9773" width="10.42578125" customWidth="1"/>
    <col min="9774" max="9774" width="12.5703125" customWidth="1"/>
    <col min="9775" max="9775" width="15.5703125" customWidth="1"/>
    <col min="9776" max="9776" width="24.85546875" customWidth="1"/>
    <col min="9777" max="9777" width="16" customWidth="1"/>
    <col min="9778" max="9778" width="16.42578125" customWidth="1"/>
    <col min="9779" max="9779" width="16" customWidth="1"/>
    <col min="9780" max="9786" width="14.5703125" customWidth="1"/>
    <col min="9998" max="9998" width="10.42578125" customWidth="1"/>
    <col min="10003" max="10003" width="10.140625" customWidth="1"/>
    <col min="10007" max="10007" width="33.42578125" customWidth="1"/>
    <col min="10008" max="10008" width="13.42578125" customWidth="1"/>
    <col min="10009" max="10009" width="18.5703125" customWidth="1"/>
    <col min="10010" max="10010" width="27.5703125" bestFit="1" customWidth="1"/>
    <col min="10011" max="10011" width="12.140625" customWidth="1"/>
    <col min="10012" max="10012" width="13.5703125" customWidth="1"/>
    <col min="10013" max="10013" width="11.42578125" customWidth="1"/>
    <col min="10015" max="10015" width="8.140625" customWidth="1"/>
    <col min="10016" max="10016" width="8.42578125" customWidth="1"/>
    <col min="10017" max="10017" width="15.42578125" customWidth="1"/>
    <col min="10018" max="10018" width="6.42578125" customWidth="1"/>
    <col min="10019" max="10019" width="13.140625" customWidth="1"/>
    <col min="10020" max="10020" width="8.42578125" customWidth="1"/>
    <col min="10021" max="10021" width="11.42578125" customWidth="1"/>
    <col min="10022" max="10022" width="10.85546875" customWidth="1"/>
    <col min="10023" max="10023" width="14.5703125" customWidth="1"/>
    <col min="10024" max="10024" width="16.5703125" customWidth="1"/>
    <col min="10025" max="10025" width="12.140625" customWidth="1"/>
    <col min="10026" max="10026" width="13.85546875" customWidth="1"/>
    <col min="10027" max="10027" width="14.5703125" customWidth="1"/>
    <col min="10029" max="10029" width="10.42578125" customWidth="1"/>
    <col min="10030" max="10030" width="12.5703125" customWidth="1"/>
    <col min="10031" max="10031" width="15.5703125" customWidth="1"/>
    <col min="10032" max="10032" width="24.85546875" customWidth="1"/>
    <col min="10033" max="10033" width="16" customWidth="1"/>
    <col min="10034" max="10034" width="16.42578125" customWidth="1"/>
    <col min="10035" max="10035" width="16" customWidth="1"/>
    <col min="10036" max="10042" width="14.5703125" customWidth="1"/>
    <col min="10254" max="10254" width="10.42578125" customWidth="1"/>
    <col min="10259" max="10259" width="10.140625" customWidth="1"/>
    <col min="10263" max="10263" width="33.42578125" customWidth="1"/>
    <col min="10264" max="10264" width="13.42578125" customWidth="1"/>
    <col min="10265" max="10265" width="18.5703125" customWidth="1"/>
    <col min="10266" max="10266" width="27.5703125" bestFit="1" customWidth="1"/>
    <col min="10267" max="10267" width="12.140625" customWidth="1"/>
    <col min="10268" max="10268" width="13.5703125" customWidth="1"/>
    <col min="10269" max="10269" width="11.42578125" customWidth="1"/>
    <col min="10271" max="10271" width="8.140625" customWidth="1"/>
    <col min="10272" max="10272" width="8.42578125" customWidth="1"/>
    <col min="10273" max="10273" width="15.42578125" customWidth="1"/>
    <col min="10274" max="10274" width="6.42578125" customWidth="1"/>
    <col min="10275" max="10275" width="13.140625" customWidth="1"/>
    <col min="10276" max="10276" width="8.42578125" customWidth="1"/>
    <col min="10277" max="10277" width="11.42578125" customWidth="1"/>
    <col min="10278" max="10278" width="10.85546875" customWidth="1"/>
    <col min="10279" max="10279" width="14.5703125" customWidth="1"/>
    <col min="10280" max="10280" width="16.5703125" customWidth="1"/>
    <col min="10281" max="10281" width="12.140625" customWidth="1"/>
    <col min="10282" max="10282" width="13.85546875" customWidth="1"/>
    <col min="10283" max="10283" width="14.5703125" customWidth="1"/>
    <col min="10285" max="10285" width="10.42578125" customWidth="1"/>
    <col min="10286" max="10286" width="12.5703125" customWidth="1"/>
    <col min="10287" max="10287" width="15.5703125" customWidth="1"/>
    <col min="10288" max="10288" width="24.85546875" customWidth="1"/>
    <col min="10289" max="10289" width="16" customWidth="1"/>
    <col min="10290" max="10290" width="16.42578125" customWidth="1"/>
    <col min="10291" max="10291" width="16" customWidth="1"/>
    <col min="10292" max="10298" width="14.5703125" customWidth="1"/>
    <col min="10510" max="10510" width="10.42578125" customWidth="1"/>
    <col min="10515" max="10515" width="10.140625" customWidth="1"/>
    <col min="10519" max="10519" width="33.42578125" customWidth="1"/>
    <col min="10520" max="10520" width="13.42578125" customWidth="1"/>
    <col min="10521" max="10521" width="18.5703125" customWidth="1"/>
    <col min="10522" max="10522" width="27.5703125" bestFit="1" customWidth="1"/>
    <col min="10523" max="10523" width="12.140625" customWidth="1"/>
    <col min="10524" max="10524" width="13.5703125" customWidth="1"/>
    <col min="10525" max="10525" width="11.42578125" customWidth="1"/>
    <col min="10527" max="10527" width="8.140625" customWidth="1"/>
    <col min="10528" max="10528" width="8.42578125" customWidth="1"/>
    <col min="10529" max="10529" width="15.42578125" customWidth="1"/>
    <col min="10530" max="10530" width="6.42578125" customWidth="1"/>
    <col min="10531" max="10531" width="13.140625" customWidth="1"/>
    <col min="10532" max="10532" width="8.42578125" customWidth="1"/>
    <col min="10533" max="10533" width="11.42578125" customWidth="1"/>
    <col min="10534" max="10534" width="10.85546875" customWidth="1"/>
    <col min="10535" max="10535" width="14.5703125" customWidth="1"/>
    <col min="10536" max="10536" width="16.5703125" customWidth="1"/>
    <col min="10537" max="10537" width="12.140625" customWidth="1"/>
    <col min="10538" max="10538" width="13.85546875" customWidth="1"/>
    <col min="10539" max="10539" width="14.5703125" customWidth="1"/>
    <col min="10541" max="10541" width="10.42578125" customWidth="1"/>
    <col min="10542" max="10542" width="12.5703125" customWidth="1"/>
    <col min="10543" max="10543" width="15.5703125" customWidth="1"/>
    <col min="10544" max="10544" width="24.85546875" customWidth="1"/>
    <col min="10545" max="10545" width="16" customWidth="1"/>
    <col min="10546" max="10546" width="16.42578125" customWidth="1"/>
    <col min="10547" max="10547" width="16" customWidth="1"/>
    <col min="10548" max="10554" width="14.5703125" customWidth="1"/>
    <col min="10766" max="10766" width="10.42578125" customWidth="1"/>
    <col min="10771" max="10771" width="10.140625" customWidth="1"/>
    <col min="10775" max="10775" width="33.42578125" customWidth="1"/>
    <col min="10776" max="10776" width="13.42578125" customWidth="1"/>
    <col min="10777" max="10777" width="18.5703125" customWidth="1"/>
    <col min="10778" max="10778" width="27.5703125" bestFit="1" customWidth="1"/>
    <col min="10779" max="10779" width="12.140625" customWidth="1"/>
    <col min="10780" max="10780" width="13.5703125" customWidth="1"/>
    <col min="10781" max="10781" width="11.42578125" customWidth="1"/>
    <col min="10783" max="10783" width="8.140625" customWidth="1"/>
    <col min="10784" max="10784" width="8.42578125" customWidth="1"/>
    <col min="10785" max="10785" width="15.42578125" customWidth="1"/>
    <col min="10786" max="10786" width="6.42578125" customWidth="1"/>
    <col min="10787" max="10787" width="13.140625" customWidth="1"/>
    <col min="10788" max="10788" width="8.42578125" customWidth="1"/>
    <col min="10789" max="10789" width="11.42578125" customWidth="1"/>
    <col min="10790" max="10790" width="10.85546875" customWidth="1"/>
    <col min="10791" max="10791" width="14.5703125" customWidth="1"/>
    <col min="10792" max="10792" width="16.5703125" customWidth="1"/>
    <col min="10793" max="10793" width="12.140625" customWidth="1"/>
    <col min="10794" max="10794" width="13.85546875" customWidth="1"/>
    <col min="10795" max="10795" width="14.5703125" customWidth="1"/>
    <col min="10797" max="10797" width="10.42578125" customWidth="1"/>
    <col min="10798" max="10798" width="12.5703125" customWidth="1"/>
    <col min="10799" max="10799" width="15.5703125" customWidth="1"/>
    <col min="10800" max="10800" width="24.85546875" customWidth="1"/>
    <col min="10801" max="10801" width="16" customWidth="1"/>
    <col min="10802" max="10802" width="16.42578125" customWidth="1"/>
    <col min="10803" max="10803" width="16" customWidth="1"/>
    <col min="10804" max="10810" width="14.5703125" customWidth="1"/>
    <col min="11022" max="11022" width="10.42578125" customWidth="1"/>
    <col min="11027" max="11027" width="10.140625" customWidth="1"/>
    <col min="11031" max="11031" width="33.42578125" customWidth="1"/>
    <col min="11032" max="11032" width="13.42578125" customWidth="1"/>
    <col min="11033" max="11033" width="18.5703125" customWidth="1"/>
    <col min="11034" max="11034" width="27.5703125" bestFit="1" customWidth="1"/>
    <col min="11035" max="11035" width="12.140625" customWidth="1"/>
    <col min="11036" max="11036" width="13.5703125" customWidth="1"/>
    <col min="11037" max="11037" width="11.42578125" customWidth="1"/>
    <col min="11039" max="11039" width="8.140625" customWidth="1"/>
    <col min="11040" max="11040" width="8.42578125" customWidth="1"/>
    <col min="11041" max="11041" width="15.42578125" customWidth="1"/>
    <col min="11042" max="11042" width="6.42578125" customWidth="1"/>
    <col min="11043" max="11043" width="13.140625" customWidth="1"/>
    <col min="11044" max="11044" width="8.42578125" customWidth="1"/>
    <col min="11045" max="11045" width="11.42578125" customWidth="1"/>
    <col min="11046" max="11046" width="10.85546875" customWidth="1"/>
    <col min="11047" max="11047" width="14.5703125" customWidth="1"/>
    <col min="11048" max="11048" width="16.5703125" customWidth="1"/>
    <col min="11049" max="11049" width="12.140625" customWidth="1"/>
    <col min="11050" max="11050" width="13.85546875" customWidth="1"/>
    <col min="11051" max="11051" width="14.5703125" customWidth="1"/>
    <col min="11053" max="11053" width="10.42578125" customWidth="1"/>
    <col min="11054" max="11054" width="12.5703125" customWidth="1"/>
    <col min="11055" max="11055" width="15.5703125" customWidth="1"/>
    <col min="11056" max="11056" width="24.85546875" customWidth="1"/>
    <col min="11057" max="11057" width="16" customWidth="1"/>
    <col min="11058" max="11058" width="16.42578125" customWidth="1"/>
    <col min="11059" max="11059" width="16" customWidth="1"/>
    <col min="11060" max="11066" width="14.5703125" customWidth="1"/>
    <col min="11278" max="11278" width="10.42578125" customWidth="1"/>
    <col min="11283" max="11283" width="10.140625" customWidth="1"/>
    <col min="11287" max="11287" width="33.42578125" customWidth="1"/>
    <col min="11288" max="11288" width="13.42578125" customWidth="1"/>
    <col min="11289" max="11289" width="18.5703125" customWidth="1"/>
    <col min="11290" max="11290" width="27.5703125" bestFit="1" customWidth="1"/>
    <col min="11291" max="11291" width="12.140625" customWidth="1"/>
    <col min="11292" max="11292" width="13.5703125" customWidth="1"/>
    <col min="11293" max="11293" width="11.42578125" customWidth="1"/>
    <col min="11295" max="11295" width="8.140625" customWidth="1"/>
    <col min="11296" max="11296" width="8.42578125" customWidth="1"/>
    <col min="11297" max="11297" width="15.42578125" customWidth="1"/>
    <col min="11298" max="11298" width="6.42578125" customWidth="1"/>
    <col min="11299" max="11299" width="13.140625" customWidth="1"/>
    <col min="11300" max="11300" width="8.42578125" customWidth="1"/>
    <col min="11301" max="11301" width="11.42578125" customWidth="1"/>
    <col min="11302" max="11302" width="10.85546875" customWidth="1"/>
    <col min="11303" max="11303" width="14.5703125" customWidth="1"/>
    <col min="11304" max="11304" width="16.5703125" customWidth="1"/>
    <col min="11305" max="11305" width="12.140625" customWidth="1"/>
    <col min="11306" max="11306" width="13.85546875" customWidth="1"/>
    <col min="11307" max="11307" width="14.5703125" customWidth="1"/>
    <col min="11309" max="11309" width="10.42578125" customWidth="1"/>
    <col min="11310" max="11310" width="12.5703125" customWidth="1"/>
    <col min="11311" max="11311" width="15.5703125" customWidth="1"/>
    <col min="11312" max="11312" width="24.85546875" customWidth="1"/>
    <col min="11313" max="11313" width="16" customWidth="1"/>
    <col min="11314" max="11314" width="16.42578125" customWidth="1"/>
    <col min="11315" max="11315" width="16" customWidth="1"/>
    <col min="11316" max="11322" width="14.5703125" customWidth="1"/>
    <col min="11534" max="11534" width="10.42578125" customWidth="1"/>
    <col min="11539" max="11539" width="10.140625" customWidth="1"/>
    <col min="11543" max="11543" width="33.42578125" customWidth="1"/>
    <col min="11544" max="11544" width="13.42578125" customWidth="1"/>
    <col min="11545" max="11545" width="18.5703125" customWidth="1"/>
    <col min="11546" max="11546" width="27.5703125" bestFit="1" customWidth="1"/>
    <col min="11547" max="11547" width="12.140625" customWidth="1"/>
    <col min="11548" max="11548" width="13.5703125" customWidth="1"/>
    <col min="11549" max="11549" width="11.42578125" customWidth="1"/>
    <col min="11551" max="11551" width="8.140625" customWidth="1"/>
    <col min="11552" max="11552" width="8.42578125" customWidth="1"/>
    <col min="11553" max="11553" width="15.42578125" customWidth="1"/>
    <col min="11554" max="11554" width="6.42578125" customWidth="1"/>
    <col min="11555" max="11555" width="13.140625" customWidth="1"/>
    <col min="11556" max="11556" width="8.42578125" customWidth="1"/>
    <col min="11557" max="11557" width="11.42578125" customWidth="1"/>
    <col min="11558" max="11558" width="10.85546875" customWidth="1"/>
    <col min="11559" max="11559" width="14.5703125" customWidth="1"/>
    <col min="11560" max="11560" width="16.5703125" customWidth="1"/>
    <col min="11561" max="11561" width="12.140625" customWidth="1"/>
    <col min="11562" max="11562" width="13.85546875" customWidth="1"/>
    <col min="11563" max="11563" width="14.5703125" customWidth="1"/>
    <col min="11565" max="11565" width="10.42578125" customWidth="1"/>
    <col min="11566" max="11566" width="12.5703125" customWidth="1"/>
    <col min="11567" max="11567" width="15.5703125" customWidth="1"/>
    <col min="11568" max="11568" width="24.85546875" customWidth="1"/>
    <col min="11569" max="11569" width="16" customWidth="1"/>
    <col min="11570" max="11570" width="16.42578125" customWidth="1"/>
    <col min="11571" max="11571" width="16" customWidth="1"/>
    <col min="11572" max="11578" width="14.5703125" customWidth="1"/>
    <col min="11790" max="11790" width="10.42578125" customWidth="1"/>
    <col min="11795" max="11795" width="10.140625" customWidth="1"/>
    <col min="11799" max="11799" width="33.42578125" customWidth="1"/>
    <col min="11800" max="11800" width="13.42578125" customWidth="1"/>
    <col min="11801" max="11801" width="18.5703125" customWidth="1"/>
    <col min="11802" max="11802" width="27.5703125" bestFit="1" customWidth="1"/>
    <col min="11803" max="11803" width="12.140625" customWidth="1"/>
    <col min="11804" max="11804" width="13.5703125" customWidth="1"/>
    <col min="11805" max="11805" width="11.42578125" customWidth="1"/>
    <col min="11807" max="11807" width="8.140625" customWidth="1"/>
    <col min="11808" max="11808" width="8.42578125" customWidth="1"/>
    <col min="11809" max="11809" width="15.42578125" customWidth="1"/>
    <col min="11810" max="11810" width="6.42578125" customWidth="1"/>
    <col min="11811" max="11811" width="13.140625" customWidth="1"/>
    <col min="11812" max="11812" width="8.42578125" customWidth="1"/>
    <col min="11813" max="11813" width="11.42578125" customWidth="1"/>
    <col min="11814" max="11814" width="10.85546875" customWidth="1"/>
    <col min="11815" max="11815" width="14.5703125" customWidth="1"/>
    <col min="11816" max="11816" width="16.5703125" customWidth="1"/>
    <col min="11817" max="11817" width="12.140625" customWidth="1"/>
    <col min="11818" max="11818" width="13.85546875" customWidth="1"/>
    <col min="11819" max="11819" width="14.5703125" customWidth="1"/>
    <col min="11821" max="11821" width="10.42578125" customWidth="1"/>
    <col min="11822" max="11822" width="12.5703125" customWidth="1"/>
    <col min="11823" max="11823" width="15.5703125" customWidth="1"/>
    <col min="11824" max="11824" width="24.85546875" customWidth="1"/>
    <col min="11825" max="11825" width="16" customWidth="1"/>
    <col min="11826" max="11826" width="16.42578125" customWidth="1"/>
    <col min="11827" max="11827" width="16" customWidth="1"/>
    <col min="11828" max="11834" width="14.5703125" customWidth="1"/>
    <col min="12046" max="12046" width="10.42578125" customWidth="1"/>
    <col min="12051" max="12051" width="10.140625" customWidth="1"/>
    <col min="12055" max="12055" width="33.42578125" customWidth="1"/>
    <col min="12056" max="12056" width="13.42578125" customWidth="1"/>
    <col min="12057" max="12057" width="18.5703125" customWidth="1"/>
    <col min="12058" max="12058" width="27.5703125" bestFit="1" customWidth="1"/>
    <col min="12059" max="12059" width="12.140625" customWidth="1"/>
    <col min="12060" max="12060" width="13.5703125" customWidth="1"/>
    <col min="12061" max="12061" width="11.42578125" customWidth="1"/>
    <col min="12063" max="12063" width="8.140625" customWidth="1"/>
    <col min="12064" max="12064" width="8.42578125" customWidth="1"/>
    <col min="12065" max="12065" width="15.42578125" customWidth="1"/>
    <col min="12066" max="12066" width="6.42578125" customWidth="1"/>
    <col min="12067" max="12067" width="13.140625" customWidth="1"/>
    <col min="12068" max="12068" width="8.42578125" customWidth="1"/>
    <col min="12069" max="12069" width="11.42578125" customWidth="1"/>
    <col min="12070" max="12070" width="10.85546875" customWidth="1"/>
    <col min="12071" max="12071" width="14.5703125" customWidth="1"/>
    <col min="12072" max="12072" width="16.5703125" customWidth="1"/>
    <col min="12073" max="12073" width="12.140625" customWidth="1"/>
    <col min="12074" max="12074" width="13.85546875" customWidth="1"/>
    <col min="12075" max="12075" width="14.5703125" customWidth="1"/>
    <col min="12077" max="12077" width="10.42578125" customWidth="1"/>
    <col min="12078" max="12078" width="12.5703125" customWidth="1"/>
    <col min="12079" max="12079" width="15.5703125" customWidth="1"/>
    <col min="12080" max="12080" width="24.85546875" customWidth="1"/>
    <col min="12081" max="12081" width="16" customWidth="1"/>
    <col min="12082" max="12082" width="16.42578125" customWidth="1"/>
    <col min="12083" max="12083" width="16" customWidth="1"/>
    <col min="12084" max="12090" width="14.5703125" customWidth="1"/>
    <col min="12302" max="12302" width="10.42578125" customWidth="1"/>
    <col min="12307" max="12307" width="10.140625" customWidth="1"/>
    <col min="12311" max="12311" width="33.42578125" customWidth="1"/>
    <col min="12312" max="12312" width="13.42578125" customWidth="1"/>
    <col min="12313" max="12313" width="18.5703125" customWidth="1"/>
    <col min="12314" max="12314" width="27.5703125" bestFit="1" customWidth="1"/>
    <col min="12315" max="12315" width="12.140625" customWidth="1"/>
    <col min="12316" max="12316" width="13.5703125" customWidth="1"/>
    <col min="12317" max="12317" width="11.42578125" customWidth="1"/>
    <col min="12319" max="12319" width="8.140625" customWidth="1"/>
    <col min="12320" max="12320" width="8.42578125" customWidth="1"/>
    <col min="12321" max="12321" width="15.42578125" customWidth="1"/>
    <col min="12322" max="12322" width="6.42578125" customWidth="1"/>
    <col min="12323" max="12323" width="13.140625" customWidth="1"/>
    <col min="12324" max="12324" width="8.42578125" customWidth="1"/>
    <col min="12325" max="12325" width="11.42578125" customWidth="1"/>
    <col min="12326" max="12326" width="10.85546875" customWidth="1"/>
    <col min="12327" max="12327" width="14.5703125" customWidth="1"/>
    <col min="12328" max="12328" width="16.5703125" customWidth="1"/>
    <col min="12329" max="12329" width="12.140625" customWidth="1"/>
    <col min="12330" max="12330" width="13.85546875" customWidth="1"/>
    <col min="12331" max="12331" width="14.5703125" customWidth="1"/>
    <col min="12333" max="12333" width="10.42578125" customWidth="1"/>
    <col min="12334" max="12334" width="12.5703125" customWidth="1"/>
    <col min="12335" max="12335" width="15.5703125" customWidth="1"/>
    <col min="12336" max="12336" width="24.85546875" customWidth="1"/>
    <col min="12337" max="12337" width="16" customWidth="1"/>
    <col min="12338" max="12338" width="16.42578125" customWidth="1"/>
    <col min="12339" max="12339" width="16" customWidth="1"/>
    <col min="12340" max="12346" width="14.5703125" customWidth="1"/>
    <col min="12558" max="12558" width="10.42578125" customWidth="1"/>
    <col min="12563" max="12563" width="10.140625" customWidth="1"/>
    <col min="12567" max="12567" width="33.42578125" customWidth="1"/>
    <col min="12568" max="12568" width="13.42578125" customWidth="1"/>
    <col min="12569" max="12569" width="18.5703125" customWidth="1"/>
    <col min="12570" max="12570" width="27.5703125" bestFit="1" customWidth="1"/>
    <col min="12571" max="12571" width="12.140625" customWidth="1"/>
    <col min="12572" max="12572" width="13.5703125" customWidth="1"/>
    <col min="12573" max="12573" width="11.42578125" customWidth="1"/>
    <col min="12575" max="12575" width="8.140625" customWidth="1"/>
    <col min="12576" max="12576" width="8.42578125" customWidth="1"/>
    <col min="12577" max="12577" width="15.42578125" customWidth="1"/>
    <col min="12578" max="12578" width="6.42578125" customWidth="1"/>
    <col min="12579" max="12579" width="13.140625" customWidth="1"/>
    <col min="12580" max="12580" width="8.42578125" customWidth="1"/>
    <col min="12581" max="12581" width="11.42578125" customWidth="1"/>
    <col min="12582" max="12582" width="10.85546875" customWidth="1"/>
    <col min="12583" max="12583" width="14.5703125" customWidth="1"/>
    <col min="12584" max="12584" width="16.5703125" customWidth="1"/>
    <col min="12585" max="12585" width="12.140625" customWidth="1"/>
    <col min="12586" max="12586" width="13.85546875" customWidth="1"/>
    <col min="12587" max="12587" width="14.5703125" customWidth="1"/>
    <col min="12589" max="12589" width="10.42578125" customWidth="1"/>
    <col min="12590" max="12590" width="12.5703125" customWidth="1"/>
    <col min="12591" max="12591" width="15.5703125" customWidth="1"/>
    <col min="12592" max="12592" width="24.85546875" customWidth="1"/>
    <col min="12593" max="12593" width="16" customWidth="1"/>
    <col min="12594" max="12594" width="16.42578125" customWidth="1"/>
    <col min="12595" max="12595" width="16" customWidth="1"/>
    <col min="12596" max="12602" width="14.5703125" customWidth="1"/>
    <col min="12814" max="12814" width="10.42578125" customWidth="1"/>
    <col min="12819" max="12819" width="10.140625" customWidth="1"/>
    <col min="12823" max="12823" width="33.42578125" customWidth="1"/>
    <col min="12824" max="12824" width="13.42578125" customWidth="1"/>
    <col min="12825" max="12825" width="18.5703125" customWidth="1"/>
    <col min="12826" max="12826" width="27.5703125" bestFit="1" customWidth="1"/>
    <col min="12827" max="12827" width="12.140625" customWidth="1"/>
    <col min="12828" max="12828" width="13.5703125" customWidth="1"/>
    <col min="12829" max="12829" width="11.42578125" customWidth="1"/>
    <col min="12831" max="12831" width="8.140625" customWidth="1"/>
    <col min="12832" max="12832" width="8.42578125" customWidth="1"/>
    <col min="12833" max="12833" width="15.42578125" customWidth="1"/>
    <col min="12834" max="12834" width="6.42578125" customWidth="1"/>
    <col min="12835" max="12835" width="13.140625" customWidth="1"/>
    <col min="12836" max="12836" width="8.42578125" customWidth="1"/>
    <col min="12837" max="12837" width="11.42578125" customWidth="1"/>
    <col min="12838" max="12838" width="10.85546875" customWidth="1"/>
    <col min="12839" max="12839" width="14.5703125" customWidth="1"/>
    <col min="12840" max="12840" width="16.5703125" customWidth="1"/>
    <col min="12841" max="12841" width="12.140625" customWidth="1"/>
    <col min="12842" max="12842" width="13.85546875" customWidth="1"/>
    <col min="12843" max="12843" width="14.5703125" customWidth="1"/>
    <col min="12845" max="12845" width="10.42578125" customWidth="1"/>
    <col min="12846" max="12846" width="12.5703125" customWidth="1"/>
    <col min="12847" max="12847" width="15.5703125" customWidth="1"/>
    <col min="12848" max="12848" width="24.85546875" customWidth="1"/>
    <col min="12849" max="12849" width="16" customWidth="1"/>
    <col min="12850" max="12850" width="16.42578125" customWidth="1"/>
    <col min="12851" max="12851" width="16" customWidth="1"/>
    <col min="12852" max="12858" width="14.5703125" customWidth="1"/>
    <col min="13070" max="13070" width="10.42578125" customWidth="1"/>
    <col min="13075" max="13075" width="10.140625" customWidth="1"/>
    <col min="13079" max="13079" width="33.42578125" customWidth="1"/>
    <col min="13080" max="13080" width="13.42578125" customWidth="1"/>
    <col min="13081" max="13081" width="18.5703125" customWidth="1"/>
    <col min="13082" max="13082" width="27.5703125" bestFit="1" customWidth="1"/>
    <col min="13083" max="13083" width="12.140625" customWidth="1"/>
    <col min="13084" max="13084" width="13.5703125" customWidth="1"/>
    <col min="13085" max="13085" width="11.42578125" customWidth="1"/>
    <col min="13087" max="13087" width="8.140625" customWidth="1"/>
    <col min="13088" max="13088" width="8.42578125" customWidth="1"/>
    <col min="13089" max="13089" width="15.42578125" customWidth="1"/>
    <col min="13090" max="13090" width="6.42578125" customWidth="1"/>
    <col min="13091" max="13091" width="13.140625" customWidth="1"/>
    <col min="13092" max="13092" width="8.42578125" customWidth="1"/>
    <col min="13093" max="13093" width="11.42578125" customWidth="1"/>
    <col min="13094" max="13094" width="10.85546875" customWidth="1"/>
    <col min="13095" max="13095" width="14.5703125" customWidth="1"/>
    <col min="13096" max="13096" width="16.5703125" customWidth="1"/>
    <col min="13097" max="13097" width="12.140625" customWidth="1"/>
    <col min="13098" max="13098" width="13.85546875" customWidth="1"/>
    <col min="13099" max="13099" width="14.5703125" customWidth="1"/>
    <col min="13101" max="13101" width="10.42578125" customWidth="1"/>
    <col min="13102" max="13102" width="12.5703125" customWidth="1"/>
    <col min="13103" max="13103" width="15.5703125" customWidth="1"/>
    <col min="13104" max="13104" width="24.85546875" customWidth="1"/>
    <col min="13105" max="13105" width="16" customWidth="1"/>
    <col min="13106" max="13106" width="16.42578125" customWidth="1"/>
    <col min="13107" max="13107" width="16" customWidth="1"/>
    <col min="13108" max="13114" width="14.5703125" customWidth="1"/>
    <col min="13326" max="13326" width="10.42578125" customWidth="1"/>
    <col min="13331" max="13331" width="10.140625" customWidth="1"/>
    <col min="13335" max="13335" width="33.42578125" customWidth="1"/>
    <col min="13336" max="13336" width="13.42578125" customWidth="1"/>
    <col min="13337" max="13337" width="18.5703125" customWidth="1"/>
    <col min="13338" max="13338" width="27.5703125" bestFit="1" customWidth="1"/>
    <col min="13339" max="13339" width="12.140625" customWidth="1"/>
    <col min="13340" max="13340" width="13.5703125" customWidth="1"/>
    <col min="13341" max="13341" width="11.42578125" customWidth="1"/>
    <col min="13343" max="13343" width="8.140625" customWidth="1"/>
    <col min="13344" max="13344" width="8.42578125" customWidth="1"/>
    <col min="13345" max="13345" width="15.42578125" customWidth="1"/>
    <col min="13346" max="13346" width="6.42578125" customWidth="1"/>
    <col min="13347" max="13347" width="13.140625" customWidth="1"/>
    <col min="13348" max="13348" width="8.42578125" customWidth="1"/>
    <col min="13349" max="13349" width="11.42578125" customWidth="1"/>
    <col min="13350" max="13350" width="10.85546875" customWidth="1"/>
    <col min="13351" max="13351" width="14.5703125" customWidth="1"/>
    <col min="13352" max="13352" width="16.5703125" customWidth="1"/>
    <col min="13353" max="13353" width="12.140625" customWidth="1"/>
    <col min="13354" max="13354" width="13.85546875" customWidth="1"/>
    <col min="13355" max="13355" width="14.5703125" customWidth="1"/>
    <col min="13357" max="13357" width="10.42578125" customWidth="1"/>
    <col min="13358" max="13358" width="12.5703125" customWidth="1"/>
    <col min="13359" max="13359" width="15.5703125" customWidth="1"/>
    <col min="13360" max="13360" width="24.85546875" customWidth="1"/>
    <col min="13361" max="13361" width="16" customWidth="1"/>
    <col min="13362" max="13362" width="16.42578125" customWidth="1"/>
    <col min="13363" max="13363" width="16" customWidth="1"/>
    <col min="13364" max="13370" width="14.5703125" customWidth="1"/>
    <col min="13582" max="13582" width="10.42578125" customWidth="1"/>
    <col min="13587" max="13587" width="10.140625" customWidth="1"/>
    <col min="13591" max="13591" width="33.42578125" customWidth="1"/>
    <col min="13592" max="13592" width="13.42578125" customWidth="1"/>
    <col min="13593" max="13593" width="18.5703125" customWidth="1"/>
    <col min="13594" max="13594" width="27.5703125" bestFit="1" customWidth="1"/>
    <col min="13595" max="13595" width="12.140625" customWidth="1"/>
    <col min="13596" max="13596" width="13.5703125" customWidth="1"/>
    <col min="13597" max="13597" width="11.42578125" customWidth="1"/>
    <col min="13599" max="13599" width="8.140625" customWidth="1"/>
    <col min="13600" max="13600" width="8.42578125" customWidth="1"/>
    <col min="13601" max="13601" width="15.42578125" customWidth="1"/>
    <col min="13602" max="13602" width="6.42578125" customWidth="1"/>
    <col min="13603" max="13603" width="13.140625" customWidth="1"/>
    <col min="13604" max="13604" width="8.42578125" customWidth="1"/>
    <col min="13605" max="13605" width="11.42578125" customWidth="1"/>
    <col min="13606" max="13606" width="10.85546875" customWidth="1"/>
    <col min="13607" max="13607" width="14.5703125" customWidth="1"/>
    <col min="13608" max="13608" width="16.5703125" customWidth="1"/>
    <col min="13609" max="13609" width="12.140625" customWidth="1"/>
    <col min="13610" max="13610" width="13.85546875" customWidth="1"/>
    <col min="13611" max="13611" width="14.5703125" customWidth="1"/>
    <col min="13613" max="13613" width="10.42578125" customWidth="1"/>
    <col min="13614" max="13614" width="12.5703125" customWidth="1"/>
    <col min="13615" max="13615" width="15.5703125" customWidth="1"/>
    <col min="13616" max="13616" width="24.85546875" customWidth="1"/>
    <col min="13617" max="13617" width="16" customWidth="1"/>
    <col min="13618" max="13618" width="16.42578125" customWidth="1"/>
    <col min="13619" max="13619" width="16" customWidth="1"/>
    <col min="13620" max="13626" width="14.5703125" customWidth="1"/>
    <col min="13838" max="13838" width="10.42578125" customWidth="1"/>
    <col min="13843" max="13843" width="10.140625" customWidth="1"/>
    <col min="13847" max="13847" width="33.42578125" customWidth="1"/>
    <col min="13848" max="13848" width="13.42578125" customWidth="1"/>
    <col min="13849" max="13849" width="18.5703125" customWidth="1"/>
    <col min="13850" max="13850" width="27.5703125" bestFit="1" customWidth="1"/>
    <col min="13851" max="13851" width="12.140625" customWidth="1"/>
    <col min="13852" max="13852" width="13.5703125" customWidth="1"/>
    <col min="13853" max="13853" width="11.42578125" customWidth="1"/>
    <col min="13855" max="13855" width="8.140625" customWidth="1"/>
    <col min="13856" max="13856" width="8.42578125" customWidth="1"/>
    <col min="13857" max="13857" width="15.42578125" customWidth="1"/>
    <col min="13858" max="13858" width="6.42578125" customWidth="1"/>
    <col min="13859" max="13859" width="13.140625" customWidth="1"/>
    <col min="13860" max="13860" width="8.42578125" customWidth="1"/>
    <col min="13861" max="13861" width="11.42578125" customWidth="1"/>
    <col min="13862" max="13862" width="10.85546875" customWidth="1"/>
    <col min="13863" max="13863" width="14.5703125" customWidth="1"/>
    <col min="13864" max="13864" width="16.5703125" customWidth="1"/>
    <col min="13865" max="13865" width="12.140625" customWidth="1"/>
    <col min="13866" max="13866" width="13.85546875" customWidth="1"/>
    <col min="13867" max="13867" width="14.5703125" customWidth="1"/>
    <col min="13869" max="13869" width="10.42578125" customWidth="1"/>
    <col min="13870" max="13870" width="12.5703125" customWidth="1"/>
    <col min="13871" max="13871" width="15.5703125" customWidth="1"/>
    <col min="13872" max="13872" width="24.85546875" customWidth="1"/>
    <col min="13873" max="13873" width="16" customWidth="1"/>
    <col min="13874" max="13874" width="16.42578125" customWidth="1"/>
    <col min="13875" max="13875" width="16" customWidth="1"/>
    <col min="13876" max="13882" width="14.5703125" customWidth="1"/>
    <col min="14094" max="14094" width="10.42578125" customWidth="1"/>
    <col min="14099" max="14099" width="10.140625" customWidth="1"/>
    <col min="14103" max="14103" width="33.42578125" customWidth="1"/>
    <col min="14104" max="14104" width="13.42578125" customWidth="1"/>
    <col min="14105" max="14105" width="18.5703125" customWidth="1"/>
    <col min="14106" max="14106" width="27.5703125" bestFit="1" customWidth="1"/>
    <col min="14107" max="14107" width="12.140625" customWidth="1"/>
    <col min="14108" max="14108" width="13.5703125" customWidth="1"/>
    <col min="14109" max="14109" width="11.42578125" customWidth="1"/>
    <col min="14111" max="14111" width="8.140625" customWidth="1"/>
    <col min="14112" max="14112" width="8.42578125" customWidth="1"/>
    <col min="14113" max="14113" width="15.42578125" customWidth="1"/>
    <col min="14114" max="14114" width="6.42578125" customWidth="1"/>
    <col min="14115" max="14115" width="13.140625" customWidth="1"/>
    <col min="14116" max="14116" width="8.42578125" customWidth="1"/>
    <col min="14117" max="14117" width="11.42578125" customWidth="1"/>
    <col min="14118" max="14118" width="10.85546875" customWidth="1"/>
    <col min="14119" max="14119" width="14.5703125" customWidth="1"/>
    <col min="14120" max="14120" width="16.5703125" customWidth="1"/>
    <col min="14121" max="14121" width="12.140625" customWidth="1"/>
    <col min="14122" max="14122" width="13.85546875" customWidth="1"/>
    <col min="14123" max="14123" width="14.5703125" customWidth="1"/>
    <col min="14125" max="14125" width="10.42578125" customWidth="1"/>
    <col min="14126" max="14126" width="12.5703125" customWidth="1"/>
    <col min="14127" max="14127" width="15.5703125" customWidth="1"/>
    <col min="14128" max="14128" width="24.85546875" customWidth="1"/>
    <col min="14129" max="14129" width="16" customWidth="1"/>
    <col min="14130" max="14130" width="16.42578125" customWidth="1"/>
    <col min="14131" max="14131" width="16" customWidth="1"/>
    <col min="14132" max="14138" width="14.5703125" customWidth="1"/>
    <col min="14350" max="14350" width="10.42578125" customWidth="1"/>
    <col min="14355" max="14355" width="10.140625" customWidth="1"/>
    <col min="14359" max="14359" width="33.42578125" customWidth="1"/>
    <col min="14360" max="14360" width="13.42578125" customWidth="1"/>
    <col min="14361" max="14361" width="18.5703125" customWidth="1"/>
    <col min="14362" max="14362" width="27.5703125" bestFit="1" customWidth="1"/>
    <col min="14363" max="14363" width="12.140625" customWidth="1"/>
    <col min="14364" max="14364" width="13.5703125" customWidth="1"/>
    <col min="14365" max="14365" width="11.42578125" customWidth="1"/>
    <col min="14367" max="14367" width="8.140625" customWidth="1"/>
    <col min="14368" max="14368" width="8.42578125" customWidth="1"/>
    <col min="14369" max="14369" width="15.42578125" customWidth="1"/>
    <col min="14370" max="14370" width="6.42578125" customWidth="1"/>
    <col min="14371" max="14371" width="13.140625" customWidth="1"/>
    <col min="14372" max="14372" width="8.42578125" customWidth="1"/>
    <col min="14373" max="14373" width="11.42578125" customWidth="1"/>
    <col min="14374" max="14374" width="10.85546875" customWidth="1"/>
    <col min="14375" max="14375" width="14.5703125" customWidth="1"/>
    <col min="14376" max="14376" width="16.5703125" customWidth="1"/>
    <col min="14377" max="14377" width="12.140625" customWidth="1"/>
    <col min="14378" max="14378" width="13.85546875" customWidth="1"/>
    <col min="14379" max="14379" width="14.5703125" customWidth="1"/>
    <col min="14381" max="14381" width="10.42578125" customWidth="1"/>
    <col min="14382" max="14382" width="12.5703125" customWidth="1"/>
    <col min="14383" max="14383" width="15.5703125" customWidth="1"/>
    <col min="14384" max="14384" width="24.85546875" customWidth="1"/>
    <col min="14385" max="14385" width="16" customWidth="1"/>
    <col min="14386" max="14386" width="16.42578125" customWidth="1"/>
    <col min="14387" max="14387" width="16" customWidth="1"/>
    <col min="14388" max="14394" width="14.5703125" customWidth="1"/>
    <col min="14606" max="14606" width="10.42578125" customWidth="1"/>
    <col min="14611" max="14611" width="10.140625" customWidth="1"/>
    <col min="14615" max="14615" width="33.42578125" customWidth="1"/>
    <col min="14616" max="14616" width="13.42578125" customWidth="1"/>
    <col min="14617" max="14617" width="18.5703125" customWidth="1"/>
    <col min="14618" max="14618" width="27.5703125" bestFit="1" customWidth="1"/>
    <col min="14619" max="14619" width="12.140625" customWidth="1"/>
    <col min="14620" max="14620" width="13.5703125" customWidth="1"/>
    <col min="14621" max="14621" width="11.42578125" customWidth="1"/>
    <col min="14623" max="14623" width="8.140625" customWidth="1"/>
    <col min="14624" max="14624" width="8.42578125" customWidth="1"/>
    <col min="14625" max="14625" width="15.42578125" customWidth="1"/>
    <col min="14626" max="14626" width="6.42578125" customWidth="1"/>
    <col min="14627" max="14627" width="13.140625" customWidth="1"/>
    <col min="14628" max="14628" width="8.42578125" customWidth="1"/>
    <col min="14629" max="14629" width="11.42578125" customWidth="1"/>
    <col min="14630" max="14630" width="10.85546875" customWidth="1"/>
    <col min="14631" max="14631" width="14.5703125" customWidth="1"/>
    <col min="14632" max="14632" width="16.5703125" customWidth="1"/>
    <col min="14633" max="14633" width="12.140625" customWidth="1"/>
    <col min="14634" max="14634" width="13.85546875" customWidth="1"/>
    <col min="14635" max="14635" width="14.5703125" customWidth="1"/>
    <col min="14637" max="14637" width="10.42578125" customWidth="1"/>
    <col min="14638" max="14638" width="12.5703125" customWidth="1"/>
    <col min="14639" max="14639" width="15.5703125" customWidth="1"/>
    <col min="14640" max="14640" width="24.85546875" customWidth="1"/>
    <col min="14641" max="14641" width="16" customWidth="1"/>
    <col min="14642" max="14642" width="16.42578125" customWidth="1"/>
    <col min="14643" max="14643" width="16" customWidth="1"/>
    <col min="14644" max="14650" width="14.5703125" customWidth="1"/>
    <col min="14862" max="14862" width="10.42578125" customWidth="1"/>
    <col min="14867" max="14867" width="10.140625" customWidth="1"/>
    <col min="14871" max="14871" width="33.42578125" customWidth="1"/>
    <col min="14872" max="14872" width="13.42578125" customWidth="1"/>
    <col min="14873" max="14873" width="18.5703125" customWidth="1"/>
    <col min="14874" max="14874" width="27.5703125" bestFit="1" customWidth="1"/>
    <col min="14875" max="14875" width="12.140625" customWidth="1"/>
    <col min="14876" max="14876" width="13.5703125" customWidth="1"/>
    <col min="14877" max="14877" width="11.42578125" customWidth="1"/>
    <col min="14879" max="14879" width="8.140625" customWidth="1"/>
    <col min="14880" max="14880" width="8.42578125" customWidth="1"/>
    <col min="14881" max="14881" width="15.42578125" customWidth="1"/>
    <col min="14882" max="14882" width="6.42578125" customWidth="1"/>
    <col min="14883" max="14883" width="13.140625" customWidth="1"/>
    <col min="14884" max="14884" width="8.42578125" customWidth="1"/>
    <col min="14885" max="14885" width="11.42578125" customWidth="1"/>
    <col min="14886" max="14886" width="10.85546875" customWidth="1"/>
    <col min="14887" max="14887" width="14.5703125" customWidth="1"/>
    <col min="14888" max="14888" width="16.5703125" customWidth="1"/>
    <col min="14889" max="14889" width="12.140625" customWidth="1"/>
    <col min="14890" max="14890" width="13.85546875" customWidth="1"/>
    <col min="14891" max="14891" width="14.5703125" customWidth="1"/>
    <col min="14893" max="14893" width="10.42578125" customWidth="1"/>
    <col min="14894" max="14894" width="12.5703125" customWidth="1"/>
    <col min="14895" max="14895" width="15.5703125" customWidth="1"/>
    <col min="14896" max="14896" width="24.85546875" customWidth="1"/>
    <col min="14897" max="14897" width="16" customWidth="1"/>
    <col min="14898" max="14898" width="16.42578125" customWidth="1"/>
    <col min="14899" max="14899" width="16" customWidth="1"/>
    <col min="14900" max="14906" width="14.5703125" customWidth="1"/>
    <col min="15118" max="15118" width="10.42578125" customWidth="1"/>
    <col min="15123" max="15123" width="10.140625" customWidth="1"/>
    <col min="15127" max="15127" width="33.42578125" customWidth="1"/>
    <col min="15128" max="15128" width="13.42578125" customWidth="1"/>
    <col min="15129" max="15129" width="18.5703125" customWidth="1"/>
    <col min="15130" max="15130" width="27.5703125" bestFit="1" customWidth="1"/>
    <col min="15131" max="15131" width="12.140625" customWidth="1"/>
    <col min="15132" max="15132" width="13.5703125" customWidth="1"/>
    <col min="15133" max="15133" width="11.42578125" customWidth="1"/>
    <col min="15135" max="15135" width="8.140625" customWidth="1"/>
    <col min="15136" max="15136" width="8.42578125" customWidth="1"/>
    <col min="15137" max="15137" width="15.42578125" customWidth="1"/>
    <col min="15138" max="15138" width="6.42578125" customWidth="1"/>
    <col min="15139" max="15139" width="13.140625" customWidth="1"/>
    <col min="15140" max="15140" width="8.42578125" customWidth="1"/>
    <col min="15141" max="15141" width="11.42578125" customWidth="1"/>
    <col min="15142" max="15142" width="10.85546875" customWidth="1"/>
    <col min="15143" max="15143" width="14.5703125" customWidth="1"/>
    <col min="15144" max="15144" width="16.5703125" customWidth="1"/>
    <col min="15145" max="15145" width="12.140625" customWidth="1"/>
    <col min="15146" max="15146" width="13.85546875" customWidth="1"/>
    <col min="15147" max="15147" width="14.5703125" customWidth="1"/>
    <col min="15149" max="15149" width="10.42578125" customWidth="1"/>
    <col min="15150" max="15150" width="12.5703125" customWidth="1"/>
    <col min="15151" max="15151" width="15.5703125" customWidth="1"/>
    <col min="15152" max="15152" width="24.85546875" customWidth="1"/>
    <col min="15153" max="15153" width="16" customWidth="1"/>
    <col min="15154" max="15154" width="16.42578125" customWidth="1"/>
    <col min="15155" max="15155" width="16" customWidth="1"/>
    <col min="15156" max="15162" width="14.5703125" customWidth="1"/>
    <col min="15374" max="15374" width="10.42578125" customWidth="1"/>
    <col min="15379" max="15379" width="10.140625" customWidth="1"/>
    <col min="15383" max="15383" width="33.42578125" customWidth="1"/>
    <col min="15384" max="15384" width="13.42578125" customWidth="1"/>
    <col min="15385" max="15385" width="18.5703125" customWidth="1"/>
    <col min="15386" max="15386" width="27.5703125" bestFit="1" customWidth="1"/>
    <col min="15387" max="15387" width="12.140625" customWidth="1"/>
    <col min="15388" max="15388" width="13.5703125" customWidth="1"/>
    <col min="15389" max="15389" width="11.42578125" customWidth="1"/>
    <col min="15391" max="15391" width="8.140625" customWidth="1"/>
    <col min="15392" max="15392" width="8.42578125" customWidth="1"/>
    <col min="15393" max="15393" width="15.42578125" customWidth="1"/>
    <col min="15394" max="15394" width="6.42578125" customWidth="1"/>
    <col min="15395" max="15395" width="13.140625" customWidth="1"/>
    <col min="15396" max="15396" width="8.42578125" customWidth="1"/>
    <col min="15397" max="15397" width="11.42578125" customWidth="1"/>
    <col min="15398" max="15398" width="10.85546875" customWidth="1"/>
    <col min="15399" max="15399" width="14.5703125" customWidth="1"/>
    <col min="15400" max="15400" width="16.5703125" customWidth="1"/>
    <col min="15401" max="15401" width="12.140625" customWidth="1"/>
    <col min="15402" max="15402" width="13.85546875" customWidth="1"/>
    <col min="15403" max="15403" width="14.5703125" customWidth="1"/>
    <col min="15405" max="15405" width="10.42578125" customWidth="1"/>
    <col min="15406" max="15406" width="12.5703125" customWidth="1"/>
    <col min="15407" max="15407" width="15.5703125" customWidth="1"/>
    <col min="15408" max="15408" width="24.85546875" customWidth="1"/>
    <col min="15409" max="15409" width="16" customWidth="1"/>
    <col min="15410" max="15410" width="16.42578125" customWidth="1"/>
    <col min="15411" max="15411" width="16" customWidth="1"/>
    <col min="15412" max="15418" width="14.5703125" customWidth="1"/>
    <col min="15630" max="15630" width="10.42578125" customWidth="1"/>
    <col min="15635" max="15635" width="10.140625" customWidth="1"/>
    <col min="15639" max="15639" width="33.42578125" customWidth="1"/>
    <col min="15640" max="15640" width="13.42578125" customWidth="1"/>
    <col min="15641" max="15641" width="18.5703125" customWidth="1"/>
    <col min="15642" max="15642" width="27.5703125" bestFit="1" customWidth="1"/>
    <col min="15643" max="15643" width="12.140625" customWidth="1"/>
    <col min="15644" max="15644" width="13.5703125" customWidth="1"/>
    <col min="15645" max="15645" width="11.42578125" customWidth="1"/>
    <col min="15647" max="15647" width="8.140625" customWidth="1"/>
    <col min="15648" max="15648" width="8.42578125" customWidth="1"/>
    <col min="15649" max="15649" width="15.42578125" customWidth="1"/>
    <col min="15650" max="15650" width="6.42578125" customWidth="1"/>
    <col min="15651" max="15651" width="13.140625" customWidth="1"/>
    <col min="15652" max="15652" width="8.42578125" customWidth="1"/>
    <col min="15653" max="15653" width="11.42578125" customWidth="1"/>
    <col min="15654" max="15654" width="10.85546875" customWidth="1"/>
    <col min="15655" max="15655" width="14.5703125" customWidth="1"/>
    <col min="15656" max="15656" width="16.5703125" customWidth="1"/>
    <col min="15657" max="15657" width="12.140625" customWidth="1"/>
    <col min="15658" max="15658" width="13.85546875" customWidth="1"/>
    <col min="15659" max="15659" width="14.5703125" customWidth="1"/>
    <col min="15661" max="15661" width="10.42578125" customWidth="1"/>
    <col min="15662" max="15662" width="12.5703125" customWidth="1"/>
    <col min="15663" max="15663" width="15.5703125" customWidth="1"/>
    <col min="15664" max="15664" width="24.85546875" customWidth="1"/>
    <col min="15665" max="15665" width="16" customWidth="1"/>
    <col min="15666" max="15666" width="16.42578125" customWidth="1"/>
    <col min="15667" max="15667" width="16" customWidth="1"/>
    <col min="15668" max="15674" width="14.5703125" customWidth="1"/>
    <col min="15886" max="15886" width="10.42578125" customWidth="1"/>
    <col min="15891" max="15891" width="10.140625" customWidth="1"/>
    <col min="15895" max="15895" width="33.42578125" customWidth="1"/>
    <col min="15896" max="15896" width="13.42578125" customWidth="1"/>
    <col min="15897" max="15897" width="18.5703125" customWidth="1"/>
    <col min="15898" max="15898" width="27.5703125" bestFit="1" customWidth="1"/>
    <col min="15899" max="15899" width="12.140625" customWidth="1"/>
    <col min="15900" max="15900" width="13.5703125" customWidth="1"/>
    <col min="15901" max="15901" width="11.42578125" customWidth="1"/>
    <col min="15903" max="15903" width="8.140625" customWidth="1"/>
    <col min="15904" max="15904" width="8.42578125" customWidth="1"/>
    <col min="15905" max="15905" width="15.42578125" customWidth="1"/>
    <col min="15906" max="15906" width="6.42578125" customWidth="1"/>
    <col min="15907" max="15907" width="13.140625" customWidth="1"/>
    <col min="15908" max="15908" width="8.42578125" customWidth="1"/>
    <col min="15909" max="15909" width="11.42578125" customWidth="1"/>
    <col min="15910" max="15910" width="10.85546875" customWidth="1"/>
    <col min="15911" max="15911" width="14.5703125" customWidth="1"/>
    <col min="15912" max="15912" width="16.5703125" customWidth="1"/>
    <col min="15913" max="15913" width="12.140625" customWidth="1"/>
    <col min="15914" max="15914" width="13.85546875" customWidth="1"/>
    <col min="15915" max="15915" width="14.5703125" customWidth="1"/>
    <col min="15917" max="15917" width="10.42578125" customWidth="1"/>
    <col min="15918" max="15918" width="12.5703125" customWidth="1"/>
    <col min="15919" max="15919" width="15.5703125" customWidth="1"/>
    <col min="15920" max="15920" width="24.85546875" customWidth="1"/>
    <col min="15921" max="15921" width="16" customWidth="1"/>
    <col min="15922" max="15922" width="16.42578125" customWidth="1"/>
    <col min="15923" max="15923" width="16" customWidth="1"/>
    <col min="15924" max="15930" width="14.5703125" customWidth="1"/>
    <col min="16142" max="16142" width="10.42578125" customWidth="1"/>
    <col min="16147" max="16147" width="10.140625" customWidth="1"/>
    <col min="16151" max="16151" width="33.42578125" customWidth="1"/>
    <col min="16152" max="16152" width="13.42578125" customWidth="1"/>
    <col min="16153" max="16153" width="18.5703125" customWidth="1"/>
    <col min="16154" max="16154" width="27.5703125" bestFit="1" customWidth="1"/>
    <col min="16155" max="16155" width="12.140625" customWidth="1"/>
    <col min="16156" max="16156" width="13.5703125" customWidth="1"/>
    <col min="16157" max="16157" width="11.42578125" customWidth="1"/>
    <col min="16159" max="16159" width="8.140625" customWidth="1"/>
    <col min="16160" max="16160" width="8.42578125" customWidth="1"/>
    <col min="16161" max="16161" width="15.42578125" customWidth="1"/>
    <col min="16162" max="16162" width="6.42578125" customWidth="1"/>
    <col min="16163" max="16163" width="13.140625" customWidth="1"/>
    <col min="16164" max="16164" width="8.42578125" customWidth="1"/>
    <col min="16165" max="16165" width="11.42578125" customWidth="1"/>
    <col min="16166" max="16166" width="10.85546875" customWidth="1"/>
    <col min="16167" max="16167" width="14.5703125" customWidth="1"/>
    <col min="16168" max="16168" width="16.5703125" customWidth="1"/>
    <col min="16169" max="16169" width="12.140625" customWidth="1"/>
    <col min="16170" max="16170" width="13.85546875" customWidth="1"/>
    <col min="16171" max="16171" width="14.5703125" customWidth="1"/>
    <col min="16173" max="16173" width="10.42578125" customWidth="1"/>
    <col min="16174" max="16174" width="12.5703125" customWidth="1"/>
    <col min="16175" max="16175" width="15.5703125" customWidth="1"/>
    <col min="16176" max="16176" width="24.85546875" customWidth="1"/>
    <col min="16177" max="16177" width="16" customWidth="1"/>
    <col min="16178" max="16178" width="16.42578125" customWidth="1"/>
    <col min="16179" max="16179" width="16" customWidth="1"/>
    <col min="16180" max="16186" width="14.5703125" customWidth="1"/>
  </cols>
  <sheetData>
    <row r="1" spans="1:79" ht="115.5" thickBot="1" x14ac:dyDescent="0.25">
      <c r="A1" s="151" t="s">
        <v>0</v>
      </c>
      <c r="B1" s="151" t="s">
        <v>1888</v>
      </c>
      <c r="C1" s="8" t="s">
        <v>1</v>
      </c>
      <c r="D1" s="152" t="s">
        <v>2</v>
      </c>
      <c r="E1" s="153" t="s">
        <v>1878</v>
      </c>
      <c r="F1" s="5" t="s">
        <v>3</v>
      </c>
      <c r="G1" s="154" t="s">
        <v>4</v>
      </c>
      <c r="H1" s="154" t="s">
        <v>5</v>
      </c>
      <c r="I1" s="154" t="s">
        <v>6</v>
      </c>
      <c r="J1" s="154" t="s">
        <v>7</v>
      </c>
      <c r="K1" s="155" t="s">
        <v>8</v>
      </c>
      <c r="L1" s="156" t="s">
        <v>9</v>
      </c>
      <c r="M1" s="156" t="s">
        <v>10</v>
      </c>
      <c r="N1" s="156" t="s">
        <v>11</v>
      </c>
      <c r="O1" s="157" t="s">
        <v>12</v>
      </c>
      <c r="P1" s="152" t="s">
        <v>13</v>
      </c>
      <c r="Q1" s="152" t="s">
        <v>14</v>
      </c>
      <c r="R1" s="158" t="s">
        <v>15</v>
      </c>
      <c r="S1" s="152" t="s">
        <v>16</v>
      </c>
      <c r="T1" s="152" t="s">
        <v>17</v>
      </c>
      <c r="U1" s="152" t="s">
        <v>18</v>
      </c>
      <c r="V1" s="159" t="s">
        <v>19</v>
      </c>
      <c r="W1" s="152" t="s">
        <v>20</v>
      </c>
      <c r="X1" s="160" t="s">
        <v>21</v>
      </c>
      <c r="Y1" s="152" t="s">
        <v>22</v>
      </c>
      <c r="Z1" s="152" t="s">
        <v>23</v>
      </c>
      <c r="AA1" s="152" t="s">
        <v>24</v>
      </c>
      <c r="AB1" s="152" t="s">
        <v>25</v>
      </c>
      <c r="AC1" s="152" t="s">
        <v>1896</v>
      </c>
      <c r="AD1" s="152" t="s">
        <v>1897</v>
      </c>
      <c r="AE1" s="132" t="s">
        <v>1889</v>
      </c>
      <c r="AF1" s="132" t="s">
        <v>1890</v>
      </c>
      <c r="AG1" s="132" t="s">
        <v>1891</v>
      </c>
      <c r="AH1" s="132" t="s">
        <v>1892</v>
      </c>
      <c r="AI1" s="132" t="s">
        <v>1893</v>
      </c>
      <c r="AJ1" s="132" t="s">
        <v>1894</v>
      </c>
      <c r="AK1" s="132" t="s">
        <v>1895</v>
      </c>
      <c r="AL1" s="161" t="s">
        <v>26</v>
      </c>
      <c r="AM1" s="161" t="s">
        <v>27</v>
      </c>
      <c r="AN1" s="162" t="s">
        <v>28</v>
      </c>
      <c r="AO1" s="163" t="s">
        <v>29</v>
      </c>
      <c r="AP1" s="163" t="s">
        <v>30</v>
      </c>
      <c r="AQ1" s="525" t="s">
        <v>2464</v>
      </c>
      <c r="AR1" s="164" t="s">
        <v>2281</v>
      </c>
      <c r="AS1" s="527" t="s">
        <v>31</v>
      </c>
      <c r="AT1" s="526" t="s">
        <v>2481</v>
      </c>
      <c r="AU1" s="250" t="s">
        <v>2137</v>
      </c>
      <c r="AV1" s="4" t="s">
        <v>2138</v>
      </c>
      <c r="AW1" s="270" t="s">
        <v>2270</v>
      </c>
      <c r="AX1" s="270" t="s">
        <v>2271</v>
      </c>
      <c r="AY1" s="270" t="s">
        <v>2272</v>
      </c>
      <c r="AZ1" s="267" t="s">
        <v>2273</v>
      </c>
      <c r="BA1" s="267" t="s">
        <v>2274</v>
      </c>
      <c r="BB1" s="317" t="s">
        <v>2294</v>
      </c>
      <c r="BC1" s="311" t="s">
        <v>2282</v>
      </c>
      <c r="BD1" s="271" t="s">
        <v>2338</v>
      </c>
      <c r="BE1" s="271" t="s">
        <v>2120</v>
      </c>
      <c r="BF1" s="271" t="s">
        <v>2431</v>
      </c>
      <c r="BG1" s="271" t="s">
        <v>2392</v>
      </c>
      <c r="BH1" s="271" t="s">
        <v>2389</v>
      </c>
      <c r="BI1" s="271" t="s">
        <v>2391</v>
      </c>
      <c r="BJ1" s="271" t="s">
        <v>2395</v>
      </c>
      <c r="BK1" s="271" t="s">
        <v>2401</v>
      </c>
      <c r="BL1" s="360" t="s">
        <v>2278</v>
      </c>
      <c r="BM1" s="360" t="s">
        <v>2279</v>
      </c>
      <c r="BN1" s="360" t="s">
        <v>2280</v>
      </c>
      <c r="BO1" s="328" t="s">
        <v>2402</v>
      </c>
      <c r="BP1" s="354" t="s">
        <v>2393</v>
      </c>
      <c r="BQ1" s="2074" t="s">
        <v>2456</v>
      </c>
      <c r="BR1" s="2074"/>
      <c r="BS1" s="614" t="s">
        <v>2560</v>
      </c>
      <c r="BT1" s="615" t="s">
        <v>2559</v>
      </c>
      <c r="BU1" s="615" t="s">
        <v>2484</v>
      </c>
      <c r="BV1" s="615" t="s">
        <v>2556</v>
      </c>
      <c r="BW1" s="615" t="s">
        <v>2501</v>
      </c>
      <c r="BX1" s="640" t="s">
        <v>2465</v>
      </c>
      <c r="BY1" s="522" t="s">
        <v>2480</v>
      </c>
      <c r="BZ1" s="641" t="s">
        <v>2550</v>
      </c>
      <c r="CA1" s="642" t="s">
        <v>2552</v>
      </c>
    </row>
    <row r="2" spans="1:79" s="492" customFormat="1" x14ac:dyDescent="0.2">
      <c r="A2" s="498">
        <v>1</v>
      </c>
      <c r="B2" s="498">
        <v>1</v>
      </c>
      <c r="C2" s="136"/>
      <c r="D2" s="143">
        <v>2006</v>
      </c>
      <c r="E2" s="486">
        <v>43012</v>
      </c>
      <c r="F2" s="134" t="s">
        <v>1606</v>
      </c>
      <c r="G2" s="136" t="s">
        <v>75</v>
      </c>
      <c r="H2" s="136"/>
      <c r="I2" s="136" t="s">
        <v>32</v>
      </c>
      <c r="J2" s="136"/>
      <c r="K2" s="487">
        <v>435724</v>
      </c>
      <c r="L2" s="134" t="s">
        <v>2457</v>
      </c>
      <c r="M2" s="134" t="s">
        <v>2458</v>
      </c>
      <c r="N2" s="134" t="s">
        <v>2459</v>
      </c>
      <c r="O2" s="488" t="s">
        <v>2460</v>
      </c>
      <c r="P2" s="143">
        <v>43102</v>
      </c>
      <c r="Q2" s="141">
        <f t="shared" ref="Q2:Q18" ca="1" si="0">(TODAY()-P2)/365.25</f>
        <v>7.7207392197125255</v>
      </c>
      <c r="R2" s="422">
        <v>0</v>
      </c>
      <c r="S2" s="143" t="s">
        <v>98</v>
      </c>
      <c r="T2" s="143" t="s">
        <v>98</v>
      </c>
      <c r="U2" s="143">
        <v>45017</v>
      </c>
      <c r="V2" s="145">
        <v>1</v>
      </c>
      <c r="W2" s="493">
        <v>45382</v>
      </c>
      <c r="X2" s="142">
        <v>192</v>
      </c>
      <c r="Y2" s="146">
        <f>X2-V2+1</f>
        <v>192</v>
      </c>
      <c r="Z2" s="146">
        <f t="shared" ref="Z2:Z3" si="1">Y2/192</f>
        <v>1</v>
      </c>
      <c r="AA2" s="146" t="s">
        <v>36</v>
      </c>
      <c r="AB2" s="147">
        <v>27</v>
      </c>
      <c r="AC2" s="143"/>
      <c r="AD2" s="143"/>
      <c r="AE2" s="147" t="str">
        <f t="shared" ref="AE2:AE3" si="2">IF(AND(AB2&lt;=25,AB2&gt;=20),"1","0")</f>
        <v>0</v>
      </c>
      <c r="AF2" s="147" t="str">
        <f t="shared" ref="AF2:AF3" si="3">IF(AND(AB2&lt;=30,AB2&gt;=26),"1","0")</f>
        <v>1</v>
      </c>
      <c r="AG2" s="147" t="str">
        <f t="shared" ref="AG2:AG3" si="4">IF(AB2&gt;=31,"1","0")</f>
        <v>0</v>
      </c>
      <c r="AH2" s="147" t="str">
        <f t="shared" ref="AH2:AH3" si="5">IF(AD2="BAND3","YES","NO")</f>
        <v>NO</v>
      </c>
      <c r="AI2" s="147" t="str">
        <f t="shared" ref="AI2:AI3" si="6">IF(AD2="BAND4","YES","NO")</f>
        <v>NO</v>
      </c>
      <c r="AJ2" s="147" t="str">
        <f t="shared" ref="AJ2:AJ3" si="7">IF(AD2="BAND5","YES","NO")</f>
        <v>NO</v>
      </c>
      <c r="AK2" s="147" t="str">
        <f t="shared" ref="AK2:AK3" si="8">IF(AD2="BAND6","YES","NO")</f>
        <v>NO</v>
      </c>
      <c r="AL2" s="148"/>
      <c r="AM2" s="149">
        <f t="shared" ref="AM2:AM18" si="9">IF(H2="Y",AL2,((AB2*$O$902)-6000))</f>
        <v>6764.7899999999991</v>
      </c>
      <c r="AN2" s="150"/>
      <c r="AO2" s="149">
        <v>1</v>
      </c>
      <c r="AP2" s="149">
        <f t="shared" ref="AP2:AP18" si="10">AO2*Z2</f>
        <v>1</v>
      </c>
      <c r="AQ2" s="149">
        <f>AP2*AM2</f>
        <v>6764.7899999999991</v>
      </c>
      <c r="AR2" s="490">
        <v>0</v>
      </c>
      <c r="AS2" s="608">
        <v>0</v>
      </c>
      <c r="AT2" s="1">
        <v>0</v>
      </c>
      <c r="AU2" s="76"/>
      <c r="AV2" s="4"/>
      <c r="AW2" s="270"/>
      <c r="AX2" s="270"/>
      <c r="AY2" s="270"/>
      <c r="AZ2" s="267"/>
      <c r="BA2" s="267"/>
      <c r="BB2" s="313">
        <f t="shared" ref="BB2:BB18" si="11">BC2-AT2</f>
        <v>0</v>
      </c>
      <c r="BC2" s="269">
        <f t="shared" ref="BC2:BC18" si="12">AR2</f>
        <v>0</v>
      </c>
      <c r="BD2" s="489"/>
      <c r="BE2" s="489"/>
      <c r="BF2" s="489"/>
      <c r="BG2" s="489"/>
      <c r="BH2" s="489"/>
      <c r="BI2" s="489"/>
      <c r="BJ2" s="489"/>
      <c r="BK2" s="489"/>
      <c r="BL2" s="360"/>
      <c r="BM2" s="360"/>
      <c r="BN2" s="360"/>
      <c r="BO2" s="106">
        <f t="shared" ref="BO2:BO7" si="13">BK2/192*127</f>
        <v>0</v>
      </c>
      <c r="BP2" s="166">
        <f>BC2+BO2</f>
        <v>0</v>
      </c>
      <c r="BQ2" s="491"/>
      <c r="BR2" s="491"/>
      <c r="BS2" s="523"/>
      <c r="BX2" s="495">
        <f t="shared" ref="BX2:BX18" si="14">AQ2+BO2+BU2</f>
        <v>6764.7899999999991</v>
      </c>
      <c r="BY2" s="492" t="s">
        <v>2471</v>
      </c>
      <c r="BZ2" s="636">
        <f>BX2-BP2</f>
        <v>6764.7899999999991</v>
      </c>
      <c r="CA2" s="633">
        <f>BX2-AS2</f>
        <v>6764.7899999999991</v>
      </c>
    </row>
    <row r="3" spans="1:79" s="492" customFormat="1" x14ac:dyDescent="0.2">
      <c r="A3" s="498">
        <v>1</v>
      </c>
      <c r="B3" s="498">
        <v>1</v>
      </c>
      <c r="C3" s="136"/>
      <c r="D3" s="143">
        <v>2006</v>
      </c>
      <c r="E3" s="486">
        <v>43012</v>
      </c>
      <c r="F3" s="134" t="s">
        <v>1606</v>
      </c>
      <c r="G3" s="136" t="s">
        <v>75</v>
      </c>
      <c r="H3" s="136"/>
      <c r="I3" s="136" t="s">
        <v>32</v>
      </c>
      <c r="J3" s="136"/>
      <c r="K3" s="487">
        <v>441662</v>
      </c>
      <c r="L3" s="134" t="s">
        <v>2457</v>
      </c>
      <c r="M3" s="134" t="s">
        <v>2461</v>
      </c>
      <c r="N3" s="134" t="s">
        <v>2462</v>
      </c>
      <c r="O3" s="488" t="s">
        <v>2463</v>
      </c>
      <c r="P3" s="143">
        <v>43054</v>
      </c>
      <c r="Q3" s="141">
        <f t="shared" ca="1" si="0"/>
        <v>7.8521560574948666</v>
      </c>
      <c r="R3" s="422">
        <v>0</v>
      </c>
      <c r="S3" s="143" t="s">
        <v>98</v>
      </c>
      <c r="T3" s="143" t="s">
        <v>98</v>
      </c>
      <c r="U3" s="143">
        <v>45017</v>
      </c>
      <c r="V3" s="145">
        <v>1</v>
      </c>
      <c r="W3" s="493">
        <v>45382</v>
      </c>
      <c r="X3" s="142">
        <v>192</v>
      </c>
      <c r="Y3" s="146">
        <f t="shared" ref="Y3:Y18" si="15">X3-V3+1</f>
        <v>192</v>
      </c>
      <c r="Z3" s="146">
        <f t="shared" si="1"/>
        <v>1</v>
      </c>
      <c r="AA3" s="146" t="s">
        <v>36</v>
      </c>
      <c r="AB3" s="147">
        <v>30</v>
      </c>
      <c r="AC3" s="143"/>
      <c r="AD3" s="143"/>
      <c r="AE3" s="147" t="str">
        <f t="shared" si="2"/>
        <v>0</v>
      </c>
      <c r="AF3" s="147" t="str">
        <f t="shared" si="3"/>
        <v>1</v>
      </c>
      <c r="AG3" s="147" t="str">
        <f t="shared" si="4"/>
        <v>0</v>
      </c>
      <c r="AH3" s="147" t="str">
        <f t="shared" si="5"/>
        <v>NO</v>
      </c>
      <c r="AI3" s="147" t="str">
        <f t="shared" si="6"/>
        <v>NO</v>
      </c>
      <c r="AJ3" s="147" t="str">
        <f t="shared" si="7"/>
        <v>NO</v>
      </c>
      <c r="AK3" s="147" t="str">
        <f t="shared" si="8"/>
        <v>NO</v>
      </c>
      <c r="AL3" s="148"/>
      <c r="AM3" s="149">
        <f t="shared" si="9"/>
        <v>8183.0999999999985</v>
      </c>
      <c r="AN3" s="150"/>
      <c r="AO3" s="149">
        <v>1</v>
      </c>
      <c r="AP3" s="149">
        <f t="shared" si="10"/>
        <v>1</v>
      </c>
      <c r="AQ3" s="149">
        <f t="shared" ref="AQ3:AQ18" si="16">AP3*AM3</f>
        <v>8183.0999999999985</v>
      </c>
      <c r="AR3" s="490">
        <v>0</v>
      </c>
      <c r="AS3" s="608">
        <v>0</v>
      </c>
      <c r="AT3" s="1">
        <v>0</v>
      </c>
      <c r="AU3" s="76"/>
      <c r="AV3" s="4"/>
      <c r="AW3" s="270"/>
      <c r="AX3" s="270"/>
      <c r="AY3" s="270"/>
      <c r="AZ3" s="267"/>
      <c r="BA3" s="267"/>
      <c r="BB3" s="313">
        <f t="shared" si="11"/>
        <v>0</v>
      </c>
      <c r="BC3" s="269">
        <f t="shared" si="12"/>
        <v>0</v>
      </c>
      <c r="BD3" s="489"/>
      <c r="BE3" s="489"/>
      <c r="BF3" s="489"/>
      <c r="BG3" s="489"/>
      <c r="BH3" s="489"/>
      <c r="BI3" s="489"/>
      <c r="BJ3" s="489"/>
      <c r="BK3" s="489"/>
      <c r="BL3" s="360"/>
      <c r="BM3" s="360"/>
      <c r="BN3" s="360"/>
      <c r="BO3" s="106">
        <f t="shared" si="13"/>
        <v>0</v>
      </c>
      <c r="BP3" s="166">
        <f t="shared" ref="BP3:BP18" si="17">BC3+BO3</f>
        <v>0</v>
      </c>
      <c r="BQ3" s="491"/>
      <c r="BR3" s="491"/>
      <c r="BS3" s="523"/>
      <c r="BX3" s="495">
        <f t="shared" si="14"/>
        <v>8183.0999999999985</v>
      </c>
      <c r="BY3" s="492" t="s">
        <v>2471</v>
      </c>
      <c r="BZ3" s="636">
        <f t="shared" ref="BZ3:BZ66" si="18">BX3-BP3</f>
        <v>8183.0999999999985</v>
      </c>
      <c r="CA3" s="633">
        <f t="shared" ref="CA3:CA66" si="19">BX3-AS3</f>
        <v>8183.0999999999985</v>
      </c>
    </row>
    <row r="4" spans="1:79" x14ac:dyDescent="0.2">
      <c r="A4" s="4">
        <v>1</v>
      </c>
      <c r="B4" s="4">
        <v>1</v>
      </c>
      <c r="C4" s="133">
        <f t="shared" ref="C4:C18" si="20">D4*1</f>
        <v>41101</v>
      </c>
      <c r="D4" s="134">
        <v>41101</v>
      </c>
      <c r="E4" s="134">
        <v>43011</v>
      </c>
      <c r="F4" s="134" t="s">
        <v>1606</v>
      </c>
      <c r="G4" s="135"/>
      <c r="H4" s="136"/>
      <c r="I4" s="136" t="s">
        <v>32</v>
      </c>
      <c r="J4" s="136"/>
      <c r="K4" s="137">
        <v>429963</v>
      </c>
      <c r="L4" s="138" t="s">
        <v>33</v>
      </c>
      <c r="M4" s="138" t="s">
        <v>34</v>
      </c>
      <c r="N4" s="138" t="s">
        <v>35</v>
      </c>
      <c r="O4" s="139" t="str">
        <f>M4&amp;N4</f>
        <v>ArjunValiveti</v>
      </c>
      <c r="P4" s="140">
        <v>42514</v>
      </c>
      <c r="Q4" s="141">
        <f t="shared" ca="1" si="0"/>
        <v>9.330595482546201</v>
      </c>
      <c r="R4" s="142">
        <v>2</v>
      </c>
      <c r="S4" s="143">
        <v>872</v>
      </c>
      <c r="T4" s="136">
        <v>872</v>
      </c>
      <c r="U4" s="144">
        <v>45017</v>
      </c>
      <c r="V4" s="145">
        <v>1</v>
      </c>
      <c r="W4" s="144">
        <v>45382</v>
      </c>
      <c r="X4" s="142">
        <v>192</v>
      </c>
      <c r="Y4" s="146">
        <f t="shared" si="15"/>
        <v>192</v>
      </c>
      <c r="Z4" s="146">
        <f>Y4/192</f>
        <v>1</v>
      </c>
      <c r="AA4" s="146" t="s">
        <v>36</v>
      </c>
      <c r="AB4" s="147">
        <v>30</v>
      </c>
      <c r="AC4" s="147"/>
      <c r="AD4" s="147"/>
      <c r="AE4" s="147" t="str">
        <f>IF(AND(AB4&lt;=25,AB4&gt;=20),"1","0")</f>
        <v>0</v>
      </c>
      <c r="AF4" s="147" t="str">
        <f>IF(AND(AB4&lt;=30,AB4&gt;=26),"1","0")</f>
        <v>1</v>
      </c>
      <c r="AG4" s="147" t="str">
        <f>IF(AB4&gt;=31,"1","0")</f>
        <v>0</v>
      </c>
      <c r="AH4" s="147" t="str">
        <f>IF(AD4="BAND3","YES","NO")</f>
        <v>NO</v>
      </c>
      <c r="AI4" s="147" t="str">
        <f>IF(AD4="BAND4","YES","NO")</f>
        <v>NO</v>
      </c>
      <c r="AJ4" s="147" t="str">
        <f>IF(AD4="BAND5","YES","NO")</f>
        <v>NO</v>
      </c>
      <c r="AK4" s="147" t="str">
        <f>IF(AD4="BAND6","YES","NO")</f>
        <v>NO</v>
      </c>
      <c r="AL4" s="148"/>
      <c r="AM4" s="149">
        <f t="shared" si="9"/>
        <v>8183.0999999999985</v>
      </c>
      <c r="AN4" s="150" t="s">
        <v>37</v>
      </c>
      <c r="AO4" s="149">
        <v>1</v>
      </c>
      <c r="AP4" s="149">
        <f t="shared" si="10"/>
        <v>1</v>
      </c>
      <c r="AQ4" s="149">
        <f t="shared" si="16"/>
        <v>8183.0999999999985</v>
      </c>
      <c r="AR4" s="149">
        <v>8183.0999999999985</v>
      </c>
      <c r="AS4" s="609">
        <v>8183.0999999999985</v>
      </c>
      <c r="AT4" s="112">
        <v>8183.0999999999985</v>
      </c>
      <c r="AU4" s="23"/>
      <c r="AV4" s="23"/>
      <c r="AW4" s="23" t="e">
        <f>VLOOKUP(K4,#REF!,8,FALSE)</f>
        <v>#REF!</v>
      </c>
      <c r="AX4" s="23" t="e">
        <f>VLOOKUP(K4,#REF!,8,FALSE)</f>
        <v>#REF!</v>
      </c>
      <c r="AY4" s="23" t="e">
        <f>VLOOKUP(K4,#REF!,8,FALSE)</f>
        <v>#REF!</v>
      </c>
      <c r="AZ4" s="23"/>
      <c r="BA4" s="272"/>
      <c r="BB4" s="313">
        <f t="shared" si="11"/>
        <v>0</v>
      </c>
      <c r="BC4" s="269">
        <f t="shared" si="12"/>
        <v>8183.0999999999985</v>
      </c>
      <c r="BD4" t="str">
        <f t="shared" ref="BD4:BD18" si="21">BG4&amp;BH4&amp;BI4</f>
        <v/>
      </c>
      <c r="BO4" s="106">
        <f t="shared" si="13"/>
        <v>0</v>
      </c>
      <c r="BP4" s="166">
        <f>BC4+BO4</f>
        <v>8183.0999999999985</v>
      </c>
      <c r="BS4" s="165"/>
      <c r="BX4" s="495">
        <f t="shared" si="14"/>
        <v>8183.0999999999985</v>
      </c>
      <c r="BZ4" s="636">
        <f t="shared" si="18"/>
        <v>0</v>
      </c>
      <c r="CA4" s="633">
        <f t="shared" si="19"/>
        <v>0</v>
      </c>
    </row>
    <row r="5" spans="1:79" x14ac:dyDescent="0.2">
      <c r="A5" s="4">
        <v>1</v>
      </c>
      <c r="B5" s="4">
        <v>1</v>
      </c>
      <c r="C5" s="5">
        <f t="shared" si="20"/>
        <v>41101</v>
      </c>
      <c r="D5" s="6">
        <v>41101</v>
      </c>
      <c r="E5" s="6">
        <v>43011</v>
      </c>
      <c r="F5" s="6" t="s">
        <v>1606</v>
      </c>
      <c r="G5" s="7"/>
      <c r="H5" s="8"/>
      <c r="I5" s="8" t="s">
        <v>32</v>
      </c>
      <c r="J5" s="8"/>
      <c r="K5" s="9">
        <v>415187</v>
      </c>
      <c r="L5" s="10" t="s">
        <v>33</v>
      </c>
      <c r="M5" s="10" t="s">
        <v>38</v>
      </c>
      <c r="N5" s="10" t="s">
        <v>39</v>
      </c>
      <c r="O5" s="11" t="str">
        <f>M5&amp;N5</f>
        <v>AdhritRamabhotla</v>
      </c>
      <c r="P5" s="12">
        <v>42298</v>
      </c>
      <c r="Q5" s="13">
        <f t="shared" ca="1" si="0"/>
        <v>9.9219712525667347</v>
      </c>
      <c r="R5" s="14">
        <v>2</v>
      </c>
      <c r="S5" s="15">
        <v>872</v>
      </c>
      <c r="T5" s="8">
        <v>872</v>
      </c>
      <c r="U5" s="16">
        <v>45017</v>
      </c>
      <c r="V5" s="17">
        <v>1</v>
      </c>
      <c r="W5" s="16">
        <v>45382</v>
      </c>
      <c r="X5" s="14">
        <v>192</v>
      </c>
      <c r="Y5" s="18">
        <f t="shared" si="15"/>
        <v>192</v>
      </c>
      <c r="Z5" s="18">
        <f t="shared" ref="Z5:Z18" si="22">Y5/192</f>
        <v>1</v>
      </c>
      <c r="AA5" s="18" t="s">
        <v>36</v>
      </c>
      <c r="AB5" s="19">
        <v>30</v>
      </c>
      <c r="AC5" s="19"/>
      <c r="AD5" s="19"/>
      <c r="AE5" s="147" t="str">
        <f t="shared" ref="AE5:AE18" si="23">IF(AND(AB5&lt;=25,AB5&gt;=20),"1","0")</f>
        <v>0</v>
      </c>
      <c r="AF5" s="147" t="str">
        <f t="shared" ref="AF5:AF18" si="24">IF(AND(AB5&lt;=30,AB5&gt;=26),"1","0")</f>
        <v>1</v>
      </c>
      <c r="AG5" s="147" t="str">
        <f t="shared" ref="AG5:AG18" si="25">IF(AB5&gt;=31,"1","0")</f>
        <v>0</v>
      </c>
      <c r="AH5" s="147" t="str">
        <f t="shared" ref="AH5:AH18" si="26">IF(AD5="BAND3","YES","NO")</f>
        <v>NO</v>
      </c>
      <c r="AI5" s="147" t="str">
        <f t="shared" ref="AI5:AI18" si="27">IF(AD5="BAND4","YES","NO")</f>
        <v>NO</v>
      </c>
      <c r="AJ5" s="147" t="str">
        <f t="shared" ref="AJ5:AJ18" si="28">IF(AD5="BAND5","YES","NO")</f>
        <v>NO</v>
      </c>
      <c r="AK5" s="147" t="str">
        <f t="shared" ref="AK5:AK18" si="29">IF(AD5="BAND6","YES","NO")</f>
        <v>NO</v>
      </c>
      <c r="AL5" s="20"/>
      <c r="AM5" s="21">
        <f t="shared" si="9"/>
        <v>8183.0999999999985</v>
      </c>
      <c r="AN5" s="22" t="s">
        <v>37</v>
      </c>
      <c r="AO5" s="21">
        <v>1</v>
      </c>
      <c r="AP5" s="21">
        <f t="shared" si="10"/>
        <v>1</v>
      </c>
      <c r="AQ5" s="149">
        <f t="shared" si="16"/>
        <v>8183.0999999999985</v>
      </c>
      <c r="AR5" s="21">
        <v>8183.0999999999985</v>
      </c>
      <c r="AS5" s="610">
        <v>8183.0999999999985</v>
      </c>
      <c r="AT5" s="112">
        <v>8183.0999999999985</v>
      </c>
      <c r="AU5" s="23"/>
      <c r="AV5" s="23"/>
      <c r="AW5" s="23" t="e">
        <f>VLOOKUP(K5,#REF!,8,FALSE)</f>
        <v>#REF!</v>
      </c>
      <c r="AX5" s="23" t="e">
        <f>VLOOKUP(K5,#REF!,8,FALSE)</f>
        <v>#REF!</v>
      </c>
      <c r="AY5" s="23" t="e">
        <f>VLOOKUP(K5,#REF!,8,FALSE)</f>
        <v>#REF!</v>
      </c>
      <c r="AZ5" s="23"/>
      <c r="BA5" s="272"/>
      <c r="BB5" s="313">
        <f t="shared" si="11"/>
        <v>0</v>
      </c>
      <c r="BC5" s="269">
        <f t="shared" si="12"/>
        <v>8183.0999999999985</v>
      </c>
      <c r="BD5" t="str">
        <f t="shared" si="21"/>
        <v/>
      </c>
      <c r="BO5" s="106">
        <f t="shared" si="13"/>
        <v>0</v>
      </c>
      <c r="BP5" s="166">
        <f t="shared" si="17"/>
        <v>8183.0999999999985</v>
      </c>
      <c r="BS5" s="165"/>
      <c r="BX5" s="495">
        <f t="shared" si="14"/>
        <v>8183.0999999999985</v>
      </c>
      <c r="BZ5" s="636">
        <f t="shared" si="18"/>
        <v>0</v>
      </c>
      <c r="CA5" s="633">
        <f t="shared" si="19"/>
        <v>0</v>
      </c>
    </row>
    <row r="6" spans="1:79" x14ac:dyDescent="0.2">
      <c r="A6" s="4">
        <v>1</v>
      </c>
      <c r="B6" s="4">
        <v>1</v>
      </c>
      <c r="C6" s="5">
        <f>D6*1</f>
        <v>41101</v>
      </c>
      <c r="D6" s="6">
        <v>41101</v>
      </c>
      <c r="E6" s="6">
        <v>43011</v>
      </c>
      <c r="F6" s="6" t="s">
        <v>1606</v>
      </c>
      <c r="G6" s="7"/>
      <c r="H6" s="8"/>
      <c r="I6" s="8" t="s">
        <v>32</v>
      </c>
      <c r="J6" s="8"/>
      <c r="K6" s="9">
        <v>414013</v>
      </c>
      <c r="L6" s="10" t="s">
        <v>33</v>
      </c>
      <c r="M6" s="10" t="s">
        <v>40</v>
      </c>
      <c r="N6" s="10" t="s">
        <v>41</v>
      </c>
      <c r="O6" s="11" t="s">
        <v>42</v>
      </c>
      <c r="P6" s="12">
        <v>41684</v>
      </c>
      <c r="Q6" s="13">
        <f t="shared" ca="1" si="0"/>
        <v>11.603011635865846</v>
      </c>
      <c r="R6" s="14">
        <v>4</v>
      </c>
      <c r="S6" s="15">
        <v>872</v>
      </c>
      <c r="T6" s="8">
        <v>872</v>
      </c>
      <c r="U6" s="16">
        <v>45017</v>
      </c>
      <c r="V6" s="17">
        <v>1</v>
      </c>
      <c r="W6" s="16">
        <v>45382</v>
      </c>
      <c r="X6" s="14">
        <v>192</v>
      </c>
      <c r="Y6" s="18">
        <f>X6-V6+1</f>
        <v>192</v>
      </c>
      <c r="Z6" s="18">
        <f>Y6/192</f>
        <v>1</v>
      </c>
      <c r="AA6" s="18" t="s">
        <v>36</v>
      </c>
      <c r="AB6" s="19">
        <v>22</v>
      </c>
      <c r="AC6" s="19"/>
      <c r="AD6" s="19"/>
      <c r="AE6" s="147" t="str">
        <f t="shared" si="23"/>
        <v>1</v>
      </c>
      <c r="AF6" s="147" t="str">
        <f t="shared" si="24"/>
        <v>0</v>
      </c>
      <c r="AG6" s="147" t="str">
        <f t="shared" si="25"/>
        <v>0</v>
      </c>
      <c r="AH6" s="147" t="str">
        <f t="shared" si="26"/>
        <v>NO</v>
      </c>
      <c r="AI6" s="147" t="str">
        <f t="shared" si="27"/>
        <v>NO</v>
      </c>
      <c r="AJ6" s="147" t="str">
        <f t="shared" si="28"/>
        <v>NO</v>
      </c>
      <c r="AK6" s="147" t="str">
        <f t="shared" si="29"/>
        <v>NO</v>
      </c>
      <c r="AL6" s="20"/>
      <c r="AM6" s="21">
        <f t="shared" si="9"/>
        <v>4400.9399999999987</v>
      </c>
      <c r="AN6" s="22" t="s">
        <v>43</v>
      </c>
      <c r="AO6" s="21">
        <v>1</v>
      </c>
      <c r="AP6" s="21">
        <f>AO6*Z6</f>
        <v>1</v>
      </c>
      <c r="AQ6" s="149">
        <f t="shared" si="16"/>
        <v>4400.9399999999987</v>
      </c>
      <c r="AR6" s="21">
        <v>4400.9399999999987</v>
      </c>
      <c r="AS6" s="610">
        <v>0</v>
      </c>
      <c r="AT6" s="112">
        <v>4400.9399999999987</v>
      </c>
      <c r="AU6" s="23"/>
      <c r="AV6" s="23"/>
      <c r="AW6" s="23" t="e">
        <f>VLOOKUP(K6,#REF!,8,FALSE)</f>
        <v>#REF!</v>
      </c>
      <c r="AX6" s="23" t="e">
        <f>VLOOKUP(K6,#REF!,8,FALSE)</f>
        <v>#REF!</v>
      </c>
      <c r="AY6" s="23" t="e">
        <f>VLOOKUP(K6,#REF!,8,FALSE)</f>
        <v>#REF!</v>
      </c>
      <c r="AZ6" s="23"/>
      <c r="BA6" s="272"/>
      <c r="BB6" s="313">
        <f t="shared" si="11"/>
        <v>0</v>
      </c>
      <c r="BC6" s="269">
        <f t="shared" si="12"/>
        <v>4400.9399999999987</v>
      </c>
      <c r="BD6" t="str">
        <f t="shared" si="21"/>
        <v/>
      </c>
      <c r="BO6" s="106">
        <f t="shared" si="13"/>
        <v>0</v>
      </c>
      <c r="BP6" s="166">
        <f t="shared" si="17"/>
        <v>4400.9399999999987</v>
      </c>
      <c r="BS6" s="165"/>
      <c r="BX6" s="495">
        <f t="shared" si="14"/>
        <v>4400.9399999999987</v>
      </c>
      <c r="BZ6" s="636">
        <f t="shared" si="18"/>
        <v>0</v>
      </c>
      <c r="CA6" s="633">
        <f t="shared" si="19"/>
        <v>4400.9399999999987</v>
      </c>
    </row>
    <row r="7" spans="1:79" x14ac:dyDescent="0.2">
      <c r="A7" s="4">
        <v>1</v>
      </c>
      <c r="B7" s="4">
        <v>1</v>
      </c>
      <c r="C7" s="5">
        <f>D7*1</f>
        <v>41101</v>
      </c>
      <c r="D7" s="6">
        <v>41101</v>
      </c>
      <c r="E7" s="6">
        <v>43011</v>
      </c>
      <c r="F7" s="6" t="s">
        <v>1606</v>
      </c>
      <c r="G7" s="7"/>
      <c r="H7" s="8"/>
      <c r="I7" s="8" t="s">
        <v>32</v>
      </c>
      <c r="J7" s="8"/>
      <c r="K7" s="9">
        <v>442823</v>
      </c>
      <c r="L7" s="10" t="s">
        <v>33</v>
      </c>
      <c r="M7" s="113" t="s">
        <v>44</v>
      </c>
      <c r="N7" s="113" t="s">
        <v>45</v>
      </c>
      <c r="O7" s="114" t="str">
        <f>M7&amp;N7</f>
        <v>AlizahKhawaja</v>
      </c>
      <c r="P7" s="115">
        <v>43324</v>
      </c>
      <c r="Q7" s="116">
        <f t="shared" ca="1" si="0"/>
        <v>7.1129363449691994</v>
      </c>
      <c r="R7" s="117">
        <v>0</v>
      </c>
      <c r="S7" s="62">
        <v>872</v>
      </c>
      <c r="T7" s="63">
        <v>872</v>
      </c>
      <c r="U7" s="39">
        <v>45017</v>
      </c>
      <c r="V7" s="17">
        <v>1</v>
      </c>
      <c r="W7" s="39">
        <v>45382</v>
      </c>
      <c r="X7" s="117">
        <v>192</v>
      </c>
      <c r="Y7" s="64">
        <f>X7-V7+1</f>
        <v>192</v>
      </c>
      <c r="Z7" s="64">
        <f>Y7/192</f>
        <v>1</v>
      </c>
      <c r="AA7" s="64" t="s">
        <v>36</v>
      </c>
      <c r="AB7" s="118">
        <v>32</v>
      </c>
      <c r="AC7" s="118"/>
      <c r="AD7" s="118"/>
      <c r="AE7" s="147" t="str">
        <f t="shared" si="23"/>
        <v>0</v>
      </c>
      <c r="AF7" s="147" t="str">
        <f t="shared" si="24"/>
        <v>0</v>
      </c>
      <c r="AG7" s="147" t="str">
        <f t="shared" si="25"/>
        <v>1</v>
      </c>
      <c r="AH7" s="147" t="str">
        <f t="shared" si="26"/>
        <v>NO</v>
      </c>
      <c r="AI7" s="147" t="str">
        <f t="shared" si="27"/>
        <v>NO</v>
      </c>
      <c r="AJ7" s="147" t="str">
        <f t="shared" si="28"/>
        <v>NO</v>
      </c>
      <c r="AK7" s="147" t="str">
        <f t="shared" si="29"/>
        <v>NO</v>
      </c>
      <c r="AL7" s="119"/>
      <c r="AM7" s="48">
        <f t="shared" si="9"/>
        <v>9128.64</v>
      </c>
      <c r="AN7" s="120" t="s">
        <v>37</v>
      </c>
      <c r="AO7" s="48">
        <v>1</v>
      </c>
      <c r="AP7" s="48">
        <f>AO7*Z7</f>
        <v>1</v>
      </c>
      <c r="AQ7" s="149">
        <f t="shared" si="16"/>
        <v>9128.64</v>
      </c>
      <c r="AR7" s="48">
        <v>9128.64</v>
      </c>
      <c r="AS7" s="611">
        <v>0</v>
      </c>
      <c r="AT7" s="112">
        <v>9128.64</v>
      </c>
      <c r="AU7" s="23"/>
      <c r="AV7" s="23"/>
      <c r="AW7" s="23" t="e">
        <f>VLOOKUP(K7,#REF!,8,FALSE)</f>
        <v>#REF!</v>
      </c>
      <c r="AX7" s="23" t="e">
        <f>VLOOKUP(K7,#REF!,8,FALSE)</f>
        <v>#REF!</v>
      </c>
      <c r="AY7" s="23" t="e">
        <f>VLOOKUP(K7,#REF!,8,FALSE)</f>
        <v>#REF!</v>
      </c>
      <c r="AZ7" s="23"/>
      <c r="BA7" s="272"/>
      <c r="BB7" s="313">
        <f t="shared" si="11"/>
        <v>0</v>
      </c>
      <c r="BC7" s="269">
        <f t="shared" si="12"/>
        <v>9128.64</v>
      </c>
      <c r="BD7" t="str">
        <f t="shared" si="21"/>
        <v/>
      </c>
      <c r="BO7" s="106">
        <f t="shared" si="13"/>
        <v>0</v>
      </c>
      <c r="BP7" s="166">
        <f t="shared" si="17"/>
        <v>9128.64</v>
      </c>
      <c r="BS7" s="165"/>
      <c r="BX7" s="495">
        <f t="shared" si="14"/>
        <v>9128.64</v>
      </c>
      <c r="BZ7" s="636">
        <f t="shared" si="18"/>
        <v>0</v>
      </c>
      <c r="CA7" s="633">
        <f t="shared" si="19"/>
        <v>9128.64</v>
      </c>
    </row>
    <row r="8" spans="1:79" x14ac:dyDescent="0.2">
      <c r="A8" s="4">
        <v>1</v>
      </c>
      <c r="B8" s="4">
        <v>1</v>
      </c>
      <c r="C8" s="5">
        <f t="shared" si="20"/>
        <v>41101</v>
      </c>
      <c r="D8" s="6">
        <v>41101</v>
      </c>
      <c r="E8" s="6">
        <v>43011</v>
      </c>
      <c r="F8" s="6" t="s">
        <v>1606</v>
      </c>
      <c r="G8" s="7"/>
      <c r="H8" s="8"/>
      <c r="I8" s="8" t="s">
        <v>32</v>
      </c>
      <c r="J8" s="8"/>
      <c r="K8" s="9">
        <v>401801</v>
      </c>
      <c r="L8" s="10" t="s">
        <v>33</v>
      </c>
      <c r="M8" s="10" t="s">
        <v>40</v>
      </c>
      <c r="N8" s="10" t="s">
        <v>46</v>
      </c>
      <c r="O8" s="11" t="s">
        <v>47</v>
      </c>
      <c r="P8" s="12">
        <v>40911</v>
      </c>
      <c r="Q8" s="13">
        <f t="shared" ca="1" si="0"/>
        <v>13.71937029431896</v>
      </c>
      <c r="R8" s="14">
        <v>6</v>
      </c>
      <c r="S8" s="15">
        <v>872</v>
      </c>
      <c r="T8" s="8">
        <v>872</v>
      </c>
      <c r="U8" s="16">
        <v>45017</v>
      </c>
      <c r="V8" s="17">
        <v>1</v>
      </c>
      <c r="W8" s="16">
        <v>45128</v>
      </c>
      <c r="X8" s="14">
        <v>63</v>
      </c>
      <c r="Y8" s="18">
        <f t="shared" si="15"/>
        <v>63</v>
      </c>
      <c r="Z8" s="18">
        <f t="shared" si="22"/>
        <v>0.328125</v>
      </c>
      <c r="AA8" s="18" t="s">
        <v>48</v>
      </c>
      <c r="AB8" s="19">
        <v>25</v>
      </c>
      <c r="AC8" s="19"/>
      <c r="AD8" s="19"/>
      <c r="AE8" s="147" t="str">
        <f t="shared" si="23"/>
        <v>1</v>
      </c>
      <c r="AF8" s="147" t="str">
        <f t="shared" si="24"/>
        <v>0</v>
      </c>
      <c r="AG8" s="147" t="str">
        <f t="shared" si="25"/>
        <v>0</v>
      </c>
      <c r="AH8" s="147" t="str">
        <f t="shared" si="26"/>
        <v>NO</v>
      </c>
      <c r="AI8" s="147" t="str">
        <f t="shared" si="27"/>
        <v>NO</v>
      </c>
      <c r="AJ8" s="147" t="str">
        <f t="shared" si="28"/>
        <v>NO</v>
      </c>
      <c r="AK8" s="147" t="str">
        <f t="shared" si="29"/>
        <v>NO</v>
      </c>
      <c r="AL8" s="20"/>
      <c r="AM8" s="21">
        <f t="shared" si="9"/>
        <v>5819.25</v>
      </c>
      <c r="AN8" s="22" t="s">
        <v>43</v>
      </c>
      <c r="AO8" s="21">
        <v>1</v>
      </c>
      <c r="AP8" s="21">
        <f t="shared" si="10"/>
        <v>0.328125</v>
      </c>
      <c r="AQ8" s="149">
        <f t="shared" si="16"/>
        <v>1909.44140625</v>
      </c>
      <c r="AR8" s="21">
        <v>1909.44140625</v>
      </c>
      <c r="AS8" s="610">
        <v>1909.44140625</v>
      </c>
      <c r="AT8" s="112">
        <v>1909.44140625</v>
      </c>
      <c r="AU8" s="23"/>
      <c r="AV8" s="23"/>
      <c r="AW8" s="23" t="e">
        <f>VLOOKUP(K8,#REF!,8,FALSE)</f>
        <v>#REF!</v>
      </c>
      <c r="AX8" s="23" t="s">
        <v>2237</v>
      </c>
      <c r="AY8" s="23" t="e">
        <f>VLOOKUP(K8,#REF!,8,FALSE)</f>
        <v>#REF!</v>
      </c>
      <c r="AZ8" s="23"/>
      <c r="BA8" s="272"/>
      <c r="BB8" s="313">
        <f t="shared" si="11"/>
        <v>0</v>
      </c>
      <c r="BC8" s="269">
        <f t="shared" si="12"/>
        <v>1909.44140625</v>
      </c>
      <c r="BD8" t="e">
        <f t="shared" si="21"/>
        <v>#REF!</v>
      </c>
      <c r="BE8" t="s">
        <v>2394</v>
      </c>
      <c r="BF8">
        <v>43012</v>
      </c>
      <c r="BH8" t="e">
        <f>VLOOKUP(K8,#REF!,8,FALSE)</f>
        <v>#REF!</v>
      </c>
      <c r="BJ8">
        <f>AB8</f>
        <v>25</v>
      </c>
      <c r="BK8" s="269">
        <f>AM8</f>
        <v>5819.25</v>
      </c>
      <c r="BL8" s="353"/>
      <c r="BM8" s="353" t="s">
        <v>75</v>
      </c>
      <c r="BN8" s="353"/>
      <c r="BO8" s="106">
        <f>BK8/192*127</f>
        <v>3849.19140625</v>
      </c>
      <c r="BP8" s="166">
        <f t="shared" si="17"/>
        <v>5758.6328125</v>
      </c>
      <c r="BS8" s="165"/>
      <c r="BX8" s="495">
        <f t="shared" si="14"/>
        <v>5758.6328125</v>
      </c>
      <c r="BZ8" s="636">
        <f t="shared" si="18"/>
        <v>0</v>
      </c>
      <c r="CA8" s="633">
        <f t="shared" si="19"/>
        <v>3849.19140625</v>
      </c>
    </row>
    <row r="9" spans="1:79" x14ac:dyDescent="0.2">
      <c r="A9" s="4">
        <v>1</v>
      </c>
      <c r="B9" s="4">
        <v>1</v>
      </c>
      <c r="C9" s="5">
        <f t="shared" si="20"/>
        <v>41101</v>
      </c>
      <c r="D9" s="6">
        <v>41101</v>
      </c>
      <c r="E9" s="6">
        <v>43011</v>
      </c>
      <c r="F9" s="6" t="s">
        <v>1606</v>
      </c>
      <c r="G9" s="7"/>
      <c r="H9" s="8"/>
      <c r="I9" s="8" t="s">
        <v>32</v>
      </c>
      <c r="J9" s="8"/>
      <c r="K9" s="9">
        <v>409031</v>
      </c>
      <c r="L9" s="10" t="s">
        <v>33</v>
      </c>
      <c r="M9" s="10" t="s">
        <v>49</v>
      </c>
      <c r="N9" s="10" t="s">
        <v>50</v>
      </c>
      <c r="O9" s="11" t="s">
        <v>51</v>
      </c>
      <c r="P9" s="12">
        <v>41367</v>
      </c>
      <c r="Q9" s="13">
        <f t="shared" ca="1" si="0"/>
        <v>12.470910335386721</v>
      </c>
      <c r="R9" s="14">
        <v>5</v>
      </c>
      <c r="S9" s="15">
        <v>872</v>
      </c>
      <c r="T9" s="8">
        <v>872</v>
      </c>
      <c r="U9" s="16">
        <v>45017</v>
      </c>
      <c r="V9" s="17">
        <v>1</v>
      </c>
      <c r="W9" s="16">
        <v>45382</v>
      </c>
      <c r="X9" s="14">
        <v>192</v>
      </c>
      <c r="Y9" s="18">
        <f t="shared" si="15"/>
        <v>192</v>
      </c>
      <c r="Z9" s="18">
        <f t="shared" si="22"/>
        <v>1</v>
      </c>
      <c r="AA9" s="18" t="s">
        <v>36</v>
      </c>
      <c r="AB9" s="19">
        <v>23</v>
      </c>
      <c r="AC9" s="19"/>
      <c r="AD9" s="19"/>
      <c r="AE9" s="147" t="str">
        <f t="shared" si="23"/>
        <v>1</v>
      </c>
      <c r="AF9" s="147" t="str">
        <f t="shared" si="24"/>
        <v>0</v>
      </c>
      <c r="AG9" s="147" t="str">
        <f t="shared" si="25"/>
        <v>0</v>
      </c>
      <c r="AH9" s="147" t="str">
        <f t="shared" si="26"/>
        <v>NO</v>
      </c>
      <c r="AI9" s="147" t="str">
        <f t="shared" si="27"/>
        <v>NO</v>
      </c>
      <c r="AJ9" s="147" t="str">
        <f t="shared" si="28"/>
        <v>NO</v>
      </c>
      <c r="AK9" s="147" t="str">
        <f t="shared" si="29"/>
        <v>NO</v>
      </c>
      <c r="AL9" s="20"/>
      <c r="AM9" s="21">
        <f t="shared" si="9"/>
        <v>4873.7099999999991</v>
      </c>
      <c r="AN9" s="22" t="s">
        <v>52</v>
      </c>
      <c r="AO9" s="21">
        <v>1</v>
      </c>
      <c r="AP9" s="21">
        <f t="shared" si="10"/>
        <v>1</v>
      </c>
      <c r="AQ9" s="149">
        <f t="shared" si="16"/>
        <v>4873.7099999999991</v>
      </c>
      <c r="AR9" s="21">
        <v>4873.7099999999991</v>
      </c>
      <c r="AS9" s="610">
        <v>4873.7099999999991</v>
      </c>
      <c r="AT9" s="112">
        <v>4873.7099999999991</v>
      </c>
      <c r="AU9" s="23"/>
      <c r="AV9" s="23"/>
      <c r="AW9" s="23" t="e">
        <f>VLOOKUP(K9,#REF!,8,FALSE)</f>
        <v>#REF!</v>
      </c>
      <c r="AX9" s="23" t="e">
        <f>VLOOKUP(K9,#REF!,8,FALSE)</f>
        <v>#REF!</v>
      </c>
      <c r="AY9" s="23" t="e">
        <f>VLOOKUP(K9,#REF!,8,FALSE)</f>
        <v>#REF!</v>
      </c>
      <c r="AZ9" s="23"/>
      <c r="BA9" s="272"/>
      <c r="BB9" s="313">
        <f t="shared" si="11"/>
        <v>0</v>
      </c>
      <c r="BC9" s="269">
        <f t="shared" si="12"/>
        <v>4873.7099999999991</v>
      </c>
      <c r="BD9" t="str">
        <f t="shared" si="21"/>
        <v/>
      </c>
      <c r="BP9" s="166">
        <f t="shared" si="17"/>
        <v>4873.7099999999991</v>
      </c>
      <c r="BS9" s="165"/>
      <c r="BX9" s="495">
        <f t="shared" si="14"/>
        <v>4873.7099999999991</v>
      </c>
      <c r="BZ9" s="636">
        <f t="shared" si="18"/>
        <v>0</v>
      </c>
      <c r="CA9" s="633">
        <f t="shared" si="19"/>
        <v>0</v>
      </c>
    </row>
    <row r="10" spans="1:79" x14ac:dyDescent="0.2">
      <c r="A10" s="4">
        <v>1</v>
      </c>
      <c r="B10" s="4">
        <v>1</v>
      </c>
      <c r="C10" s="5">
        <f t="shared" si="20"/>
        <v>41101</v>
      </c>
      <c r="D10" s="6">
        <v>41101</v>
      </c>
      <c r="E10" s="6">
        <v>43011</v>
      </c>
      <c r="F10" s="6" t="s">
        <v>1606</v>
      </c>
      <c r="G10" s="7"/>
      <c r="H10" s="7"/>
      <c r="I10" s="8" t="s">
        <v>32</v>
      </c>
      <c r="J10" s="8"/>
      <c r="K10" s="24">
        <v>426774</v>
      </c>
      <c r="L10" s="10" t="s">
        <v>33</v>
      </c>
      <c r="M10" s="10" t="s">
        <v>53</v>
      </c>
      <c r="N10" s="10" t="s">
        <v>54</v>
      </c>
      <c r="O10" s="25" t="s">
        <v>55</v>
      </c>
      <c r="P10" s="12">
        <v>42510</v>
      </c>
      <c r="Q10" s="13">
        <f t="shared" ca="1" si="0"/>
        <v>9.3415468856947292</v>
      </c>
      <c r="R10" s="14">
        <v>2</v>
      </c>
      <c r="S10" s="15">
        <v>872</v>
      </c>
      <c r="T10" s="8">
        <v>872</v>
      </c>
      <c r="U10" s="16">
        <v>45017</v>
      </c>
      <c r="V10" s="17">
        <v>1</v>
      </c>
      <c r="W10" s="16">
        <v>45382</v>
      </c>
      <c r="X10" s="14">
        <v>192</v>
      </c>
      <c r="Y10" s="18">
        <f t="shared" si="15"/>
        <v>192</v>
      </c>
      <c r="Z10" s="18">
        <f t="shared" si="22"/>
        <v>1</v>
      </c>
      <c r="AA10" s="18" t="s">
        <v>36</v>
      </c>
      <c r="AB10" s="26">
        <v>29</v>
      </c>
      <c r="AC10" s="26"/>
      <c r="AD10" s="26"/>
      <c r="AE10" s="147" t="str">
        <f t="shared" si="23"/>
        <v>0</v>
      </c>
      <c r="AF10" s="147" t="str">
        <f t="shared" si="24"/>
        <v>1</v>
      </c>
      <c r="AG10" s="147" t="str">
        <f t="shared" si="25"/>
        <v>0</v>
      </c>
      <c r="AH10" s="147" t="str">
        <f t="shared" si="26"/>
        <v>NO</v>
      </c>
      <c r="AI10" s="147" t="str">
        <f t="shared" si="27"/>
        <v>NO</v>
      </c>
      <c r="AJ10" s="147" t="str">
        <f t="shared" si="28"/>
        <v>NO</v>
      </c>
      <c r="AK10" s="147" t="str">
        <f t="shared" si="29"/>
        <v>NO</v>
      </c>
      <c r="AL10" s="21"/>
      <c r="AM10" s="21">
        <f t="shared" si="9"/>
        <v>7710.33</v>
      </c>
      <c r="AN10" s="27" t="s">
        <v>56</v>
      </c>
      <c r="AO10" s="21">
        <v>1</v>
      </c>
      <c r="AP10" s="21">
        <f t="shared" si="10"/>
        <v>1</v>
      </c>
      <c r="AQ10" s="149">
        <f t="shared" si="16"/>
        <v>7710.33</v>
      </c>
      <c r="AR10" s="21">
        <v>7710.33</v>
      </c>
      <c r="AS10" s="610">
        <v>7710.33</v>
      </c>
      <c r="AT10" s="112">
        <v>7710.33</v>
      </c>
      <c r="AU10" s="23"/>
      <c r="AV10" s="23"/>
      <c r="AW10" s="23" t="e">
        <f>VLOOKUP(K10,#REF!,8,FALSE)</f>
        <v>#REF!</v>
      </c>
      <c r="AX10" s="23" t="e">
        <f>VLOOKUP(K10,#REF!,8,FALSE)</f>
        <v>#REF!</v>
      </c>
      <c r="AY10" s="23" t="e">
        <f>VLOOKUP(K10,#REF!,8,FALSE)</f>
        <v>#REF!</v>
      </c>
      <c r="AZ10" s="23"/>
      <c r="BA10" s="272"/>
      <c r="BB10" s="313">
        <f t="shared" si="11"/>
        <v>0</v>
      </c>
      <c r="BC10" s="269">
        <f t="shared" si="12"/>
        <v>7710.33</v>
      </c>
      <c r="BD10" t="str">
        <f t="shared" si="21"/>
        <v/>
      </c>
      <c r="BP10" s="166">
        <f t="shared" si="17"/>
        <v>7710.33</v>
      </c>
      <c r="BS10" s="165"/>
      <c r="BX10" s="495">
        <f t="shared" si="14"/>
        <v>7710.33</v>
      </c>
      <c r="BZ10" s="636">
        <f t="shared" si="18"/>
        <v>0</v>
      </c>
      <c r="CA10" s="633">
        <f t="shared" si="19"/>
        <v>0</v>
      </c>
    </row>
    <row r="11" spans="1:79" x14ac:dyDescent="0.2">
      <c r="A11" s="4">
        <v>1</v>
      </c>
      <c r="B11" s="4">
        <v>1</v>
      </c>
      <c r="C11" s="5">
        <f t="shared" si="20"/>
        <v>41101</v>
      </c>
      <c r="D11" s="6">
        <v>41101</v>
      </c>
      <c r="E11" s="6">
        <v>43011</v>
      </c>
      <c r="F11" s="6" t="s">
        <v>1606</v>
      </c>
      <c r="G11" s="7"/>
      <c r="H11" s="7"/>
      <c r="I11" s="8" t="s">
        <v>32</v>
      </c>
      <c r="J11" s="8"/>
      <c r="K11" s="28">
        <v>432940</v>
      </c>
      <c r="L11" s="10" t="s">
        <v>33</v>
      </c>
      <c r="M11" s="10" t="s">
        <v>57</v>
      </c>
      <c r="N11" s="10" t="s">
        <v>58</v>
      </c>
      <c r="O11" s="25" t="s">
        <v>59</v>
      </c>
      <c r="P11" s="12">
        <v>42610</v>
      </c>
      <c r="Q11" s="13">
        <f t="shared" ca="1" si="0"/>
        <v>9.0677618069815189</v>
      </c>
      <c r="R11" s="14">
        <v>1</v>
      </c>
      <c r="S11" s="15">
        <v>872</v>
      </c>
      <c r="T11" s="8">
        <v>872</v>
      </c>
      <c r="U11" s="16">
        <v>45017</v>
      </c>
      <c r="V11" s="17">
        <v>1</v>
      </c>
      <c r="W11" s="16">
        <v>45382</v>
      </c>
      <c r="X11" s="14">
        <v>192</v>
      </c>
      <c r="Y11" s="18">
        <f t="shared" si="15"/>
        <v>192</v>
      </c>
      <c r="Z11" s="18">
        <f t="shared" si="22"/>
        <v>1</v>
      </c>
      <c r="AA11" s="18" t="s">
        <v>36</v>
      </c>
      <c r="AB11" s="26">
        <v>26</v>
      </c>
      <c r="AC11" s="26"/>
      <c r="AD11" s="26"/>
      <c r="AE11" s="147" t="str">
        <f t="shared" si="23"/>
        <v>0</v>
      </c>
      <c r="AF11" s="147" t="str">
        <f t="shared" si="24"/>
        <v>1</v>
      </c>
      <c r="AG11" s="147" t="str">
        <f t="shared" si="25"/>
        <v>0</v>
      </c>
      <c r="AH11" s="147" t="str">
        <f t="shared" si="26"/>
        <v>NO</v>
      </c>
      <c r="AI11" s="147" t="str">
        <f t="shared" si="27"/>
        <v>NO</v>
      </c>
      <c r="AJ11" s="147" t="str">
        <f t="shared" si="28"/>
        <v>NO</v>
      </c>
      <c r="AK11" s="147" t="str">
        <f t="shared" si="29"/>
        <v>NO</v>
      </c>
      <c r="AL11" s="21"/>
      <c r="AM11" s="21">
        <f t="shared" si="9"/>
        <v>6292.02</v>
      </c>
      <c r="AN11" s="27" t="s">
        <v>56</v>
      </c>
      <c r="AO11" s="21">
        <v>1</v>
      </c>
      <c r="AP11" s="21">
        <f t="shared" si="10"/>
        <v>1</v>
      </c>
      <c r="AQ11" s="149">
        <f t="shared" si="16"/>
        <v>6292.02</v>
      </c>
      <c r="AR11" s="21">
        <v>6292.02</v>
      </c>
      <c r="AS11" s="610">
        <v>6292.02</v>
      </c>
      <c r="AT11" s="112">
        <v>6292.02</v>
      </c>
      <c r="AU11" s="4"/>
      <c r="AV11" s="4"/>
      <c r="AW11" s="23" t="e">
        <f>VLOOKUP(K11,#REF!,8,FALSE)</f>
        <v>#REF!</v>
      </c>
      <c r="AX11" s="23" t="e">
        <f>VLOOKUP(K11,#REF!,8,FALSE)</f>
        <v>#REF!</v>
      </c>
      <c r="AY11" s="23" t="e">
        <f>VLOOKUP(K11,#REF!,8,FALSE)</f>
        <v>#REF!</v>
      </c>
      <c r="AZ11" s="4"/>
      <c r="BA11" s="272"/>
      <c r="BB11" s="313">
        <f t="shared" si="11"/>
        <v>0</v>
      </c>
      <c r="BC11" s="269">
        <f t="shared" si="12"/>
        <v>6292.02</v>
      </c>
      <c r="BD11" t="str">
        <f t="shared" si="21"/>
        <v/>
      </c>
      <c r="BP11" s="166">
        <f t="shared" si="17"/>
        <v>6292.02</v>
      </c>
      <c r="BS11" s="165"/>
      <c r="BX11" s="495">
        <f t="shared" si="14"/>
        <v>6292.02</v>
      </c>
      <c r="BZ11" s="636">
        <f t="shared" si="18"/>
        <v>0</v>
      </c>
      <c r="CA11" s="633">
        <f t="shared" si="19"/>
        <v>0</v>
      </c>
    </row>
    <row r="12" spans="1:79" x14ac:dyDescent="0.2">
      <c r="A12" s="4">
        <v>1</v>
      </c>
      <c r="B12" s="4">
        <v>1</v>
      </c>
      <c r="C12" s="5">
        <f t="shared" si="20"/>
        <v>41101</v>
      </c>
      <c r="D12" s="6">
        <v>41101</v>
      </c>
      <c r="E12" s="6">
        <v>43011</v>
      </c>
      <c r="F12" s="6" t="s">
        <v>1606</v>
      </c>
      <c r="G12" s="7"/>
      <c r="H12" s="7"/>
      <c r="I12" s="8" t="s">
        <v>32</v>
      </c>
      <c r="J12" s="8"/>
      <c r="K12" s="29">
        <v>407329</v>
      </c>
      <c r="L12" s="10" t="s">
        <v>33</v>
      </c>
      <c r="M12" s="10" t="s">
        <v>60</v>
      </c>
      <c r="N12" s="10" t="s">
        <v>61</v>
      </c>
      <c r="O12" s="11" t="s">
        <v>62</v>
      </c>
      <c r="P12" s="12">
        <v>41474</v>
      </c>
      <c r="Q12" s="13">
        <f t="shared" ca="1" si="0"/>
        <v>12.177960301163587</v>
      </c>
      <c r="R12" s="14">
        <v>5</v>
      </c>
      <c r="S12" s="15">
        <v>872</v>
      </c>
      <c r="T12" s="8">
        <v>872</v>
      </c>
      <c r="U12" s="16">
        <v>45017</v>
      </c>
      <c r="V12" s="17">
        <v>1</v>
      </c>
      <c r="W12" s="16">
        <v>45382</v>
      </c>
      <c r="X12" s="14">
        <v>192</v>
      </c>
      <c r="Y12" s="18">
        <f t="shared" si="15"/>
        <v>192</v>
      </c>
      <c r="Z12" s="18">
        <f t="shared" si="22"/>
        <v>1</v>
      </c>
      <c r="AA12" s="18" t="s">
        <v>36</v>
      </c>
      <c r="AB12" s="26">
        <v>25</v>
      </c>
      <c r="AC12" s="26"/>
      <c r="AD12" s="26"/>
      <c r="AE12" s="147" t="str">
        <f t="shared" si="23"/>
        <v>1</v>
      </c>
      <c r="AF12" s="147" t="str">
        <f t="shared" si="24"/>
        <v>0</v>
      </c>
      <c r="AG12" s="147" t="str">
        <f t="shared" si="25"/>
        <v>0</v>
      </c>
      <c r="AH12" s="147" t="str">
        <f t="shared" si="26"/>
        <v>NO</v>
      </c>
      <c r="AI12" s="147" t="str">
        <f t="shared" si="27"/>
        <v>NO</v>
      </c>
      <c r="AJ12" s="147" t="str">
        <f t="shared" si="28"/>
        <v>NO</v>
      </c>
      <c r="AK12" s="147" t="str">
        <f t="shared" si="29"/>
        <v>NO</v>
      </c>
      <c r="AL12" s="21"/>
      <c r="AM12" s="21">
        <f t="shared" si="9"/>
        <v>5819.25</v>
      </c>
      <c r="AN12" s="27" t="s">
        <v>56</v>
      </c>
      <c r="AO12" s="21">
        <v>1</v>
      </c>
      <c r="AP12" s="21">
        <f t="shared" si="10"/>
        <v>1</v>
      </c>
      <c r="AQ12" s="149">
        <f t="shared" si="16"/>
        <v>5819.25</v>
      </c>
      <c r="AR12" s="21">
        <v>5819.25</v>
      </c>
      <c r="AS12" s="610">
        <v>5819.25</v>
      </c>
      <c r="AT12" s="112">
        <v>5819.25</v>
      </c>
      <c r="AU12" s="23"/>
      <c r="AV12" s="23"/>
      <c r="AW12" s="23" t="e">
        <f>VLOOKUP(K12,#REF!,8,FALSE)</f>
        <v>#REF!</v>
      </c>
      <c r="AX12" s="23" t="e">
        <f>VLOOKUP(K12,#REF!,8,FALSE)</f>
        <v>#REF!</v>
      </c>
      <c r="AY12" s="23" t="e">
        <f>VLOOKUP(K12,#REF!,8,FALSE)</f>
        <v>#REF!</v>
      </c>
      <c r="AZ12" s="23"/>
      <c r="BA12" s="272"/>
      <c r="BB12" s="313">
        <f t="shared" si="11"/>
        <v>0</v>
      </c>
      <c r="BC12" s="269">
        <f t="shared" si="12"/>
        <v>5819.25</v>
      </c>
      <c r="BD12" t="str">
        <f t="shared" si="21"/>
        <v/>
      </c>
      <c r="BP12" s="166">
        <f t="shared" si="17"/>
        <v>5819.25</v>
      </c>
      <c r="BS12" s="165"/>
      <c r="BX12" s="495">
        <f t="shared" si="14"/>
        <v>5819.25</v>
      </c>
      <c r="BZ12" s="636">
        <f t="shared" si="18"/>
        <v>0</v>
      </c>
      <c r="CA12" s="633">
        <f t="shared" si="19"/>
        <v>0</v>
      </c>
    </row>
    <row r="13" spans="1:79" x14ac:dyDescent="0.2">
      <c r="A13" s="4">
        <v>1</v>
      </c>
      <c r="B13" s="4">
        <v>1</v>
      </c>
      <c r="C13" s="5">
        <f t="shared" si="20"/>
        <v>41101</v>
      </c>
      <c r="D13" s="6">
        <v>41101</v>
      </c>
      <c r="E13" s="6">
        <v>43011</v>
      </c>
      <c r="F13" s="6" t="s">
        <v>1606</v>
      </c>
      <c r="G13" s="7"/>
      <c r="H13" s="7"/>
      <c r="I13" s="8" t="s">
        <v>32</v>
      </c>
      <c r="J13" s="8"/>
      <c r="K13" s="29">
        <v>405331</v>
      </c>
      <c r="L13" s="10" t="s">
        <v>33</v>
      </c>
      <c r="M13" s="10" t="s">
        <v>63</v>
      </c>
      <c r="N13" s="10" t="s">
        <v>64</v>
      </c>
      <c r="O13" s="11" t="s">
        <v>65</v>
      </c>
      <c r="P13" s="12">
        <v>40853</v>
      </c>
      <c r="Q13" s="13">
        <f t="shared" ca="1" si="0"/>
        <v>13.878165639972622</v>
      </c>
      <c r="R13" s="14">
        <v>6</v>
      </c>
      <c r="S13" s="15">
        <v>872</v>
      </c>
      <c r="T13" s="8">
        <v>872</v>
      </c>
      <c r="U13" s="16">
        <v>45017</v>
      </c>
      <c r="V13" s="17">
        <v>1</v>
      </c>
      <c r="W13" s="16">
        <v>45128</v>
      </c>
      <c r="X13" s="14">
        <v>63</v>
      </c>
      <c r="Y13" s="18">
        <f t="shared" si="15"/>
        <v>63</v>
      </c>
      <c r="Z13" s="18">
        <f t="shared" si="22"/>
        <v>0.328125</v>
      </c>
      <c r="AA13" s="18" t="s">
        <v>48</v>
      </c>
      <c r="AB13" s="26">
        <v>28</v>
      </c>
      <c r="AC13" s="26"/>
      <c r="AD13" s="26"/>
      <c r="AE13" s="147" t="str">
        <f t="shared" si="23"/>
        <v>0</v>
      </c>
      <c r="AF13" s="147" t="str">
        <f t="shared" si="24"/>
        <v>1</v>
      </c>
      <c r="AG13" s="147" t="str">
        <f t="shared" si="25"/>
        <v>0</v>
      </c>
      <c r="AH13" s="147" t="str">
        <f t="shared" si="26"/>
        <v>NO</v>
      </c>
      <c r="AI13" s="147" t="str">
        <f t="shared" si="27"/>
        <v>NO</v>
      </c>
      <c r="AJ13" s="147" t="str">
        <f t="shared" si="28"/>
        <v>NO</v>
      </c>
      <c r="AK13" s="147" t="str">
        <f t="shared" si="29"/>
        <v>NO</v>
      </c>
      <c r="AL13" s="21"/>
      <c r="AM13" s="21">
        <f t="shared" si="9"/>
        <v>7237.5599999999995</v>
      </c>
      <c r="AN13" s="27" t="s">
        <v>66</v>
      </c>
      <c r="AO13" s="21">
        <v>1</v>
      </c>
      <c r="AP13" s="21">
        <f t="shared" si="10"/>
        <v>0.328125</v>
      </c>
      <c r="AQ13" s="149">
        <f t="shared" si="16"/>
        <v>2374.8243749999997</v>
      </c>
      <c r="AR13" s="21">
        <v>2374.8243749999997</v>
      </c>
      <c r="AS13" s="610">
        <v>2374.8243749999997</v>
      </c>
      <c r="AT13" s="112">
        <v>2374.8243749999997</v>
      </c>
      <c r="AU13" s="23"/>
      <c r="AV13" s="23"/>
      <c r="AW13" s="23" t="e">
        <f>VLOOKUP(K13,#REF!,8,FALSE)</f>
        <v>#REF!</v>
      </c>
      <c r="AX13" s="23" t="s">
        <v>2237</v>
      </c>
      <c r="AY13" s="23" t="e">
        <f>VLOOKUP(K13,#REF!,8,FALSE)</f>
        <v>#REF!</v>
      </c>
      <c r="AZ13" s="23"/>
      <c r="BA13" s="272"/>
      <c r="BB13" s="313">
        <f t="shared" si="11"/>
        <v>0</v>
      </c>
      <c r="BC13" s="269">
        <f t="shared" si="12"/>
        <v>2374.8243749999997</v>
      </c>
      <c r="BD13" t="e">
        <f t="shared" si="21"/>
        <v>#REF!</v>
      </c>
      <c r="BE13" t="s">
        <v>2394</v>
      </c>
      <c r="BF13">
        <v>43012</v>
      </c>
      <c r="BH13" t="e">
        <f>VLOOKUP(K13,#REF!,8,FALSE)</f>
        <v>#REF!</v>
      </c>
      <c r="BJ13">
        <f>AB13</f>
        <v>28</v>
      </c>
      <c r="BK13" s="269">
        <f>AM13</f>
        <v>7237.5599999999995</v>
      </c>
      <c r="BL13" s="353"/>
      <c r="BM13" s="353" t="s">
        <v>75</v>
      </c>
      <c r="BN13" s="353"/>
      <c r="BO13" s="106">
        <f>BK13/192*127</f>
        <v>4787.3443749999997</v>
      </c>
      <c r="BP13" s="166">
        <f t="shared" si="17"/>
        <v>7162.1687499999989</v>
      </c>
      <c r="BS13" s="165"/>
      <c r="BX13" s="495">
        <f t="shared" si="14"/>
        <v>7162.1687499999989</v>
      </c>
      <c r="BZ13" s="636">
        <f t="shared" si="18"/>
        <v>0</v>
      </c>
      <c r="CA13" s="633">
        <f t="shared" si="19"/>
        <v>4787.3443749999988</v>
      </c>
    </row>
    <row r="14" spans="1:79" x14ac:dyDescent="0.2">
      <c r="A14" s="4">
        <v>1</v>
      </c>
      <c r="B14" s="4">
        <v>1</v>
      </c>
      <c r="C14" s="5">
        <f t="shared" si="20"/>
        <v>41101</v>
      </c>
      <c r="D14" s="6">
        <v>41101</v>
      </c>
      <c r="E14" s="6">
        <v>43011</v>
      </c>
      <c r="F14" s="6" t="s">
        <v>1606</v>
      </c>
      <c r="G14" s="7"/>
      <c r="H14" s="7"/>
      <c r="I14" s="8" t="s">
        <v>32</v>
      </c>
      <c r="J14" s="8"/>
      <c r="K14" s="29">
        <v>452041</v>
      </c>
      <c r="L14" s="10" t="s">
        <v>33</v>
      </c>
      <c r="M14" s="10" t="s">
        <v>2342</v>
      </c>
      <c r="N14" s="10" t="s">
        <v>35</v>
      </c>
      <c r="O14" s="11" t="s">
        <v>2343</v>
      </c>
      <c r="P14" s="12">
        <v>43523</v>
      </c>
      <c r="Q14" s="13">
        <f t="shared" ca="1" si="0"/>
        <v>6.5681040383299107</v>
      </c>
      <c r="R14" s="14">
        <v>0</v>
      </c>
      <c r="S14" s="15">
        <v>872</v>
      </c>
      <c r="T14" s="8">
        <v>872</v>
      </c>
      <c r="U14" s="102">
        <v>45173</v>
      </c>
      <c r="V14" s="17">
        <v>66</v>
      </c>
      <c r="W14" s="16">
        <v>45382</v>
      </c>
      <c r="X14" s="14">
        <v>192</v>
      </c>
      <c r="Y14" s="18">
        <f t="shared" si="15"/>
        <v>127</v>
      </c>
      <c r="Z14" s="18">
        <f t="shared" si="22"/>
        <v>0.66145833333333337</v>
      </c>
      <c r="AA14" s="18" t="s">
        <v>36</v>
      </c>
      <c r="AB14" s="26">
        <v>30</v>
      </c>
      <c r="AC14" s="26"/>
      <c r="AD14" s="26"/>
      <c r="AE14" s="147" t="str">
        <f t="shared" si="23"/>
        <v>0</v>
      </c>
      <c r="AF14" s="147" t="str">
        <f t="shared" si="24"/>
        <v>1</v>
      </c>
      <c r="AG14" s="147" t="str">
        <f t="shared" si="25"/>
        <v>0</v>
      </c>
      <c r="AH14" s="147" t="str">
        <f t="shared" si="26"/>
        <v>NO</v>
      </c>
      <c r="AI14" s="147" t="str">
        <f t="shared" si="27"/>
        <v>NO</v>
      </c>
      <c r="AJ14" s="147" t="str">
        <f t="shared" si="28"/>
        <v>NO</v>
      </c>
      <c r="AK14" s="147" t="str">
        <f t="shared" si="29"/>
        <v>NO</v>
      </c>
      <c r="AL14" s="21"/>
      <c r="AM14" s="21">
        <f t="shared" si="9"/>
        <v>8183.0999999999985</v>
      </c>
      <c r="AN14" s="27"/>
      <c r="AO14" s="21">
        <v>1</v>
      </c>
      <c r="AP14" s="21">
        <f t="shared" si="10"/>
        <v>0.66145833333333337</v>
      </c>
      <c r="AQ14" s="149">
        <f t="shared" si="16"/>
        <v>5412.7796874999995</v>
      </c>
      <c r="AR14" s="21">
        <v>5412.7796874999995</v>
      </c>
      <c r="AS14" s="610">
        <v>0</v>
      </c>
      <c r="AT14" s="112">
        <v>0</v>
      </c>
      <c r="AU14" s="23"/>
      <c r="AV14" s="23"/>
      <c r="AW14" s="23" t="e">
        <f>VLOOKUP(K14,#REF!,8,FALSE)</f>
        <v>#REF!</v>
      </c>
      <c r="AX14" s="23" t="e">
        <f>VLOOKUP(K14,#REF!,8,FALSE)</f>
        <v>#REF!</v>
      </c>
      <c r="AY14" s="23" t="e">
        <f>VLOOKUP(K14,#REF!,8,FALSE)</f>
        <v>#REF!</v>
      </c>
      <c r="AZ14" s="23"/>
      <c r="BA14" s="272"/>
      <c r="BB14" s="313">
        <f t="shared" si="11"/>
        <v>5412.7796874999995</v>
      </c>
      <c r="BC14" s="269">
        <f t="shared" si="12"/>
        <v>5412.7796874999995</v>
      </c>
      <c r="BD14" t="str">
        <f t="shared" si="21"/>
        <v/>
      </c>
      <c r="BP14" s="166">
        <f t="shared" si="17"/>
        <v>5412.7796874999995</v>
      </c>
      <c r="BS14" s="165"/>
      <c r="BX14" s="495">
        <f t="shared" si="14"/>
        <v>5412.7796874999995</v>
      </c>
      <c r="BZ14" s="636">
        <f t="shared" si="18"/>
        <v>0</v>
      </c>
      <c r="CA14" s="633">
        <f t="shared" si="19"/>
        <v>5412.7796874999995</v>
      </c>
    </row>
    <row r="15" spans="1:79" x14ac:dyDescent="0.2">
      <c r="A15" s="4">
        <v>1</v>
      </c>
      <c r="B15" s="4">
        <v>1</v>
      </c>
      <c r="C15" s="5">
        <f t="shared" si="20"/>
        <v>41101</v>
      </c>
      <c r="D15" s="6">
        <v>41101</v>
      </c>
      <c r="E15" s="6">
        <v>43011</v>
      </c>
      <c r="F15" s="6" t="s">
        <v>1606</v>
      </c>
      <c r="G15" s="7"/>
      <c r="H15" s="7"/>
      <c r="I15" s="8" t="s">
        <v>32</v>
      </c>
      <c r="J15" s="8"/>
      <c r="K15" s="29">
        <v>442101</v>
      </c>
      <c r="L15" s="10" t="s">
        <v>33</v>
      </c>
      <c r="M15" s="10" t="s">
        <v>2275</v>
      </c>
      <c r="N15" s="10" t="s">
        <v>2276</v>
      </c>
      <c r="O15" s="11" t="s">
        <v>2277</v>
      </c>
      <c r="P15" s="12">
        <v>43284</v>
      </c>
      <c r="Q15" s="13">
        <f t="shared" ca="1" si="0"/>
        <v>7.222450376454483</v>
      </c>
      <c r="R15" s="14">
        <v>5</v>
      </c>
      <c r="S15" s="15">
        <v>872</v>
      </c>
      <c r="T15" s="8">
        <v>872</v>
      </c>
      <c r="U15" s="16">
        <v>45017</v>
      </c>
      <c r="V15" s="17">
        <v>1</v>
      </c>
      <c r="W15" s="16">
        <v>45382</v>
      </c>
      <c r="X15" s="14">
        <v>192</v>
      </c>
      <c r="Y15" s="18">
        <f t="shared" si="15"/>
        <v>192</v>
      </c>
      <c r="Z15" s="18">
        <f t="shared" si="22"/>
        <v>1</v>
      </c>
      <c r="AA15" s="18" t="s">
        <v>36</v>
      </c>
      <c r="AB15" s="26">
        <v>32</v>
      </c>
      <c r="AC15" s="26"/>
      <c r="AD15" s="26"/>
      <c r="AE15" s="147" t="str">
        <f t="shared" si="23"/>
        <v>0</v>
      </c>
      <c r="AF15" s="147" t="str">
        <f t="shared" si="24"/>
        <v>0</v>
      </c>
      <c r="AG15" s="147" t="str">
        <f t="shared" si="25"/>
        <v>1</v>
      </c>
      <c r="AH15" s="147" t="str">
        <f t="shared" si="26"/>
        <v>NO</v>
      </c>
      <c r="AI15" s="147" t="str">
        <f t="shared" si="27"/>
        <v>NO</v>
      </c>
      <c r="AJ15" s="147" t="str">
        <f t="shared" si="28"/>
        <v>NO</v>
      </c>
      <c r="AK15" s="147" t="str">
        <f t="shared" si="29"/>
        <v>NO</v>
      </c>
      <c r="AL15" s="21"/>
      <c r="AM15" s="21">
        <f t="shared" si="9"/>
        <v>9128.64</v>
      </c>
      <c r="AN15" s="27" t="s">
        <v>66</v>
      </c>
      <c r="AO15" s="21">
        <v>1</v>
      </c>
      <c r="AP15" s="21">
        <f t="shared" si="10"/>
        <v>1</v>
      </c>
      <c r="AQ15" s="149">
        <f t="shared" si="16"/>
        <v>9128.64</v>
      </c>
      <c r="AR15" s="21">
        <v>9128.64</v>
      </c>
      <c r="AS15" s="610">
        <v>0</v>
      </c>
      <c r="AT15" s="112">
        <v>0</v>
      </c>
      <c r="AU15" s="23"/>
      <c r="AV15" s="23"/>
      <c r="AW15" s="23" t="e">
        <f>VLOOKUP(K15,#REF!,8,FALSE)</f>
        <v>#REF!</v>
      </c>
      <c r="AX15" s="23" t="e">
        <f>VLOOKUP(K15,#REF!,8,FALSE)</f>
        <v>#REF!</v>
      </c>
      <c r="AY15" s="23" t="e">
        <f>VLOOKUP(K15,#REF!,8,FALSE)</f>
        <v>#REF!</v>
      </c>
      <c r="AZ15" s="23"/>
      <c r="BA15" s="272"/>
      <c r="BB15" s="313">
        <f t="shared" si="11"/>
        <v>9128.64</v>
      </c>
      <c r="BC15" s="269">
        <f t="shared" si="12"/>
        <v>9128.64</v>
      </c>
      <c r="BD15" t="str">
        <f t="shared" si="21"/>
        <v/>
      </c>
      <c r="BP15" s="166">
        <f t="shared" si="17"/>
        <v>9128.64</v>
      </c>
      <c r="BS15" s="165"/>
      <c r="BX15" s="495">
        <f t="shared" si="14"/>
        <v>9128.64</v>
      </c>
      <c r="BZ15" s="636">
        <f t="shared" si="18"/>
        <v>0</v>
      </c>
      <c r="CA15" s="633">
        <f t="shared" si="19"/>
        <v>9128.64</v>
      </c>
    </row>
    <row r="16" spans="1:79" x14ac:dyDescent="0.2">
      <c r="A16" s="4">
        <v>1</v>
      </c>
      <c r="B16" s="4">
        <v>1</v>
      </c>
      <c r="C16" s="5">
        <f t="shared" si="20"/>
        <v>41101</v>
      </c>
      <c r="D16" s="6">
        <v>41101</v>
      </c>
      <c r="E16" s="6">
        <v>43011</v>
      </c>
      <c r="F16" s="6" t="s">
        <v>1606</v>
      </c>
      <c r="G16" s="7"/>
      <c r="H16" s="7"/>
      <c r="I16" s="8" t="s">
        <v>32</v>
      </c>
      <c r="J16" s="8"/>
      <c r="K16" s="29">
        <v>408809</v>
      </c>
      <c r="L16" s="10" t="s">
        <v>33</v>
      </c>
      <c r="M16" s="10" t="s">
        <v>67</v>
      </c>
      <c r="N16" s="10" t="s">
        <v>68</v>
      </c>
      <c r="O16" s="11" t="str">
        <f>M16&amp;N16</f>
        <v>SebastianSly</v>
      </c>
      <c r="P16" s="12">
        <v>41324</v>
      </c>
      <c r="Q16" s="13">
        <f t="shared" ca="1" si="0"/>
        <v>12.588637919233403</v>
      </c>
      <c r="R16" s="14">
        <v>5</v>
      </c>
      <c r="S16" s="15">
        <v>872</v>
      </c>
      <c r="T16" s="8">
        <v>872</v>
      </c>
      <c r="U16" s="16">
        <v>45017</v>
      </c>
      <c r="V16" s="17">
        <v>1</v>
      </c>
      <c r="W16" s="16">
        <v>45382</v>
      </c>
      <c r="X16" s="14">
        <v>192</v>
      </c>
      <c r="Y16" s="18">
        <f t="shared" si="15"/>
        <v>192</v>
      </c>
      <c r="Z16" s="18">
        <f t="shared" si="22"/>
        <v>1</v>
      </c>
      <c r="AA16" s="18" t="s">
        <v>36</v>
      </c>
      <c r="AB16" s="26">
        <v>25</v>
      </c>
      <c r="AC16" s="26"/>
      <c r="AD16" s="26"/>
      <c r="AE16" s="147" t="str">
        <f t="shared" si="23"/>
        <v>1</v>
      </c>
      <c r="AF16" s="147" t="str">
        <f t="shared" si="24"/>
        <v>0</v>
      </c>
      <c r="AG16" s="147" t="str">
        <f t="shared" si="25"/>
        <v>0</v>
      </c>
      <c r="AH16" s="147" t="str">
        <f t="shared" si="26"/>
        <v>NO</v>
      </c>
      <c r="AI16" s="147" t="str">
        <f t="shared" si="27"/>
        <v>NO</v>
      </c>
      <c r="AJ16" s="147" t="str">
        <f t="shared" si="28"/>
        <v>NO</v>
      </c>
      <c r="AK16" s="147" t="str">
        <f t="shared" si="29"/>
        <v>NO</v>
      </c>
      <c r="AL16" s="21"/>
      <c r="AM16" s="21">
        <f t="shared" si="9"/>
        <v>5819.25</v>
      </c>
      <c r="AN16" s="27" t="s">
        <v>43</v>
      </c>
      <c r="AO16" s="21">
        <v>1</v>
      </c>
      <c r="AP16" s="21">
        <f t="shared" si="10"/>
        <v>1</v>
      </c>
      <c r="AQ16" s="149">
        <f t="shared" si="16"/>
        <v>5819.25</v>
      </c>
      <c r="AR16" s="21">
        <v>5819.25</v>
      </c>
      <c r="AS16" s="610">
        <v>5819.25</v>
      </c>
      <c r="AT16" s="112">
        <v>5819.25</v>
      </c>
      <c r="AU16" s="23"/>
      <c r="AV16" s="23"/>
      <c r="AW16" s="23" t="e">
        <f>VLOOKUP(K16,#REF!,8,FALSE)</f>
        <v>#REF!</v>
      </c>
      <c r="AX16" s="23" t="e">
        <f>VLOOKUP(K16,#REF!,8,FALSE)</f>
        <v>#REF!</v>
      </c>
      <c r="AY16" s="23" t="e">
        <f>VLOOKUP(K16,#REF!,8,FALSE)</f>
        <v>#REF!</v>
      </c>
      <c r="AZ16" s="23"/>
      <c r="BA16" s="272"/>
      <c r="BB16" s="313">
        <f t="shared" si="11"/>
        <v>0</v>
      </c>
      <c r="BC16" s="269">
        <f t="shared" si="12"/>
        <v>5819.25</v>
      </c>
      <c r="BD16" t="str">
        <f t="shared" si="21"/>
        <v/>
      </c>
      <c r="BP16" s="166">
        <f t="shared" si="17"/>
        <v>5819.25</v>
      </c>
      <c r="BS16" s="165"/>
      <c r="BX16" s="495">
        <f t="shared" si="14"/>
        <v>5819.25</v>
      </c>
      <c r="BZ16" s="636">
        <f t="shared" si="18"/>
        <v>0</v>
      </c>
      <c r="CA16" s="633">
        <f t="shared" si="19"/>
        <v>0</v>
      </c>
    </row>
    <row r="17" spans="1:79" x14ac:dyDescent="0.2">
      <c r="A17" s="4">
        <v>1</v>
      </c>
      <c r="B17" s="4">
        <v>1</v>
      </c>
      <c r="C17" s="5">
        <f t="shared" si="20"/>
        <v>41101</v>
      </c>
      <c r="D17" s="6">
        <v>41101</v>
      </c>
      <c r="E17" s="6">
        <v>43011</v>
      </c>
      <c r="F17" s="6" t="s">
        <v>1606</v>
      </c>
      <c r="G17" s="7"/>
      <c r="H17" s="7"/>
      <c r="I17" s="8" t="s">
        <v>32</v>
      </c>
      <c r="J17" s="8"/>
      <c r="K17" s="29">
        <v>435927</v>
      </c>
      <c r="L17" s="10" t="s">
        <v>33</v>
      </c>
      <c r="M17" s="10" t="s">
        <v>69</v>
      </c>
      <c r="N17" s="10" t="s">
        <v>70</v>
      </c>
      <c r="O17" s="11" t="s">
        <v>71</v>
      </c>
      <c r="P17" s="12">
        <v>42711</v>
      </c>
      <c r="Q17" s="13">
        <f t="shared" ca="1" si="0"/>
        <v>8.7912388774811774</v>
      </c>
      <c r="R17" s="14">
        <v>1</v>
      </c>
      <c r="S17" s="15">
        <v>872</v>
      </c>
      <c r="T17" s="8">
        <v>872</v>
      </c>
      <c r="U17" s="16">
        <v>45017</v>
      </c>
      <c r="V17" s="17">
        <v>1</v>
      </c>
      <c r="W17" s="16">
        <v>45382</v>
      </c>
      <c r="X17" s="14">
        <v>192</v>
      </c>
      <c r="Y17" s="18">
        <f t="shared" si="15"/>
        <v>192</v>
      </c>
      <c r="Z17" s="18">
        <f t="shared" si="22"/>
        <v>1</v>
      </c>
      <c r="AA17" s="18" t="s">
        <v>36</v>
      </c>
      <c r="AB17" s="26">
        <v>23</v>
      </c>
      <c r="AC17" s="26"/>
      <c r="AD17" s="26"/>
      <c r="AE17" s="147" t="str">
        <f t="shared" si="23"/>
        <v>1</v>
      </c>
      <c r="AF17" s="147" t="str">
        <f t="shared" si="24"/>
        <v>0</v>
      </c>
      <c r="AG17" s="147" t="str">
        <f t="shared" si="25"/>
        <v>0</v>
      </c>
      <c r="AH17" s="147" t="str">
        <f t="shared" si="26"/>
        <v>NO</v>
      </c>
      <c r="AI17" s="147" t="str">
        <f t="shared" si="27"/>
        <v>NO</v>
      </c>
      <c r="AJ17" s="147" t="str">
        <f t="shared" si="28"/>
        <v>NO</v>
      </c>
      <c r="AK17" s="147" t="str">
        <f t="shared" si="29"/>
        <v>NO</v>
      </c>
      <c r="AL17" s="21"/>
      <c r="AM17" s="21">
        <f t="shared" si="9"/>
        <v>4873.7099999999991</v>
      </c>
      <c r="AN17" s="27" t="s">
        <v>37</v>
      </c>
      <c r="AO17" s="21">
        <v>1</v>
      </c>
      <c r="AP17" s="21">
        <f t="shared" si="10"/>
        <v>1</v>
      </c>
      <c r="AQ17" s="149">
        <f t="shared" si="16"/>
        <v>4873.7099999999991</v>
      </c>
      <c r="AR17" s="21">
        <v>4873.7099999999991</v>
      </c>
      <c r="AS17" s="610">
        <v>4873.7099999999991</v>
      </c>
      <c r="AT17" s="112">
        <v>4873.7099999999991</v>
      </c>
      <c r="AU17" s="23"/>
      <c r="AV17" s="23"/>
      <c r="AW17" s="23" t="e">
        <f>VLOOKUP(K17,#REF!,8,FALSE)</f>
        <v>#REF!</v>
      </c>
      <c r="AX17" s="23" t="e">
        <f>VLOOKUP(K17,#REF!,8,FALSE)</f>
        <v>#REF!</v>
      </c>
      <c r="AY17" s="23" t="e">
        <f>VLOOKUP(K17,#REF!,8,FALSE)</f>
        <v>#REF!</v>
      </c>
      <c r="AZ17" s="23"/>
      <c r="BA17" s="272"/>
      <c r="BB17" s="313">
        <f t="shared" si="11"/>
        <v>0</v>
      </c>
      <c r="BC17" s="269">
        <f t="shared" si="12"/>
        <v>4873.7099999999991</v>
      </c>
      <c r="BD17" t="str">
        <f t="shared" si="21"/>
        <v/>
      </c>
      <c r="BP17" s="166">
        <f t="shared" si="17"/>
        <v>4873.7099999999991</v>
      </c>
      <c r="BS17" s="165"/>
      <c r="BX17" s="495">
        <f t="shared" si="14"/>
        <v>4873.7099999999991</v>
      </c>
      <c r="BZ17" s="636">
        <f t="shared" si="18"/>
        <v>0</v>
      </c>
      <c r="CA17" s="633">
        <f t="shared" si="19"/>
        <v>0</v>
      </c>
    </row>
    <row r="18" spans="1:79" x14ac:dyDescent="0.2">
      <c r="A18" s="4">
        <v>1</v>
      </c>
      <c r="B18" s="4">
        <v>1</v>
      </c>
      <c r="C18" s="5">
        <f t="shared" si="20"/>
        <v>41101</v>
      </c>
      <c r="D18" s="6">
        <v>41101</v>
      </c>
      <c r="E18" s="6">
        <v>43011</v>
      </c>
      <c r="F18" s="6" t="s">
        <v>1606</v>
      </c>
      <c r="G18" s="7"/>
      <c r="H18" s="7"/>
      <c r="I18" s="8" t="s">
        <v>32</v>
      </c>
      <c r="J18" s="8"/>
      <c r="K18" s="29">
        <v>403737</v>
      </c>
      <c r="L18" s="10" t="s">
        <v>33</v>
      </c>
      <c r="M18" s="10" t="s">
        <v>72</v>
      </c>
      <c r="N18" s="10" t="s">
        <v>73</v>
      </c>
      <c r="O18" s="11" t="s">
        <v>74</v>
      </c>
      <c r="P18" s="12">
        <v>41227</v>
      </c>
      <c r="Q18" s="13">
        <f t="shared" ca="1" si="0"/>
        <v>12.854209445585216</v>
      </c>
      <c r="R18" s="14">
        <v>5</v>
      </c>
      <c r="S18" s="15">
        <v>872</v>
      </c>
      <c r="T18" s="8">
        <v>872</v>
      </c>
      <c r="U18" s="16">
        <v>45017</v>
      </c>
      <c r="V18" s="17">
        <v>1</v>
      </c>
      <c r="W18" s="16">
        <v>45382</v>
      </c>
      <c r="X18" s="14">
        <v>192</v>
      </c>
      <c r="Y18" s="18">
        <f t="shared" si="15"/>
        <v>192</v>
      </c>
      <c r="Z18" s="18">
        <f t="shared" si="22"/>
        <v>1</v>
      </c>
      <c r="AA18" s="18" t="s">
        <v>36</v>
      </c>
      <c r="AB18" s="26">
        <v>23</v>
      </c>
      <c r="AC18" s="26"/>
      <c r="AD18" s="26"/>
      <c r="AE18" s="147" t="str">
        <f t="shared" si="23"/>
        <v>1</v>
      </c>
      <c r="AF18" s="147" t="str">
        <f t="shared" si="24"/>
        <v>0</v>
      </c>
      <c r="AG18" s="147" t="str">
        <f t="shared" si="25"/>
        <v>0</v>
      </c>
      <c r="AH18" s="147" t="str">
        <f t="shared" si="26"/>
        <v>NO</v>
      </c>
      <c r="AI18" s="147" t="str">
        <f t="shared" si="27"/>
        <v>NO</v>
      </c>
      <c r="AJ18" s="147" t="str">
        <f t="shared" si="28"/>
        <v>NO</v>
      </c>
      <c r="AK18" s="147" t="str">
        <f t="shared" si="29"/>
        <v>NO</v>
      </c>
      <c r="AL18" s="21"/>
      <c r="AM18" s="21">
        <f t="shared" si="9"/>
        <v>4873.7099999999991</v>
      </c>
      <c r="AN18" s="27" t="s">
        <v>37</v>
      </c>
      <c r="AO18" s="21">
        <v>1</v>
      </c>
      <c r="AP18" s="21">
        <f t="shared" si="10"/>
        <v>1</v>
      </c>
      <c r="AQ18" s="149">
        <f t="shared" si="16"/>
        <v>4873.7099999999991</v>
      </c>
      <c r="AR18" s="21">
        <v>4873.7099999999991</v>
      </c>
      <c r="AS18" s="610">
        <v>4873.7099999999991</v>
      </c>
      <c r="AT18" s="112">
        <v>4873.7099999999991</v>
      </c>
      <c r="AU18" s="23"/>
      <c r="AV18" s="23"/>
      <c r="AW18" s="23" t="e">
        <f>VLOOKUP(K18,#REF!,8,FALSE)</f>
        <v>#REF!</v>
      </c>
      <c r="AX18" s="23" t="e">
        <f>VLOOKUP(K18,#REF!,8,FALSE)</f>
        <v>#REF!</v>
      </c>
      <c r="AY18" s="23" t="e">
        <f>VLOOKUP(K18,#REF!,8,FALSE)</f>
        <v>#REF!</v>
      </c>
      <c r="AZ18" s="23"/>
      <c r="BA18" s="272"/>
      <c r="BB18" s="313">
        <f t="shared" si="11"/>
        <v>0</v>
      </c>
      <c r="BC18" s="269">
        <f t="shared" si="12"/>
        <v>4873.7099999999991</v>
      </c>
      <c r="BD18" t="str">
        <f t="shared" si="21"/>
        <v/>
      </c>
      <c r="BP18" s="166">
        <f t="shared" si="17"/>
        <v>4873.7099999999991</v>
      </c>
      <c r="BS18" s="165"/>
      <c r="BX18" s="495">
        <f t="shared" si="14"/>
        <v>4873.7099999999991</v>
      </c>
      <c r="BZ18" s="636">
        <f t="shared" si="18"/>
        <v>0</v>
      </c>
      <c r="CA18" s="633">
        <f t="shared" si="19"/>
        <v>0</v>
      </c>
    </row>
    <row r="19" spans="1:79" x14ac:dyDescent="0.2">
      <c r="A19" s="4">
        <v>1</v>
      </c>
      <c r="B19" s="4">
        <v>1</v>
      </c>
      <c r="C19" s="312">
        <f t="shared" ref="C19:C30" si="30">D19</f>
        <v>2004</v>
      </c>
      <c r="D19" s="121">
        <v>2004</v>
      </c>
      <c r="E19" s="121">
        <v>43015</v>
      </c>
      <c r="F19" s="6" t="s">
        <v>1606</v>
      </c>
      <c r="G19" s="7" t="s">
        <v>75</v>
      </c>
      <c r="H19" s="7" t="s">
        <v>75</v>
      </c>
      <c r="I19" s="8" t="s">
        <v>32</v>
      </c>
      <c r="J19" s="8"/>
      <c r="K19" s="29">
        <v>406579</v>
      </c>
      <c r="L19" s="10" t="s">
        <v>76</v>
      </c>
      <c r="M19" s="10" t="s">
        <v>77</v>
      </c>
      <c r="N19" s="10" t="s">
        <v>78</v>
      </c>
      <c r="O19" s="11" t="s">
        <v>79</v>
      </c>
      <c r="P19" s="12">
        <v>41057</v>
      </c>
      <c r="Q19" s="13">
        <f t="shared" ref="Q19:Q82" ca="1" si="31">(TODAY()-P19)/365.25</f>
        <v>13.319644079397673</v>
      </c>
      <c r="R19" s="14">
        <v>5</v>
      </c>
      <c r="S19" s="15">
        <v>872</v>
      </c>
      <c r="T19" s="8">
        <v>872</v>
      </c>
      <c r="U19" s="16">
        <v>45017</v>
      </c>
      <c r="V19" s="17">
        <v>1</v>
      </c>
      <c r="W19" s="16">
        <v>45382</v>
      </c>
      <c r="X19" s="14">
        <v>192</v>
      </c>
      <c r="Y19" s="18">
        <f t="shared" ref="Y19:Y50" si="32">X19-V19+1</f>
        <v>192</v>
      </c>
      <c r="Z19" s="18">
        <f t="shared" ref="Z19:Z40" si="33">Y19/192</f>
        <v>1</v>
      </c>
      <c r="AA19" s="18" t="s">
        <v>36</v>
      </c>
      <c r="AB19" s="26" t="s">
        <v>80</v>
      </c>
      <c r="AC19" s="26" t="s">
        <v>80</v>
      </c>
      <c r="AD19" s="26" t="s">
        <v>1893</v>
      </c>
      <c r="AE19" s="147" t="str">
        <f t="shared" ref="AE19:AE82" si="34">IF(AND(AB19&lt;=25,AB19&gt;=20),"1","0")</f>
        <v>0</v>
      </c>
      <c r="AF19" s="147" t="str">
        <f t="shared" ref="AF19:AF82" si="35">IF(AND(AB19&lt;=30,AB19&gt;=26),"1","0")</f>
        <v>0</v>
      </c>
      <c r="AG19" s="147" t="str">
        <f t="shared" ref="AG19:AG82" si="36">IF(AB19&gt;=31,"1","0")</f>
        <v>1</v>
      </c>
      <c r="AH19" s="147" t="str">
        <f t="shared" ref="AH19:AH82" si="37">IF(AD19="BAND3","YES","NO")</f>
        <v>NO</v>
      </c>
      <c r="AI19" s="147" t="str">
        <f t="shared" ref="AI19:AI82" si="38">IF(AD19="BAND4","YES","NO")</f>
        <v>YES</v>
      </c>
      <c r="AJ19" s="147" t="str">
        <f t="shared" ref="AJ19:AJ82" si="39">IF(AD19="BAND5","YES","NO")</f>
        <v>NO</v>
      </c>
      <c r="AK19" s="147" t="str">
        <f t="shared" ref="AK19:AK82" si="40">IF(AD19="BAND6","YES","NO")</f>
        <v>NO</v>
      </c>
      <c r="AL19" s="21">
        <v>10152</v>
      </c>
      <c r="AM19" s="21">
        <f>IF(H19="Y",AL19,((AB19*$O$902)-6000))</f>
        <v>10152</v>
      </c>
      <c r="AN19" s="27" t="s">
        <v>81</v>
      </c>
      <c r="AO19" s="21">
        <v>1</v>
      </c>
      <c r="AP19" s="21">
        <f t="shared" ref="AP19:AP42" si="41">AO19*Z19</f>
        <v>1</v>
      </c>
      <c r="AQ19" s="149">
        <f t="shared" ref="AQ19:AQ50" si="42">AP19*AM19</f>
        <v>10152</v>
      </c>
      <c r="AR19" s="21">
        <v>10152</v>
      </c>
      <c r="AS19" s="610">
        <v>10152</v>
      </c>
      <c r="AT19" s="112">
        <v>10152</v>
      </c>
      <c r="AU19" s="23"/>
      <c r="AV19" s="23"/>
      <c r="AW19" s="23" t="e">
        <f>VLOOKUP(K19,#REF!,8,FALSE)</f>
        <v>#REF!</v>
      </c>
      <c r="AX19" s="23" t="e">
        <f>VLOOKUP(K19,#REF!,8,FALSE)</f>
        <v>#REF!</v>
      </c>
      <c r="AY19" s="23" t="e">
        <f>VLOOKUP(K19,#REF!,8,FALSE)</f>
        <v>#REF!</v>
      </c>
      <c r="AZ19" s="23"/>
      <c r="BA19" s="272"/>
      <c r="BB19" s="313">
        <f t="shared" ref="BB19:BB42" si="43">BC19-AT19</f>
        <v>0</v>
      </c>
      <c r="BC19" s="269">
        <f t="shared" ref="BC19:BC42" si="44">AR19</f>
        <v>10152</v>
      </c>
      <c r="BD19" t="str">
        <f>BG19&amp;BH19&amp;BI19</f>
        <v/>
      </c>
      <c r="BP19" s="166">
        <f t="shared" ref="BP19:BP82" si="45">BC19+BO19</f>
        <v>10152</v>
      </c>
      <c r="BS19" s="165"/>
      <c r="BX19" s="495">
        <f t="shared" ref="BX19:BX82" si="46">AQ19+BO19+BU19</f>
        <v>10152</v>
      </c>
      <c r="BZ19" s="636">
        <f t="shared" si="18"/>
        <v>0</v>
      </c>
      <c r="CA19" s="633">
        <f t="shared" si="19"/>
        <v>0</v>
      </c>
    </row>
    <row r="20" spans="1:79" x14ac:dyDescent="0.2">
      <c r="A20" s="4">
        <v>1</v>
      </c>
      <c r="B20" s="4">
        <v>1</v>
      </c>
      <c r="C20" s="312">
        <f t="shared" si="30"/>
        <v>2004</v>
      </c>
      <c r="D20" s="121">
        <v>2004</v>
      </c>
      <c r="E20" s="121">
        <v>43015</v>
      </c>
      <c r="F20" s="6" t="s">
        <v>1606</v>
      </c>
      <c r="G20" s="7" t="s">
        <v>75</v>
      </c>
      <c r="H20" s="7" t="s">
        <v>75</v>
      </c>
      <c r="I20" s="8" t="s">
        <v>32</v>
      </c>
      <c r="J20" s="8"/>
      <c r="K20" s="29">
        <v>397022</v>
      </c>
      <c r="L20" s="10" t="s">
        <v>76</v>
      </c>
      <c r="M20" s="10" t="s">
        <v>82</v>
      </c>
      <c r="N20" s="10" t="s">
        <v>83</v>
      </c>
      <c r="O20" s="11" t="s">
        <v>84</v>
      </c>
      <c r="P20" s="12">
        <v>41098</v>
      </c>
      <c r="Q20" s="13">
        <f t="shared" ca="1" si="31"/>
        <v>13.207392197125257</v>
      </c>
      <c r="R20" s="14">
        <v>6</v>
      </c>
      <c r="S20" s="15">
        <v>872</v>
      </c>
      <c r="T20" s="8">
        <v>872</v>
      </c>
      <c r="U20" s="16">
        <v>45017</v>
      </c>
      <c r="V20" s="17">
        <v>1</v>
      </c>
      <c r="W20" s="16">
        <v>45128</v>
      </c>
      <c r="X20" s="14">
        <v>63</v>
      </c>
      <c r="Y20" s="18">
        <f t="shared" si="32"/>
        <v>63</v>
      </c>
      <c r="Z20" s="18">
        <f t="shared" si="33"/>
        <v>0.328125</v>
      </c>
      <c r="AA20" s="18" t="s">
        <v>48</v>
      </c>
      <c r="AB20" s="26" t="s">
        <v>80</v>
      </c>
      <c r="AC20" s="26" t="s">
        <v>80</v>
      </c>
      <c r="AD20" s="26" t="s">
        <v>1893</v>
      </c>
      <c r="AE20" s="147" t="str">
        <f t="shared" si="34"/>
        <v>0</v>
      </c>
      <c r="AF20" s="147" t="str">
        <f t="shared" si="35"/>
        <v>0</v>
      </c>
      <c r="AG20" s="147" t="str">
        <f t="shared" si="36"/>
        <v>1</v>
      </c>
      <c r="AH20" s="147" t="str">
        <f t="shared" si="37"/>
        <v>NO</v>
      </c>
      <c r="AI20" s="147" t="str">
        <f t="shared" si="38"/>
        <v>YES</v>
      </c>
      <c r="AJ20" s="147" t="str">
        <f t="shared" si="39"/>
        <v>NO</v>
      </c>
      <c r="AK20" s="147" t="str">
        <f t="shared" si="40"/>
        <v>NO</v>
      </c>
      <c r="AL20" s="21">
        <v>10152</v>
      </c>
      <c r="AM20" s="21">
        <f>IF(H20="Y",AL20,((AB20*$O$902)-6000))</f>
        <v>10152</v>
      </c>
      <c r="AN20" s="27" t="s">
        <v>81</v>
      </c>
      <c r="AO20" s="21">
        <v>1</v>
      </c>
      <c r="AP20" s="21">
        <f t="shared" si="41"/>
        <v>0.328125</v>
      </c>
      <c r="AQ20" s="149">
        <f t="shared" si="42"/>
        <v>3331.125</v>
      </c>
      <c r="AR20" s="21">
        <v>3331.125</v>
      </c>
      <c r="AS20" s="610">
        <v>3331.125</v>
      </c>
      <c r="AT20" s="112">
        <v>3331.125</v>
      </c>
      <c r="AU20" s="23"/>
      <c r="AV20" s="23"/>
      <c r="AW20" s="23" t="e">
        <f>VLOOKUP(K20,#REF!,8,FALSE)</f>
        <v>#REF!</v>
      </c>
      <c r="AX20" s="23" t="s">
        <v>1454</v>
      </c>
      <c r="AY20" s="23" t="e">
        <f>VLOOKUP(K20,#REF!,8,FALSE)</f>
        <v>#REF!</v>
      </c>
      <c r="AZ20" s="23"/>
      <c r="BA20" s="272"/>
      <c r="BB20" s="313">
        <f t="shared" si="43"/>
        <v>0</v>
      </c>
      <c r="BC20" s="269">
        <f t="shared" si="44"/>
        <v>3331.125</v>
      </c>
      <c r="BD20" t="e">
        <f>BG20&amp;BH20&amp;BI20</f>
        <v>#REF!</v>
      </c>
      <c r="BE20" t="s">
        <v>2394</v>
      </c>
      <c r="BF20">
        <v>43012</v>
      </c>
      <c r="BH20" t="e">
        <f>VLOOKUP(K20,#REF!,8,FALSE)</f>
        <v>#REF!</v>
      </c>
      <c r="BJ20" t="str">
        <f>AB20</f>
        <v>PD3-BAND4</v>
      </c>
      <c r="BK20" s="269">
        <f>AM20</f>
        <v>10152</v>
      </c>
      <c r="BL20" s="353"/>
      <c r="BM20" s="353" t="s">
        <v>75</v>
      </c>
      <c r="BN20" s="353"/>
      <c r="BO20" s="106">
        <f>BK20/192*127</f>
        <v>6715.125</v>
      </c>
      <c r="BP20" s="166">
        <f t="shared" si="45"/>
        <v>10046.25</v>
      </c>
      <c r="BS20" s="165"/>
      <c r="BX20" s="495">
        <f t="shared" si="46"/>
        <v>10046.25</v>
      </c>
      <c r="BZ20" s="636">
        <f t="shared" si="18"/>
        <v>0</v>
      </c>
      <c r="CA20" s="633">
        <f t="shared" si="19"/>
        <v>6715.125</v>
      </c>
    </row>
    <row r="21" spans="1:79" x14ac:dyDescent="0.2">
      <c r="A21" s="4">
        <v>1</v>
      </c>
      <c r="B21" s="4">
        <v>1</v>
      </c>
      <c r="C21" s="312">
        <f t="shared" si="30"/>
        <v>2004</v>
      </c>
      <c r="D21" s="121">
        <v>2004</v>
      </c>
      <c r="E21" s="121">
        <v>43012</v>
      </c>
      <c r="F21" s="6" t="s">
        <v>1606</v>
      </c>
      <c r="G21" s="7" t="s">
        <v>75</v>
      </c>
      <c r="H21" s="7"/>
      <c r="I21" s="8" t="s">
        <v>32</v>
      </c>
      <c r="J21" s="8"/>
      <c r="K21" s="29">
        <v>447825</v>
      </c>
      <c r="L21" s="10" t="s">
        <v>76</v>
      </c>
      <c r="M21" s="10" t="s">
        <v>85</v>
      </c>
      <c r="N21" s="10" t="s">
        <v>86</v>
      </c>
      <c r="O21" s="11" t="s">
        <v>87</v>
      </c>
      <c r="P21" s="12">
        <v>40633</v>
      </c>
      <c r="Q21" s="13">
        <f t="shared" ca="1" si="31"/>
        <v>14.480492813141684</v>
      </c>
      <c r="R21" s="14">
        <v>6</v>
      </c>
      <c r="S21" s="15">
        <v>872</v>
      </c>
      <c r="T21" s="8">
        <v>872</v>
      </c>
      <c r="U21" s="16">
        <v>45017</v>
      </c>
      <c r="V21" s="17">
        <v>1</v>
      </c>
      <c r="W21" s="16">
        <v>45128</v>
      </c>
      <c r="X21" s="14">
        <v>63</v>
      </c>
      <c r="Y21" s="18">
        <f t="shared" si="32"/>
        <v>63</v>
      </c>
      <c r="Z21" s="18">
        <f t="shared" si="33"/>
        <v>0.328125</v>
      </c>
      <c r="AA21" s="18" t="s">
        <v>48</v>
      </c>
      <c r="AB21" s="26">
        <v>25</v>
      </c>
      <c r="AC21" s="26"/>
      <c r="AD21" s="26"/>
      <c r="AE21" s="147" t="str">
        <f t="shared" si="34"/>
        <v>1</v>
      </c>
      <c r="AF21" s="147" t="str">
        <f t="shared" si="35"/>
        <v>0</v>
      </c>
      <c r="AG21" s="147" t="str">
        <f t="shared" si="36"/>
        <v>0</v>
      </c>
      <c r="AH21" s="147" t="str">
        <f t="shared" si="37"/>
        <v>NO</v>
      </c>
      <c r="AI21" s="147" t="str">
        <f t="shared" si="38"/>
        <v>NO</v>
      </c>
      <c r="AJ21" s="147" t="str">
        <f t="shared" si="39"/>
        <v>NO</v>
      </c>
      <c r="AK21" s="147" t="str">
        <f t="shared" si="40"/>
        <v>NO</v>
      </c>
      <c r="AL21" s="21"/>
      <c r="AM21" s="21">
        <f>IF(H21="Y",AL21,((AB21*$O$902)-6000))</f>
        <v>5819.25</v>
      </c>
      <c r="AN21" s="27" t="s">
        <v>81</v>
      </c>
      <c r="AO21" s="21">
        <v>1</v>
      </c>
      <c r="AP21" s="21">
        <f t="shared" si="41"/>
        <v>0.328125</v>
      </c>
      <c r="AQ21" s="149">
        <f t="shared" si="42"/>
        <v>1909.44140625</v>
      </c>
      <c r="AR21" s="21">
        <v>1909.44140625</v>
      </c>
      <c r="AS21" s="610">
        <v>1909.44140625</v>
      </c>
      <c r="AT21" s="112">
        <v>1909.44140625</v>
      </c>
      <c r="AU21" s="23"/>
      <c r="AV21" s="23"/>
      <c r="AW21" s="23" t="e">
        <f>VLOOKUP(K21,#REF!,8,FALSE)</f>
        <v>#REF!</v>
      </c>
      <c r="AX21" s="23" t="e">
        <f>VLOOKUP(K21,#REF!,8,FALSE)</f>
        <v>#REF!</v>
      </c>
      <c r="AY21" s="23" t="e">
        <f>VLOOKUP(K21,#REF!,8,FALSE)</f>
        <v>#REF!</v>
      </c>
      <c r="AZ21" s="23"/>
      <c r="BA21" s="272"/>
      <c r="BB21" s="313">
        <f t="shared" si="43"/>
        <v>0</v>
      </c>
      <c r="BC21" s="269">
        <f t="shared" si="44"/>
        <v>1909.44140625</v>
      </c>
      <c r="BD21" s="110" t="s">
        <v>1454</v>
      </c>
      <c r="BE21">
        <v>43012</v>
      </c>
      <c r="BJ21">
        <f>AB21</f>
        <v>25</v>
      </c>
      <c r="BK21" s="269">
        <f>AM21</f>
        <v>5819.25</v>
      </c>
      <c r="BO21" s="106">
        <f>BK21/192*127</f>
        <v>3849.19140625</v>
      </c>
      <c r="BP21" s="166">
        <f t="shared" si="45"/>
        <v>5758.6328125</v>
      </c>
      <c r="BS21" s="165">
        <v>43012</v>
      </c>
      <c r="BT21" t="s">
        <v>1454</v>
      </c>
      <c r="BX21" s="495">
        <f t="shared" si="46"/>
        <v>5758.6328125</v>
      </c>
      <c r="BZ21" s="636">
        <f t="shared" si="18"/>
        <v>0</v>
      </c>
      <c r="CA21" s="633">
        <f t="shared" si="19"/>
        <v>3849.19140625</v>
      </c>
    </row>
    <row r="22" spans="1:79" x14ac:dyDescent="0.2">
      <c r="A22" s="4">
        <v>1</v>
      </c>
      <c r="B22" s="4">
        <v>1</v>
      </c>
      <c r="C22" s="312">
        <f t="shared" si="30"/>
        <v>2004</v>
      </c>
      <c r="D22" s="121">
        <v>2004</v>
      </c>
      <c r="E22" s="121">
        <v>43012</v>
      </c>
      <c r="F22" s="6" t="s">
        <v>1606</v>
      </c>
      <c r="G22" s="7" t="s">
        <v>75</v>
      </c>
      <c r="H22" s="7"/>
      <c r="I22" s="8" t="s">
        <v>32</v>
      </c>
      <c r="J22" s="8"/>
      <c r="K22" s="29">
        <v>434093</v>
      </c>
      <c r="L22" s="10" t="s">
        <v>76</v>
      </c>
      <c r="M22" s="10" t="s">
        <v>2466</v>
      </c>
      <c r="N22" s="10" t="s">
        <v>2467</v>
      </c>
      <c r="O22" s="11" t="s">
        <v>2468</v>
      </c>
      <c r="P22" s="12">
        <v>42902</v>
      </c>
      <c r="Q22" s="13">
        <f t="shared" ca="1" si="31"/>
        <v>8.2683093771389462</v>
      </c>
      <c r="R22" s="14">
        <v>1</v>
      </c>
      <c r="S22" s="15">
        <v>872</v>
      </c>
      <c r="T22" s="8">
        <v>872</v>
      </c>
      <c r="U22" s="16">
        <v>45093</v>
      </c>
      <c r="V22" s="17">
        <v>39</v>
      </c>
      <c r="W22" s="16">
        <v>45382</v>
      </c>
      <c r="X22" s="14">
        <v>192</v>
      </c>
      <c r="Y22" s="18">
        <f t="shared" si="32"/>
        <v>154</v>
      </c>
      <c r="Z22" s="18">
        <f t="shared" si="33"/>
        <v>0.80208333333333337</v>
      </c>
      <c r="AA22" s="18" t="s">
        <v>36</v>
      </c>
      <c r="AB22" s="26">
        <v>21</v>
      </c>
      <c r="AC22" s="26"/>
      <c r="AD22" s="26"/>
      <c r="AE22" s="147" t="str">
        <f t="shared" si="34"/>
        <v>1</v>
      </c>
      <c r="AF22" s="147" t="str">
        <f t="shared" si="35"/>
        <v>0</v>
      </c>
      <c r="AG22" s="147" t="str">
        <f t="shared" si="36"/>
        <v>0</v>
      </c>
      <c r="AH22" s="147" t="str">
        <f t="shared" si="37"/>
        <v>NO</v>
      </c>
      <c r="AI22" s="147" t="str">
        <f t="shared" si="38"/>
        <v>NO</v>
      </c>
      <c r="AJ22" s="147" t="str">
        <f t="shared" si="39"/>
        <v>NO</v>
      </c>
      <c r="AK22" s="147" t="str">
        <f t="shared" si="40"/>
        <v>NO</v>
      </c>
      <c r="AL22" s="21"/>
      <c r="AM22" s="21">
        <f>IF(H22="Y",AL22,((AB22*$O$902)-6000))</f>
        <v>3928.17</v>
      </c>
      <c r="AN22" s="27" t="s">
        <v>43</v>
      </c>
      <c r="AO22" s="21">
        <v>1</v>
      </c>
      <c r="AP22" s="21">
        <f t="shared" si="41"/>
        <v>0.80208333333333337</v>
      </c>
      <c r="AQ22" s="149">
        <f t="shared" si="42"/>
        <v>3150.7196875000004</v>
      </c>
      <c r="AR22" s="21">
        <v>0</v>
      </c>
      <c r="AS22" s="610">
        <v>0</v>
      </c>
      <c r="AT22" s="112">
        <v>0</v>
      </c>
      <c r="AU22" s="23"/>
      <c r="AV22" s="23"/>
      <c r="AW22" s="23" t="e">
        <f>VLOOKUP(K22,#REF!,8,FALSE)</f>
        <v>#REF!</v>
      </c>
      <c r="AX22" s="23" t="e">
        <f>VLOOKUP(K22,#REF!,8,FALSE)</f>
        <v>#REF!</v>
      </c>
      <c r="AY22" s="23" t="e">
        <f>VLOOKUP(K22,#REF!,8,FALSE)</f>
        <v>#REF!</v>
      </c>
      <c r="AZ22" s="23"/>
      <c r="BA22" s="272"/>
      <c r="BB22" s="313">
        <f t="shared" si="43"/>
        <v>0</v>
      </c>
      <c r="BC22" s="269">
        <f t="shared" si="44"/>
        <v>0</v>
      </c>
      <c r="BD22" s="110"/>
      <c r="BK22" s="269"/>
      <c r="BO22" s="106">
        <f>BK22/192*127</f>
        <v>0</v>
      </c>
      <c r="BP22" s="166">
        <f t="shared" si="45"/>
        <v>0</v>
      </c>
      <c r="BS22" s="165"/>
      <c r="BX22" s="495">
        <f t="shared" si="46"/>
        <v>3150.7196875000004</v>
      </c>
      <c r="BZ22" s="636">
        <f t="shared" si="18"/>
        <v>3150.7196875000004</v>
      </c>
      <c r="CA22" s="633">
        <f t="shared" si="19"/>
        <v>3150.7196875000004</v>
      </c>
    </row>
    <row r="23" spans="1:79" x14ac:dyDescent="0.2">
      <c r="A23" s="4">
        <v>1</v>
      </c>
      <c r="B23" s="4">
        <v>1</v>
      </c>
      <c r="C23" s="312">
        <f t="shared" si="30"/>
        <v>2004</v>
      </c>
      <c r="D23" s="121">
        <v>2004</v>
      </c>
      <c r="E23" s="121">
        <v>43012</v>
      </c>
      <c r="F23" s="6" t="s">
        <v>1606</v>
      </c>
      <c r="G23" s="7" t="s">
        <v>75</v>
      </c>
      <c r="H23" s="7"/>
      <c r="I23" s="8" t="s">
        <v>32</v>
      </c>
      <c r="J23" s="8"/>
      <c r="K23" s="29">
        <v>411775</v>
      </c>
      <c r="L23" s="10" t="s">
        <v>76</v>
      </c>
      <c r="M23" s="10" t="s">
        <v>88</v>
      </c>
      <c r="N23" s="10" t="s">
        <v>89</v>
      </c>
      <c r="O23" s="11" t="s">
        <v>90</v>
      </c>
      <c r="P23" s="12">
        <v>41585</v>
      </c>
      <c r="Q23" s="13">
        <f t="shared" ca="1" si="31"/>
        <v>11.874058863791923</v>
      </c>
      <c r="R23" s="14">
        <v>4</v>
      </c>
      <c r="S23" s="15">
        <v>872</v>
      </c>
      <c r="T23" s="8">
        <v>872</v>
      </c>
      <c r="U23" s="16">
        <v>45017</v>
      </c>
      <c r="V23" s="17">
        <v>1</v>
      </c>
      <c r="W23" s="16">
        <v>45382</v>
      </c>
      <c r="X23" s="14">
        <v>192</v>
      </c>
      <c r="Y23" s="18">
        <f t="shared" si="32"/>
        <v>192</v>
      </c>
      <c r="Z23" s="18">
        <f t="shared" si="33"/>
        <v>1</v>
      </c>
      <c r="AA23" s="18" t="s">
        <v>36</v>
      </c>
      <c r="AB23" s="26" t="s">
        <v>91</v>
      </c>
      <c r="AC23" s="26"/>
      <c r="AD23" s="26"/>
      <c r="AE23" s="147" t="str">
        <f t="shared" si="34"/>
        <v>0</v>
      </c>
      <c r="AF23" s="147" t="str">
        <f t="shared" si="35"/>
        <v>0</v>
      </c>
      <c r="AG23" s="147" t="str">
        <f t="shared" si="36"/>
        <v>1</v>
      </c>
      <c r="AH23" s="147" t="str">
        <f t="shared" si="37"/>
        <v>NO</v>
      </c>
      <c r="AI23" s="147" t="str">
        <f t="shared" si="38"/>
        <v>NO</v>
      </c>
      <c r="AJ23" s="147" t="str">
        <f t="shared" si="39"/>
        <v>NO</v>
      </c>
      <c r="AK23" s="147" t="str">
        <f t="shared" si="40"/>
        <v>NO</v>
      </c>
      <c r="AL23" s="21"/>
      <c r="AM23" s="21">
        <v>9951.14</v>
      </c>
      <c r="AN23" s="27" t="s">
        <v>56</v>
      </c>
      <c r="AO23" s="21">
        <v>1</v>
      </c>
      <c r="AP23" s="21">
        <f t="shared" si="41"/>
        <v>1</v>
      </c>
      <c r="AQ23" s="149">
        <f t="shared" si="42"/>
        <v>9951.14</v>
      </c>
      <c r="AR23" s="21">
        <v>9951.14</v>
      </c>
      <c r="AS23" s="610">
        <v>9951.14</v>
      </c>
      <c r="AT23" s="112">
        <v>9951.14</v>
      </c>
      <c r="AU23" s="23"/>
      <c r="AV23" s="23"/>
      <c r="AW23" s="23" t="e">
        <f>VLOOKUP(K23,#REF!,8,FALSE)</f>
        <v>#REF!</v>
      </c>
      <c r="AX23" s="23" t="e">
        <f>VLOOKUP(K23,#REF!,8,FALSE)</f>
        <v>#REF!</v>
      </c>
      <c r="AY23" s="23" t="e">
        <f>VLOOKUP(K23,#REF!,8,FALSE)</f>
        <v>#REF!</v>
      </c>
      <c r="AZ23" s="23"/>
      <c r="BA23" s="272"/>
      <c r="BB23" s="313">
        <f t="shared" si="43"/>
        <v>0</v>
      </c>
      <c r="BC23" s="269">
        <f t="shared" si="44"/>
        <v>9951.14</v>
      </c>
      <c r="BD23" t="str">
        <f t="shared" ref="BD23:BD29" si="47">BG23&amp;BH23&amp;BI23</f>
        <v/>
      </c>
      <c r="BP23" s="166">
        <f t="shared" si="45"/>
        <v>9951.14</v>
      </c>
      <c r="BS23" s="165"/>
      <c r="BX23" s="495">
        <f t="shared" si="46"/>
        <v>9951.14</v>
      </c>
      <c r="BZ23" s="636">
        <f t="shared" si="18"/>
        <v>0</v>
      </c>
      <c r="CA23" s="633">
        <f t="shared" si="19"/>
        <v>0</v>
      </c>
    </row>
    <row r="24" spans="1:79" x14ac:dyDescent="0.2">
      <c r="A24" s="4">
        <v>1</v>
      </c>
      <c r="B24" s="4">
        <v>1</v>
      </c>
      <c r="C24" s="312">
        <f t="shared" si="30"/>
        <v>2004</v>
      </c>
      <c r="D24" s="121">
        <v>2004</v>
      </c>
      <c r="E24" s="121">
        <v>43012</v>
      </c>
      <c r="F24" s="6" t="s">
        <v>1606</v>
      </c>
      <c r="G24" s="7" t="s">
        <v>75</v>
      </c>
      <c r="H24" s="7"/>
      <c r="I24" s="8" t="s">
        <v>32</v>
      </c>
      <c r="J24" s="8"/>
      <c r="K24" s="29">
        <v>395599</v>
      </c>
      <c r="L24" s="10" t="s">
        <v>76</v>
      </c>
      <c r="M24" s="10" t="s">
        <v>92</v>
      </c>
      <c r="N24" s="10" t="s">
        <v>93</v>
      </c>
      <c r="O24" s="11" t="s">
        <v>94</v>
      </c>
      <c r="P24" s="12">
        <v>41088</v>
      </c>
      <c r="Q24" s="13">
        <f t="shared" ca="1" si="31"/>
        <v>13.234770704996578</v>
      </c>
      <c r="R24" s="14">
        <v>6</v>
      </c>
      <c r="S24" s="15">
        <v>872</v>
      </c>
      <c r="T24" s="8">
        <v>872</v>
      </c>
      <c r="U24" s="16">
        <v>45017</v>
      </c>
      <c r="V24" s="17">
        <v>1</v>
      </c>
      <c r="W24" s="16">
        <v>45128</v>
      </c>
      <c r="X24" s="14">
        <v>63</v>
      </c>
      <c r="Y24" s="18">
        <f t="shared" si="32"/>
        <v>63</v>
      </c>
      <c r="Z24" s="18">
        <f t="shared" si="33"/>
        <v>0.328125</v>
      </c>
      <c r="AA24" s="18" t="s">
        <v>48</v>
      </c>
      <c r="AB24" s="26">
        <v>28</v>
      </c>
      <c r="AC24" s="26"/>
      <c r="AD24" s="26"/>
      <c r="AE24" s="147" t="str">
        <f t="shared" si="34"/>
        <v>0</v>
      </c>
      <c r="AF24" s="147" t="str">
        <f t="shared" si="35"/>
        <v>1</v>
      </c>
      <c r="AG24" s="147" t="str">
        <f t="shared" si="36"/>
        <v>0</v>
      </c>
      <c r="AH24" s="147" t="str">
        <f t="shared" si="37"/>
        <v>NO</v>
      </c>
      <c r="AI24" s="147" t="str">
        <f t="shared" si="38"/>
        <v>NO</v>
      </c>
      <c r="AJ24" s="147" t="str">
        <f t="shared" si="39"/>
        <v>NO</v>
      </c>
      <c r="AK24" s="147" t="str">
        <f t="shared" si="40"/>
        <v>NO</v>
      </c>
      <c r="AL24" s="21"/>
      <c r="AM24" s="21">
        <f>IF(H24="Y",AL24,((AB24*$O$902)-6000))</f>
        <v>7237.5599999999995</v>
      </c>
      <c r="AN24" s="27" t="s">
        <v>43</v>
      </c>
      <c r="AO24" s="21">
        <v>1</v>
      </c>
      <c r="AP24" s="21">
        <f t="shared" si="41"/>
        <v>0.328125</v>
      </c>
      <c r="AQ24" s="149">
        <f t="shared" si="42"/>
        <v>2374.8243749999997</v>
      </c>
      <c r="AR24" s="21">
        <v>2374.8243749999997</v>
      </c>
      <c r="AS24" s="610">
        <v>2374.8243749999997</v>
      </c>
      <c r="AT24" s="112">
        <v>2374.8243749999997</v>
      </c>
      <c r="AU24" s="23"/>
      <c r="AV24" s="23"/>
      <c r="AW24" s="23" t="e">
        <f>VLOOKUP(K24,#REF!,8,FALSE)</f>
        <v>#REF!</v>
      </c>
      <c r="AX24" s="23" t="s">
        <v>2264</v>
      </c>
      <c r="AY24" s="23" t="e">
        <f>VLOOKUP(K24,#REF!,8,FALSE)</f>
        <v>#REF!</v>
      </c>
      <c r="AZ24" s="23"/>
      <c r="BA24" s="272"/>
      <c r="BB24" s="313">
        <f t="shared" si="43"/>
        <v>0</v>
      </c>
      <c r="BC24" s="269">
        <f t="shared" si="44"/>
        <v>2374.8243749999997</v>
      </c>
      <c r="BD24" t="e">
        <f t="shared" si="47"/>
        <v>#REF!</v>
      </c>
      <c r="BE24" t="s">
        <v>2404</v>
      </c>
      <c r="BF24">
        <v>43012</v>
      </c>
      <c r="BH24" t="e">
        <f>VLOOKUP(K24,#REF!,8,FALSE)</f>
        <v>#REF!</v>
      </c>
      <c r="BJ24">
        <f>AB24</f>
        <v>28</v>
      </c>
      <c r="BK24" s="269">
        <f>AM24</f>
        <v>7237.5599999999995</v>
      </c>
      <c r="BL24" s="353"/>
      <c r="BM24" s="353" t="s">
        <v>75</v>
      </c>
      <c r="BN24" s="353"/>
      <c r="BO24" s="106">
        <f>BK24/192*127</f>
        <v>4787.3443749999997</v>
      </c>
      <c r="BP24" s="166">
        <f t="shared" si="45"/>
        <v>7162.1687499999989</v>
      </c>
      <c r="BS24" s="165"/>
      <c r="BX24" s="495">
        <f t="shared" si="46"/>
        <v>7162.1687499999989</v>
      </c>
      <c r="BZ24" s="636">
        <f t="shared" si="18"/>
        <v>0</v>
      </c>
      <c r="CA24" s="633">
        <f t="shared" si="19"/>
        <v>4787.3443749999988</v>
      </c>
    </row>
    <row r="25" spans="1:79" x14ac:dyDescent="0.2">
      <c r="A25" s="4">
        <v>1</v>
      </c>
      <c r="B25" s="4">
        <v>1</v>
      </c>
      <c r="C25" s="312">
        <f t="shared" si="30"/>
        <v>2004</v>
      </c>
      <c r="D25" s="121">
        <v>2004</v>
      </c>
      <c r="E25" s="121">
        <v>43012</v>
      </c>
      <c r="F25" s="6" t="s">
        <v>1606</v>
      </c>
      <c r="G25" s="7" t="s">
        <v>75</v>
      </c>
      <c r="H25" s="7"/>
      <c r="I25" s="8" t="s">
        <v>32</v>
      </c>
      <c r="J25" s="8"/>
      <c r="K25" s="29">
        <v>403809</v>
      </c>
      <c r="L25" s="10" t="s">
        <v>76</v>
      </c>
      <c r="M25" s="10" t="s">
        <v>95</v>
      </c>
      <c r="N25" s="10" t="s">
        <v>96</v>
      </c>
      <c r="O25" s="11" t="s">
        <v>97</v>
      </c>
      <c r="P25" s="12">
        <v>41517</v>
      </c>
      <c r="Q25" s="13">
        <f t="shared" ca="1" si="31"/>
        <v>12.060232717316905</v>
      </c>
      <c r="R25" s="14">
        <v>5</v>
      </c>
      <c r="S25" s="15" t="s">
        <v>98</v>
      </c>
      <c r="T25" s="8" t="s">
        <v>98</v>
      </c>
      <c r="U25" s="16">
        <v>45017</v>
      </c>
      <c r="V25" s="17">
        <v>1</v>
      </c>
      <c r="W25" s="16">
        <v>45382</v>
      </c>
      <c r="X25" s="14">
        <v>192</v>
      </c>
      <c r="Y25" s="18">
        <f t="shared" si="32"/>
        <v>192</v>
      </c>
      <c r="Z25" s="18">
        <f t="shared" si="33"/>
        <v>1</v>
      </c>
      <c r="AA25" s="18" t="s">
        <v>36</v>
      </c>
      <c r="AB25" s="26">
        <v>25</v>
      </c>
      <c r="AC25" s="26"/>
      <c r="AD25" s="26"/>
      <c r="AE25" s="147" t="str">
        <f t="shared" si="34"/>
        <v>1</v>
      </c>
      <c r="AF25" s="147" t="str">
        <f t="shared" si="35"/>
        <v>0</v>
      </c>
      <c r="AG25" s="147" t="str">
        <f t="shared" si="36"/>
        <v>0</v>
      </c>
      <c r="AH25" s="147" t="str">
        <f t="shared" si="37"/>
        <v>NO</v>
      </c>
      <c r="AI25" s="147" t="str">
        <f t="shared" si="38"/>
        <v>NO</v>
      </c>
      <c r="AJ25" s="147" t="str">
        <f t="shared" si="39"/>
        <v>NO</v>
      </c>
      <c r="AK25" s="147" t="str">
        <f t="shared" si="40"/>
        <v>NO</v>
      </c>
      <c r="AL25" s="21"/>
      <c r="AM25" s="21">
        <f>IF(H25="Y",AL25,((AB25*$O$902)-6000))</f>
        <v>5819.25</v>
      </c>
      <c r="AN25" s="27" t="s">
        <v>43</v>
      </c>
      <c r="AO25" s="21">
        <v>1</v>
      </c>
      <c r="AP25" s="21">
        <f t="shared" si="41"/>
        <v>1</v>
      </c>
      <c r="AQ25" s="149">
        <f t="shared" si="42"/>
        <v>5819.25</v>
      </c>
      <c r="AR25" s="21">
        <v>5819.25</v>
      </c>
      <c r="AS25" s="610">
        <v>5819.25</v>
      </c>
      <c r="AT25" s="112">
        <v>5819.25</v>
      </c>
      <c r="AU25" s="23"/>
      <c r="AV25" s="23"/>
      <c r="AW25" s="23" t="e">
        <f>VLOOKUP(K25,#REF!,8,FALSE)</f>
        <v>#REF!</v>
      </c>
      <c r="AX25" s="23" t="e">
        <f>VLOOKUP(K25,#REF!,8,FALSE)</f>
        <v>#REF!</v>
      </c>
      <c r="AY25" s="23" t="e">
        <f>VLOOKUP(K25,#REF!,8,FALSE)</f>
        <v>#REF!</v>
      </c>
      <c r="AZ25" s="23"/>
      <c r="BA25" s="272"/>
      <c r="BB25" s="313">
        <f t="shared" si="43"/>
        <v>0</v>
      </c>
      <c r="BC25" s="269">
        <f t="shared" si="44"/>
        <v>5819.25</v>
      </c>
      <c r="BD25" t="str">
        <f t="shared" si="47"/>
        <v/>
      </c>
      <c r="BP25" s="166">
        <f t="shared" si="45"/>
        <v>5819.25</v>
      </c>
      <c r="BS25" s="165"/>
      <c r="BX25" s="495">
        <f t="shared" si="46"/>
        <v>5819.25</v>
      </c>
      <c r="BZ25" s="636">
        <f t="shared" si="18"/>
        <v>0</v>
      </c>
      <c r="CA25" s="633">
        <f t="shared" si="19"/>
        <v>0</v>
      </c>
    </row>
    <row r="26" spans="1:79" x14ac:dyDescent="0.2">
      <c r="A26" s="4">
        <v>1</v>
      </c>
      <c r="B26" s="4">
        <v>1</v>
      </c>
      <c r="C26" s="312">
        <f t="shared" si="30"/>
        <v>2004</v>
      </c>
      <c r="D26" s="121">
        <v>2004</v>
      </c>
      <c r="E26" s="121">
        <v>43012</v>
      </c>
      <c r="F26" s="6" t="s">
        <v>1606</v>
      </c>
      <c r="G26" s="7" t="s">
        <v>75</v>
      </c>
      <c r="H26" s="7"/>
      <c r="I26" s="8" t="s">
        <v>32</v>
      </c>
      <c r="J26" s="8"/>
      <c r="K26" s="14">
        <v>412700</v>
      </c>
      <c r="L26" s="10" t="s">
        <v>76</v>
      </c>
      <c r="M26" s="10" t="s">
        <v>99</v>
      </c>
      <c r="N26" s="10" t="s">
        <v>100</v>
      </c>
      <c r="O26" s="11" t="s">
        <v>101</v>
      </c>
      <c r="P26" s="12">
        <v>41194</v>
      </c>
      <c r="Q26" s="13">
        <f t="shared" ca="1" si="31"/>
        <v>12.944558521560575</v>
      </c>
      <c r="R26" s="14">
        <v>5</v>
      </c>
      <c r="S26" s="15" t="s">
        <v>98</v>
      </c>
      <c r="T26" s="8" t="s">
        <v>98</v>
      </c>
      <c r="U26" s="16">
        <v>45017</v>
      </c>
      <c r="V26" s="17">
        <v>1</v>
      </c>
      <c r="W26" s="16">
        <v>45382</v>
      </c>
      <c r="X26" s="14">
        <v>192</v>
      </c>
      <c r="Y26" s="18">
        <f t="shared" si="32"/>
        <v>192</v>
      </c>
      <c r="Z26" s="18">
        <f t="shared" si="33"/>
        <v>1</v>
      </c>
      <c r="AA26" s="18" t="s">
        <v>36</v>
      </c>
      <c r="AB26" s="26">
        <v>24</v>
      </c>
      <c r="AC26" s="26"/>
      <c r="AD26" s="26"/>
      <c r="AE26" s="147" t="str">
        <f t="shared" si="34"/>
        <v>1</v>
      </c>
      <c r="AF26" s="147" t="str">
        <f t="shared" si="35"/>
        <v>0</v>
      </c>
      <c r="AG26" s="147" t="str">
        <f t="shared" si="36"/>
        <v>0</v>
      </c>
      <c r="AH26" s="147" t="str">
        <f t="shared" si="37"/>
        <v>NO</v>
      </c>
      <c r="AI26" s="147" t="str">
        <f t="shared" si="38"/>
        <v>NO</v>
      </c>
      <c r="AJ26" s="147" t="str">
        <f t="shared" si="39"/>
        <v>NO</v>
      </c>
      <c r="AK26" s="147" t="str">
        <f t="shared" si="40"/>
        <v>NO</v>
      </c>
      <c r="AL26" s="21"/>
      <c r="AM26" s="21">
        <f>IF(H26="Y",AL26,((AB26*$O$902)-6000))</f>
        <v>5346.48</v>
      </c>
      <c r="AN26" s="27" t="s">
        <v>66</v>
      </c>
      <c r="AO26" s="21">
        <v>1</v>
      </c>
      <c r="AP26" s="21">
        <f t="shared" si="41"/>
        <v>1</v>
      </c>
      <c r="AQ26" s="149">
        <f t="shared" si="42"/>
        <v>5346.48</v>
      </c>
      <c r="AR26" s="21">
        <v>5346.48</v>
      </c>
      <c r="AS26" s="610">
        <v>5346.48</v>
      </c>
      <c r="AT26" s="112">
        <v>5346.48</v>
      </c>
      <c r="AU26" s="23"/>
      <c r="AV26" s="23"/>
      <c r="AW26" s="23" t="e">
        <f>VLOOKUP(K26,#REF!,8,FALSE)</f>
        <v>#REF!</v>
      </c>
      <c r="AX26" s="23" t="e">
        <f>VLOOKUP(K26,#REF!,8,FALSE)</f>
        <v>#REF!</v>
      </c>
      <c r="AY26" s="23" t="e">
        <f>VLOOKUP(K26,#REF!,8,FALSE)</f>
        <v>#REF!</v>
      </c>
      <c r="AZ26" s="23"/>
      <c r="BA26" s="272"/>
      <c r="BB26" s="313">
        <f t="shared" si="43"/>
        <v>0</v>
      </c>
      <c r="BC26" s="269">
        <f t="shared" si="44"/>
        <v>5346.48</v>
      </c>
      <c r="BD26" t="str">
        <f t="shared" si="47"/>
        <v/>
      </c>
      <c r="BP26" s="166">
        <f t="shared" si="45"/>
        <v>5346.48</v>
      </c>
      <c r="BS26" s="165"/>
      <c r="BX26" s="495">
        <f t="shared" si="46"/>
        <v>5346.48</v>
      </c>
      <c r="BZ26" s="636">
        <f t="shared" si="18"/>
        <v>0</v>
      </c>
      <c r="CA26" s="633">
        <f t="shared" si="19"/>
        <v>0</v>
      </c>
    </row>
    <row r="27" spans="1:79" x14ac:dyDescent="0.2">
      <c r="A27" s="4">
        <v>1</v>
      </c>
      <c r="B27" s="4">
        <v>1</v>
      </c>
      <c r="C27" s="312">
        <f t="shared" si="30"/>
        <v>2004</v>
      </c>
      <c r="D27" s="121">
        <v>2004</v>
      </c>
      <c r="E27" s="121">
        <v>43012</v>
      </c>
      <c r="F27" s="6" t="s">
        <v>1606</v>
      </c>
      <c r="G27" s="7" t="s">
        <v>75</v>
      </c>
      <c r="H27" s="7"/>
      <c r="I27" s="8" t="s">
        <v>32</v>
      </c>
      <c r="J27" s="8"/>
      <c r="K27" s="14">
        <v>410108</v>
      </c>
      <c r="L27" s="10" t="s">
        <v>76</v>
      </c>
      <c r="M27" s="10" t="s">
        <v>102</v>
      </c>
      <c r="N27" s="10" t="s">
        <v>103</v>
      </c>
      <c r="O27" s="11" t="s">
        <v>104</v>
      </c>
      <c r="P27" s="12">
        <v>41753</v>
      </c>
      <c r="Q27" s="13">
        <f t="shared" ca="1" si="31"/>
        <v>11.41409993155373</v>
      </c>
      <c r="R27" s="14">
        <v>4</v>
      </c>
      <c r="S27" s="15" t="s">
        <v>98</v>
      </c>
      <c r="T27" s="8" t="s">
        <v>98</v>
      </c>
      <c r="U27" s="16">
        <v>45017</v>
      </c>
      <c r="V27" s="17">
        <v>1</v>
      </c>
      <c r="W27" s="16">
        <v>45382</v>
      </c>
      <c r="X27" s="14">
        <v>192</v>
      </c>
      <c r="Y27" s="18">
        <f t="shared" si="32"/>
        <v>192</v>
      </c>
      <c r="Z27" s="18">
        <f t="shared" si="33"/>
        <v>1</v>
      </c>
      <c r="AA27" s="18" t="s">
        <v>36</v>
      </c>
      <c r="AB27" s="26" t="s">
        <v>91</v>
      </c>
      <c r="AC27" s="26"/>
      <c r="AD27" s="26"/>
      <c r="AE27" s="147" t="str">
        <f t="shared" si="34"/>
        <v>0</v>
      </c>
      <c r="AF27" s="147" t="str">
        <f t="shared" si="35"/>
        <v>0</v>
      </c>
      <c r="AG27" s="147" t="str">
        <f t="shared" si="36"/>
        <v>1</v>
      </c>
      <c r="AH27" s="147" t="str">
        <f t="shared" si="37"/>
        <v>NO</v>
      </c>
      <c r="AI27" s="147" t="str">
        <f t="shared" si="38"/>
        <v>NO</v>
      </c>
      <c r="AJ27" s="147" t="str">
        <f t="shared" si="39"/>
        <v>NO</v>
      </c>
      <c r="AK27" s="147" t="str">
        <f t="shared" si="40"/>
        <v>NO</v>
      </c>
      <c r="AL27" s="21"/>
      <c r="AM27" s="21">
        <v>17982.830000000002</v>
      </c>
      <c r="AN27" s="27" t="s">
        <v>43</v>
      </c>
      <c r="AO27" s="21">
        <v>1</v>
      </c>
      <c r="AP27" s="21">
        <f t="shared" si="41"/>
        <v>1</v>
      </c>
      <c r="AQ27" s="149">
        <f t="shared" si="42"/>
        <v>17982.830000000002</v>
      </c>
      <c r="AR27" s="21">
        <v>17982.830000000002</v>
      </c>
      <c r="AS27" s="610">
        <v>0</v>
      </c>
      <c r="AT27" s="112">
        <v>17982.830000000002</v>
      </c>
      <c r="AU27" s="23"/>
      <c r="AV27" s="23"/>
      <c r="AW27" s="23" t="e">
        <f>VLOOKUP(K27,#REF!,8,FALSE)</f>
        <v>#REF!</v>
      </c>
      <c r="AX27" s="23" t="e">
        <f>VLOOKUP(K27,#REF!,8,FALSE)</f>
        <v>#REF!</v>
      </c>
      <c r="AY27" s="23" t="e">
        <f>VLOOKUP(K27,#REF!,8,FALSE)</f>
        <v>#REF!</v>
      </c>
      <c r="AZ27" s="23"/>
      <c r="BA27" s="272"/>
      <c r="BB27" s="313">
        <f t="shared" si="43"/>
        <v>0</v>
      </c>
      <c r="BC27" s="269">
        <f t="shared" si="44"/>
        <v>17982.830000000002</v>
      </c>
      <c r="BD27" t="str">
        <f t="shared" si="47"/>
        <v/>
      </c>
      <c r="BP27" s="166">
        <f t="shared" si="45"/>
        <v>17982.830000000002</v>
      </c>
      <c r="BS27" s="165"/>
      <c r="BX27" s="495">
        <f t="shared" si="46"/>
        <v>17982.830000000002</v>
      </c>
      <c r="BZ27" s="636">
        <f t="shared" si="18"/>
        <v>0</v>
      </c>
      <c r="CA27" s="633">
        <f t="shared" si="19"/>
        <v>17982.830000000002</v>
      </c>
    </row>
    <row r="28" spans="1:79" x14ac:dyDescent="0.2">
      <c r="A28" s="4">
        <v>1</v>
      </c>
      <c r="B28" s="4">
        <v>1</v>
      </c>
      <c r="C28" s="312">
        <f t="shared" si="30"/>
        <v>2004</v>
      </c>
      <c r="D28" s="121">
        <v>2004</v>
      </c>
      <c r="E28" s="121">
        <v>43012</v>
      </c>
      <c r="F28" s="6" t="s">
        <v>1606</v>
      </c>
      <c r="G28" s="7" t="s">
        <v>75</v>
      </c>
      <c r="H28" s="7"/>
      <c r="I28" s="8" t="s">
        <v>32</v>
      </c>
      <c r="J28" s="8"/>
      <c r="K28" s="29">
        <v>413780</v>
      </c>
      <c r="L28" s="10" t="s">
        <v>76</v>
      </c>
      <c r="M28" s="10" t="s">
        <v>105</v>
      </c>
      <c r="N28" s="10" t="s">
        <v>106</v>
      </c>
      <c r="O28" s="11" t="s">
        <v>107</v>
      </c>
      <c r="P28" s="12">
        <v>41678</v>
      </c>
      <c r="Q28" s="13">
        <f t="shared" ca="1" si="31"/>
        <v>11.619438740588638</v>
      </c>
      <c r="R28" s="14">
        <v>4</v>
      </c>
      <c r="S28" s="15">
        <v>872</v>
      </c>
      <c r="T28" s="8">
        <v>872</v>
      </c>
      <c r="U28" s="16">
        <v>45017</v>
      </c>
      <c r="V28" s="17">
        <v>1</v>
      </c>
      <c r="W28" s="16">
        <v>45382</v>
      </c>
      <c r="X28" s="14">
        <v>192</v>
      </c>
      <c r="Y28" s="18">
        <f t="shared" si="32"/>
        <v>192</v>
      </c>
      <c r="Z28" s="18">
        <f t="shared" si="33"/>
        <v>1</v>
      </c>
      <c r="AA28" s="18" t="s">
        <v>36</v>
      </c>
      <c r="AB28" s="26">
        <v>30</v>
      </c>
      <c r="AC28" s="26"/>
      <c r="AD28" s="26"/>
      <c r="AE28" s="147" t="str">
        <f t="shared" si="34"/>
        <v>0</v>
      </c>
      <c r="AF28" s="147" t="str">
        <f t="shared" si="35"/>
        <v>1</v>
      </c>
      <c r="AG28" s="147" t="str">
        <f t="shared" si="36"/>
        <v>0</v>
      </c>
      <c r="AH28" s="147" t="str">
        <f t="shared" si="37"/>
        <v>NO</v>
      </c>
      <c r="AI28" s="147" t="str">
        <f t="shared" si="38"/>
        <v>NO</v>
      </c>
      <c r="AJ28" s="147" t="str">
        <f t="shared" si="39"/>
        <v>NO</v>
      </c>
      <c r="AK28" s="147" t="str">
        <f t="shared" si="40"/>
        <v>NO</v>
      </c>
      <c r="AL28" s="21"/>
      <c r="AM28" s="21">
        <f t="shared" ref="AM28:AM36" si="48">IF(H28="Y",AL28,((AB28*$O$902)-6000))</f>
        <v>8183.0999999999985</v>
      </c>
      <c r="AN28" s="27" t="s">
        <v>37</v>
      </c>
      <c r="AO28" s="21">
        <v>1</v>
      </c>
      <c r="AP28" s="21">
        <f t="shared" si="41"/>
        <v>1</v>
      </c>
      <c r="AQ28" s="149">
        <f t="shared" si="42"/>
        <v>8183.0999999999985</v>
      </c>
      <c r="AR28" s="21">
        <v>8183.0999999999985</v>
      </c>
      <c r="AS28" s="610">
        <v>8183.0999999999985</v>
      </c>
      <c r="AT28" s="112">
        <v>8183.0999999999985</v>
      </c>
      <c r="AU28" s="23"/>
      <c r="AV28" s="23"/>
      <c r="AW28" s="23" t="e">
        <f>VLOOKUP(K28,#REF!,8,FALSE)</f>
        <v>#REF!</v>
      </c>
      <c r="AX28" s="23" t="e">
        <f>VLOOKUP(K28,#REF!,8,FALSE)</f>
        <v>#REF!</v>
      </c>
      <c r="AY28" s="23" t="e">
        <f>VLOOKUP(K28,#REF!,8,FALSE)</f>
        <v>#REF!</v>
      </c>
      <c r="AZ28" s="23"/>
      <c r="BA28" s="272"/>
      <c r="BB28" s="313">
        <f t="shared" si="43"/>
        <v>0</v>
      </c>
      <c r="BC28" s="269">
        <f t="shared" si="44"/>
        <v>8183.0999999999985</v>
      </c>
      <c r="BD28" t="str">
        <f t="shared" si="47"/>
        <v/>
      </c>
      <c r="BP28" s="166">
        <f t="shared" si="45"/>
        <v>8183.0999999999985</v>
      </c>
      <c r="BS28" s="165"/>
      <c r="BX28" s="495">
        <f t="shared" si="46"/>
        <v>8183.0999999999985</v>
      </c>
      <c r="BZ28" s="636">
        <f t="shared" si="18"/>
        <v>0</v>
      </c>
      <c r="CA28" s="633">
        <f t="shared" si="19"/>
        <v>0</v>
      </c>
    </row>
    <row r="29" spans="1:79" x14ac:dyDescent="0.2">
      <c r="A29" s="4">
        <v>1</v>
      </c>
      <c r="B29" s="4">
        <v>1</v>
      </c>
      <c r="C29" s="312">
        <f t="shared" si="30"/>
        <v>2004</v>
      </c>
      <c r="D29" s="121">
        <v>2004</v>
      </c>
      <c r="E29" s="121">
        <v>43012</v>
      </c>
      <c r="F29" s="6" t="s">
        <v>1606</v>
      </c>
      <c r="G29" s="7" t="s">
        <v>75</v>
      </c>
      <c r="H29" s="7"/>
      <c r="I29" s="8" t="s">
        <v>32</v>
      </c>
      <c r="J29" s="8"/>
      <c r="K29" s="29">
        <v>436982</v>
      </c>
      <c r="L29" s="10" t="s">
        <v>76</v>
      </c>
      <c r="M29" s="10" t="s">
        <v>108</v>
      </c>
      <c r="N29" s="10" t="s">
        <v>109</v>
      </c>
      <c r="O29" s="11" t="s">
        <v>110</v>
      </c>
      <c r="P29" s="12">
        <v>41659</v>
      </c>
      <c r="Q29" s="13">
        <f t="shared" ca="1" si="31"/>
        <v>11.671457905544148</v>
      </c>
      <c r="R29" s="14">
        <v>4</v>
      </c>
      <c r="S29" s="15">
        <v>872</v>
      </c>
      <c r="T29" s="8">
        <v>872</v>
      </c>
      <c r="U29" s="16">
        <v>45017</v>
      </c>
      <c r="V29" s="17">
        <v>1</v>
      </c>
      <c r="W29" s="16">
        <v>45382</v>
      </c>
      <c r="X29" s="14">
        <v>192</v>
      </c>
      <c r="Y29" s="18">
        <f t="shared" si="32"/>
        <v>192</v>
      </c>
      <c r="Z29" s="18">
        <f t="shared" si="33"/>
        <v>1</v>
      </c>
      <c r="AA29" s="18" t="s">
        <v>36</v>
      </c>
      <c r="AB29" s="26">
        <v>30</v>
      </c>
      <c r="AC29" s="26"/>
      <c r="AD29" s="26"/>
      <c r="AE29" s="147" t="str">
        <f t="shared" si="34"/>
        <v>0</v>
      </c>
      <c r="AF29" s="147" t="str">
        <f t="shared" si="35"/>
        <v>1</v>
      </c>
      <c r="AG29" s="147" t="str">
        <f t="shared" si="36"/>
        <v>0</v>
      </c>
      <c r="AH29" s="147" t="str">
        <f t="shared" si="37"/>
        <v>NO</v>
      </c>
      <c r="AI29" s="147" t="str">
        <f t="shared" si="38"/>
        <v>NO</v>
      </c>
      <c r="AJ29" s="147" t="str">
        <f t="shared" si="39"/>
        <v>NO</v>
      </c>
      <c r="AK29" s="147" t="str">
        <f t="shared" si="40"/>
        <v>NO</v>
      </c>
      <c r="AL29" s="21"/>
      <c r="AM29" s="21">
        <f t="shared" si="48"/>
        <v>8183.0999999999985</v>
      </c>
      <c r="AN29" s="27"/>
      <c r="AO29" s="21">
        <v>1</v>
      </c>
      <c r="AP29" s="21">
        <f t="shared" si="41"/>
        <v>1</v>
      </c>
      <c r="AQ29" s="149">
        <f t="shared" si="42"/>
        <v>8183.0999999999985</v>
      </c>
      <c r="AR29" s="21">
        <v>8183.0999999999985</v>
      </c>
      <c r="AS29" s="610">
        <v>8183.0999999999985</v>
      </c>
      <c r="AT29" s="112">
        <v>8183.0999999999985</v>
      </c>
      <c r="AU29" s="23"/>
      <c r="AV29" s="23"/>
      <c r="AW29" s="23" t="e">
        <f>VLOOKUP(K29,#REF!,8,FALSE)</f>
        <v>#REF!</v>
      </c>
      <c r="AX29" s="23" t="e">
        <f>VLOOKUP(K29,#REF!,8,FALSE)</f>
        <v>#REF!</v>
      </c>
      <c r="AY29" s="23" t="e">
        <f>VLOOKUP(K29,#REF!,8,FALSE)</f>
        <v>#REF!</v>
      </c>
      <c r="AZ29" s="23"/>
      <c r="BA29" s="272"/>
      <c r="BB29" s="313">
        <f t="shared" si="43"/>
        <v>0</v>
      </c>
      <c r="BC29" s="269">
        <f t="shared" si="44"/>
        <v>8183.0999999999985</v>
      </c>
      <c r="BD29" t="str">
        <f t="shared" si="47"/>
        <v/>
      </c>
      <c r="BP29" s="166">
        <f t="shared" si="45"/>
        <v>8183.0999999999985</v>
      </c>
      <c r="BS29" s="165"/>
      <c r="BX29" s="495">
        <f t="shared" si="46"/>
        <v>8183.0999999999985</v>
      </c>
      <c r="BZ29" s="636">
        <f t="shared" si="18"/>
        <v>0</v>
      </c>
      <c r="CA29" s="633">
        <f t="shared" si="19"/>
        <v>0</v>
      </c>
    </row>
    <row r="30" spans="1:79" x14ac:dyDescent="0.2">
      <c r="A30" s="4">
        <v>1</v>
      </c>
      <c r="B30" s="4">
        <v>1</v>
      </c>
      <c r="C30" s="312">
        <f t="shared" si="30"/>
        <v>2004</v>
      </c>
      <c r="D30" s="121">
        <v>2004</v>
      </c>
      <c r="E30" s="121">
        <v>43012</v>
      </c>
      <c r="F30" s="6" t="s">
        <v>1606</v>
      </c>
      <c r="G30" s="7" t="s">
        <v>75</v>
      </c>
      <c r="H30" s="7"/>
      <c r="I30" s="8" t="s">
        <v>32</v>
      </c>
      <c r="J30" s="8"/>
      <c r="K30" s="29">
        <v>395349</v>
      </c>
      <c r="L30" s="10" t="s">
        <v>76</v>
      </c>
      <c r="M30" s="10" t="s">
        <v>111</v>
      </c>
      <c r="N30" s="10" t="s">
        <v>112</v>
      </c>
      <c r="O30" s="11" t="s">
        <v>113</v>
      </c>
      <c r="P30" s="12">
        <v>40906</v>
      </c>
      <c r="Q30" s="13">
        <f t="shared" ca="1" si="31"/>
        <v>13.733059548254619</v>
      </c>
      <c r="R30" s="14">
        <v>6</v>
      </c>
      <c r="S30" s="15" t="s">
        <v>98</v>
      </c>
      <c r="T30" s="8" t="s">
        <v>98</v>
      </c>
      <c r="U30" s="16">
        <v>45017</v>
      </c>
      <c r="V30" s="17">
        <v>1</v>
      </c>
      <c r="W30" s="16">
        <v>45128</v>
      </c>
      <c r="X30" s="14">
        <v>63</v>
      </c>
      <c r="Y30" s="18">
        <f t="shared" si="32"/>
        <v>63</v>
      </c>
      <c r="Z30" s="18">
        <f t="shared" si="33"/>
        <v>0.328125</v>
      </c>
      <c r="AA30" s="16" t="s">
        <v>48</v>
      </c>
      <c r="AB30" s="26">
        <v>26</v>
      </c>
      <c r="AC30" s="26"/>
      <c r="AD30" s="26"/>
      <c r="AE30" s="147" t="str">
        <f t="shared" si="34"/>
        <v>0</v>
      </c>
      <c r="AF30" s="147" t="str">
        <f t="shared" si="35"/>
        <v>1</v>
      </c>
      <c r="AG30" s="147" t="str">
        <f t="shared" si="36"/>
        <v>0</v>
      </c>
      <c r="AH30" s="147" t="str">
        <f t="shared" si="37"/>
        <v>NO</v>
      </c>
      <c r="AI30" s="147" t="str">
        <f t="shared" si="38"/>
        <v>NO</v>
      </c>
      <c r="AJ30" s="147" t="str">
        <f t="shared" si="39"/>
        <v>NO</v>
      </c>
      <c r="AK30" s="147" t="str">
        <f t="shared" si="40"/>
        <v>NO</v>
      </c>
      <c r="AL30" s="21"/>
      <c r="AM30" s="21">
        <f t="shared" si="48"/>
        <v>6292.02</v>
      </c>
      <c r="AN30" s="27" t="s">
        <v>56</v>
      </c>
      <c r="AO30" s="21">
        <v>1</v>
      </c>
      <c r="AP30" s="21">
        <f t="shared" si="41"/>
        <v>0.328125</v>
      </c>
      <c r="AQ30" s="149">
        <f t="shared" si="42"/>
        <v>2064.5690625000002</v>
      </c>
      <c r="AR30" s="21">
        <v>2064.5690625000002</v>
      </c>
      <c r="AS30" s="610">
        <v>0</v>
      </c>
      <c r="AT30" s="112">
        <v>2064.5690625000002</v>
      </c>
      <c r="AU30" s="23"/>
      <c r="AV30" s="23"/>
      <c r="AW30" s="23" t="e">
        <f>VLOOKUP(K30,#REF!,8,FALSE)</f>
        <v>#REF!</v>
      </c>
      <c r="AX30" s="23" t="e">
        <f>VLOOKUP(K30,#REF!,8,FALSE)</f>
        <v>#REF!</v>
      </c>
      <c r="AY30" s="23" t="e">
        <f>VLOOKUP(K30,#REF!,8,FALSE)</f>
        <v>#REF!</v>
      </c>
      <c r="AZ30" s="23"/>
      <c r="BA30" s="272"/>
      <c r="BB30" s="313">
        <f t="shared" si="43"/>
        <v>0</v>
      </c>
      <c r="BC30" s="269">
        <f t="shared" si="44"/>
        <v>2064.5690625000002</v>
      </c>
      <c r="BD30" s="110" t="s">
        <v>988</v>
      </c>
      <c r="BE30">
        <v>43012</v>
      </c>
      <c r="BJ30">
        <f>AB30</f>
        <v>26</v>
      </c>
      <c r="BK30" s="269">
        <f>AM30</f>
        <v>6292.02</v>
      </c>
      <c r="BO30" s="106">
        <f>BK30/192*127</f>
        <v>4161.9090624999999</v>
      </c>
      <c r="BP30" s="166">
        <f t="shared" si="45"/>
        <v>6226.4781249999996</v>
      </c>
      <c r="BS30" s="165">
        <v>43012</v>
      </c>
      <c r="BT30" t="s">
        <v>988</v>
      </c>
      <c r="BV30" t="s">
        <v>2555</v>
      </c>
      <c r="BX30" s="495">
        <f t="shared" si="46"/>
        <v>6226.4781249999996</v>
      </c>
      <c r="BZ30" s="636">
        <f t="shared" si="18"/>
        <v>0</v>
      </c>
      <c r="CA30" s="633">
        <f t="shared" si="19"/>
        <v>6226.4781249999996</v>
      </c>
    </row>
    <row r="31" spans="1:79" x14ac:dyDescent="0.2">
      <c r="A31" s="4">
        <v>1</v>
      </c>
      <c r="B31" s="4">
        <v>1</v>
      </c>
      <c r="C31" s="5">
        <f t="shared" ref="C31:C94" si="49">D31*1</f>
        <v>41103</v>
      </c>
      <c r="D31" s="6">
        <v>41103</v>
      </c>
      <c r="E31" s="6">
        <v>43011</v>
      </c>
      <c r="F31" s="6" t="s">
        <v>1606</v>
      </c>
      <c r="G31" s="7"/>
      <c r="H31" s="7"/>
      <c r="I31" s="8" t="s">
        <v>32</v>
      </c>
      <c r="J31" s="8"/>
      <c r="K31" s="29">
        <v>407543</v>
      </c>
      <c r="L31" s="10" t="s">
        <v>114</v>
      </c>
      <c r="M31" s="10" t="s">
        <v>115</v>
      </c>
      <c r="N31" s="10" t="s">
        <v>116</v>
      </c>
      <c r="O31" s="11" t="s">
        <v>117</v>
      </c>
      <c r="P31" s="12">
        <v>41340</v>
      </c>
      <c r="Q31" s="13">
        <f t="shared" ca="1" si="31"/>
        <v>12.544832306639288</v>
      </c>
      <c r="R31" s="14">
        <v>5</v>
      </c>
      <c r="S31" s="15">
        <v>872</v>
      </c>
      <c r="T31" s="8">
        <v>872</v>
      </c>
      <c r="U31" s="16">
        <v>45017</v>
      </c>
      <c r="V31" s="17">
        <v>1</v>
      </c>
      <c r="W31" s="16">
        <v>45382</v>
      </c>
      <c r="X31" s="14">
        <v>192</v>
      </c>
      <c r="Y31" s="18">
        <f t="shared" si="32"/>
        <v>192</v>
      </c>
      <c r="Z31" s="18">
        <f t="shared" si="33"/>
        <v>1</v>
      </c>
      <c r="AA31" s="18" t="s">
        <v>36</v>
      </c>
      <c r="AB31" s="26">
        <v>23</v>
      </c>
      <c r="AC31" s="26"/>
      <c r="AD31" s="26"/>
      <c r="AE31" s="147" t="str">
        <f t="shared" si="34"/>
        <v>1</v>
      </c>
      <c r="AF31" s="147" t="str">
        <f t="shared" si="35"/>
        <v>0</v>
      </c>
      <c r="AG31" s="147" t="str">
        <f t="shared" si="36"/>
        <v>0</v>
      </c>
      <c r="AH31" s="147" t="str">
        <f t="shared" si="37"/>
        <v>NO</v>
      </c>
      <c r="AI31" s="147" t="str">
        <f t="shared" si="38"/>
        <v>NO</v>
      </c>
      <c r="AJ31" s="147" t="str">
        <f t="shared" si="39"/>
        <v>NO</v>
      </c>
      <c r="AK31" s="147" t="str">
        <f t="shared" si="40"/>
        <v>NO</v>
      </c>
      <c r="AL31" s="21"/>
      <c r="AM31" s="21">
        <f t="shared" si="48"/>
        <v>4873.7099999999991</v>
      </c>
      <c r="AN31" s="27" t="s">
        <v>43</v>
      </c>
      <c r="AO31" s="21">
        <v>1</v>
      </c>
      <c r="AP31" s="21">
        <f t="shared" si="41"/>
        <v>1</v>
      </c>
      <c r="AQ31" s="149">
        <f t="shared" si="42"/>
        <v>4873.7099999999991</v>
      </c>
      <c r="AR31" s="21">
        <v>4873.7099999999991</v>
      </c>
      <c r="AS31" s="610">
        <v>0</v>
      </c>
      <c r="AT31" s="112">
        <v>4873.7099999999991</v>
      </c>
      <c r="AU31" s="23"/>
      <c r="AV31" s="23"/>
      <c r="AW31" s="23" t="e">
        <f>VLOOKUP(K31,#REF!,8,FALSE)</f>
        <v>#REF!</v>
      </c>
      <c r="AX31" s="23" t="e">
        <f>VLOOKUP(K31,#REF!,8,FALSE)</f>
        <v>#REF!</v>
      </c>
      <c r="AY31" s="23" t="e">
        <f>VLOOKUP(K31,#REF!,8,FALSE)</f>
        <v>#REF!</v>
      </c>
      <c r="AZ31" s="23"/>
      <c r="BA31" s="272"/>
      <c r="BB31" s="313">
        <f t="shared" si="43"/>
        <v>0</v>
      </c>
      <c r="BC31" s="269">
        <f t="shared" si="44"/>
        <v>4873.7099999999991</v>
      </c>
      <c r="BD31" t="str">
        <f>BG31&amp;BH31&amp;BI31</f>
        <v/>
      </c>
      <c r="BP31" s="166">
        <f t="shared" si="45"/>
        <v>4873.7099999999991</v>
      </c>
      <c r="BS31" s="165"/>
      <c r="BX31" s="495">
        <f t="shared" si="46"/>
        <v>4873.7099999999991</v>
      </c>
      <c r="BZ31" s="636">
        <f t="shared" si="18"/>
        <v>0</v>
      </c>
      <c r="CA31" s="633">
        <f t="shared" si="19"/>
        <v>4873.7099999999991</v>
      </c>
    </row>
    <row r="32" spans="1:79" x14ac:dyDescent="0.2">
      <c r="A32" s="4">
        <v>1</v>
      </c>
      <c r="B32" s="4">
        <v>1</v>
      </c>
      <c r="C32" s="5">
        <f t="shared" si="49"/>
        <v>41103</v>
      </c>
      <c r="D32" s="6">
        <v>41103</v>
      </c>
      <c r="E32" s="6">
        <v>43011</v>
      </c>
      <c r="F32" s="6" t="s">
        <v>1606</v>
      </c>
      <c r="G32" s="7"/>
      <c r="H32" s="7"/>
      <c r="I32" s="8" t="s">
        <v>32</v>
      </c>
      <c r="J32" s="8"/>
      <c r="K32" s="29">
        <v>440178</v>
      </c>
      <c r="L32" s="10" t="s">
        <v>114</v>
      </c>
      <c r="M32" s="10" t="s">
        <v>118</v>
      </c>
      <c r="N32" s="10" t="s">
        <v>119</v>
      </c>
      <c r="O32" s="11" t="s">
        <v>120</v>
      </c>
      <c r="P32" s="12">
        <v>42132</v>
      </c>
      <c r="Q32" s="13">
        <f t="shared" ca="1" si="31"/>
        <v>10.376454483230663</v>
      </c>
      <c r="R32" s="14">
        <v>3</v>
      </c>
      <c r="S32" s="15">
        <v>872</v>
      </c>
      <c r="T32" s="8">
        <v>872</v>
      </c>
      <c r="U32" s="16">
        <v>45017</v>
      </c>
      <c r="V32" s="17">
        <v>1</v>
      </c>
      <c r="W32" s="16">
        <v>45382</v>
      </c>
      <c r="X32" s="14">
        <v>192</v>
      </c>
      <c r="Y32" s="18">
        <f t="shared" si="32"/>
        <v>192</v>
      </c>
      <c r="Z32" s="18">
        <f t="shared" si="33"/>
        <v>1</v>
      </c>
      <c r="AA32" s="18" t="s">
        <v>36</v>
      </c>
      <c r="AB32" s="26">
        <v>23</v>
      </c>
      <c r="AC32" s="26"/>
      <c r="AD32" s="26"/>
      <c r="AE32" s="147" t="str">
        <f t="shared" si="34"/>
        <v>1</v>
      </c>
      <c r="AF32" s="147" t="str">
        <f t="shared" si="35"/>
        <v>0</v>
      </c>
      <c r="AG32" s="147" t="str">
        <f t="shared" si="36"/>
        <v>0</v>
      </c>
      <c r="AH32" s="147" t="str">
        <f t="shared" si="37"/>
        <v>NO</v>
      </c>
      <c r="AI32" s="147" t="str">
        <f t="shared" si="38"/>
        <v>NO</v>
      </c>
      <c r="AJ32" s="147" t="str">
        <f t="shared" si="39"/>
        <v>NO</v>
      </c>
      <c r="AK32" s="147" t="str">
        <f t="shared" si="40"/>
        <v>NO</v>
      </c>
      <c r="AL32" s="21"/>
      <c r="AM32" s="21">
        <f t="shared" si="48"/>
        <v>4873.7099999999991</v>
      </c>
      <c r="AN32" s="27" t="s">
        <v>37</v>
      </c>
      <c r="AO32" s="21">
        <v>1</v>
      </c>
      <c r="AP32" s="21">
        <f t="shared" si="41"/>
        <v>1</v>
      </c>
      <c r="AQ32" s="149">
        <f t="shared" si="42"/>
        <v>4873.7099999999991</v>
      </c>
      <c r="AR32" s="21">
        <v>4873.7099999999991</v>
      </c>
      <c r="AS32" s="610">
        <v>4873.7099999999991</v>
      </c>
      <c r="AT32" s="112">
        <v>4873.7099999999991</v>
      </c>
      <c r="AU32" s="23"/>
      <c r="AV32" s="23"/>
      <c r="AW32" s="23" t="e">
        <f>VLOOKUP(K32,#REF!,8,FALSE)</f>
        <v>#REF!</v>
      </c>
      <c r="AX32" s="23" t="e">
        <f>VLOOKUP(K32,#REF!,8,FALSE)</f>
        <v>#REF!</v>
      </c>
      <c r="AY32" s="23" t="e">
        <f>VLOOKUP(K32,#REF!,8,FALSE)</f>
        <v>#REF!</v>
      </c>
      <c r="AZ32" s="23"/>
      <c r="BA32" s="272"/>
      <c r="BB32" s="313">
        <f t="shared" si="43"/>
        <v>0</v>
      </c>
      <c r="BC32" s="269">
        <f t="shared" si="44"/>
        <v>4873.7099999999991</v>
      </c>
      <c r="BD32" t="str">
        <f>BG32&amp;BH32&amp;BI32</f>
        <v/>
      </c>
      <c r="BP32" s="166">
        <f t="shared" si="45"/>
        <v>4873.7099999999991</v>
      </c>
      <c r="BS32" s="165"/>
      <c r="BX32" s="495">
        <f t="shared" si="46"/>
        <v>4873.7099999999991</v>
      </c>
      <c r="BZ32" s="636">
        <f t="shared" si="18"/>
        <v>0</v>
      </c>
      <c r="CA32" s="633">
        <f t="shared" si="19"/>
        <v>0</v>
      </c>
    </row>
    <row r="33" spans="1:79" x14ac:dyDescent="0.2">
      <c r="A33" s="4">
        <v>1</v>
      </c>
      <c r="B33" s="4">
        <v>1</v>
      </c>
      <c r="C33" s="5">
        <f t="shared" si="49"/>
        <v>41103</v>
      </c>
      <c r="D33" s="6">
        <v>41103</v>
      </c>
      <c r="E33" s="6">
        <v>43011</v>
      </c>
      <c r="F33" s="6" t="s">
        <v>1606</v>
      </c>
      <c r="G33" s="7"/>
      <c r="H33" s="7"/>
      <c r="I33" s="8" t="s">
        <v>32</v>
      </c>
      <c r="J33" s="8"/>
      <c r="K33" s="29">
        <v>428346</v>
      </c>
      <c r="L33" s="10" t="s">
        <v>114</v>
      </c>
      <c r="M33" s="10" t="s">
        <v>1191</v>
      </c>
      <c r="N33" s="10" t="s">
        <v>692</v>
      </c>
      <c r="O33" s="11" t="s">
        <v>2283</v>
      </c>
      <c r="P33" s="12">
        <v>42453</v>
      </c>
      <c r="Q33" s="13">
        <f t="shared" ca="1" si="31"/>
        <v>9.4976043805612598</v>
      </c>
      <c r="R33" s="14"/>
      <c r="S33" s="15">
        <v>872</v>
      </c>
      <c r="T33" s="8">
        <v>872</v>
      </c>
      <c r="U33" s="16">
        <v>45079</v>
      </c>
      <c r="V33" s="17">
        <v>29</v>
      </c>
      <c r="W33" s="16">
        <v>45382</v>
      </c>
      <c r="X33" s="14">
        <v>192</v>
      </c>
      <c r="Y33" s="18">
        <f t="shared" si="32"/>
        <v>164</v>
      </c>
      <c r="Z33" s="18">
        <f t="shared" si="33"/>
        <v>0.85416666666666663</v>
      </c>
      <c r="AA33" s="18" t="s">
        <v>36</v>
      </c>
      <c r="AB33" s="26">
        <v>25</v>
      </c>
      <c r="AC33" s="26"/>
      <c r="AD33" s="26"/>
      <c r="AE33" s="147" t="str">
        <f t="shared" si="34"/>
        <v>1</v>
      </c>
      <c r="AF33" s="147" t="str">
        <f t="shared" si="35"/>
        <v>0</v>
      </c>
      <c r="AG33" s="147" t="str">
        <f t="shared" si="36"/>
        <v>0</v>
      </c>
      <c r="AH33" s="147" t="str">
        <f t="shared" si="37"/>
        <v>NO</v>
      </c>
      <c r="AI33" s="147" t="str">
        <f t="shared" si="38"/>
        <v>NO</v>
      </c>
      <c r="AJ33" s="147" t="str">
        <f t="shared" si="39"/>
        <v>NO</v>
      </c>
      <c r="AK33" s="147" t="str">
        <f t="shared" si="40"/>
        <v>NO</v>
      </c>
      <c r="AL33" s="21"/>
      <c r="AM33" s="21">
        <f t="shared" si="48"/>
        <v>5819.25</v>
      </c>
      <c r="AN33" s="27" t="s">
        <v>37</v>
      </c>
      <c r="AO33" s="21">
        <v>1</v>
      </c>
      <c r="AP33" s="21">
        <f t="shared" si="41"/>
        <v>0.85416666666666663</v>
      </c>
      <c r="AQ33" s="149">
        <f t="shared" si="42"/>
        <v>4970.609375</v>
      </c>
      <c r="AR33" s="21">
        <v>4970.609375</v>
      </c>
      <c r="AS33" s="610">
        <v>0</v>
      </c>
      <c r="AT33" s="112"/>
      <c r="AU33" s="23"/>
      <c r="AV33" s="23"/>
      <c r="AW33" s="23"/>
      <c r="AX33" s="23"/>
      <c r="AY33" s="23"/>
      <c r="AZ33" s="23"/>
      <c r="BA33" s="272"/>
      <c r="BB33" s="313">
        <f t="shared" si="43"/>
        <v>4970.609375</v>
      </c>
      <c r="BC33" s="269">
        <f t="shared" si="44"/>
        <v>4970.609375</v>
      </c>
      <c r="BD33" t="str">
        <f>BG33&amp;BH33&amp;BI33</f>
        <v/>
      </c>
      <c r="BP33" s="166">
        <f t="shared" si="45"/>
        <v>4970.609375</v>
      </c>
      <c r="BS33" s="165"/>
      <c r="BX33" s="495">
        <f t="shared" si="46"/>
        <v>4970.609375</v>
      </c>
      <c r="BZ33" s="636">
        <f t="shared" si="18"/>
        <v>0</v>
      </c>
      <c r="CA33" s="633">
        <f t="shared" si="19"/>
        <v>4970.609375</v>
      </c>
    </row>
    <row r="34" spans="1:79" x14ac:dyDescent="0.2">
      <c r="A34" s="4">
        <v>1</v>
      </c>
      <c r="B34" s="4">
        <v>1</v>
      </c>
      <c r="C34" s="5">
        <f t="shared" si="49"/>
        <v>41103</v>
      </c>
      <c r="D34" s="6">
        <v>41103</v>
      </c>
      <c r="E34" s="6">
        <v>43011</v>
      </c>
      <c r="F34" s="6" t="s">
        <v>1606</v>
      </c>
      <c r="G34" s="7"/>
      <c r="H34" s="7"/>
      <c r="I34" s="8" t="s">
        <v>32</v>
      </c>
      <c r="J34" s="8"/>
      <c r="K34" s="29">
        <v>402683</v>
      </c>
      <c r="L34" s="10" t="s">
        <v>114</v>
      </c>
      <c r="M34" s="10" t="s">
        <v>121</v>
      </c>
      <c r="N34" s="10" t="s">
        <v>122</v>
      </c>
      <c r="O34" s="11" t="s">
        <v>123</v>
      </c>
      <c r="P34" s="12">
        <v>40792</v>
      </c>
      <c r="Q34" s="13">
        <f t="shared" ca="1" si="31"/>
        <v>14.04517453798768</v>
      </c>
      <c r="R34" s="14">
        <v>6</v>
      </c>
      <c r="S34" s="15">
        <v>872</v>
      </c>
      <c r="T34" s="8">
        <v>872</v>
      </c>
      <c r="U34" s="16">
        <v>45017</v>
      </c>
      <c r="V34" s="17">
        <v>1</v>
      </c>
      <c r="W34" s="16">
        <v>45128</v>
      </c>
      <c r="X34" s="14">
        <v>63</v>
      </c>
      <c r="Y34" s="18">
        <f t="shared" si="32"/>
        <v>63</v>
      </c>
      <c r="Z34" s="18">
        <f t="shared" si="33"/>
        <v>0.328125</v>
      </c>
      <c r="AA34" s="18" t="s">
        <v>48</v>
      </c>
      <c r="AB34" s="26">
        <v>25</v>
      </c>
      <c r="AC34" s="26"/>
      <c r="AD34" s="26"/>
      <c r="AE34" s="147" t="str">
        <f t="shared" si="34"/>
        <v>1</v>
      </c>
      <c r="AF34" s="147" t="str">
        <f t="shared" si="35"/>
        <v>0</v>
      </c>
      <c r="AG34" s="147" t="str">
        <f t="shared" si="36"/>
        <v>0</v>
      </c>
      <c r="AH34" s="147" t="str">
        <f t="shared" si="37"/>
        <v>NO</v>
      </c>
      <c r="AI34" s="147" t="str">
        <f t="shared" si="38"/>
        <v>NO</v>
      </c>
      <c r="AJ34" s="147" t="str">
        <f t="shared" si="39"/>
        <v>NO</v>
      </c>
      <c r="AK34" s="147" t="str">
        <f t="shared" si="40"/>
        <v>NO</v>
      </c>
      <c r="AL34" s="21"/>
      <c r="AM34" s="21">
        <f t="shared" si="48"/>
        <v>5819.25</v>
      </c>
      <c r="AN34" s="27" t="s">
        <v>43</v>
      </c>
      <c r="AO34" s="21">
        <v>1</v>
      </c>
      <c r="AP34" s="21">
        <f t="shared" si="41"/>
        <v>0.328125</v>
      </c>
      <c r="AQ34" s="149">
        <f t="shared" si="42"/>
        <v>1909.44140625</v>
      </c>
      <c r="AR34" s="21">
        <v>1909.44140625</v>
      </c>
      <c r="AS34" s="610">
        <v>1909.44140625</v>
      </c>
      <c r="AT34" s="112">
        <v>1909.44140625</v>
      </c>
      <c r="AU34" s="23"/>
      <c r="AV34" s="23"/>
      <c r="AW34" s="23" t="e">
        <f>VLOOKUP(K34,#REF!,8,FALSE)</f>
        <v>#REF!</v>
      </c>
      <c r="AX34" s="23" t="s">
        <v>2246</v>
      </c>
      <c r="AY34" s="23" t="e">
        <f>VLOOKUP(K34,#REF!,8,FALSE)</f>
        <v>#REF!</v>
      </c>
      <c r="AZ34" s="23"/>
      <c r="BA34" s="272"/>
      <c r="BB34" s="313">
        <f t="shared" si="43"/>
        <v>0</v>
      </c>
      <c r="BC34" s="269">
        <f t="shared" si="44"/>
        <v>1909.44140625</v>
      </c>
      <c r="BD34" t="e">
        <f>BG34&amp;BH34&amp;BI34</f>
        <v>#REF!</v>
      </c>
      <c r="BE34" t="s">
        <v>2394</v>
      </c>
      <c r="BF34">
        <v>43012</v>
      </c>
      <c r="BH34" t="e">
        <f>VLOOKUP(K34,#REF!,8,FALSE)</f>
        <v>#REF!</v>
      </c>
      <c r="BJ34">
        <f>AB34</f>
        <v>25</v>
      </c>
      <c r="BK34" s="269">
        <f>AM34</f>
        <v>5819.25</v>
      </c>
      <c r="BL34" s="353"/>
      <c r="BM34" s="353" t="s">
        <v>75</v>
      </c>
      <c r="BN34" s="353"/>
      <c r="BO34" s="106">
        <f>BK34/192*127</f>
        <v>3849.19140625</v>
      </c>
      <c r="BP34" s="166">
        <f t="shared" si="45"/>
        <v>5758.6328125</v>
      </c>
      <c r="BS34" s="165"/>
      <c r="BX34" s="495">
        <f t="shared" si="46"/>
        <v>5758.6328125</v>
      </c>
      <c r="BZ34" s="636">
        <f t="shared" si="18"/>
        <v>0</v>
      </c>
      <c r="CA34" s="633">
        <f t="shared" si="19"/>
        <v>3849.19140625</v>
      </c>
    </row>
    <row r="35" spans="1:79" x14ac:dyDescent="0.2">
      <c r="A35" s="4">
        <v>1</v>
      </c>
      <c r="B35" s="4">
        <v>1</v>
      </c>
      <c r="C35" s="5">
        <f t="shared" si="49"/>
        <v>41104</v>
      </c>
      <c r="D35" s="6">
        <v>41104</v>
      </c>
      <c r="E35" s="121">
        <v>43012</v>
      </c>
      <c r="F35" s="6" t="s">
        <v>1606</v>
      </c>
      <c r="G35" s="7" t="s">
        <v>75</v>
      </c>
      <c r="H35" s="7"/>
      <c r="I35" s="8" t="s">
        <v>32</v>
      </c>
      <c r="J35" s="8"/>
      <c r="K35" s="29">
        <v>410219</v>
      </c>
      <c r="L35" s="10" t="s">
        <v>124</v>
      </c>
      <c r="M35" s="10" t="s">
        <v>125</v>
      </c>
      <c r="N35" s="10" t="s">
        <v>126</v>
      </c>
      <c r="O35" s="11" t="s">
        <v>127</v>
      </c>
      <c r="P35" s="12">
        <v>41654</v>
      </c>
      <c r="Q35" s="13">
        <f t="shared" ca="1" si="31"/>
        <v>11.685147159479808</v>
      </c>
      <c r="R35" s="14">
        <v>3</v>
      </c>
      <c r="S35" s="15">
        <v>872</v>
      </c>
      <c r="T35" s="8">
        <v>872</v>
      </c>
      <c r="U35" s="16">
        <v>45017</v>
      </c>
      <c r="V35" s="17">
        <v>1</v>
      </c>
      <c r="W35" s="16">
        <v>45382</v>
      </c>
      <c r="X35" s="14">
        <v>192</v>
      </c>
      <c r="Y35" s="18">
        <f t="shared" si="32"/>
        <v>192</v>
      </c>
      <c r="Z35" s="18">
        <f t="shared" si="33"/>
        <v>1</v>
      </c>
      <c r="AA35" s="18" t="s">
        <v>36</v>
      </c>
      <c r="AB35" s="26">
        <v>32</v>
      </c>
      <c r="AC35" s="26"/>
      <c r="AD35" s="26"/>
      <c r="AE35" s="147" t="str">
        <f t="shared" si="34"/>
        <v>0</v>
      </c>
      <c r="AF35" s="147" t="str">
        <f t="shared" si="35"/>
        <v>0</v>
      </c>
      <c r="AG35" s="147" t="str">
        <f t="shared" si="36"/>
        <v>1</v>
      </c>
      <c r="AH35" s="147" t="str">
        <f t="shared" si="37"/>
        <v>NO</v>
      </c>
      <c r="AI35" s="147" t="str">
        <f t="shared" si="38"/>
        <v>NO</v>
      </c>
      <c r="AJ35" s="147" t="str">
        <f t="shared" si="39"/>
        <v>NO</v>
      </c>
      <c r="AK35" s="147" t="str">
        <f t="shared" si="40"/>
        <v>NO</v>
      </c>
      <c r="AL35" s="21"/>
      <c r="AM35" s="21">
        <f t="shared" si="48"/>
        <v>9128.64</v>
      </c>
      <c r="AN35" s="27" t="s">
        <v>128</v>
      </c>
      <c r="AO35" s="21">
        <v>1</v>
      </c>
      <c r="AP35" s="21">
        <f t="shared" si="41"/>
        <v>1</v>
      </c>
      <c r="AQ35" s="149">
        <f t="shared" si="42"/>
        <v>9128.64</v>
      </c>
      <c r="AR35" s="21">
        <v>9128.64</v>
      </c>
      <c r="AS35" s="610">
        <v>9128.64</v>
      </c>
      <c r="AT35" s="112">
        <v>9128.64</v>
      </c>
      <c r="AU35" s="4"/>
      <c r="AV35" s="4"/>
      <c r="AW35" s="23" t="e">
        <f>VLOOKUP(K35,#REF!,8,FALSE)</f>
        <v>#REF!</v>
      </c>
      <c r="AX35" s="23" t="e">
        <f>VLOOKUP(K35,#REF!,8,FALSE)</f>
        <v>#REF!</v>
      </c>
      <c r="AY35" s="23" t="e">
        <f>VLOOKUP(K35,#REF!,8,FALSE)</f>
        <v>#REF!</v>
      </c>
      <c r="AZ35" s="4"/>
      <c r="BA35" s="272"/>
      <c r="BB35" s="313">
        <f t="shared" si="43"/>
        <v>0</v>
      </c>
      <c r="BC35" s="269">
        <f t="shared" si="44"/>
        <v>9128.64</v>
      </c>
      <c r="BD35" t="str">
        <f>BG35&amp;BH35&amp;BI35</f>
        <v/>
      </c>
      <c r="BP35" s="166">
        <f t="shared" si="45"/>
        <v>9128.64</v>
      </c>
      <c r="BS35" s="165"/>
      <c r="BX35" s="495">
        <f t="shared" si="46"/>
        <v>9128.64</v>
      </c>
      <c r="BZ35" s="636">
        <f t="shared" si="18"/>
        <v>0</v>
      </c>
      <c r="CA35" s="633">
        <f t="shared" si="19"/>
        <v>0</v>
      </c>
    </row>
    <row r="36" spans="1:79" x14ac:dyDescent="0.2">
      <c r="A36" s="4">
        <v>1</v>
      </c>
      <c r="B36" s="4">
        <v>1</v>
      </c>
      <c r="C36" s="5">
        <f t="shared" si="49"/>
        <v>41104</v>
      </c>
      <c r="D36" s="6">
        <v>41104</v>
      </c>
      <c r="E36" s="121">
        <v>43012</v>
      </c>
      <c r="F36" s="6" t="s">
        <v>1606</v>
      </c>
      <c r="G36" s="7" t="s">
        <v>75</v>
      </c>
      <c r="H36" s="7"/>
      <c r="I36" s="8" t="s">
        <v>32</v>
      </c>
      <c r="J36" s="8"/>
      <c r="K36" s="29">
        <v>419932</v>
      </c>
      <c r="L36" s="10" t="s">
        <v>124</v>
      </c>
      <c r="M36" s="10" t="s">
        <v>402</v>
      </c>
      <c r="N36" s="10" t="s">
        <v>2122</v>
      </c>
      <c r="O36" s="11" t="s">
        <v>2469</v>
      </c>
      <c r="P36" s="12">
        <v>42379</v>
      </c>
      <c r="Q36" s="13">
        <f t="shared" ca="1" si="31"/>
        <v>9.7002053388090346</v>
      </c>
      <c r="R36" s="14">
        <v>2</v>
      </c>
      <c r="S36" s="15">
        <v>872</v>
      </c>
      <c r="T36" s="8">
        <v>872</v>
      </c>
      <c r="U36" s="16">
        <v>45117</v>
      </c>
      <c r="V36" s="17">
        <v>54</v>
      </c>
      <c r="W36" s="16">
        <v>45382</v>
      </c>
      <c r="X36" s="14">
        <v>192</v>
      </c>
      <c r="Y36" s="18">
        <f t="shared" si="32"/>
        <v>139</v>
      </c>
      <c r="Z36" s="18">
        <f t="shared" si="33"/>
        <v>0.72395833333333337</v>
      </c>
      <c r="AA36" s="18" t="s">
        <v>36</v>
      </c>
      <c r="AB36" s="26">
        <v>30</v>
      </c>
      <c r="AC36" s="26"/>
      <c r="AD36" s="26"/>
      <c r="AE36" s="147" t="str">
        <f t="shared" si="34"/>
        <v>0</v>
      </c>
      <c r="AF36" s="147" t="str">
        <f t="shared" si="35"/>
        <v>1</v>
      </c>
      <c r="AG36" s="147" t="str">
        <f t="shared" si="36"/>
        <v>0</v>
      </c>
      <c r="AH36" s="147" t="str">
        <f t="shared" si="37"/>
        <v>NO</v>
      </c>
      <c r="AI36" s="147" t="str">
        <f t="shared" si="38"/>
        <v>NO</v>
      </c>
      <c r="AJ36" s="147" t="str">
        <f t="shared" si="39"/>
        <v>NO</v>
      </c>
      <c r="AK36" s="147" t="str">
        <f t="shared" si="40"/>
        <v>NO</v>
      </c>
      <c r="AL36" s="21"/>
      <c r="AM36" s="21">
        <f t="shared" si="48"/>
        <v>8183.0999999999985</v>
      </c>
      <c r="AN36" s="27" t="s">
        <v>2470</v>
      </c>
      <c r="AO36" s="21">
        <v>1</v>
      </c>
      <c r="AP36" s="21">
        <f t="shared" si="41"/>
        <v>0.72395833333333337</v>
      </c>
      <c r="AQ36" s="149">
        <f t="shared" si="42"/>
        <v>5924.2234374999989</v>
      </c>
      <c r="AR36" s="21">
        <v>0</v>
      </c>
      <c r="AS36" s="610">
        <v>0</v>
      </c>
      <c r="AT36" s="112">
        <v>0</v>
      </c>
      <c r="AU36" s="4"/>
      <c r="AV36" s="4"/>
      <c r="AW36" s="23" t="e">
        <f>VLOOKUP(K36,#REF!,8,FALSE)</f>
        <v>#REF!</v>
      </c>
      <c r="AX36" s="23" t="e">
        <f>VLOOKUP(K36,#REF!,8,FALSE)</f>
        <v>#REF!</v>
      </c>
      <c r="AY36" s="23" t="e">
        <f>VLOOKUP(K36,#REF!,8,FALSE)</f>
        <v>#REF!</v>
      </c>
      <c r="AZ36" s="4"/>
      <c r="BA36" s="272"/>
      <c r="BB36" s="313">
        <f t="shared" si="43"/>
        <v>0</v>
      </c>
      <c r="BC36" s="269">
        <f t="shared" si="44"/>
        <v>0</v>
      </c>
      <c r="BP36" s="166">
        <f t="shared" si="45"/>
        <v>0</v>
      </c>
      <c r="BS36" s="165"/>
      <c r="BX36" s="495">
        <f t="shared" si="46"/>
        <v>5924.2234374999989</v>
      </c>
      <c r="BY36" t="s">
        <v>2471</v>
      </c>
      <c r="BZ36" s="636">
        <f t="shared" si="18"/>
        <v>5924.2234374999989</v>
      </c>
      <c r="CA36" s="633">
        <f t="shared" si="19"/>
        <v>5924.2234374999989</v>
      </c>
    </row>
    <row r="37" spans="1:79" x14ac:dyDescent="0.2">
      <c r="A37" s="4">
        <v>1</v>
      </c>
      <c r="B37" s="4">
        <v>1</v>
      </c>
      <c r="C37" s="5">
        <f t="shared" si="49"/>
        <v>41104</v>
      </c>
      <c r="D37" s="6">
        <v>41104</v>
      </c>
      <c r="E37" s="121">
        <v>43012</v>
      </c>
      <c r="F37" s="6" t="s">
        <v>1606</v>
      </c>
      <c r="G37" s="7" t="s">
        <v>75</v>
      </c>
      <c r="H37" s="7"/>
      <c r="I37" s="8" t="s">
        <v>32</v>
      </c>
      <c r="J37" s="8"/>
      <c r="K37" s="29">
        <v>434073</v>
      </c>
      <c r="L37" s="10" t="s">
        <v>124</v>
      </c>
      <c r="M37" s="10" t="s">
        <v>129</v>
      </c>
      <c r="N37" s="10" t="s">
        <v>130</v>
      </c>
      <c r="O37" s="11" t="s">
        <v>131</v>
      </c>
      <c r="P37" s="12">
        <v>43081</v>
      </c>
      <c r="Q37" s="13">
        <f t="shared" ca="1" si="31"/>
        <v>7.7782340862422998</v>
      </c>
      <c r="R37" s="14">
        <v>0</v>
      </c>
      <c r="S37" s="15">
        <v>872</v>
      </c>
      <c r="T37" s="8">
        <v>872</v>
      </c>
      <c r="U37" s="16">
        <v>45017</v>
      </c>
      <c r="V37" s="17">
        <v>1</v>
      </c>
      <c r="W37" s="16">
        <v>45229</v>
      </c>
      <c r="X37" s="14">
        <v>100</v>
      </c>
      <c r="Y37" s="18">
        <f t="shared" si="32"/>
        <v>100</v>
      </c>
      <c r="Z37" s="18">
        <f t="shared" si="33"/>
        <v>0.52083333333333337</v>
      </c>
      <c r="AA37" s="16">
        <v>45229</v>
      </c>
      <c r="AB37" s="26">
        <v>8866</v>
      </c>
      <c r="AC37" s="26"/>
      <c r="AD37" s="26"/>
      <c r="AE37" s="147" t="str">
        <f t="shared" si="34"/>
        <v>0</v>
      </c>
      <c r="AF37" s="147" t="str">
        <f t="shared" si="35"/>
        <v>0</v>
      </c>
      <c r="AG37" s="147" t="str">
        <f t="shared" si="36"/>
        <v>1</v>
      </c>
      <c r="AH37" s="147" t="str">
        <f t="shared" si="37"/>
        <v>NO</v>
      </c>
      <c r="AI37" s="147" t="str">
        <f t="shared" si="38"/>
        <v>NO</v>
      </c>
      <c r="AJ37" s="147" t="str">
        <f t="shared" si="39"/>
        <v>NO</v>
      </c>
      <c r="AK37" s="147" t="str">
        <f t="shared" si="40"/>
        <v>NO</v>
      </c>
      <c r="AL37" s="21"/>
      <c r="AM37" s="21">
        <v>8866</v>
      </c>
      <c r="AN37" s="27"/>
      <c r="AO37" s="21">
        <v>1</v>
      </c>
      <c r="AP37" s="21">
        <f t="shared" si="41"/>
        <v>0.52083333333333337</v>
      </c>
      <c r="AQ37" s="149">
        <f t="shared" si="42"/>
        <v>4617.7083333333339</v>
      </c>
      <c r="AR37" s="21">
        <v>4617.7083333333339</v>
      </c>
      <c r="AS37" s="610">
        <v>4617.7083333333339</v>
      </c>
      <c r="AT37" s="112">
        <v>4617.7083333333339</v>
      </c>
      <c r="AU37" s="4"/>
      <c r="AV37" s="4"/>
      <c r="AW37" s="23" t="e">
        <f>VLOOKUP(K37,#REF!,8,FALSE)</f>
        <v>#REF!</v>
      </c>
      <c r="AX37" s="23" t="e">
        <f>VLOOKUP(K37,#REF!,8,FALSE)</f>
        <v>#REF!</v>
      </c>
      <c r="AY37" s="23" t="e">
        <f>VLOOKUP(K37,#REF!,8,FALSE)</f>
        <v>#REF!</v>
      </c>
      <c r="AZ37" s="4"/>
      <c r="BA37" s="272"/>
      <c r="BB37" s="313">
        <f t="shared" si="43"/>
        <v>0</v>
      </c>
      <c r="BC37" s="269">
        <f t="shared" si="44"/>
        <v>4617.7083333333339</v>
      </c>
      <c r="BD37" t="str">
        <f t="shared" ref="BD37:BD42" si="50">BG37&amp;BH37&amp;BI37</f>
        <v/>
      </c>
      <c r="BP37" s="166">
        <f t="shared" si="45"/>
        <v>4617.7083333333339</v>
      </c>
      <c r="BS37" s="165"/>
      <c r="BX37" s="495">
        <f t="shared" si="46"/>
        <v>4617.7083333333339</v>
      </c>
      <c r="BZ37" s="636">
        <f t="shared" si="18"/>
        <v>0</v>
      </c>
      <c r="CA37" s="633">
        <f t="shared" si="19"/>
        <v>0</v>
      </c>
    </row>
    <row r="38" spans="1:79" x14ac:dyDescent="0.2">
      <c r="A38" s="4">
        <v>1</v>
      </c>
      <c r="B38" s="4">
        <v>1</v>
      </c>
      <c r="C38" s="5">
        <f t="shared" si="49"/>
        <v>41104</v>
      </c>
      <c r="D38" s="6">
        <v>41104</v>
      </c>
      <c r="E38" s="121">
        <v>43012</v>
      </c>
      <c r="F38" s="6" t="s">
        <v>1606</v>
      </c>
      <c r="G38" s="7" t="s">
        <v>75</v>
      </c>
      <c r="H38" s="7"/>
      <c r="I38" s="8" t="s">
        <v>32</v>
      </c>
      <c r="J38" s="8"/>
      <c r="K38" s="29">
        <v>411582</v>
      </c>
      <c r="L38" s="10" t="s">
        <v>124</v>
      </c>
      <c r="M38" s="10" t="s">
        <v>132</v>
      </c>
      <c r="N38" s="10" t="s">
        <v>133</v>
      </c>
      <c r="O38" s="11" t="s">
        <v>134</v>
      </c>
      <c r="P38" s="12">
        <v>41619</v>
      </c>
      <c r="Q38" s="13">
        <f t="shared" ca="1" si="31"/>
        <v>11.780971937029431</v>
      </c>
      <c r="R38" s="14">
        <v>4</v>
      </c>
      <c r="S38" s="15">
        <v>872</v>
      </c>
      <c r="T38" s="8">
        <v>872</v>
      </c>
      <c r="U38" s="16">
        <v>45017</v>
      </c>
      <c r="V38" s="17">
        <v>1</v>
      </c>
      <c r="W38" s="16">
        <v>45382</v>
      </c>
      <c r="X38" s="14">
        <v>192</v>
      </c>
      <c r="Y38" s="18">
        <f t="shared" si="32"/>
        <v>192</v>
      </c>
      <c r="Z38" s="18">
        <f t="shared" si="33"/>
        <v>1</v>
      </c>
      <c r="AA38" s="18" t="s">
        <v>36</v>
      </c>
      <c r="AB38" s="26">
        <v>23</v>
      </c>
      <c r="AC38" s="26"/>
      <c r="AD38" s="26"/>
      <c r="AE38" s="147" t="str">
        <f t="shared" si="34"/>
        <v>1</v>
      </c>
      <c r="AF38" s="147" t="str">
        <f t="shared" si="35"/>
        <v>0</v>
      </c>
      <c r="AG38" s="147" t="str">
        <f t="shared" si="36"/>
        <v>0</v>
      </c>
      <c r="AH38" s="147" t="str">
        <f t="shared" si="37"/>
        <v>NO</v>
      </c>
      <c r="AI38" s="147" t="str">
        <f t="shared" si="38"/>
        <v>NO</v>
      </c>
      <c r="AJ38" s="147" t="str">
        <f t="shared" si="39"/>
        <v>NO</v>
      </c>
      <c r="AK38" s="147" t="str">
        <f t="shared" si="40"/>
        <v>NO</v>
      </c>
      <c r="AL38" s="21"/>
      <c r="AM38" s="21">
        <f>IF(H38="Y",AL38,((AB38*$O$902)-6000))</f>
        <v>4873.7099999999991</v>
      </c>
      <c r="AN38" s="27" t="s">
        <v>56</v>
      </c>
      <c r="AO38" s="21">
        <v>1</v>
      </c>
      <c r="AP38" s="21">
        <f t="shared" si="41"/>
        <v>1</v>
      </c>
      <c r="AQ38" s="149">
        <f t="shared" si="42"/>
        <v>4873.7099999999991</v>
      </c>
      <c r="AR38" s="21">
        <v>4873.7099999999991</v>
      </c>
      <c r="AS38" s="610">
        <v>4873.7099999999991</v>
      </c>
      <c r="AT38" s="112">
        <v>4873.7099999999991</v>
      </c>
      <c r="AU38" s="4"/>
      <c r="AV38" s="4"/>
      <c r="AW38" s="23" t="e">
        <f>VLOOKUP(K38,#REF!,8,FALSE)</f>
        <v>#REF!</v>
      </c>
      <c r="AX38" s="23" t="e">
        <f>VLOOKUP(K38,#REF!,8,FALSE)</f>
        <v>#REF!</v>
      </c>
      <c r="AY38" s="23" t="e">
        <f>VLOOKUP(K38,#REF!,8,FALSE)</f>
        <v>#REF!</v>
      </c>
      <c r="AZ38" s="4"/>
      <c r="BA38" s="272"/>
      <c r="BB38" s="313">
        <f t="shared" si="43"/>
        <v>0</v>
      </c>
      <c r="BC38" s="269">
        <f t="shared" si="44"/>
        <v>4873.7099999999991</v>
      </c>
      <c r="BD38" t="str">
        <f t="shared" si="50"/>
        <v/>
      </c>
      <c r="BP38" s="166">
        <f t="shared" si="45"/>
        <v>4873.7099999999991</v>
      </c>
      <c r="BS38" s="165"/>
      <c r="BX38" s="495">
        <f t="shared" si="46"/>
        <v>4873.7099999999991</v>
      </c>
      <c r="BZ38" s="636">
        <f t="shared" si="18"/>
        <v>0</v>
      </c>
      <c r="CA38" s="633">
        <f t="shared" si="19"/>
        <v>0</v>
      </c>
    </row>
    <row r="39" spans="1:79" x14ac:dyDescent="0.2">
      <c r="A39" s="4">
        <v>1</v>
      </c>
      <c r="B39" s="4">
        <v>1</v>
      </c>
      <c r="C39" s="5">
        <f t="shared" si="49"/>
        <v>41104</v>
      </c>
      <c r="D39" s="6">
        <v>41104</v>
      </c>
      <c r="E39" s="121">
        <v>43012</v>
      </c>
      <c r="F39" s="6" t="s">
        <v>1606</v>
      </c>
      <c r="G39" s="7" t="s">
        <v>75</v>
      </c>
      <c r="H39" s="7"/>
      <c r="I39" s="8" t="s">
        <v>32</v>
      </c>
      <c r="J39" s="8"/>
      <c r="K39" s="29">
        <v>443198</v>
      </c>
      <c r="L39" s="10" t="s">
        <v>124</v>
      </c>
      <c r="M39" s="10" t="s">
        <v>135</v>
      </c>
      <c r="N39" s="10" t="s">
        <v>136</v>
      </c>
      <c r="O39" s="11" t="s">
        <v>137</v>
      </c>
      <c r="P39" s="12">
        <v>42792</v>
      </c>
      <c r="Q39" s="13">
        <f t="shared" ca="1" si="31"/>
        <v>8.5694729637234772</v>
      </c>
      <c r="R39" s="14">
        <v>0</v>
      </c>
      <c r="S39" s="15">
        <v>872</v>
      </c>
      <c r="T39" s="8">
        <v>872</v>
      </c>
      <c r="U39" s="16">
        <v>45017</v>
      </c>
      <c r="V39" s="17">
        <v>1</v>
      </c>
      <c r="W39" s="16">
        <v>45382</v>
      </c>
      <c r="X39" s="14">
        <v>192</v>
      </c>
      <c r="Y39" s="18">
        <f t="shared" si="32"/>
        <v>192</v>
      </c>
      <c r="Z39" s="18">
        <f t="shared" si="33"/>
        <v>1</v>
      </c>
      <c r="AA39" s="18" t="s">
        <v>36</v>
      </c>
      <c r="AB39" s="26">
        <v>30</v>
      </c>
      <c r="AC39" s="26"/>
      <c r="AD39" s="26"/>
      <c r="AE39" s="147" t="str">
        <f t="shared" si="34"/>
        <v>0</v>
      </c>
      <c r="AF39" s="147" t="str">
        <f t="shared" si="35"/>
        <v>1</v>
      </c>
      <c r="AG39" s="147" t="str">
        <f t="shared" si="36"/>
        <v>0</v>
      </c>
      <c r="AH39" s="147" t="str">
        <f t="shared" si="37"/>
        <v>NO</v>
      </c>
      <c r="AI39" s="147" t="str">
        <f t="shared" si="38"/>
        <v>NO</v>
      </c>
      <c r="AJ39" s="147" t="str">
        <f t="shared" si="39"/>
        <v>NO</v>
      </c>
      <c r="AK39" s="147" t="str">
        <f t="shared" si="40"/>
        <v>NO</v>
      </c>
      <c r="AL39" s="21"/>
      <c r="AM39" s="21">
        <f>IF(H39="Y",AL39,((AB39*$O$902)-6000))</f>
        <v>8183.0999999999985</v>
      </c>
      <c r="AN39" s="27" t="s">
        <v>138</v>
      </c>
      <c r="AO39" s="21">
        <v>1</v>
      </c>
      <c r="AP39" s="21">
        <f t="shared" si="41"/>
        <v>1</v>
      </c>
      <c r="AQ39" s="149">
        <f t="shared" si="42"/>
        <v>8183.0999999999985</v>
      </c>
      <c r="AR39" s="21">
        <v>8183.0999999999985</v>
      </c>
      <c r="AS39" s="610">
        <v>8183.0999999999985</v>
      </c>
      <c r="AT39" s="112">
        <v>8183.0999999999985</v>
      </c>
      <c r="AU39" s="4"/>
      <c r="AV39" s="4"/>
      <c r="AW39" s="23" t="e">
        <f>VLOOKUP(K39,#REF!,8,FALSE)</f>
        <v>#REF!</v>
      </c>
      <c r="AX39" s="23" t="e">
        <f>VLOOKUP(K39,#REF!,8,FALSE)</f>
        <v>#REF!</v>
      </c>
      <c r="AY39" s="23" t="e">
        <f>VLOOKUP(K39,#REF!,8,FALSE)</f>
        <v>#REF!</v>
      </c>
      <c r="AZ39" s="4"/>
      <c r="BA39" s="272"/>
      <c r="BB39" s="313">
        <f t="shared" si="43"/>
        <v>0</v>
      </c>
      <c r="BC39" s="269">
        <f t="shared" si="44"/>
        <v>8183.0999999999985</v>
      </c>
      <c r="BD39" t="str">
        <f t="shared" si="50"/>
        <v/>
      </c>
      <c r="BP39" s="166">
        <f t="shared" si="45"/>
        <v>8183.0999999999985</v>
      </c>
      <c r="BS39" s="165"/>
      <c r="BX39" s="495">
        <f t="shared" si="46"/>
        <v>8183.0999999999985</v>
      </c>
      <c r="BZ39" s="636">
        <f t="shared" si="18"/>
        <v>0</v>
      </c>
      <c r="CA39" s="633">
        <f t="shared" si="19"/>
        <v>0</v>
      </c>
    </row>
    <row r="40" spans="1:79" x14ac:dyDescent="0.2">
      <c r="A40" s="4">
        <v>1</v>
      </c>
      <c r="B40" s="4">
        <v>1</v>
      </c>
      <c r="C40" s="5">
        <f t="shared" si="49"/>
        <v>41104</v>
      </c>
      <c r="D40" s="6">
        <v>41104</v>
      </c>
      <c r="E40" s="121">
        <v>43012</v>
      </c>
      <c r="F40" s="6" t="s">
        <v>1606</v>
      </c>
      <c r="G40" s="7" t="s">
        <v>75</v>
      </c>
      <c r="H40" s="7"/>
      <c r="I40" s="8" t="s">
        <v>32</v>
      </c>
      <c r="J40" s="8"/>
      <c r="K40" s="29">
        <v>402410</v>
      </c>
      <c r="L40" s="10" t="s">
        <v>124</v>
      </c>
      <c r="M40" s="10" t="s">
        <v>139</v>
      </c>
      <c r="N40" s="10" t="s">
        <v>140</v>
      </c>
      <c r="O40" s="11" t="s">
        <v>141</v>
      </c>
      <c r="P40" s="12">
        <v>41044</v>
      </c>
      <c r="Q40" s="13">
        <f t="shared" ca="1" si="31"/>
        <v>13.35523613963039</v>
      </c>
      <c r="R40" s="14">
        <v>6</v>
      </c>
      <c r="S40" s="15">
        <v>872</v>
      </c>
      <c r="T40" s="8">
        <v>872</v>
      </c>
      <c r="U40" s="16">
        <v>45017</v>
      </c>
      <c r="V40" s="17">
        <v>1</v>
      </c>
      <c r="W40" s="16">
        <v>45128</v>
      </c>
      <c r="X40" s="14">
        <v>63</v>
      </c>
      <c r="Y40" s="18">
        <f t="shared" si="32"/>
        <v>63</v>
      </c>
      <c r="Z40" s="18">
        <f t="shared" si="33"/>
        <v>0.328125</v>
      </c>
      <c r="AA40" s="18" t="s">
        <v>48</v>
      </c>
      <c r="AB40" s="26">
        <v>21</v>
      </c>
      <c r="AC40" s="26"/>
      <c r="AD40" s="26"/>
      <c r="AE40" s="147" t="str">
        <f t="shared" si="34"/>
        <v>1</v>
      </c>
      <c r="AF40" s="147" t="str">
        <f t="shared" si="35"/>
        <v>0</v>
      </c>
      <c r="AG40" s="147" t="str">
        <f t="shared" si="36"/>
        <v>0</v>
      </c>
      <c r="AH40" s="147" t="str">
        <f t="shared" si="37"/>
        <v>NO</v>
      </c>
      <c r="AI40" s="147" t="str">
        <f t="shared" si="38"/>
        <v>NO</v>
      </c>
      <c r="AJ40" s="147" t="str">
        <f t="shared" si="39"/>
        <v>NO</v>
      </c>
      <c r="AK40" s="147" t="str">
        <f t="shared" si="40"/>
        <v>NO</v>
      </c>
      <c r="AL40" s="21"/>
      <c r="AM40" s="21">
        <f>IF(H40="Y",AL40,((AB40*$O$902)-6000))</f>
        <v>3928.17</v>
      </c>
      <c r="AN40" s="27" t="s">
        <v>56</v>
      </c>
      <c r="AO40" s="21">
        <v>1</v>
      </c>
      <c r="AP40" s="21">
        <f t="shared" si="41"/>
        <v>0.328125</v>
      </c>
      <c r="AQ40" s="149">
        <f t="shared" si="42"/>
        <v>1288.9307812500001</v>
      </c>
      <c r="AR40" s="21">
        <v>1288.9307812500001</v>
      </c>
      <c r="AS40" s="610">
        <v>1288.9307812500001</v>
      </c>
      <c r="AT40" s="112">
        <v>1288.9307812500001</v>
      </c>
      <c r="AU40" s="4"/>
      <c r="AV40" s="4"/>
      <c r="AW40" s="23" t="e">
        <f>VLOOKUP(K40,#REF!,8,FALSE)</f>
        <v>#REF!</v>
      </c>
      <c r="AX40" s="264" t="s">
        <v>2208</v>
      </c>
      <c r="AY40" s="23" t="e">
        <f>VLOOKUP(K40,#REF!,8,FALSE)</f>
        <v>#REF!</v>
      </c>
      <c r="AZ40" s="23" t="s">
        <v>75</v>
      </c>
      <c r="BA40" s="273">
        <f>AM40/3*2</f>
        <v>2618.7800000000002</v>
      </c>
      <c r="BB40" s="318">
        <f t="shared" si="43"/>
        <v>0</v>
      </c>
      <c r="BC40" s="269">
        <f t="shared" si="44"/>
        <v>1288.9307812500001</v>
      </c>
      <c r="BD40" t="e">
        <f t="shared" si="50"/>
        <v>#REF!</v>
      </c>
      <c r="BE40" t="s">
        <v>2396</v>
      </c>
      <c r="BH40" t="e">
        <f>VLOOKUP(K40,#REF!,8,FALSE)</f>
        <v>#REF!</v>
      </c>
      <c r="BJ40">
        <f>AB40</f>
        <v>21</v>
      </c>
      <c r="BK40" s="269">
        <f>AM40</f>
        <v>3928.17</v>
      </c>
      <c r="BL40" s="353"/>
      <c r="BM40" s="353" t="s">
        <v>75</v>
      </c>
      <c r="BN40" s="353"/>
      <c r="BO40" s="111">
        <f>BK40/192*127</f>
        <v>2598.32078125</v>
      </c>
      <c r="BP40" s="166">
        <f t="shared" si="45"/>
        <v>3887.2515625000001</v>
      </c>
      <c r="BQ40" s="111">
        <v>2598.32078125</v>
      </c>
      <c r="BR40" t="s">
        <v>2446</v>
      </c>
      <c r="BS40" s="165"/>
      <c r="BX40" s="495">
        <f t="shared" si="46"/>
        <v>3887.2515625000001</v>
      </c>
      <c r="BZ40" s="636">
        <f t="shared" si="18"/>
        <v>0</v>
      </c>
      <c r="CA40" s="633">
        <f t="shared" si="19"/>
        <v>2598.32078125</v>
      </c>
    </row>
    <row r="41" spans="1:79" x14ac:dyDescent="0.2">
      <c r="A41" s="4">
        <v>0</v>
      </c>
      <c r="B41" s="4">
        <v>1</v>
      </c>
      <c r="C41" s="5">
        <f t="shared" si="49"/>
        <v>41104</v>
      </c>
      <c r="D41" s="6">
        <v>41104</v>
      </c>
      <c r="E41" s="121">
        <v>43012</v>
      </c>
      <c r="F41" s="6" t="s">
        <v>1606</v>
      </c>
      <c r="G41" s="7" t="s">
        <v>75</v>
      </c>
      <c r="H41" s="7"/>
      <c r="I41" s="8" t="s">
        <v>32</v>
      </c>
      <c r="J41" s="33" t="s">
        <v>142</v>
      </c>
      <c r="K41" s="29">
        <v>402410</v>
      </c>
      <c r="L41" s="10" t="s">
        <v>124</v>
      </c>
      <c r="M41" s="10" t="s">
        <v>139</v>
      </c>
      <c r="N41" s="10" t="s">
        <v>140</v>
      </c>
      <c r="O41" s="11" t="s">
        <v>141</v>
      </c>
      <c r="P41" s="12">
        <v>41044</v>
      </c>
      <c r="Q41" s="13">
        <f t="shared" ca="1" si="31"/>
        <v>13.35523613963039</v>
      </c>
      <c r="R41" s="14">
        <v>6</v>
      </c>
      <c r="S41" s="15">
        <v>872</v>
      </c>
      <c r="T41" s="8">
        <v>872</v>
      </c>
      <c r="U41" s="16">
        <v>45040</v>
      </c>
      <c r="V41" s="17">
        <v>6</v>
      </c>
      <c r="W41" s="16">
        <v>45128</v>
      </c>
      <c r="X41" s="14">
        <v>63</v>
      </c>
      <c r="Y41" s="18">
        <f t="shared" si="32"/>
        <v>58</v>
      </c>
      <c r="Z41" s="18">
        <v>0</v>
      </c>
      <c r="AA41" s="18" t="s">
        <v>48</v>
      </c>
      <c r="AB41" s="26">
        <v>990</v>
      </c>
      <c r="AC41" s="26"/>
      <c r="AD41" s="26"/>
      <c r="AE41" s="147" t="str">
        <f t="shared" si="34"/>
        <v>0</v>
      </c>
      <c r="AF41" s="147" t="str">
        <f t="shared" si="35"/>
        <v>0</v>
      </c>
      <c r="AG41" s="147" t="str">
        <f t="shared" si="36"/>
        <v>1</v>
      </c>
      <c r="AH41" s="147" t="str">
        <f t="shared" si="37"/>
        <v>NO</v>
      </c>
      <c r="AI41" s="147" t="str">
        <f t="shared" si="38"/>
        <v>NO</v>
      </c>
      <c r="AJ41" s="147" t="str">
        <f t="shared" si="39"/>
        <v>NO</v>
      </c>
      <c r="AK41" s="147" t="str">
        <f t="shared" si="40"/>
        <v>NO</v>
      </c>
      <c r="AL41" s="21"/>
      <c r="AM41" s="21">
        <v>990</v>
      </c>
      <c r="AN41" s="27" t="s">
        <v>56</v>
      </c>
      <c r="AO41" s="21">
        <v>1</v>
      </c>
      <c r="AP41" s="21">
        <f t="shared" si="41"/>
        <v>0</v>
      </c>
      <c r="AQ41" s="149">
        <f t="shared" si="42"/>
        <v>0</v>
      </c>
      <c r="AR41" s="21">
        <v>0</v>
      </c>
      <c r="AS41" s="610">
        <v>0</v>
      </c>
      <c r="AT41" s="112">
        <v>0</v>
      </c>
      <c r="AU41" s="4"/>
      <c r="AV41" s="4"/>
      <c r="AW41" s="23" t="e">
        <f>VLOOKUP(K41,#REF!,8,FALSE)</f>
        <v>#REF!</v>
      </c>
      <c r="AX41" s="23" t="e">
        <f>VLOOKUP(K41,#REF!,8,FALSE)</f>
        <v>#REF!</v>
      </c>
      <c r="AY41" s="23" t="e">
        <f>VLOOKUP(K41,#REF!,8,FALSE)</f>
        <v>#REF!</v>
      </c>
      <c r="AZ41" s="4"/>
      <c r="BA41" s="272"/>
      <c r="BB41" s="318">
        <f t="shared" si="43"/>
        <v>0</v>
      </c>
      <c r="BC41" s="269">
        <f t="shared" si="44"/>
        <v>0</v>
      </c>
      <c r="BD41" t="e">
        <f t="shared" si="50"/>
        <v>#REF!</v>
      </c>
      <c r="BE41" t="s">
        <v>2396</v>
      </c>
      <c r="BH41" t="e">
        <f>VLOOKUP(K41,#REF!,8,FALSE)</f>
        <v>#REF!</v>
      </c>
      <c r="BJ41">
        <f>AB41</f>
        <v>990</v>
      </c>
      <c r="BK41" s="269">
        <f>AM41</f>
        <v>990</v>
      </c>
      <c r="BL41" s="353"/>
      <c r="BM41" s="353" t="s">
        <v>75</v>
      </c>
      <c r="BN41" s="353"/>
      <c r="BO41" s="111">
        <f>BK41/192*127</f>
        <v>654.84375</v>
      </c>
      <c r="BP41" s="166">
        <f t="shared" si="45"/>
        <v>654.84375</v>
      </c>
      <c r="BS41" s="165"/>
      <c r="BX41" s="495">
        <f t="shared" si="46"/>
        <v>654.84375</v>
      </c>
      <c r="BZ41" s="636">
        <f t="shared" si="18"/>
        <v>0</v>
      </c>
      <c r="CA41" s="633">
        <f t="shared" si="19"/>
        <v>654.84375</v>
      </c>
    </row>
    <row r="42" spans="1:79" x14ac:dyDescent="0.2">
      <c r="A42" s="4">
        <v>0</v>
      </c>
      <c r="B42" s="4">
        <v>1</v>
      </c>
      <c r="C42" s="5">
        <f t="shared" si="49"/>
        <v>41104</v>
      </c>
      <c r="D42" s="6">
        <v>41104</v>
      </c>
      <c r="E42" s="121">
        <v>43012</v>
      </c>
      <c r="F42" s="6" t="s">
        <v>1606</v>
      </c>
      <c r="G42" s="7" t="s">
        <v>75</v>
      </c>
      <c r="H42" s="7"/>
      <c r="I42" s="8" t="s">
        <v>32</v>
      </c>
      <c r="J42" s="33" t="s">
        <v>142</v>
      </c>
      <c r="K42" s="29">
        <v>402410</v>
      </c>
      <c r="L42" s="10" t="s">
        <v>124</v>
      </c>
      <c r="M42" s="10" t="s">
        <v>139</v>
      </c>
      <c r="N42" s="10" t="s">
        <v>140</v>
      </c>
      <c r="O42" s="11" t="s">
        <v>141</v>
      </c>
      <c r="P42" s="12">
        <v>41044</v>
      </c>
      <c r="Q42" s="13">
        <f t="shared" ca="1" si="31"/>
        <v>13.35523613963039</v>
      </c>
      <c r="R42" s="14">
        <v>6</v>
      </c>
      <c r="S42" s="15">
        <v>872</v>
      </c>
      <c r="T42" s="8">
        <v>872</v>
      </c>
      <c r="U42" s="16">
        <v>45068</v>
      </c>
      <c r="V42" s="17">
        <v>24</v>
      </c>
      <c r="W42" s="16">
        <v>45128</v>
      </c>
      <c r="X42" s="14">
        <v>63</v>
      </c>
      <c r="Y42" s="18">
        <f t="shared" si="32"/>
        <v>40</v>
      </c>
      <c r="Z42" s="18">
        <v>1</v>
      </c>
      <c r="AA42" s="18" t="s">
        <v>48</v>
      </c>
      <c r="AB42" s="26">
        <v>3936</v>
      </c>
      <c r="AC42" s="26"/>
      <c r="AD42" s="26"/>
      <c r="AE42" s="147" t="str">
        <f t="shared" si="34"/>
        <v>0</v>
      </c>
      <c r="AF42" s="147" t="str">
        <f t="shared" si="35"/>
        <v>0</v>
      </c>
      <c r="AG42" s="147" t="str">
        <f t="shared" si="36"/>
        <v>1</v>
      </c>
      <c r="AH42" s="147" t="str">
        <f t="shared" si="37"/>
        <v>NO</v>
      </c>
      <c r="AI42" s="147" t="str">
        <f t="shared" si="38"/>
        <v>NO</v>
      </c>
      <c r="AJ42" s="147" t="str">
        <f t="shared" si="39"/>
        <v>NO</v>
      </c>
      <c r="AK42" s="147" t="str">
        <f t="shared" si="40"/>
        <v>NO</v>
      </c>
      <c r="AL42" s="21"/>
      <c r="AM42" s="21">
        <v>3936</v>
      </c>
      <c r="AN42" s="27" t="s">
        <v>56</v>
      </c>
      <c r="AO42" s="21">
        <v>1</v>
      </c>
      <c r="AP42" s="21">
        <f t="shared" si="41"/>
        <v>1</v>
      </c>
      <c r="AQ42" s="149">
        <f t="shared" si="42"/>
        <v>3936</v>
      </c>
      <c r="AR42" s="21">
        <v>3936</v>
      </c>
      <c r="AS42" s="610">
        <v>0</v>
      </c>
      <c r="AT42" s="112">
        <v>3936</v>
      </c>
      <c r="AU42" s="4"/>
      <c r="AV42" s="4"/>
      <c r="AW42" s="23" t="e">
        <f>VLOOKUP(K42,#REF!,8,FALSE)</f>
        <v>#REF!</v>
      </c>
      <c r="AX42" s="23" t="e">
        <f>VLOOKUP(K42,#REF!,8,FALSE)</f>
        <v>#REF!</v>
      </c>
      <c r="AY42" s="23" t="e">
        <f>VLOOKUP(K42,#REF!,8,FALSE)</f>
        <v>#REF!</v>
      </c>
      <c r="AZ42" s="4"/>
      <c r="BA42" s="272"/>
      <c r="BB42" s="318">
        <f t="shared" si="43"/>
        <v>0</v>
      </c>
      <c r="BC42" s="269">
        <f t="shared" si="44"/>
        <v>3936</v>
      </c>
      <c r="BD42" t="e">
        <f t="shared" si="50"/>
        <v>#REF!</v>
      </c>
      <c r="BE42" t="s">
        <v>2396</v>
      </c>
      <c r="BH42" t="e">
        <f>VLOOKUP(K42,#REF!,8,FALSE)</f>
        <v>#REF!</v>
      </c>
      <c r="BJ42">
        <f>AB42</f>
        <v>3936</v>
      </c>
      <c r="BK42" s="269">
        <f>AM42</f>
        <v>3936</v>
      </c>
      <c r="BL42" s="353"/>
      <c r="BM42" s="353" t="s">
        <v>75</v>
      </c>
      <c r="BN42" s="353"/>
      <c r="BO42" s="111">
        <f>BK42/192*127</f>
        <v>2603.5</v>
      </c>
      <c r="BP42" s="166">
        <f t="shared" si="45"/>
        <v>6539.5</v>
      </c>
      <c r="BS42" s="165"/>
      <c r="BX42" s="495">
        <f t="shared" si="46"/>
        <v>6539.5</v>
      </c>
      <c r="BZ42" s="636">
        <f t="shared" si="18"/>
        <v>0</v>
      </c>
      <c r="CA42" s="633">
        <f t="shared" si="19"/>
        <v>6539.5</v>
      </c>
    </row>
    <row r="43" spans="1:79" x14ac:dyDescent="0.2">
      <c r="A43" s="4">
        <v>0</v>
      </c>
      <c r="B43" s="4">
        <v>1</v>
      </c>
      <c r="C43" s="5">
        <f t="shared" si="49"/>
        <v>41104</v>
      </c>
      <c r="D43" s="6">
        <v>41104</v>
      </c>
      <c r="E43" s="121">
        <v>43012</v>
      </c>
      <c r="F43" s="6" t="s">
        <v>1606</v>
      </c>
      <c r="G43" s="7" t="s">
        <v>75</v>
      </c>
      <c r="H43" s="7"/>
      <c r="I43" s="8" t="s">
        <v>32</v>
      </c>
      <c r="J43" s="33" t="s">
        <v>142</v>
      </c>
      <c r="K43" s="29">
        <v>402410</v>
      </c>
      <c r="L43" s="10" t="s">
        <v>124</v>
      </c>
      <c r="M43" s="10" t="s">
        <v>139</v>
      </c>
      <c r="N43" s="10" t="s">
        <v>140</v>
      </c>
      <c r="O43" s="11" t="s">
        <v>141</v>
      </c>
      <c r="P43" s="12">
        <v>41044</v>
      </c>
      <c r="Q43" s="13">
        <f t="shared" ca="1" si="31"/>
        <v>13.35523613963039</v>
      </c>
      <c r="R43" s="14">
        <v>6</v>
      </c>
      <c r="S43" s="15">
        <v>872</v>
      </c>
      <c r="T43" s="8">
        <v>872</v>
      </c>
      <c r="U43" s="16">
        <v>45017</v>
      </c>
      <c r="V43" s="17">
        <v>1</v>
      </c>
      <c r="W43" s="16">
        <v>45128</v>
      </c>
      <c r="X43" s="14">
        <v>63</v>
      </c>
      <c r="Y43" s="18">
        <f t="shared" si="32"/>
        <v>63</v>
      </c>
      <c r="Z43" s="18">
        <v>2</v>
      </c>
      <c r="AA43" s="18" t="s">
        <v>48</v>
      </c>
      <c r="AB43" s="26">
        <v>5904</v>
      </c>
      <c r="AC43" s="26"/>
      <c r="AD43" s="26"/>
      <c r="AE43" s="147" t="str">
        <f t="shared" si="34"/>
        <v>0</v>
      </c>
      <c r="AF43" s="147" t="str">
        <f t="shared" si="35"/>
        <v>0</v>
      </c>
      <c r="AG43" s="147" t="str">
        <f t="shared" si="36"/>
        <v>1</v>
      </c>
      <c r="AH43" s="147" t="str">
        <f t="shared" si="37"/>
        <v>NO</v>
      </c>
      <c r="AI43" s="147" t="str">
        <f t="shared" si="38"/>
        <v>NO</v>
      </c>
      <c r="AJ43" s="147" t="str">
        <f t="shared" si="39"/>
        <v>NO</v>
      </c>
      <c r="AK43" s="147" t="str">
        <f t="shared" si="40"/>
        <v>NO</v>
      </c>
      <c r="AL43" s="21"/>
      <c r="AM43" s="21">
        <f>AB43</f>
        <v>5904</v>
      </c>
      <c r="AN43" s="27" t="s">
        <v>56</v>
      </c>
      <c r="AO43" s="21">
        <v>1</v>
      </c>
      <c r="AP43" s="21">
        <v>1</v>
      </c>
      <c r="AQ43" s="149">
        <f t="shared" si="42"/>
        <v>5904</v>
      </c>
      <c r="AR43" s="21">
        <v>0</v>
      </c>
      <c r="AS43" s="610">
        <v>0</v>
      </c>
      <c r="AT43" s="112">
        <v>0</v>
      </c>
      <c r="AU43" s="4"/>
      <c r="AV43" s="4"/>
      <c r="AW43" s="23" t="e">
        <f>VLOOKUP(K43,#REF!,8,FALSE)</f>
        <v>#REF!</v>
      </c>
      <c r="AX43" s="23" t="e">
        <f>VLOOKUP(K43,#REF!,8,FALSE)</f>
        <v>#REF!</v>
      </c>
      <c r="AY43" s="23" t="e">
        <f>VLOOKUP(K43,#REF!,8,FALSE)</f>
        <v>#REF!</v>
      </c>
      <c r="AZ43" s="4"/>
      <c r="BA43" s="272"/>
      <c r="BB43" s="318"/>
      <c r="BC43" s="269">
        <v>0</v>
      </c>
      <c r="BK43" s="269"/>
      <c r="BL43" s="353"/>
      <c r="BM43" s="353"/>
      <c r="BN43" s="353"/>
      <c r="BO43" s="111"/>
      <c r="BP43" s="166">
        <f t="shared" si="45"/>
        <v>0</v>
      </c>
      <c r="BS43" s="165"/>
      <c r="BX43" s="495">
        <f t="shared" si="46"/>
        <v>5904</v>
      </c>
      <c r="BY43" t="s">
        <v>2472</v>
      </c>
      <c r="BZ43" s="636">
        <f t="shared" si="18"/>
        <v>5904</v>
      </c>
      <c r="CA43" s="633">
        <f t="shared" si="19"/>
        <v>5904</v>
      </c>
    </row>
    <row r="44" spans="1:79" x14ac:dyDescent="0.2">
      <c r="A44" s="4">
        <v>0</v>
      </c>
      <c r="B44" s="4">
        <v>1</v>
      </c>
      <c r="C44" s="5">
        <f t="shared" si="49"/>
        <v>41104</v>
      </c>
      <c r="D44" s="6">
        <v>41104</v>
      </c>
      <c r="E44" s="121">
        <v>43012</v>
      </c>
      <c r="F44" s="6" t="s">
        <v>1606</v>
      </c>
      <c r="G44" s="7" t="s">
        <v>75</v>
      </c>
      <c r="H44" s="7"/>
      <c r="I44" s="8" t="s">
        <v>32</v>
      </c>
      <c r="J44" s="33" t="s">
        <v>142</v>
      </c>
      <c r="K44" s="30">
        <v>419928</v>
      </c>
      <c r="L44" s="10" t="s">
        <v>124</v>
      </c>
      <c r="M44" s="31" t="s">
        <v>143</v>
      </c>
      <c r="N44" s="31" t="s">
        <v>144</v>
      </c>
      <c r="O44" s="31" t="str">
        <f>M44 &amp; N44</f>
        <v>Mir AsharAmmar</v>
      </c>
      <c r="P44" s="32">
        <v>42074</v>
      </c>
      <c r="Q44" s="13">
        <f t="shared" ca="1" si="31"/>
        <v>10.535249828884325</v>
      </c>
      <c r="R44" s="14">
        <v>3</v>
      </c>
      <c r="S44" s="15">
        <v>872</v>
      </c>
      <c r="T44" s="8">
        <v>872</v>
      </c>
      <c r="U44" s="16">
        <v>45017</v>
      </c>
      <c r="V44" s="17">
        <v>1</v>
      </c>
      <c r="W44" s="16">
        <v>45382</v>
      </c>
      <c r="X44" s="14">
        <v>192</v>
      </c>
      <c r="Y44" s="18">
        <f t="shared" si="32"/>
        <v>192</v>
      </c>
      <c r="Z44" s="18">
        <f>Y44/192</f>
        <v>1</v>
      </c>
      <c r="AA44" s="18" t="s">
        <v>36</v>
      </c>
      <c r="AB44" s="26">
        <v>25</v>
      </c>
      <c r="AC44" s="26"/>
      <c r="AD44" s="26"/>
      <c r="AE44" s="147" t="str">
        <f t="shared" si="34"/>
        <v>1</v>
      </c>
      <c r="AF44" s="147" t="str">
        <f t="shared" si="35"/>
        <v>0</v>
      </c>
      <c r="AG44" s="147" t="str">
        <f t="shared" si="36"/>
        <v>0</v>
      </c>
      <c r="AH44" s="147" t="str">
        <f t="shared" si="37"/>
        <v>NO</v>
      </c>
      <c r="AI44" s="147" t="str">
        <f t="shared" si="38"/>
        <v>NO</v>
      </c>
      <c r="AJ44" s="147" t="str">
        <f t="shared" si="39"/>
        <v>NO</v>
      </c>
      <c r="AK44" s="147" t="str">
        <f t="shared" si="40"/>
        <v>NO</v>
      </c>
      <c r="AL44" s="21"/>
      <c r="AM44" s="21">
        <f>IF(H44="Y",AL44,((AB44*$O$902)-6000))</f>
        <v>5819.25</v>
      </c>
      <c r="AN44" s="27" t="s">
        <v>128</v>
      </c>
      <c r="AO44" s="21">
        <v>1</v>
      </c>
      <c r="AP44" s="21">
        <f t="shared" ref="AP44:AP75" si="51">AO44*Z44</f>
        <v>1</v>
      </c>
      <c r="AQ44" s="149">
        <f t="shared" si="42"/>
        <v>5819.25</v>
      </c>
      <c r="AR44" s="21">
        <v>5819.25</v>
      </c>
      <c r="AS44" s="610">
        <v>5819.25</v>
      </c>
      <c r="AT44" s="112">
        <v>5819.25</v>
      </c>
      <c r="AU44" s="4"/>
      <c r="AV44" s="4"/>
      <c r="AW44" s="23" t="e">
        <f>VLOOKUP(K44,#REF!,8,FALSE)</f>
        <v>#REF!</v>
      </c>
      <c r="AX44" s="23" t="e">
        <f>VLOOKUP(K44,#REF!,8,FALSE)</f>
        <v>#REF!</v>
      </c>
      <c r="AY44" s="23" t="e">
        <f>VLOOKUP(K44,#REF!,8,FALSE)</f>
        <v>#REF!</v>
      </c>
      <c r="AZ44" s="4"/>
      <c r="BA44" s="272"/>
      <c r="BB44" s="313">
        <f t="shared" ref="BB44:BB75" si="52">BC44-AT44</f>
        <v>0</v>
      </c>
      <c r="BC44" s="269">
        <f t="shared" ref="BC44:BC107" si="53">AR44</f>
        <v>5819.25</v>
      </c>
      <c r="BD44" t="str">
        <f t="shared" ref="BD44:BD75" si="54">BG44&amp;BH44&amp;BI44</f>
        <v/>
      </c>
      <c r="BP44" s="166">
        <f t="shared" si="45"/>
        <v>5819.25</v>
      </c>
      <c r="BS44" s="165"/>
      <c r="BX44" s="495">
        <f t="shared" si="46"/>
        <v>5819.25</v>
      </c>
      <c r="BZ44" s="636">
        <f t="shared" si="18"/>
        <v>0</v>
      </c>
      <c r="CA44" s="633">
        <f t="shared" si="19"/>
        <v>0</v>
      </c>
    </row>
    <row r="45" spans="1:79" x14ac:dyDescent="0.2">
      <c r="A45" s="4">
        <v>0</v>
      </c>
      <c r="B45" s="4">
        <v>1</v>
      </c>
      <c r="C45" s="5">
        <f t="shared" si="49"/>
        <v>41104</v>
      </c>
      <c r="D45" s="6">
        <v>41104</v>
      </c>
      <c r="E45" s="121">
        <v>43012</v>
      </c>
      <c r="F45" s="6" t="s">
        <v>1606</v>
      </c>
      <c r="G45" s="7" t="s">
        <v>75</v>
      </c>
      <c r="H45" s="7"/>
      <c r="I45" s="8" t="s">
        <v>32</v>
      </c>
      <c r="J45" s="8"/>
      <c r="K45" s="29">
        <v>425924</v>
      </c>
      <c r="L45" s="10" t="s">
        <v>124</v>
      </c>
      <c r="M45" s="10" t="s">
        <v>145</v>
      </c>
      <c r="N45" s="10" t="s">
        <v>146</v>
      </c>
      <c r="O45" s="11" t="s">
        <v>147</v>
      </c>
      <c r="P45" s="12">
        <v>41295</v>
      </c>
      <c r="Q45" s="13">
        <f t="shared" ca="1" si="31"/>
        <v>12.668035592060233</v>
      </c>
      <c r="R45" s="14">
        <v>5</v>
      </c>
      <c r="S45" s="15">
        <v>872</v>
      </c>
      <c r="T45" s="8">
        <v>872</v>
      </c>
      <c r="U45" s="16">
        <v>45017</v>
      </c>
      <c r="V45" s="17">
        <v>1</v>
      </c>
      <c r="W45" s="16">
        <v>45039</v>
      </c>
      <c r="X45" s="14">
        <v>5</v>
      </c>
      <c r="Y45" s="18">
        <f t="shared" si="32"/>
        <v>5</v>
      </c>
      <c r="Z45" s="18">
        <f>Y45/192</f>
        <v>2.6041666666666668E-2</v>
      </c>
      <c r="AA45" s="16">
        <v>45039</v>
      </c>
      <c r="AB45" s="26">
        <v>30</v>
      </c>
      <c r="AC45" s="26"/>
      <c r="AD45" s="26"/>
      <c r="AE45" s="147" t="str">
        <f t="shared" si="34"/>
        <v>0</v>
      </c>
      <c r="AF45" s="147" t="str">
        <f t="shared" si="35"/>
        <v>1</v>
      </c>
      <c r="AG45" s="147" t="str">
        <f t="shared" si="36"/>
        <v>0</v>
      </c>
      <c r="AH45" s="147" t="str">
        <f t="shared" si="37"/>
        <v>NO</v>
      </c>
      <c r="AI45" s="147" t="str">
        <f t="shared" si="38"/>
        <v>NO</v>
      </c>
      <c r="AJ45" s="147" t="str">
        <f t="shared" si="39"/>
        <v>NO</v>
      </c>
      <c r="AK45" s="147" t="str">
        <f t="shared" si="40"/>
        <v>NO</v>
      </c>
      <c r="AL45" s="21"/>
      <c r="AM45" s="21">
        <f>IF(H45="Y",AL45,((AB45*$O$902)-6000))</f>
        <v>8183.0999999999985</v>
      </c>
      <c r="AN45" s="27"/>
      <c r="AO45" s="21">
        <v>1</v>
      </c>
      <c r="AP45" s="21">
        <f t="shared" si="51"/>
        <v>2.6041666666666668E-2</v>
      </c>
      <c r="AQ45" s="149">
        <f t="shared" si="42"/>
        <v>213.10156249999997</v>
      </c>
      <c r="AR45" s="21">
        <v>213.10156249999997</v>
      </c>
      <c r="AS45" s="610">
        <v>8183.0999999999985</v>
      </c>
      <c r="AT45" s="112">
        <v>213.1015625</v>
      </c>
      <c r="AU45" s="4"/>
      <c r="AV45" s="4"/>
      <c r="AW45" s="23" t="e">
        <f>VLOOKUP(K45,#REF!,8,FALSE)</f>
        <v>#REF!</v>
      </c>
      <c r="AX45" s="23" t="e">
        <f>VLOOKUP(K45,#REF!,8,FALSE)</f>
        <v>#REF!</v>
      </c>
      <c r="AY45" s="23" t="e">
        <f>VLOOKUP(K45,#REF!,8,FALSE)</f>
        <v>#REF!</v>
      </c>
      <c r="AZ45" s="4"/>
      <c r="BA45" s="272"/>
      <c r="BB45" s="313">
        <f t="shared" si="52"/>
        <v>0</v>
      </c>
      <c r="BC45" s="269">
        <f t="shared" si="53"/>
        <v>213.10156249999997</v>
      </c>
      <c r="BD45" t="str">
        <f t="shared" si="54"/>
        <v/>
      </c>
      <c r="BP45" s="166">
        <f t="shared" si="45"/>
        <v>213.10156249999997</v>
      </c>
      <c r="BS45" s="165"/>
      <c r="BX45" s="495">
        <f t="shared" si="46"/>
        <v>213.10156249999997</v>
      </c>
      <c r="BZ45" s="636">
        <f t="shared" si="18"/>
        <v>0</v>
      </c>
      <c r="CA45" s="633">
        <f t="shared" si="19"/>
        <v>-7969.9984374999985</v>
      </c>
    </row>
    <row r="46" spans="1:79" x14ac:dyDescent="0.2">
      <c r="A46" s="4">
        <v>1</v>
      </c>
      <c r="B46" s="4">
        <v>1</v>
      </c>
      <c r="C46" s="5">
        <f t="shared" si="49"/>
        <v>41104</v>
      </c>
      <c r="D46" s="6">
        <v>41104</v>
      </c>
      <c r="E46" s="121">
        <v>43012</v>
      </c>
      <c r="F46" s="6" t="s">
        <v>1606</v>
      </c>
      <c r="G46" s="7" t="s">
        <v>75</v>
      </c>
      <c r="H46" s="7"/>
      <c r="I46" s="8" t="s">
        <v>32</v>
      </c>
      <c r="J46" s="8"/>
      <c r="K46" s="29">
        <v>416043</v>
      </c>
      <c r="L46" s="10" t="s">
        <v>124</v>
      </c>
      <c r="M46" s="10" t="s">
        <v>148</v>
      </c>
      <c r="N46" s="10" t="s">
        <v>149</v>
      </c>
      <c r="O46" s="11" t="s">
        <v>150</v>
      </c>
      <c r="P46" s="12">
        <v>42138</v>
      </c>
      <c r="Q46" s="13">
        <f t="shared" ca="1" si="31"/>
        <v>10.360027378507871</v>
      </c>
      <c r="R46" s="14">
        <v>3</v>
      </c>
      <c r="S46" s="15">
        <v>872</v>
      </c>
      <c r="T46" s="8">
        <v>872</v>
      </c>
      <c r="U46" s="16">
        <v>45041</v>
      </c>
      <c r="V46" s="17">
        <v>8</v>
      </c>
      <c r="W46" s="16">
        <v>45382</v>
      </c>
      <c r="X46" s="14">
        <v>192</v>
      </c>
      <c r="Y46" s="18">
        <f t="shared" si="32"/>
        <v>185</v>
      </c>
      <c r="Z46" s="18">
        <f>Y46/192</f>
        <v>0.96354166666666663</v>
      </c>
      <c r="AA46" s="18" t="s">
        <v>36</v>
      </c>
      <c r="AB46" s="26">
        <v>30</v>
      </c>
      <c r="AC46" s="26"/>
      <c r="AD46" s="26"/>
      <c r="AE46" s="147" t="str">
        <f t="shared" si="34"/>
        <v>0</v>
      </c>
      <c r="AF46" s="147" t="str">
        <f t="shared" si="35"/>
        <v>1</v>
      </c>
      <c r="AG46" s="147" t="str">
        <f t="shared" si="36"/>
        <v>0</v>
      </c>
      <c r="AH46" s="147" t="str">
        <f t="shared" si="37"/>
        <v>NO</v>
      </c>
      <c r="AI46" s="147" t="str">
        <f t="shared" si="38"/>
        <v>NO</v>
      </c>
      <c r="AJ46" s="147" t="str">
        <f t="shared" si="39"/>
        <v>NO</v>
      </c>
      <c r="AK46" s="147" t="str">
        <f t="shared" si="40"/>
        <v>NO</v>
      </c>
      <c r="AL46" s="21"/>
      <c r="AM46" s="21">
        <f>IF(H46="Y",AL46,((AB46*$O$902)-6000))</f>
        <v>8183.0999999999985</v>
      </c>
      <c r="AN46" s="27" t="s">
        <v>43</v>
      </c>
      <c r="AO46" s="21">
        <v>1</v>
      </c>
      <c r="AP46" s="21">
        <f t="shared" si="51"/>
        <v>0.96354166666666663</v>
      </c>
      <c r="AQ46" s="149">
        <f t="shared" si="42"/>
        <v>7884.7578124999982</v>
      </c>
      <c r="AR46" s="21">
        <v>7884.7578124999982</v>
      </c>
      <c r="AS46" s="610">
        <v>0</v>
      </c>
      <c r="AT46" s="112">
        <v>7884.7578124999982</v>
      </c>
      <c r="AU46" s="4"/>
      <c r="AV46" s="4"/>
      <c r="AW46" s="23" t="e">
        <f>VLOOKUP(K46,#REF!,8,FALSE)</f>
        <v>#REF!</v>
      </c>
      <c r="AX46" s="23" t="e">
        <f>VLOOKUP(K46,#REF!,8,FALSE)</f>
        <v>#REF!</v>
      </c>
      <c r="AY46" s="23" t="e">
        <f>VLOOKUP(K46,#REF!,8,FALSE)</f>
        <v>#REF!</v>
      </c>
      <c r="AZ46" s="4"/>
      <c r="BA46" s="272"/>
      <c r="BB46" s="313">
        <f t="shared" si="52"/>
        <v>0</v>
      </c>
      <c r="BC46" s="269">
        <f t="shared" si="53"/>
        <v>7884.7578124999982</v>
      </c>
      <c r="BD46" t="str">
        <f t="shared" si="54"/>
        <v/>
      </c>
      <c r="BP46" s="166">
        <f t="shared" si="45"/>
        <v>7884.7578124999982</v>
      </c>
      <c r="BS46" s="165"/>
      <c r="BX46" s="495">
        <f t="shared" si="46"/>
        <v>7884.7578124999982</v>
      </c>
      <c r="BZ46" s="636">
        <f t="shared" si="18"/>
        <v>0</v>
      </c>
      <c r="CA46" s="633">
        <f t="shared" si="19"/>
        <v>7884.7578124999982</v>
      </c>
    </row>
    <row r="47" spans="1:79" x14ac:dyDescent="0.2">
      <c r="A47" s="4">
        <v>1</v>
      </c>
      <c r="B47" s="4">
        <v>1</v>
      </c>
      <c r="C47" s="5">
        <f t="shared" si="49"/>
        <v>41104</v>
      </c>
      <c r="D47" s="6">
        <v>41104</v>
      </c>
      <c r="E47" s="121">
        <v>43012</v>
      </c>
      <c r="F47" s="6" t="s">
        <v>1606</v>
      </c>
      <c r="G47" s="7" t="s">
        <v>75</v>
      </c>
      <c r="H47" s="7"/>
      <c r="I47" s="8" t="s">
        <v>32</v>
      </c>
      <c r="J47" s="8"/>
      <c r="K47" s="29">
        <v>440928</v>
      </c>
      <c r="L47" s="10" t="s">
        <v>124</v>
      </c>
      <c r="M47" s="10" t="s">
        <v>151</v>
      </c>
      <c r="N47" s="10" t="s">
        <v>152</v>
      </c>
      <c r="O47" s="11" t="s">
        <v>153</v>
      </c>
      <c r="P47" s="12">
        <v>41509</v>
      </c>
      <c r="Q47" s="13">
        <f t="shared" ca="1" si="31"/>
        <v>12.082135523613964</v>
      </c>
      <c r="R47" s="14">
        <v>4</v>
      </c>
      <c r="S47" s="15">
        <v>872</v>
      </c>
      <c r="T47" s="8">
        <v>872</v>
      </c>
      <c r="U47" s="16">
        <v>45017</v>
      </c>
      <c r="V47" s="17">
        <v>1</v>
      </c>
      <c r="W47" s="16">
        <v>45382</v>
      </c>
      <c r="X47" s="14">
        <v>192</v>
      </c>
      <c r="Y47" s="18">
        <f t="shared" si="32"/>
        <v>192</v>
      </c>
      <c r="Z47" s="18">
        <f>Y47/192</f>
        <v>1</v>
      </c>
      <c r="AA47" s="18" t="s">
        <v>36</v>
      </c>
      <c r="AB47" s="26">
        <v>37</v>
      </c>
      <c r="AC47" s="26"/>
      <c r="AD47" s="26"/>
      <c r="AE47" s="147" t="str">
        <f t="shared" si="34"/>
        <v>0</v>
      </c>
      <c r="AF47" s="147" t="str">
        <f t="shared" si="35"/>
        <v>0</v>
      </c>
      <c r="AG47" s="147" t="str">
        <f t="shared" si="36"/>
        <v>1</v>
      </c>
      <c r="AH47" s="147" t="str">
        <f t="shared" si="37"/>
        <v>NO</v>
      </c>
      <c r="AI47" s="147" t="str">
        <f t="shared" si="38"/>
        <v>NO</v>
      </c>
      <c r="AJ47" s="147" t="str">
        <f t="shared" si="39"/>
        <v>NO</v>
      </c>
      <c r="AK47" s="147" t="str">
        <f t="shared" si="40"/>
        <v>NO</v>
      </c>
      <c r="AL47" s="21"/>
      <c r="AM47" s="21">
        <f>IF(H47="Y",AL47,((AB47*$O$902)-6000))</f>
        <v>11492.489999999998</v>
      </c>
      <c r="AN47" s="27" t="s">
        <v>81</v>
      </c>
      <c r="AO47" s="21">
        <v>1</v>
      </c>
      <c r="AP47" s="21">
        <f t="shared" si="51"/>
        <v>1</v>
      </c>
      <c r="AQ47" s="149">
        <f t="shared" si="42"/>
        <v>11492.489999999998</v>
      </c>
      <c r="AR47" s="21">
        <v>11492.489999999998</v>
      </c>
      <c r="AS47" s="610">
        <v>11492.489999999998</v>
      </c>
      <c r="AT47" s="112">
        <v>11492.489999999998</v>
      </c>
      <c r="AU47" s="4"/>
      <c r="AV47" s="4"/>
      <c r="AW47" s="23" t="e">
        <f>VLOOKUP(K47,#REF!,8,FALSE)</f>
        <v>#REF!</v>
      </c>
      <c r="AX47" s="23" t="e">
        <f>VLOOKUP(K47,#REF!,8,FALSE)</f>
        <v>#REF!</v>
      </c>
      <c r="AY47" s="23" t="e">
        <f>VLOOKUP(K47,#REF!,8,FALSE)</f>
        <v>#REF!</v>
      </c>
      <c r="AZ47" s="4"/>
      <c r="BA47" s="272"/>
      <c r="BB47" s="313">
        <f t="shared" si="52"/>
        <v>0</v>
      </c>
      <c r="BC47" s="269">
        <f t="shared" si="53"/>
        <v>11492.489999999998</v>
      </c>
      <c r="BD47" t="str">
        <f t="shared" si="54"/>
        <v/>
      </c>
      <c r="BP47" s="166">
        <f t="shared" si="45"/>
        <v>11492.489999999998</v>
      </c>
      <c r="BS47" s="165"/>
      <c r="BX47" s="495">
        <f t="shared" si="46"/>
        <v>11492.489999999998</v>
      </c>
      <c r="BZ47" s="636">
        <f t="shared" si="18"/>
        <v>0</v>
      </c>
      <c r="CA47" s="633">
        <f t="shared" si="19"/>
        <v>0</v>
      </c>
    </row>
    <row r="48" spans="1:79" x14ac:dyDescent="0.2">
      <c r="A48" s="4">
        <v>1</v>
      </c>
      <c r="B48" s="4">
        <v>1</v>
      </c>
      <c r="C48" s="5">
        <f t="shared" si="49"/>
        <v>41104</v>
      </c>
      <c r="D48" s="6">
        <v>41104</v>
      </c>
      <c r="E48" s="121">
        <v>43012</v>
      </c>
      <c r="F48" s="6" t="s">
        <v>1606</v>
      </c>
      <c r="G48" s="7" t="s">
        <v>75</v>
      </c>
      <c r="H48" s="7"/>
      <c r="I48" s="8" t="s">
        <v>32</v>
      </c>
      <c r="J48" s="8"/>
      <c r="K48" s="29">
        <v>448441</v>
      </c>
      <c r="L48" s="10" t="s">
        <v>124</v>
      </c>
      <c r="M48" s="10" t="s">
        <v>154</v>
      </c>
      <c r="N48" s="10" t="s">
        <v>155</v>
      </c>
      <c r="O48" s="11" t="s">
        <v>156</v>
      </c>
      <c r="P48" s="12">
        <v>42684</v>
      </c>
      <c r="Q48" s="13">
        <f t="shared" ca="1" si="31"/>
        <v>8.8651608487337441</v>
      </c>
      <c r="R48" s="14">
        <v>1</v>
      </c>
      <c r="S48" s="15">
        <v>872</v>
      </c>
      <c r="T48" s="8">
        <v>872</v>
      </c>
      <c r="U48" s="16">
        <v>45017</v>
      </c>
      <c r="V48" s="17">
        <v>1</v>
      </c>
      <c r="W48" s="16">
        <v>45382</v>
      </c>
      <c r="X48" s="14">
        <v>1</v>
      </c>
      <c r="Y48" s="18">
        <f t="shared" si="32"/>
        <v>1</v>
      </c>
      <c r="Z48" s="18">
        <v>1</v>
      </c>
      <c r="AA48" s="16" t="s">
        <v>36</v>
      </c>
      <c r="AB48" s="26">
        <v>2260</v>
      </c>
      <c r="AC48" s="26"/>
      <c r="AD48" s="26"/>
      <c r="AE48" s="147" t="str">
        <f t="shared" si="34"/>
        <v>0</v>
      </c>
      <c r="AF48" s="147" t="str">
        <f t="shared" si="35"/>
        <v>0</v>
      </c>
      <c r="AG48" s="147" t="str">
        <f t="shared" si="36"/>
        <v>1</v>
      </c>
      <c r="AH48" s="147" t="str">
        <f t="shared" si="37"/>
        <v>NO</v>
      </c>
      <c r="AI48" s="147" t="str">
        <f t="shared" si="38"/>
        <v>NO</v>
      </c>
      <c r="AJ48" s="147" t="str">
        <f t="shared" si="39"/>
        <v>NO</v>
      </c>
      <c r="AK48" s="147" t="str">
        <f t="shared" si="40"/>
        <v>NO</v>
      </c>
      <c r="AL48" s="21"/>
      <c r="AM48" s="21">
        <v>2260</v>
      </c>
      <c r="AN48" s="27"/>
      <c r="AO48" s="21">
        <v>1</v>
      </c>
      <c r="AP48" s="21">
        <f t="shared" si="51"/>
        <v>1</v>
      </c>
      <c r="AQ48" s="149">
        <f t="shared" si="42"/>
        <v>2260</v>
      </c>
      <c r="AR48" s="21">
        <v>2260</v>
      </c>
      <c r="AS48" s="610">
        <v>0</v>
      </c>
      <c r="AT48" s="112">
        <v>2260</v>
      </c>
      <c r="AU48" s="4"/>
      <c r="AV48" s="4"/>
      <c r="AW48" s="23" t="e">
        <f>VLOOKUP(K48,#REF!,8,FALSE)</f>
        <v>#REF!</v>
      </c>
      <c r="AX48" s="23" t="e">
        <f>VLOOKUP(K48,#REF!,8,FALSE)</f>
        <v>#REF!</v>
      </c>
      <c r="AY48" s="23" t="e">
        <f>VLOOKUP(K48,#REF!,8,FALSE)</f>
        <v>#REF!</v>
      </c>
      <c r="AZ48" s="4"/>
      <c r="BA48" s="272"/>
      <c r="BB48" s="313">
        <f t="shared" si="52"/>
        <v>0</v>
      </c>
      <c r="BC48" s="269">
        <f t="shared" si="53"/>
        <v>2260</v>
      </c>
      <c r="BD48" t="str">
        <f t="shared" si="54"/>
        <v/>
      </c>
      <c r="BP48" s="166">
        <f t="shared" si="45"/>
        <v>2260</v>
      </c>
      <c r="BS48" s="165"/>
      <c r="BX48" s="495">
        <f t="shared" si="46"/>
        <v>2260</v>
      </c>
      <c r="BZ48" s="636">
        <f t="shared" si="18"/>
        <v>0</v>
      </c>
      <c r="CA48" s="633">
        <f t="shared" si="19"/>
        <v>2260</v>
      </c>
    </row>
    <row r="49" spans="1:79" x14ac:dyDescent="0.2">
      <c r="A49" s="4">
        <v>1</v>
      </c>
      <c r="B49" s="4">
        <v>1</v>
      </c>
      <c r="C49" s="5">
        <f t="shared" si="49"/>
        <v>4001</v>
      </c>
      <c r="D49" s="6">
        <v>4001</v>
      </c>
      <c r="E49" s="121">
        <v>43012</v>
      </c>
      <c r="F49" s="6" t="s">
        <v>1606</v>
      </c>
      <c r="G49" s="7" t="s">
        <v>75</v>
      </c>
      <c r="H49" s="33"/>
      <c r="I49" s="33" t="s">
        <v>157</v>
      </c>
      <c r="J49" s="33"/>
      <c r="K49" s="29">
        <v>383735</v>
      </c>
      <c r="L49" s="34" t="s">
        <v>158</v>
      </c>
      <c r="M49" s="10" t="s">
        <v>40</v>
      </c>
      <c r="N49" s="10" t="s">
        <v>159</v>
      </c>
      <c r="O49" s="11" t="s">
        <v>160</v>
      </c>
      <c r="P49" s="12">
        <v>40024</v>
      </c>
      <c r="Q49" s="13">
        <f t="shared" ca="1" si="31"/>
        <v>16.147843942505133</v>
      </c>
      <c r="R49" s="14">
        <v>9</v>
      </c>
      <c r="S49" s="15">
        <v>872</v>
      </c>
      <c r="T49" s="8">
        <v>872</v>
      </c>
      <c r="U49" s="16">
        <v>45017</v>
      </c>
      <c r="V49" s="17">
        <v>1</v>
      </c>
      <c r="W49" s="16">
        <v>45042</v>
      </c>
      <c r="X49" s="14">
        <v>8</v>
      </c>
      <c r="Y49" s="18">
        <f t="shared" si="32"/>
        <v>8</v>
      </c>
      <c r="Z49" s="18">
        <f t="shared" ref="Z49:Z94" si="55">Y49/192</f>
        <v>4.1666666666666664E-2</v>
      </c>
      <c r="AA49" s="18" t="s">
        <v>36</v>
      </c>
      <c r="AB49" s="26">
        <v>25</v>
      </c>
      <c r="AC49" s="26"/>
      <c r="AD49" s="26"/>
      <c r="AE49" s="147" t="str">
        <f t="shared" si="34"/>
        <v>1</v>
      </c>
      <c r="AF49" s="147" t="str">
        <f t="shared" si="35"/>
        <v>0</v>
      </c>
      <c r="AG49" s="147" t="str">
        <f t="shared" si="36"/>
        <v>0</v>
      </c>
      <c r="AH49" s="147" t="str">
        <f t="shared" si="37"/>
        <v>NO</v>
      </c>
      <c r="AI49" s="147" t="str">
        <f t="shared" si="38"/>
        <v>NO</v>
      </c>
      <c r="AJ49" s="147" t="str">
        <f t="shared" si="39"/>
        <v>NO</v>
      </c>
      <c r="AK49" s="147" t="str">
        <f t="shared" si="40"/>
        <v>NO</v>
      </c>
      <c r="AL49" s="21"/>
      <c r="AM49" s="21">
        <f t="shared" ref="AM49:AM61" si="56">IF(H49="Y",AL49,((AB49*$O$902)-6000))</f>
        <v>5819.25</v>
      </c>
      <c r="AN49" s="27" t="s">
        <v>37</v>
      </c>
      <c r="AO49" s="21">
        <v>1</v>
      </c>
      <c r="AP49" s="21">
        <f t="shared" si="51"/>
        <v>4.1666666666666664E-2</v>
      </c>
      <c r="AQ49" s="149">
        <f t="shared" si="42"/>
        <v>242.46875</v>
      </c>
      <c r="AR49" s="21">
        <v>242.46875</v>
      </c>
      <c r="AS49" s="610">
        <v>5819.25</v>
      </c>
      <c r="AT49" s="112">
        <v>5819.25</v>
      </c>
      <c r="AU49" s="4"/>
      <c r="AV49" s="4"/>
      <c r="AW49" s="23" t="e">
        <f>VLOOKUP(K49,#REF!,8,FALSE)</f>
        <v>#REF!</v>
      </c>
      <c r="AX49" s="23" t="e">
        <f>VLOOKUP(K49,#REF!,8,FALSE)</f>
        <v>#REF!</v>
      </c>
      <c r="AY49" s="23" t="e">
        <f>VLOOKUP(K49,#REF!,8,FALSE)</f>
        <v>#REF!</v>
      </c>
      <c r="AZ49" s="4"/>
      <c r="BA49" s="272"/>
      <c r="BB49" s="318">
        <f t="shared" si="52"/>
        <v>-5576.78125</v>
      </c>
      <c r="BC49" s="269">
        <f t="shared" si="53"/>
        <v>242.46875</v>
      </c>
      <c r="BD49" t="str">
        <f t="shared" si="54"/>
        <v/>
      </c>
      <c r="BP49" s="166">
        <f t="shared" si="45"/>
        <v>242.46875</v>
      </c>
      <c r="BS49" s="165"/>
      <c r="BX49" s="495">
        <f t="shared" si="46"/>
        <v>242.46875</v>
      </c>
      <c r="BZ49" s="636">
        <f t="shared" si="18"/>
        <v>0</v>
      </c>
      <c r="CA49" s="633">
        <f t="shared" si="19"/>
        <v>-5576.78125</v>
      </c>
    </row>
    <row r="50" spans="1:79" x14ac:dyDescent="0.2">
      <c r="A50" s="4">
        <v>1</v>
      </c>
      <c r="B50" s="4">
        <v>1</v>
      </c>
      <c r="C50" s="5">
        <f t="shared" si="49"/>
        <v>4001</v>
      </c>
      <c r="D50" s="6">
        <v>4001</v>
      </c>
      <c r="E50" s="121">
        <v>43012</v>
      </c>
      <c r="F50" s="6" t="s">
        <v>1606</v>
      </c>
      <c r="G50" s="7" t="s">
        <v>75</v>
      </c>
      <c r="H50" s="7"/>
      <c r="I50" s="33" t="s">
        <v>157</v>
      </c>
      <c r="J50" s="33"/>
      <c r="K50" s="29">
        <v>401272</v>
      </c>
      <c r="L50" s="34" t="s">
        <v>158</v>
      </c>
      <c r="M50" s="10" t="s">
        <v>40</v>
      </c>
      <c r="N50" s="10" t="s">
        <v>161</v>
      </c>
      <c r="O50" s="11" t="s">
        <v>162</v>
      </c>
      <c r="P50" s="12">
        <v>39465</v>
      </c>
      <c r="Q50" s="13">
        <f t="shared" ca="1" si="31"/>
        <v>17.678302532511978</v>
      </c>
      <c r="R50" s="14">
        <v>10</v>
      </c>
      <c r="S50" s="15">
        <v>872</v>
      </c>
      <c r="T50" s="8">
        <v>872</v>
      </c>
      <c r="U50" s="16">
        <v>45058</v>
      </c>
      <c r="V50" s="17">
        <v>18</v>
      </c>
      <c r="W50" s="16">
        <v>45382</v>
      </c>
      <c r="X50" s="14">
        <v>192</v>
      </c>
      <c r="Y50" s="18">
        <f t="shared" si="32"/>
        <v>175</v>
      </c>
      <c r="Z50" s="18">
        <f t="shared" si="55"/>
        <v>0.91145833333333337</v>
      </c>
      <c r="AA50" s="16" t="s">
        <v>36</v>
      </c>
      <c r="AB50" s="26">
        <v>25</v>
      </c>
      <c r="AC50" s="26"/>
      <c r="AD50" s="26"/>
      <c r="AE50" s="147" t="str">
        <f t="shared" si="34"/>
        <v>1</v>
      </c>
      <c r="AF50" s="147" t="str">
        <f t="shared" si="35"/>
        <v>0</v>
      </c>
      <c r="AG50" s="147" t="str">
        <f t="shared" si="36"/>
        <v>0</v>
      </c>
      <c r="AH50" s="147" t="str">
        <f t="shared" si="37"/>
        <v>NO</v>
      </c>
      <c r="AI50" s="147" t="str">
        <f t="shared" si="38"/>
        <v>NO</v>
      </c>
      <c r="AJ50" s="147" t="str">
        <f t="shared" si="39"/>
        <v>NO</v>
      </c>
      <c r="AK50" s="147" t="str">
        <f t="shared" si="40"/>
        <v>NO</v>
      </c>
      <c r="AL50" s="21"/>
      <c r="AM50" s="21">
        <f t="shared" si="56"/>
        <v>5819.25</v>
      </c>
      <c r="AN50" s="27" t="s">
        <v>56</v>
      </c>
      <c r="AO50" s="21">
        <v>1</v>
      </c>
      <c r="AP50" s="21">
        <f t="shared" si="51"/>
        <v>0.91145833333333337</v>
      </c>
      <c r="AQ50" s="149">
        <f t="shared" si="42"/>
        <v>5304.00390625</v>
      </c>
      <c r="AR50" s="21">
        <v>5304.00390625</v>
      </c>
      <c r="AS50" s="610">
        <v>0</v>
      </c>
      <c r="AT50" s="112">
        <v>5304.00390625</v>
      </c>
      <c r="AU50" s="4"/>
      <c r="AV50" s="4"/>
      <c r="AW50" s="23" t="e">
        <f>VLOOKUP(K50,#REF!,8,FALSE)</f>
        <v>#REF!</v>
      </c>
      <c r="AX50" s="23" t="e">
        <f>VLOOKUP(K50,#REF!,8,FALSE)</f>
        <v>#REF!</v>
      </c>
      <c r="AY50" s="23" t="e">
        <f>VLOOKUP(K50,#REF!,8,FALSE)</f>
        <v>#REF!</v>
      </c>
      <c r="AZ50" s="4"/>
      <c r="BA50" s="272"/>
      <c r="BB50" s="318">
        <f t="shared" si="52"/>
        <v>0</v>
      </c>
      <c r="BC50" s="269">
        <f t="shared" si="53"/>
        <v>5304.00390625</v>
      </c>
      <c r="BD50" t="str">
        <f t="shared" si="54"/>
        <v/>
      </c>
      <c r="BP50" s="166">
        <f t="shared" si="45"/>
        <v>5304.00390625</v>
      </c>
      <c r="BS50" s="165"/>
      <c r="BX50" s="495">
        <f t="shared" si="46"/>
        <v>5304.00390625</v>
      </c>
      <c r="BZ50" s="636">
        <f t="shared" si="18"/>
        <v>0</v>
      </c>
      <c r="CA50" s="633">
        <f t="shared" si="19"/>
        <v>5304.00390625</v>
      </c>
    </row>
    <row r="51" spans="1:79" x14ac:dyDescent="0.2">
      <c r="A51" s="4">
        <v>1</v>
      </c>
      <c r="B51" s="4">
        <v>1</v>
      </c>
      <c r="C51" s="5">
        <f t="shared" si="49"/>
        <v>4001</v>
      </c>
      <c r="D51" s="6">
        <v>4001</v>
      </c>
      <c r="E51" s="121">
        <v>43012</v>
      </c>
      <c r="F51" s="6" t="s">
        <v>1606</v>
      </c>
      <c r="G51" s="7" t="s">
        <v>75</v>
      </c>
      <c r="H51" s="7"/>
      <c r="I51" s="33" t="s">
        <v>157</v>
      </c>
      <c r="J51" s="33"/>
      <c r="K51" s="29">
        <v>407084</v>
      </c>
      <c r="L51" s="34" t="s">
        <v>158</v>
      </c>
      <c r="M51" s="10" t="s">
        <v>163</v>
      </c>
      <c r="N51" s="10" t="s">
        <v>164</v>
      </c>
      <c r="O51" s="11" t="s">
        <v>165</v>
      </c>
      <c r="P51" s="12">
        <v>39295</v>
      </c>
      <c r="Q51" s="13">
        <f t="shared" ca="1" si="31"/>
        <v>18.143737166324435</v>
      </c>
      <c r="R51" s="14">
        <v>11</v>
      </c>
      <c r="S51" s="15">
        <v>872</v>
      </c>
      <c r="T51" s="8">
        <v>872</v>
      </c>
      <c r="U51" s="16">
        <v>45017</v>
      </c>
      <c r="V51" s="17">
        <v>1</v>
      </c>
      <c r="W51" s="16">
        <v>45128</v>
      </c>
      <c r="X51" s="14">
        <v>63</v>
      </c>
      <c r="Y51" s="18">
        <f t="shared" ref="Y51:Y82" si="57">X51-V51+1</f>
        <v>63</v>
      </c>
      <c r="Z51" s="18">
        <f t="shared" si="55"/>
        <v>0.328125</v>
      </c>
      <c r="AA51" s="16" t="s">
        <v>166</v>
      </c>
      <c r="AB51" s="26">
        <v>21</v>
      </c>
      <c r="AC51" s="26"/>
      <c r="AD51" s="26"/>
      <c r="AE51" s="147" t="str">
        <f t="shared" si="34"/>
        <v>1</v>
      </c>
      <c r="AF51" s="147" t="str">
        <f t="shared" si="35"/>
        <v>0</v>
      </c>
      <c r="AG51" s="147" t="str">
        <f t="shared" si="36"/>
        <v>0</v>
      </c>
      <c r="AH51" s="147" t="str">
        <f t="shared" si="37"/>
        <v>NO</v>
      </c>
      <c r="AI51" s="147" t="str">
        <f t="shared" si="38"/>
        <v>NO</v>
      </c>
      <c r="AJ51" s="147" t="str">
        <f t="shared" si="39"/>
        <v>NO</v>
      </c>
      <c r="AK51" s="147" t="str">
        <f t="shared" si="40"/>
        <v>NO</v>
      </c>
      <c r="AL51" s="21"/>
      <c r="AM51" s="21">
        <f t="shared" si="56"/>
        <v>3928.17</v>
      </c>
      <c r="AN51" s="27" t="s">
        <v>56</v>
      </c>
      <c r="AO51" s="21">
        <v>1</v>
      </c>
      <c r="AP51" s="21">
        <f t="shared" si="51"/>
        <v>0.328125</v>
      </c>
      <c r="AQ51" s="149">
        <f t="shared" ref="AQ51:AQ72" si="58">AP51*AM51</f>
        <v>1288.9307812500001</v>
      </c>
      <c r="AR51" s="21">
        <v>1288.9307812500001</v>
      </c>
      <c r="AS51" s="610">
        <v>1288.9307812500001</v>
      </c>
      <c r="AT51" s="112">
        <v>1288.9307812500001</v>
      </c>
      <c r="AU51" s="4"/>
      <c r="AV51" s="4"/>
      <c r="AW51" s="23" t="e">
        <f>VLOOKUP(K51,#REF!,8,FALSE)</f>
        <v>#REF!</v>
      </c>
      <c r="AX51" s="23" t="e">
        <f>VLOOKUP(K51,#REF!,8,FALSE)</f>
        <v>#REF!</v>
      </c>
      <c r="AY51" s="266" t="s">
        <v>2232</v>
      </c>
      <c r="AZ51" s="4" t="s">
        <v>75</v>
      </c>
      <c r="BA51" s="274">
        <f>AM51/3*2</f>
        <v>2618.7800000000002</v>
      </c>
      <c r="BB51" s="318">
        <f t="shared" si="52"/>
        <v>0</v>
      </c>
      <c r="BC51" s="269">
        <f t="shared" si="53"/>
        <v>1288.9307812500001</v>
      </c>
      <c r="BD51" t="e">
        <f t="shared" si="54"/>
        <v>#REF!</v>
      </c>
      <c r="BE51" t="s">
        <v>2351</v>
      </c>
      <c r="BI51" t="e">
        <f>VLOOKUP(K51,#REF!,8,FALSE)</f>
        <v>#REF!</v>
      </c>
      <c r="BK51" s="269"/>
      <c r="BN51" s="353" t="s">
        <v>75</v>
      </c>
      <c r="BO51" s="106"/>
      <c r="BP51" s="166">
        <f t="shared" si="45"/>
        <v>1288.9307812500001</v>
      </c>
      <c r="BQ51" t="s">
        <v>2351</v>
      </c>
      <c r="BS51" s="165"/>
      <c r="BX51" s="495">
        <f t="shared" si="46"/>
        <v>1288.9307812500001</v>
      </c>
      <c r="BZ51" s="636">
        <f t="shared" si="18"/>
        <v>0</v>
      </c>
      <c r="CA51" s="633">
        <f t="shared" si="19"/>
        <v>0</v>
      </c>
    </row>
    <row r="52" spans="1:79" x14ac:dyDescent="0.2">
      <c r="A52" s="4">
        <v>1</v>
      </c>
      <c r="B52" s="4">
        <v>1</v>
      </c>
      <c r="C52" s="5">
        <f t="shared" si="49"/>
        <v>4001</v>
      </c>
      <c r="D52" s="6">
        <v>4001</v>
      </c>
      <c r="E52" s="121">
        <v>43012</v>
      </c>
      <c r="F52" s="6" t="s">
        <v>1606</v>
      </c>
      <c r="G52" s="7" t="s">
        <v>75</v>
      </c>
      <c r="H52" s="7"/>
      <c r="I52" s="33" t="s">
        <v>157</v>
      </c>
      <c r="J52" s="33"/>
      <c r="K52" s="29">
        <v>452039</v>
      </c>
      <c r="L52" s="34" t="s">
        <v>158</v>
      </c>
      <c r="M52" s="10" t="s">
        <v>167</v>
      </c>
      <c r="N52" s="10" t="s">
        <v>168</v>
      </c>
      <c r="O52" s="11" t="s">
        <v>169</v>
      </c>
      <c r="P52" s="12">
        <v>40001</v>
      </c>
      <c r="Q52" s="13">
        <f t="shared" ca="1" si="31"/>
        <v>16.210814510609172</v>
      </c>
      <c r="R52" s="14">
        <v>9</v>
      </c>
      <c r="S52" s="15">
        <v>872</v>
      </c>
      <c r="T52" s="8">
        <v>872</v>
      </c>
      <c r="U52" s="16">
        <v>45017</v>
      </c>
      <c r="V52" s="17">
        <v>1</v>
      </c>
      <c r="W52" s="16">
        <v>45382</v>
      </c>
      <c r="X52" s="14">
        <v>192</v>
      </c>
      <c r="Y52" s="18">
        <f t="shared" si="57"/>
        <v>192</v>
      </c>
      <c r="Z52" s="18">
        <f t="shared" si="55"/>
        <v>1</v>
      </c>
      <c r="AA52" s="18" t="s">
        <v>36</v>
      </c>
      <c r="AB52" s="26">
        <v>25</v>
      </c>
      <c r="AC52" s="26"/>
      <c r="AD52" s="26"/>
      <c r="AE52" s="147" t="str">
        <f t="shared" si="34"/>
        <v>1</v>
      </c>
      <c r="AF52" s="147" t="str">
        <f t="shared" si="35"/>
        <v>0</v>
      </c>
      <c r="AG52" s="147" t="str">
        <f t="shared" si="36"/>
        <v>0</v>
      </c>
      <c r="AH52" s="147" t="str">
        <f t="shared" si="37"/>
        <v>NO</v>
      </c>
      <c r="AI52" s="147" t="str">
        <f t="shared" si="38"/>
        <v>NO</v>
      </c>
      <c r="AJ52" s="147" t="str">
        <f t="shared" si="39"/>
        <v>NO</v>
      </c>
      <c r="AK52" s="147" t="str">
        <f t="shared" si="40"/>
        <v>NO</v>
      </c>
      <c r="AL52" s="21"/>
      <c r="AM52" s="21">
        <f t="shared" si="56"/>
        <v>5819.25</v>
      </c>
      <c r="AN52" s="27"/>
      <c r="AO52" s="21">
        <v>1</v>
      </c>
      <c r="AP52" s="21">
        <f t="shared" si="51"/>
        <v>1</v>
      </c>
      <c r="AQ52" s="149">
        <f t="shared" si="58"/>
        <v>5819.25</v>
      </c>
      <c r="AR52" s="21">
        <v>5819.25</v>
      </c>
      <c r="AS52" s="610">
        <v>5819.25</v>
      </c>
      <c r="AT52" s="112">
        <v>5819.25</v>
      </c>
      <c r="AU52" s="4"/>
      <c r="AV52" s="4"/>
      <c r="AW52" s="23" t="e">
        <f>VLOOKUP(K52,#REF!,8,FALSE)</f>
        <v>#REF!</v>
      </c>
      <c r="AX52" s="23" t="e">
        <f>VLOOKUP(K52,#REF!,8,FALSE)</f>
        <v>#REF!</v>
      </c>
      <c r="AY52" s="23" t="e">
        <f>VLOOKUP(K52,#REF!,8,FALSE)</f>
        <v>#REF!</v>
      </c>
      <c r="AZ52" s="4"/>
      <c r="BA52" s="272"/>
      <c r="BB52" s="318">
        <f t="shared" si="52"/>
        <v>0</v>
      </c>
      <c r="BC52" s="269">
        <f t="shared" si="53"/>
        <v>5819.25</v>
      </c>
      <c r="BD52" t="str">
        <f t="shared" si="54"/>
        <v/>
      </c>
      <c r="BP52" s="166">
        <f t="shared" si="45"/>
        <v>5819.25</v>
      </c>
      <c r="BS52" s="165"/>
      <c r="BX52" s="495">
        <f t="shared" si="46"/>
        <v>5819.25</v>
      </c>
      <c r="BZ52" s="636">
        <f t="shared" si="18"/>
        <v>0</v>
      </c>
      <c r="CA52" s="633">
        <f t="shared" si="19"/>
        <v>0</v>
      </c>
    </row>
    <row r="53" spans="1:79" x14ac:dyDescent="0.2">
      <c r="A53" s="4">
        <v>1</v>
      </c>
      <c r="B53" s="4">
        <v>1</v>
      </c>
      <c r="C53" s="5">
        <f t="shared" si="49"/>
        <v>4001</v>
      </c>
      <c r="D53" s="6">
        <v>4001</v>
      </c>
      <c r="E53" s="121">
        <v>43012</v>
      </c>
      <c r="F53" s="6" t="s">
        <v>1606</v>
      </c>
      <c r="G53" s="7" t="s">
        <v>75</v>
      </c>
      <c r="H53" s="7"/>
      <c r="I53" s="33" t="s">
        <v>157</v>
      </c>
      <c r="J53" s="33"/>
      <c r="K53" s="29">
        <v>397021</v>
      </c>
      <c r="L53" s="34" t="s">
        <v>158</v>
      </c>
      <c r="M53" s="10" t="s">
        <v>170</v>
      </c>
      <c r="N53" s="10" t="s">
        <v>171</v>
      </c>
      <c r="O53" s="11" t="s">
        <v>172</v>
      </c>
      <c r="P53" s="12">
        <v>40711</v>
      </c>
      <c r="Q53" s="13">
        <f t="shared" ca="1" si="31"/>
        <v>14.266940451745381</v>
      </c>
      <c r="R53" s="14">
        <v>7</v>
      </c>
      <c r="S53" s="15">
        <v>872</v>
      </c>
      <c r="T53" s="8">
        <v>872</v>
      </c>
      <c r="U53" s="16">
        <v>45017</v>
      </c>
      <c r="V53" s="17">
        <v>1</v>
      </c>
      <c r="W53" s="16">
        <v>45382</v>
      </c>
      <c r="X53" s="14">
        <v>192</v>
      </c>
      <c r="Y53" s="18">
        <f t="shared" si="57"/>
        <v>192</v>
      </c>
      <c r="Z53" s="18">
        <f t="shared" si="55"/>
        <v>1</v>
      </c>
      <c r="AA53" s="18" t="s">
        <v>36</v>
      </c>
      <c r="AB53" s="26">
        <v>30</v>
      </c>
      <c r="AC53" s="26"/>
      <c r="AD53" s="26"/>
      <c r="AE53" s="147" t="str">
        <f t="shared" si="34"/>
        <v>0</v>
      </c>
      <c r="AF53" s="147" t="str">
        <f t="shared" si="35"/>
        <v>1</v>
      </c>
      <c r="AG53" s="147" t="str">
        <f t="shared" si="36"/>
        <v>0</v>
      </c>
      <c r="AH53" s="147" t="str">
        <f t="shared" si="37"/>
        <v>NO</v>
      </c>
      <c r="AI53" s="147" t="str">
        <f t="shared" si="38"/>
        <v>NO</v>
      </c>
      <c r="AJ53" s="147" t="str">
        <f t="shared" si="39"/>
        <v>NO</v>
      </c>
      <c r="AK53" s="147" t="str">
        <f t="shared" si="40"/>
        <v>NO</v>
      </c>
      <c r="AL53" s="21"/>
      <c r="AM53" s="21">
        <f t="shared" si="56"/>
        <v>8183.0999999999985</v>
      </c>
      <c r="AN53" s="27" t="s">
        <v>173</v>
      </c>
      <c r="AO53" s="21">
        <v>1</v>
      </c>
      <c r="AP53" s="21">
        <f t="shared" si="51"/>
        <v>1</v>
      </c>
      <c r="AQ53" s="149">
        <f t="shared" si="58"/>
        <v>8183.0999999999985</v>
      </c>
      <c r="AR53" s="21">
        <v>8183.0999999999985</v>
      </c>
      <c r="AS53" s="610">
        <v>8183.0999999999985</v>
      </c>
      <c r="AT53" s="112">
        <v>8183.0999999999985</v>
      </c>
      <c r="AU53" s="4"/>
      <c r="AV53" s="4"/>
      <c r="AW53" s="23" t="e">
        <f>VLOOKUP(K53,#REF!,8,FALSE)</f>
        <v>#REF!</v>
      </c>
      <c r="AX53" s="23" t="e">
        <f>VLOOKUP(K53,#REF!,8,FALSE)</f>
        <v>#REF!</v>
      </c>
      <c r="AY53" s="23" t="e">
        <f>VLOOKUP(K53,#REF!,8,FALSE)</f>
        <v>#REF!</v>
      </c>
      <c r="AZ53" s="4"/>
      <c r="BA53" s="272"/>
      <c r="BB53" s="318">
        <f t="shared" si="52"/>
        <v>0</v>
      </c>
      <c r="BC53" s="269">
        <f t="shared" si="53"/>
        <v>8183.0999999999985</v>
      </c>
      <c r="BD53" t="str">
        <f t="shared" si="54"/>
        <v/>
      </c>
      <c r="BP53" s="166">
        <f t="shared" si="45"/>
        <v>8183.0999999999985</v>
      </c>
      <c r="BS53" s="165"/>
      <c r="BX53" s="495">
        <f t="shared" si="46"/>
        <v>8183.0999999999985</v>
      </c>
      <c r="BZ53" s="636">
        <f t="shared" si="18"/>
        <v>0</v>
      </c>
      <c r="CA53" s="633">
        <f t="shared" si="19"/>
        <v>0</v>
      </c>
    </row>
    <row r="54" spans="1:79" x14ac:dyDescent="0.2">
      <c r="A54" s="4">
        <v>0</v>
      </c>
      <c r="B54" s="4">
        <v>1</v>
      </c>
      <c r="C54" s="5">
        <f t="shared" si="49"/>
        <v>4001</v>
      </c>
      <c r="D54" s="6">
        <v>4001</v>
      </c>
      <c r="E54" s="121">
        <v>43012</v>
      </c>
      <c r="F54" s="6" t="s">
        <v>1606</v>
      </c>
      <c r="G54" s="7" t="s">
        <v>75</v>
      </c>
      <c r="H54" s="7"/>
      <c r="I54" s="33" t="s">
        <v>157</v>
      </c>
      <c r="J54" s="33"/>
      <c r="K54" s="29">
        <v>402002</v>
      </c>
      <c r="L54" s="34" t="s">
        <v>2412</v>
      </c>
      <c r="M54" s="10" t="s">
        <v>612</v>
      </c>
      <c r="N54" s="10" t="s">
        <v>613</v>
      </c>
      <c r="O54" s="11" t="s">
        <v>614</v>
      </c>
      <c r="P54" s="12">
        <v>40955</v>
      </c>
      <c r="Q54" s="13">
        <f t="shared" ca="1" si="31"/>
        <v>13.598904859685147</v>
      </c>
      <c r="R54" s="14">
        <v>7</v>
      </c>
      <c r="S54" s="15">
        <v>872</v>
      </c>
      <c r="T54" s="8">
        <v>872</v>
      </c>
      <c r="U54" s="102">
        <v>45173</v>
      </c>
      <c r="V54" s="17">
        <v>66</v>
      </c>
      <c r="W54" s="16">
        <v>45382</v>
      </c>
      <c r="X54" s="14">
        <v>192</v>
      </c>
      <c r="Y54" s="18">
        <f t="shared" si="57"/>
        <v>127</v>
      </c>
      <c r="Z54" s="18">
        <f t="shared" si="55"/>
        <v>0.66145833333333337</v>
      </c>
      <c r="AA54" s="18"/>
      <c r="AB54" s="26">
        <v>30</v>
      </c>
      <c r="AC54" s="26"/>
      <c r="AD54" s="26"/>
      <c r="AE54" s="147" t="str">
        <f t="shared" si="34"/>
        <v>0</v>
      </c>
      <c r="AF54" s="147" t="str">
        <f t="shared" si="35"/>
        <v>1</v>
      </c>
      <c r="AG54" s="147" t="str">
        <f t="shared" si="36"/>
        <v>0</v>
      </c>
      <c r="AH54" s="147" t="str">
        <f t="shared" si="37"/>
        <v>NO</v>
      </c>
      <c r="AI54" s="147" t="str">
        <f t="shared" si="38"/>
        <v>NO</v>
      </c>
      <c r="AJ54" s="147" t="str">
        <f t="shared" si="39"/>
        <v>NO</v>
      </c>
      <c r="AK54" s="147" t="str">
        <f t="shared" si="40"/>
        <v>NO</v>
      </c>
      <c r="AL54" s="21"/>
      <c r="AM54" s="21">
        <f t="shared" si="56"/>
        <v>8183.0999999999985</v>
      </c>
      <c r="AN54" s="27"/>
      <c r="AO54" s="21">
        <v>1</v>
      </c>
      <c r="AP54" s="21">
        <f t="shared" si="51"/>
        <v>0.66145833333333337</v>
      </c>
      <c r="AQ54" s="149">
        <f t="shared" si="58"/>
        <v>5412.7796874999995</v>
      </c>
      <c r="AR54" s="21">
        <v>5412.7796874999995</v>
      </c>
      <c r="AS54" s="610">
        <v>0</v>
      </c>
      <c r="AT54" s="112">
        <v>0</v>
      </c>
      <c r="AU54" s="4"/>
      <c r="AV54" s="4"/>
      <c r="AW54" s="23"/>
      <c r="AX54" s="23"/>
      <c r="AY54" s="23"/>
      <c r="AZ54" s="4"/>
      <c r="BA54" s="272"/>
      <c r="BB54" s="318">
        <f t="shared" si="52"/>
        <v>5412.7796874999995</v>
      </c>
      <c r="BC54" s="269">
        <f t="shared" si="53"/>
        <v>5412.7796874999995</v>
      </c>
      <c r="BD54" t="e">
        <f t="shared" si="54"/>
        <v>#REF!</v>
      </c>
      <c r="BE54" t="s">
        <v>2394</v>
      </c>
      <c r="BF54">
        <v>43012</v>
      </c>
      <c r="BH54" t="e">
        <f>VLOOKUP(K54,#REF!,8,FALSE)</f>
        <v>#REF!</v>
      </c>
      <c r="BJ54" t="s">
        <v>2344</v>
      </c>
      <c r="BP54" s="166">
        <f t="shared" si="45"/>
        <v>5412.7796874999995</v>
      </c>
      <c r="BS54" s="165"/>
      <c r="BX54" s="495">
        <f t="shared" si="46"/>
        <v>5412.7796874999995</v>
      </c>
      <c r="BZ54" s="636">
        <f t="shared" si="18"/>
        <v>0</v>
      </c>
      <c r="CA54" s="633">
        <f t="shared" si="19"/>
        <v>5412.7796874999995</v>
      </c>
    </row>
    <row r="55" spans="1:79" x14ac:dyDescent="0.2">
      <c r="A55" s="4">
        <v>1</v>
      </c>
      <c r="B55" s="4">
        <v>1</v>
      </c>
      <c r="C55" s="5">
        <f t="shared" si="49"/>
        <v>4001</v>
      </c>
      <c r="D55" s="6">
        <v>4001</v>
      </c>
      <c r="E55" s="121">
        <v>43012</v>
      </c>
      <c r="F55" s="6" t="s">
        <v>1606</v>
      </c>
      <c r="G55" s="7" t="s">
        <v>75</v>
      </c>
      <c r="H55" s="7"/>
      <c r="I55" s="33" t="s">
        <v>157</v>
      </c>
      <c r="J55" s="33"/>
      <c r="K55" s="35">
        <v>375409</v>
      </c>
      <c r="L55" s="34" t="s">
        <v>158</v>
      </c>
      <c r="M55" s="10" t="s">
        <v>174</v>
      </c>
      <c r="N55" s="10" t="s">
        <v>175</v>
      </c>
      <c r="O55" s="11" t="s">
        <v>176</v>
      </c>
      <c r="P55" s="12">
        <v>40140</v>
      </c>
      <c r="Q55" s="13">
        <f t="shared" ca="1" si="31"/>
        <v>15.83025325119781</v>
      </c>
      <c r="R55" s="14">
        <v>8</v>
      </c>
      <c r="S55" s="15">
        <v>872</v>
      </c>
      <c r="T55" s="8">
        <v>872</v>
      </c>
      <c r="U55" s="16">
        <v>45017</v>
      </c>
      <c r="V55" s="17">
        <v>1</v>
      </c>
      <c r="W55" s="16">
        <v>45382</v>
      </c>
      <c r="X55" s="14">
        <v>192</v>
      </c>
      <c r="Y55" s="18">
        <f t="shared" si="57"/>
        <v>192</v>
      </c>
      <c r="Z55" s="18">
        <f t="shared" si="55"/>
        <v>1</v>
      </c>
      <c r="AA55" s="18" t="s">
        <v>36</v>
      </c>
      <c r="AB55" s="26">
        <v>23</v>
      </c>
      <c r="AC55" s="26"/>
      <c r="AD55" s="26"/>
      <c r="AE55" s="147" t="str">
        <f t="shared" si="34"/>
        <v>1</v>
      </c>
      <c r="AF55" s="147" t="str">
        <f t="shared" si="35"/>
        <v>0</v>
      </c>
      <c r="AG55" s="147" t="str">
        <f t="shared" si="36"/>
        <v>0</v>
      </c>
      <c r="AH55" s="147" t="str">
        <f t="shared" si="37"/>
        <v>NO</v>
      </c>
      <c r="AI55" s="147" t="str">
        <f t="shared" si="38"/>
        <v>NO</v>
      </c>
      <c r="AJ55" s="147" t="str">
        <f t="shared" si="39"/>
        <v>NO</v>
      </c>
      <c r="AK55" s="147" t="str">
        <f t="shared" si="40"/>
        <v>NO</v>
      </c>
      <c r="AL55" s="21"/>
      <c r="AM55" s="21">
        <f t="shared" si="56"/>
        <v>4873.7099999999991</v>
      </c>
      <c r="AN55" s="27" t="s">
        <v>56</v>
      </c>
      <c r="AO55" s="21">
        <v>1</v>
      </c>
      <c r="AP55" s="21">
        <f t="shared" si="51"/>
        <v>1</v>
      </c>
      <c r="AQ55" s="149">
        <f t="shared" si="58"/>
        <v>4873.7099999999991</v>
      </c>
      <c r="AR55" s="21">
        <v>4873.7099999999991</v>
      </c>
      <c r="AS55" s="610">
        <v>4873.7099999999991</v>
      </c>
      <c r="AT55" s="112">
        <v>4873.7099999999991</v>
      </c>
      <c r="AU55" s="4"/>
      <c r="AV55" s="4"/>
      <c r="AW55" s="23" t="e">
        <f>VLOOKUP(K55,#REF!,8,FALSE)</f>
        <v>#REF!</v>
      </c>
      <c r="AX55" s="23" t="e">
        <f>VLOOKUP(K55,#REF!,8,FALSE)</f>
        <v>#REF!</v>
      </c>
      <c r="AY55" s="23" t="e">
        <f>VLOOKUP(K55,#REF!,8,FALSE)</f>
        <v>#REF!</v>
      </c>
      <c r="AZ55" s="4"/>
      <c r="BA55" s="272"/>
      <c r="BB55" s="318">
        <f t="shared" si="52"/>
        <v>0</v>
      </c>
      <c r="BC55" s="269">
        <f t="shared" si="53"/>
        <v>4873.7099999999991</v>
      </c>
      <c r="BD55" t="str">
        <f t="shared" si="54"/>
        <v/>
      </c>
      <c r="BP55" s="166">
        <f t="shared" si="45"/>
        <v>4873.7099999999991</v>
      </c>
      <c r="BS55" s="165"/>
      <c r="BX55" s="495">
        <f t="shared" si="46"/>
        <v>4873.7099999999991</v>
      </c>
      <c r="BZ55" s="636">
        <f t="shared" si="18"/>
        <v>0</v>
      </c>
      <c r="CA55" s="633">
        <f t="shared" si="19"/>
        <v>0</v>
      </c>
    </row>
    <row r="56" spans="1:79" x14ac:dyDescent="0.2">
      <c r="A56" s="4">
        <v>1</v>
      </c>
      <c r="B56" s="4">
        <v>1</v>
      </c>
      <c r="C56" s="5">
        <f t="shared" si="49"/>
        <v>4001</v>
      </c>
      <c r="D56" s="6">
        <v>4001</v>
      </c>
      <c r="E56" s="121">
        <v>43012</v>
      </c>
      <c r="F56" s="6" t="s">
        <v>1606</v>
      </c>
      <c r="G56" s="7" t="s">
        <v>75</v>
      </c>
      <c r="H56" s="7"/>
      <c r="I56" s="33" t="s">
        <v>157</v>
      </c>
      <c r="J56" s="33"/>
      <c r="K56" s="29">
        <v>429704</v>
      </c>
      <c r="L56" s="34" t="s">
        <v>158</v>
      </c>
      <c r="M56" s="10" t="s">
        <v>177</v>
      </c>
      <c r="N56" s="10" t="s">
        <v>178</v>
      </c>
      <c r="O56" s="11" t="str">
        <f>M56&amp;N56</f>
        <v>DanielTaylor</v>
      </c>
      <c r="P56" s="12">
        <v>40003</v>
      </c>
      <c r="Q56" s="13">
        <f t="shared" ca="1" si="31"/>
        <v>16.205338809034906</v>
      </c>
      <c r="R56" s="14">
        <v>9</v>
      </c>
      <c r="S56" s="15">
        <v>872</v>
      </c>
      <c r="T56" s="8">
        <v>872</v>
      </c>
      <c r="U56" s="16">
        <v>45017</v>
      </c>
      <c r="V56" s="17">
        <v>1</v>
      </c>
      <c r="W56" s="16">
        <v>45382</v>
      </c>
      <c r="X56" s="14">
        <v>192</v>
      </c>
      <c r="Y56" s="18">
        <f t="shared" si="57"/>
        <v>192</v>
      </c>
      <c r="Z56" s="18">
        <f t="shared" si="55"/>
        <v>1</v>
      </c>
      <c r="AA56" s="18" t="s">
        <v>36</v>
      </c>
      <c r="AB56" s="26">
        <v>24</v>
      </c>
      <c r="AC56" s="26"/>
      <c r="AD56" s="26"/>
      <c r="AE56" s="147" t="str">
        <f t="shared" si="34"/>
        <v>1</v>
      </c>
      <c r="AF56" s="147" t="str">
        <f t="shared" si="35"/>
        <v>0</v>
      </c>
      <c r="AG56" s="147" t="str">
        <f t="shared" si="36"/>
        <v>0</v>
      </c>
      <c r="AH56" s="147" t="str">
        <f t="shared" si="37"/>
        <v>NO</v>
      </c>
      <c r="AI56" s="147" t="str">
        <f t="shared" si="38"/>
        <v>NO</v>
      </c>
      <c r="AJ56" s="147" t="str">
        <f t="shared" si="39"/>
        <v>NO</v>
      </c>
      <c r="AK56" s="147" t="str">
        <f t="shared" si="40"/>
        <v>NO</v>
      </c>
      <c r="AL56" s="21"/>
      <c r="AM56" s="21">
        <f t="shared" si="56"/>
        <v>5346.48</v>
      </c>
      <c r="AN56" s="27" t="s">
        <v>43</v>
      </c>
      <c r="AO56" s="21">
        <v>1</v>
      </c>
      <c r="AP56" s="21">
        <f t="shared" si="51"/>
        <v>1</v>
      </c>
      <c r="AQ56" s="149">
        <f t="shared" si="58"/>
        <v>5346.48</v>
      </c>
      <c r="AR56" s="21">
        <v>5346.48</v>
      </c>
      <c r="AS56" s="610">
        <v>5346.48</v>
      </c>
      <c r="AT56" s="112">
        <v>5346.48</v>
      </c>
      <c r="AU56" s="4"/>
      <c r="AV56" s="4"/>
      <c r="AW56" s="23" t="e">
        <f>VLOOKUP(K56,#REF!,8,FALSE)</f>
        <v>#REF!</v>
      </c>
      <c r="AX56" s="23" t="e">
        <f>VLOOKUP(K56,#REF!,8,FALSE)</f>
        <v>#REF!</v>
      </c>
      <c r="AY56" s="23" t="e">
        <f>VLOOKUP(K56,#REF!,8,FALSE)</f>
        <v>#REF!</v>
      </c>
      <c r="AZ56" s="4"/>
      <c r="BA56" s="272"/>
      <c r="BB56" s="318">
        <f t="shared" si="52"/>
        <v>0</v>
      </c>
      <c r="BC56" s="269">
        <f t="shared" si="53"/>
        <v>5346.48</v>
      </c>
      <c r="BD56" t="str">
        <f t="shared" si="54"/>
        <v/>
      </c>
      <c r="BP56" s="166">
        <f t="shared" si="45"/>
        <v>5346.48</v>
      </c>
      <c r="BS56" s="165"/>
      <c r="BX56" s="495">
        <f t="shared" si="46"/>
        <v>5346.48</v>
      </c>
      <c r="BZ56" s="636">
        <f t="shared" si="18"/>
        <v>0</v>
      </c>
      <c r="CA56" s="633">
        <f t="shared" si="19"/>
        <v>0</v>
      </c>
    </row>
    <row r="57" spans="1:79" x14ac:dyDescent="0.2">
      <c r="A57" s="4">
        <v>1</v>
      </c>
      <c r="B57" s="4">
        <v>1</v>
      </c>
      <c r="C57" s="5">
        <f t="shared" si="49"/>
        <v>4001</v>
      </c>
      <c r="D57" s="6">
        <v>4001</v>
      </c>
      <c r="E57" s="121">
        <v>43012</v>
      </c>
      <c r="F57" s="6" t="s">
        <v>1606</v>
      </c>
      <c r="G57" s="7" t="s">
        <v>75</v>
      </c>
      <c r="H57" s="7"/>
      <c r="I57" s="33" t="s">
        <v>157</v>
      </c>
      <c r="J57" s="33"/>
      <c r="K57" s="29">
        <v>376348</v>
      </c>
      <c r="L57" s="34" t="s">
        <v>158</v>
      </c>
      <c r="M57" s="10" t="s">
        <v>179</v>
      </c>
      <c r="N57" s="10" t="s">
        <v>180</v>
      </c>
      <c r="O57" s="11" t="s">
        <v>181</v>
      </c>
      <c r="P57" s="12">
        <v>39637</v>
      </c>
      <c r="Q57" s="13">
        <f t="shared" ca="1" si="31"/>
        <v>17.207392197125255</v>
      </c>
      <c r="R57" s="14">
        <v>10</v>
      </c>
      <c r="S57" s="15">
        <v>872</v>
      </c>
      <c r="T57" s="8">
        <v>872</v>
      </c>
      <c r="U57" s="16">
        <v>45017</v>
      </c>
      <c r="V57" s="17">
        <v>1</v>
      </c>
      <c r="W57" s="16">
        <v>45382</v>
      </c>
      <c r="X57" s="14">
        <v>192</v>
      </c>
      <c r="Y57" s="18">
        <f t="shared" si="57"/>
        <v>192</v>
      </c>
      <c r="Z57" s="18">
        <f t="shared" si="55"/>
        <v>1</v>
      </c>
      <c r="AA57" s="18" t="s">
        <v>36</v>
      </c>
      <c r="AB57" s="26">
        <v>27</v>
      </c>
      <c r="AC57" s="26"/>
      <c r="AD57" s="26"/>
      <c r="AE57" s="147" t="str">
        <f t="shared" si="34"/>
        <v>0</v>
      </c>
      <c r="AF57" s="147" t="str">
        <f t="shared" si="35"/>
        <v>1</v>
      </c>
      <c r="AG57" s="147" t="str">
        <f t="shared" si="36"/>
        <v>0</v>
      </c>
      <c r="AH57" s="147" t="str">
        <f t="shared" si="37"/>
        <v>NO</v>
      </c>
      <c r="AI57" s="147" t="str">
        <f t="shared" si="38"/>
        <v>NO</v>
      </c>
      <c r="AJ57" s="147" t="str">
        <f t="shared" si="39"/>
        <v>NO</v>
      </c>
      <c r="AK57" s="147" t="str">
        <f t="shared" si="40"/>
        <v>NO</v>
      </c>
      <c r="AL57" s="21"/>
      <c r="AM57" s="21">
        <f t="shared" si="56"/>
        <v>6764.7899999999991</v>
      </c>
      <c r="AN57" s="27" t="s">
        <v>56</v>
      </c>
      <c r="AO57" s="21">
        <v>1</v>
      </c>
      <c r="AP57" s="21">
        <f t="shared" si="51"/>
        <v>1</v>
      </c>
      <c r="AQ57" s="149">
        <f t="shared" si="58"/>
        <v>6764.7899999999991</v>
      </c>
      <c r="AR57" s="21">
        <v>6764.7899999999991</v>
      </c>
      <c r="AS57" s="610">
        <v>6764.7899999999991</v>
      </c>
      <c r="AT57" s="112">
        <v>6764.7899999999991</v>
      </c>
      <c r="AU57" s="4"/>
      <c r="AV57" s="4"/>
      <c r="AW57" s="23" t="e">
        <f>VLOOKUP(K57,#REF!,8,FALSE)</f>
        <v>#REF!</v>
      </c>
      <c r="AX57" s="23" t="e">
        <f>VLOOKUP(K57,#REF!,8,FALSE)</f>
        <v>#REF!</v>
      </c>
      <c r="AY57" s="23" t="e">
        <f>VLOOKUP(K57,#REF!,8,FALSE)</f>
        <v>#REF!</v>
      </c>
      <c r="AZ57" s="4"/>
      <c r="BA57" s="272"/>
      <c r="BB57" s="318">
        <f t="shared" si="52"/>
        <v>0</v>
      </c>
      <c r="BC57" s="269">
        <f t="shared" si="53"/>
        <v>6764.7899999999991</v>
      </c>
      <c r="BD57" t="str">
        <f t="shared" si="54"/>
        <v/>
      </c>
      <c r="BP57" s="166">
        <f t="shared" si="45"/>
        <v>6764.7899999999991</v>
      </c>
      <c r="BS57" s="165"/>
      <c r="BX57" s="495">
        <f t="shared" si="46"/>
        <v>6764.7899999999991</v>
      </c>
      <c r="BZ57" s="636">
        <f t="shared" si="18"/>
        <v>0</v>
      </c>
      <c r="CA57" s="633">
        <f t="shared" si="19"/>
        <v>0</v>
      </c>
    </row>
    <row r="58" spans="1:79" x14ac:dyDescent="0.2">
      <c r="A58" s="4">
        <v>1</v>
      </c>
      <c r="B58" s="4">
        <v>1</v>
      </c>
      <c r="C58" s="5">
        <f t="shared" si="49"/>
        <v>4001</v>
      </c>
      <c r="D58" s="6">
        <v>4001</v>
      </c>
      <c r="E58" s="121">
        <v>43012</v>
      </c>
      <c r="F58" s="6" t="s">
        <v>1606</v>
      </c>
      <c r="G58" s="7" t="s">
        <v>75</v>
      </c>
      <c r="H58" s="33"/>
      <c r="I58" s="33" t="s">
        <v>157</v>
      </c>
      <c r="J58" s="33"/>
      <c r="K58" s="29">
        <v>376530</v>
      </c>
      <c r="L58" s="34" t="s">
        <v>158</v>
      </c>
      <c r="M58" s="10" t="s">
        <v>182</v>
      </c>
      <c r="N58" s="10" t="s">
        <v>183</v>
      </c>
      <c r="O58" s="11" t="s">
        <v>184</v>
      </c>
      <c r="P58" s="12">
        <v>39994</v>
      </c>
      <c r="Q58" s="13">
        <f t="shared" ca="1" si="31"/>
        <v>16.229979466119097</v>
      </c>
      <c r="R58" s="14">
        <v>9</v>
      </c>
      <c r="S58" s="15">
        <v>872</v>
      </c>
      <c r="T58" s="8">
        <v>872</v>
      </c>
      <c r="U58" s="16">
        <v>45017</v>
      </c>
      <c r="V58" s="17">
        <v>1</v>
      </c>
      <c r="W58" s="16">
        <v>45382</v>
      </c>
      <c r="X58" s="14">
        <v>192</v>
      </c>
      <c r="Y58" s="18">
        <f t="shared" si="57"/>
        <v>192</v>
      </c>
      <c r="Z58" s="18">
        <f t="shared" si="55"/>
        <v>1</v>
      </c>
      <c r="AA58" s="18" t="s">
        <v>36</v>
      </c>
      <c r="AB58" s="26">
        <v>23</v>
      </c>
      <c r="AC58" s="26"/>
      <c r="AD58" s="26"/>
      <c r="AE58" s="147" t="str">
        <f t="shared" si="34"/>
        <v>1</v>
      </c>
      <c r="AF58" s="147" t="str">
        <f t="shared" si="35"/>
        <v>0</v>
      </c>
      <c r="AG58" s="147" t="str">
        <f t="shared" si="36"/>
        <v>0</v>
      </c>
      <c r="AH58" s="147" t="str">
        <f t="shared" si="37"/>
        <v>NO</v>
      </c>
      <c r="AI58" s="147" t="str">
        <f t="shared" si="38"/>
        <v>NO</v>
      </c>
      <c r="AJ58" s="147" t="str">
        <f t="shared" si="39"/>
        <v>NO</v>
      </c>
      <c r="AK58" s="147" t="str">
        <f t="shared" si="40"/>
        <v>NO</v>
      </c>
      <c r="AL58" s="21"/>
      <c r="AM58" s="21">
        <f t="shared" si="56"/>
        <v>4873.7099999999991</v>
      </c>
      <c r="AN58" s="27" t="s">
        <v>185</v>
      </c>
      <c r="AO58" s="21">
        <v>1</v>
      </c>
      <c r="AP58" s="21">
        <f t="shared" si="51"/>
        <v>1</v>
      </c>
      <c r="AQ58" s="149">
        <f t="shared" si="58"/>
        <v>4873.7099999999991</v>
      </c>
      <c r="AR58" s="21">
        <v>4873.7099999999991</v>
      </c>
      <c r="AS58" s="610">
        <v>4873.7099999999991</v>
      </c>
      <c r="AT58" s="112">
        <v>4873.7099999999991</v>
      </c>
      <c r="AU58" s="4"/>
      <c r="AV58" s="4"/>
      <c r="AW58" s="23" t="e">
        <f>VLOOKUP(K58,#REF!,8,FALSE)</f>
        <v>#REF!</v>
      </c>
      <c r="AX58" s="23" t="e">
        <f>VLOOKUP(K58,#REF!,8,FALSE)</f>
        <v>#REF!</v>
      </c>
      <c r="AY58" s="23" t="e">
        <f>VLOOKUP(K58,#REF!,8,FALSE)</f>
        <v>#REF!</v>
      </c>
      <c r="AZ58" s="4"/>
      <c r="BA58" s="272"/>
      <c r="BB58" s="318">
        <f t="shared" si="52"/>
        <v>0</v>
      </c>
      <c r="BC58" s="269">
        <f t="shared" si="53"/>
        <v>4873.7099999999991</v>
      </c>
      <c r="BD58" t="str">
        <f t="shared" si="54"/>
        <v/>
      </c>
      <c r="BP58" s="166">
        <f t="shared" si="45"/>
        <v>4873.7099999999991</v>
      </c>
      <c r="BS58" s="165"/>
      <c r="BX58" s="495">
        <f t="shared" si="46"/>
        <v>4873.7099999999991</v>
      </c>
      <c r="BZ58" s="636">
        <f t="shared" si="18"/>
        <v>0</v>
      </c>
      <c r="CA58" s="633">
        <f t="shared" si="19"/>
        <v>0</v>
      </c>
    </row>
    <row r="59" spans="1:79" x14ac:dyDescent="0.2">
      <c r="A59" s="4">
        <v>1</v>
      </c>
      <c r="B59" s="4">
        <v>1</v>
      </c>
      <c r="C59" s="5">
        <f t="shared" si="49"/>
        <v>4001</v>
      </c>
      <c r="D59" s="6">
        <v>4001</v>
      </c>
      <c r="E59" s="121">
        <v>43012</v>
      </c>
      <c r="F59" s="6" t="s">
        <v>1606</v>
      </c>
      <c r="G59" s="7" t="s">
        <v>75</v>
      </c>
      <c r="H59" s="33"/>
      <c r="I59" s="33" t="s">
        <v>157</v>
      </c>
      <c r="J59" s="33"/>
      <c r="K59" s="29">
        <v>430228</v>
      </c>
      <c r="L59" s="34" t="s">
        <v>158</v>
      </c>
      <c r="M59" s="10" t="s">
        <v>2284</v>
      </c>
      <c r="N59" s="10" t="s">
        <v>2285</v>
      </c>
      <c r="O59" s="11" t="s">
        <v>2286</v>
      </c>
      <c r="P59" s="12">
        <v>39987</v>
      </c>
      <c r="Q59" s="13">
        <f t="shared" ca="1" si="31"/>
        <v>16.249144421629023</v>
      </c>
      <c r="R59" s="14">
        <v>9</v>
      </c>
      <c r="S59" s="15">
        <v>872</v>
      </c>
      <c r="T59" s="8">
        <v>872</v>
      </c>
      <c r="U59" s="16">
        <v>45069</v>
      </c>
      <c r="V59" s="17">
        <v>26</v>
      </c>
      <c r="W59" s="16">
        <v>45382</v>
      </c>
      <c r="X59" s="14">
        <v>192</v>
      </c>
      <c r="Y59" s="18">
        <f t="shared" si="57"/>
        <v>167</v>
      </c>
      <c r="Z59" s="18">
        <f t="shared" si="55"/>
        <v>0.86979166666666663</v>
      </c>
      <c r="AA59" s="18" t="s">
        <v>36</v>
      </c>
      <c r="AB59" s="26">
        <v>30</v>
      </c>
      <c r="AC59" s="26"/>
      <c r="AD59" s="26"/>
      <c r="AE59" s="147" t="str">
        <f t="shared" si="34"/>
        <v>0</v>
      </c>
      <c r="AF59" s="147" t="str">
        <f t="shared" si="35"/>
        <v>1</v>
      </c>
      <c r="AG59" s="147" t="str">
        <f t="shared" si="36"/>
        <v>0</v>
      </c>
      <c r="AH59" s="147" t="str">
        <f t="shared" si="37"/>
        <v>NO</v>
      </c>
      <c r="AI59" s="147" t="str">
        <f t="shared" si="38"/>
        <v>NO</v>
      </c>
      <c r="AJ59" s="147" t="str">
        <f t="shared" si="39"/>
        <v>NO</v>
      </c>
      <c r="AK59" s="147" t="str">
        <f t="shared" si="40"/>
        <v>NO</v>
      </c>
      <c r="AL59" s="21"/>
      <c r="AM59" s="21">
        <f t="shared" si="56"/>
        <v>8183.0999999999985</v>
      </c>
      <c r="AN59" s="27"/>
      <c r="AO59" s="21">
        <v>1</v>
      </c>
      <c r="AP59" s="21">
        <f t="shared" si="51"/>
        <v>0.86979166666666663</v>
      </c>
      <c r="AQ59" s="149">
        <f t="shared" si="58"/>
        <v>7117.5921874999985</v>
      </c>
      <c r="AR59" s="21">
        <v>7117.5921874999985</v>
      </c>
      <c r="AS59" s="610">
        <v>0</v>
      </c>
      <c r="AT59" s="112">
        <v>0</v>
      </c>
      <c r="AU59" s="4"/>
      <c r="AV59" s="4"/>
      <c r="AW59" s="23"/>
      <c r="AX59" s="23"/>
      <c r="AY59" s="23"/>
      <c r="AZ59" s="4"/>
      <c r="BA59" s="272"/>
      <c r="BB59" s="318">
        <f t="shared" si="52"/>
        <v>7117.5921874999985</v>
      </c>
      <c r="BC59" s="269">
        <f t="shared" si="53"/>
        <v>7117.5921874999985</v>
      </c>
      <c r="BD59" t="str">
        <f t="shared" si="54"/>
        <v/>
      </c>
      <c r="BP59" s="166">
        <f t="shared" si="45"/>
        <v>7117.5921874999985</v>
      </c>
      <c r="BS59" s="165"/>
      <c r="BX59" s="495">
        <f t="shared" si="46"/>
        <v>7117.5921874999985</v>
      </c>
      <c r="BZ59" s="636">
        <f t="shared" si="18"/>
        <v>0</v>
      </c>
      <c r="CA59" s="633">
        <f t="shared" si="19"/>
        <v>7117.5921874999985</v>
      </c>
    </row>
    <row r="60" spans="1:79" x14ac:dyDescent="0.2">
      <c r="A60" s="4">
        <v>1</v>
      </c>
      <c r="B60" s="4">
        <v>1</v>
      </c>
      <c r="C60" s="5">
        <f t="shared" si="49"/>
        <v>4001</v>
      </c>
      <c r="D60" s="6">
        <v>4001</v>
      </c>
      <c r="E60" s="121">
        <v>43012</v>
      </c>
      <c r="F60" s="6" t="s">
        <v>1606</v>
      </c>
      <c r="G60" s="7" t="s">
        <v>75</v>
      </c>
      <c r="H60" s="33"/>
      <c r="I60" s="33" t="s">
        <v>157</v>
      </c>
      <c r="J60" s="33"/>
      <c r="K60" s="29">
        <v>375252</v>
      </c>
      <c r="L60" s="34" t="s">
        <v>158</v>
      </c>
      <c r="M60" s="10" t="s">
        <v>186</v>
      </c>
      <c r="N60" s="10" t="s">
        <v>187</v>
      </c>
      <c r="O60" s="11" t="s">
        <v>188</v>
      </c>
      <c r="P60" s="12">
        <v>39498</v>
      </c>
      <c r="Q60" s="13">
        <f t="shared" ca="1" si="31"/>
        <v>17.587953456536617</v>
      </c>
      <c r="R60" s="14">
        <v>10</v>
      </c>
      <c r="S60" s="15">
        <v>872</v>
      </c>
      <c r="T60" s="8">
        <v>872</v>
      </c>
      <c r="U60" s="16">
        <v>45017</v>
      </c>
      <c r="V60" s="17">
        <v>1</v>
      </c>
      <c r="W60" s="16">
        <v>45382</v>
      </c>
      <c r="X60" s="14">
        <v>192</v>
      </c>
      <c r="Y60" s="18">
        <f t="shared" si="57"/>
        <v>192</v>
      </c>
      <c r="Z60" s="18">
        <f t="shared" si="55"/>
        <v>1</v>
      </c>
      <c r="AA60" s="18" t="s">
        <v>36</v>
      </c>
      <c r="AB60" s="26">
        <v>21</v>
      </c>
      <c r="AC60" s="26"/>
      <c r="AD60" s="26"/>
      <c r="AE60" s="147" t="str">
        <f t="shared" si="34"/>
        <v>1</v>
      </c>
      <c r="AF60" s="147" t="str">
        <f t="shared" si="35"/>
        <v>0</v>
      </c>
      <c r="AG60" s="147" t="str">
        <f t="shared" si="36"/>
        <v>0</v>
      </c>
      <c r="AH60" s="147" t="str">
        <f t="shared" si="37"/>
        <v>NO</v>
      </c>
      <c r="AI60" s="147" t="str">
        <f t="shared" si="38"/>
        <v>NO</v>
      </c>
      <c r="AJ60" s="147" t="str">
        <f t="shared" si="39"/>
        <v>NO</v>
      </c>
      <c r="AK60" s="147" t="str">
        <f t="shared" si="40"/>
        <v>NO</v>
      </c>
      <c r="AL60" s="21"/>
      <c r="AM60" s="21">
        <f t="shared" si="56"/>
        <v>3928.17</v>
      </c>
      <c r="AN60" s="27" t="s">
        <v>56</v>
      </c>
      <c r="AO60" s="21">
        <v>1</v>
      </c>
      <c r="AP60" s="21">
        <f t="shared" si="51"/>
        <v>1</v>
      </c>
      <c r="AQ60" s="149">
        <f t="shared" si="58"/>
        <v>3928.17</v>
      </c>
      <c r="AR60" s="21">
        <v>3928.17</v>
      </c>
      <c r="AS60" s="610">
        <v>3928.17</v>
      </c>
      <c r="AT60" s="112">
        <v>3928.17</v>
      </c>
      <c r="AU60" s="4"/>
      <c r="AV60" s="4"/>
      <c r="AW60" s="23" t="e">
        <f>VLOOKUP(K60,#REF!,8,FALSE)</f>
        <v>#REF!</v>
      </c>
      <c r="AX60" s="23" t="e">
        <f>VLOOKUP(K60,#REF!,8,FALSE)</f>
        <v>#REF!</v>
      </c>
      <c r="AY60" s="23" t="e">
        <f>VLOOKUP(K60,#REF!,8,FALSE)</f>
        <v>#REF!</v>
      </c>
      <c r="AZ60" s="4"/>
      <c r="BA60" s="272"/>
      <c r="BB60" s="318">
        <f t="shared" si="52"/>
        <v>0</v>
      </c>
      <c r="BC60" s="269">
        <f t="shared" si="53"/>
        <v>3928.17</v>
      </c>
      <c r="BD60" t="str">
        <f t="shared" si="54"/>
        <v/>
      </c>
      <c r="BP60" s="166">
        <f t="shared" si="45"/>
        <v>3928.17</v>
      </c>
      <c r="BS60" s="165"/>
      <c r="BX60" s="495">
        <f t="shared" si="46"/>
        <v>3928.17</v>
      </c>
      <c r="BZ60" s="636">
        <f t="shared" si="18"/>
        <v>0</v>
      </c>
      <c r="CA60" s="633">
        <f t="shared" si="19"/>
        <v>0</v>
      </c>
    </row>
    <row r="61" spans="1:79" x14ac:dyDescent="0.2">
      <c r="A61" s="4">
        <v>1</v>
      </c>
      <c r="B61" s="4">
        <v>1</v>
      </c>
      <c r="C61" s="5">
        <f t="shared" si="49"/>
        <v>4001</v>
      </c>
      <c r="D61" s="6">
        <v>4001</v>
      </c>
      <c r="E61" s="121">
        <v>43012</v>
      </c>
      <c r="F61" s="6" t="s">
        <v>1606</v>
      </c>
      <c r="G61" s="7" t="s">
        <v>75</v>
      </c>
      <c r="H61" s="7"/>
      <c r="I61" s="33" t="s">
        <v>157</v>
      </c>
      <c r="J61" s="33"/>
      <c r="K61" s="29">
        <v>367126</v>
      </c>
      <c r="L61" s="34" t="s">
        <v>158</v>
      </c>
      <c r="M61" s="10" t="s">
        <v>189</v>
      </c>
      <c r="N61" s="10" t="s">
        <v>190</v>
      </c>
      <c r="O61" s="11" t="s">
        <v>191</v>
      </c>
      <c r="P61" s="12">
        <v>39311</v>
      </c>
      <c r="Q61" s="13">
        <f t="shared" ca="1" si="31"/>
        <v>18.099931553730322</v>
      </c>
      <c r="R61" s="14">
        <v>11</v>
      </c>
      <c r="S61" s="15">
        <v>872</v>
      </c>
      <c r="T61" s="8">
        <v>872</v>
      </c>
      <c r="U61" s="16">
        <v>45017</v>
      </c>
      <c r="V61" s="17">
        <v>1</v>
      </c>
      <c r="W61" s="16">
        <v>45128</v>
      </c>
      <c r="X61" s="14">
        <v>63</v>
      </c>
      <c r="Y61" s="18">
        <f t="shared" si="57"/>
        <v>63</v>
      </c>
      <c r="Z61" s="18">
        <f t="shared" si="55"/>
        <v>0.328125</v>
      </c>
      <c r="AA61" s="16" t="s">
        <v>166</v>
      </c>
      <c r="AB61" s="26">
        <v>30</v>
      </c>
      <c r="AC61" s="26"/>
      <c r="AD61" s="26"/>
      <c r="AE61" s="147" t="str">
        <f t="shared" si="34"/>
        <v>0</v>
      </c>
      <c r="AF61" s="147" t="str">
        <f t="shared" si="35"/>
        <v>1</v>
      </c>
      <c r="AG61" s="147" t="str">
        <f t="shared" si="36"/>
        <v>0</v>
      </c>
      <c r="AH61" s="147" t="str">
        <f t="shared" si="37"/>
        <v>NO</v>
      </c>
      <c r="AI61" s="147" t="str">
        <f t="shared" si="38"/>
        <v>NO</v>
      </c>
      <c r="AJ61" s="147" t="str">
        <f t="shared" si="39"/>
        <v>NO</v>
      </c>
      <c r="AK61" s="147" t="str">
        <f t="shared" si="40"/>
        <v>NO</v>
      </c>
      <c r="AL61" s="21"/>
      <c r="AM61" s="21">
        <f t="shared" si="56"/>
        <v>8183.0999999999985</v>
      </c>
      <c r="AN61" s="27" t="s">
        <v>56</v>
      </c>
      <c r="AO61" s="21">
        <v>1</v>
      </c>
      <c r="AP61" s="21">
        <f t="shared" si="51"/>
        <v>0.328125</v>
      </c>
      <c r="AQ61" s="149">
        <f t="shared" si="58"/>
        <v>2685.0796874999996</v>
      </c>
      <c r="AR61" s="21">
        <v>2685.0796874999996</v>
      </c>
      <c r="AS61" s="610">
        <v>2685.0796874999996</v>
      </c>
      <c r="AT61" s="112">
        <v>2685.0796874999996</v>
      </c>
      <c r="AU61" s="4"/>
      <c r="AV61" s="4"/>
      <c r="AW61" s="23" t="e">
        <f>VLOOKUP(K61,#REF!,8,FALSE)</f>
        <v>#REF!</v>
      </c>
      <c r="AX61" s="23" t="e">
        <f>VLOOKUP(K61,#REF!,8,FALSE)</f>
        <v>#REF!</v>
      </c>
      <c r="AY61" s="266" t="s">
        <v>2233</v>
      </c>
      <c r="AZ61" s="268" t="s">
        <v>75</v>
      </c>
      <c r="BA61" s="274">
        <f>AM61/3*2</f>
        <v>5455.3999999999987</v>
      </c>
      <c r="BB61" s="318">
        <f t="shared" si="52"/>
        <v>0</v>
      </c>
      <c r="BC61" s="269">
        <f t="shared" si="53"/>
        <v>2685.0796874999996</v>
      </c>
      <c r="BD61" t="e">
        <f t="shared" si="54"/>
        <v>#REF!</v>
      </c>
      <c r="BE61" t="s">
        <v>2351</v>
      </c>
      <c r="BI61" t="e">
        <f>VLOOKUP(K61,#REF!,8,FALSE)</f>
        <v>#REF!</v>
      </c>
      <c r="BK61" s="269"/>
      <c r="BN61" s="353" t="s">
        <v>75</v>
      </c>
      <c r="BO61" s="106"/>
      <c r="BP61" s="166">
        <f t="shared" si="45"/>
        <v>2685.0796874999996</v>
      </c>
      <c r="BQ61" t="s">
        <v>2351</v>
      </c>
      <c r="BS61" s="165"/>
      <c r="BX61" s="495">
        <f t="shared" si="46"/>
        <v>2685.0796874999996</v>
      </c>
      <c r="BZ61" s="636">
        <f t="shared" si="18"/>
        <v>0</v>
      </c>
      <c r="CA61" s="633">
        <f t="shared" si="19"/>
        <v>0</v>
      </c>
    </row>
    <row r="62" spans="1:79" x14ac:dyDescent="0.2">
      <c r="A62" s="4">
        <v>0</v>
      </c>
      <c r="B62" s="4">
        <v>1</v>
      </c>
      <c r="C62" s="5">
        <f t="shared" si="49"/>
        <v>4001</v>
      </c>
      <c r="D62" s="6">
        <v>4001</v>
      </c>
      <c r="E62" s="121">
        <v>43012</v>
      </c>
      <c r="F62" s="6" t="s">
        <v>1606</v>
      </c>
      <c r="G62" s="7" t="s">
        <v>75</v>
      </c>
      <c r="H62" s="7"/>
      <c r="I62" s="33" t="s">
        <v>157</v>
      </c>
      <c r="J62" s="33" t="s">
        <v>192</v>
      </c>
      <c r="K62" s="29">
        <v>367126</v>
      </c>
      <c r="L62" s="34" t="s">
        <v>158</v>
      </c>
      <c r="M62" s="10" t="s">
        <v>189</v>
      </c>
      <c r="N62" s="10" t="s">
        <v>190</v>
      </c>
      <c r="O62" s="11" t="s">
        <v>191</v>
      </c>
      <c r="P62" s="12">
        <v>39311</v>
      </c>
      <c r="Q62" s="13">
        <f t="shared" ca="1" si="31"/>
        <v>18.099931553730322</v>
      </c>
      <c r="R62" s="14">
        <v>11</v>
      </c>
      <c r="S62" s="15">
        <v>872</v>
      </c>
      <c r="T62" s="8">
        <v>872</v>
      </c>
      <c r="U62" s="16">
        <v>45017</v>
      </c>
      <c r="V62" s="17">
        <v>1</v>
      </c>
      <c r="W62" s="16">
        <v>45128</v>
      </c>
      <c r="X62" s="14">
        <v>63</v>
      </c>
      <c r="Y62" s="18">
        <f t="shared" si="57"/>
        <v>63</v>
      </c>
      <c r="Z62" s="18">
        <f t="shared" si="55"/>
        <v>0.328125</v>
      </c>
      <c r="AA62" s="16" t="s">
        <v>166</v>
      </c>
      <c r="AB62" s="26" t="s">
        <v>91</v>
      </c>
      <c r="AC62" s="26"/>
      <c r="AD62" s="26"/>
      <c r="AE62" s="147" t="str">
        <f t="shared" si="34"/>
        <v>0</v>
      </c>
      <c r="AF62" s="147" t="str">
        <f t="shared" si="35"/>
        <v>0</v>
      </c>
      <c r="AG62" s="147" t="str">
        <f t="shared" si="36"/>
        <v>1</v>
      </c>
      <c r="AH62" s="147" t="str">
        <f t="shared" si="37"/>
        <v>NO</v>
      </c>
      <c r="AI62" s="147" t="str">
        <f t="shared" si="38"/>
        <v>NO</v>
      </c>
      <c r="AJ62" s="147" t="str">
        <f t="shared" si="39"/>
        <v>NO</v>
      </c>
      <c r="AK62" s="147" t="str">
        <f t="shared" si="40"/>
        <v>NO</v>
      </c>
      <c r="AL62" s="21"/>
      <c r="AM62" s="21">
        <v>11137.8</v>
      </c>
      <c r="AN62" s="27" t="s">
        <v>56</v>
      </c>
      <c r="AO62" s="21">
        <v>1</v>
      </c>
      <c r="AP62" s="21">
        <f t="shared" si="51"/>
        <v>0.328125</v>
      </c>
      <c r="AQ62" s="149">
        <f t="shared" si="58"/>
        <v>3654.5906249999998</v>
      </c>
      <c r="AR62" s="21">
        <v>3654.5906249999998</v>
      </c>
      <c r="AS62" s="610">
        <v>3654.5906249999998</v>
      </c>
      <c r="AT62" s="112">
        <v>3654.5906249999998</v>
      </c>
      <c r="AU62" s="4"/>
      <c r="AV62" s="4"/>
      <c r="AW62" s="23" t="e">
        <f>VLOOKUP(K62,#REF!,8,FALSE)</f>
        <v>#REF!</v>
      </c>
      <c r="AX62" s="23" t="e">
        <f>VLOOKUP(K62,#REF!,8,FALSE)</f>
        <v>#REF!</v>
      </c>
      <c r="AY62" s="23" t="e">
        <f>VLOOKUP(K62,#REF!,8,FALSE)</f>
        <v>#REF!</v>
      </c>
      <c r="AZ62" s="4"/>
      <c r="BA62" s="272"/>
      <c r="BB62" s="318">
        <f t="shared" si="52"/>
        <v>0</v>
      </c>
      <c r="BC62" s="269">
        <f t="shared" si="53"/>
        <v>3654.5906249999998</v>
      </c>
      <c r="BD62" t="e">
        <f t="shared" si="54"/>
        <v>#REF!</v>
      </c>
      <c r="BE62" t="s">
        <v>2351</v>
      </c>
      <c r="BI62" t="e">
        <f>VLOOKUP(K62,#REF!,8,FALSE)</f>
        <v>#REF!</v>
      </c>
      <c r="BK62" s="269"/>
      <c r="BN62" s="353" t="s">
        <v>75</v>
      </c>
      <c r="BO62" s="106"/>
      <c r="BP62" s="166">
        <f t="shared" si="45"/>
        <v>3654.5906249999998</v>
      </c>
      <c r="BQ62" t="s">
        <v>2351</v>
      </c>
      <c r="BS62" s="165"/>
      <c r="BX62" s="495">
        <f t="shared" si="46"/>
        <v>3654.5906249999998</v>
      </c>
      <c r="BZ62" s="636">
        <f t="shared" si="18"/>
        <v>0</v>
      </c>
      <c r="CA62" s="633">
        <f t="shared" si="19"/>
        <v>0</v>
      </c>
    </row>
    <row r="63" spans="1:79" x14ac:dyDescent="0.2">
      <c r="A63" s="4">
        <v>1</v>
      </c>
      <c r="B63" s="4">
        <v>1</v>
      </c>
      <c r="C63" s="5">
        <f t="shared" si="49"/>
        <v>4001</v>
      </c>
      <c r="D63" s="6">
        <v>4001</v>
      </c>
      <c r="E63" s="121">
        <v>43012</v>
      </c>
      <c r="F63" s="6" t="s">
        <v>1606</v>
      </c>
      <c r="G63" s="7" t="s">
        <v>75</v>
      </c>
      <c r="H63" s="7"/>
      <c r="I63" s="33" t="s">
        <v>157</v>
      </c>
      <c r="J63" s="33"/>
      <c r="K63" s="29">
        <v>389945</v>
      </c>
      <c r="L63" s="34" t="s">
        <v>158</v>
      </c>
      <c r="M63" s="10" t="s">
        <v>193</v>
      </c>
      <c r="N63" s="10" t="s">
        <v>194</v>
      </c>
      <c r="O63" s="11" t="s">
        <v>195</v>
      </c>
      <c r="P63" s="12">
        <v>40259</v>
      </c>
      <c r="Q63" s="13">
        <f t="shared" ca="1" si="31"/>
        <v>15.504449007529089</v>
      </c>
      <c r="R63" s="14">
        <v>8</v>
      </c>
      <c r="S63" s="15">
        <v>872</v>
      </c>
      <c r="T63" s="8">
        <v>872</v>
      </c>
      <c r="U63" s="16">
        <v>45017</v>
      </c>
      <c r="V63" s="17">
        <v>1</v>
      </c>
      <c r="W63" s="16">
        <v>45382</v>
      </c>
      <c r="X63" s="14">
        <v>192</v>
      </c>
      <c r="Y63" s="18">
        <f t="shared" si="57"/>
        <v>192</v>
      </c>
      <c r="Z63" s="18">
        <f t="shared" si="55"/>
        <v>1</v>
      </c>
      <c r="AA63" s="18" t="s">
        <v>36</v>
      </c>
      <c r="AB63" s="26">
        <v>30</v>
      </c>
      <c r="AC63" s="26"/>
      <c r="AD63" s="26"/>
      <c r="AE63" s="147" t="str">
        <f t="shared" si="34"/>
        <v>0</v>
      </c>
      <c r="AF63" s="147" t="str">
        <f t="shared" si="35"/>
        <v>1</v>
      </c>
      <c r="AG63" s="147" t="str">
        <f t="shared" si="36"/>
        <v>0</v>
      </c>
      <c r="AH63" s="147" t="str">
        <f t="shared" si="37"/>
        <v>NO</v>
      </c>
      <c r="AI63" s="147" t="str">
        <f t="shared" si="38"/>
        <v>NO</v>
      </c>
      <c r="AJ63" s="147" t="str">
        <f t="shared" si="39"/>
        <v>NO</v>
      </c>
      <c r="AK63" s="147" t="str">
        <f t="shared" si="40"/>
        <v>NO</v>
      </c>
      <c r="AL63" s="21"/>
      <c r="AM63" s="21">
        <f>IF(H63="Y",AL63,((AB63*$O$902)-6000))</f>
        <v>8183.0999999999985</v>
      </c>
      <c r="AN63" s="27" t="s">
        <v>56</v>
      </c>
      <c r="AO63" s="21">
        <v>1</v>
      </c>
      <c r="AP63" s="21">
        <f t="shared" si="51"/>
        <v>1</v>
      </c>
      <c r="AQ63" s="149">
        <f t="shared" si="58"/>
        <v>8183.0999999999985</v>
      </c>
      <c r="AR63" s="21">
        <v>8183.0999999999985</v>
      </c>
      <c r="AS63" s="610">
        <v>8183.0999999999985</v>
      </c>
      <c r="AT63" s="112">
        <v>8183.0999999999985</v>
      </c>
      <c r="AU63" s="4"/>
      <c r="AV63" s="4"/>
      <c r="AW63" s="23" t="e">
        <f>VLOOKUP(K63,#REF!,8,FALSE)</f>
        <v>#REF!</v>
      </c>
      <c r="AX63" s="23" t="e">
        <f>VLOOKUP(K63,#REF!,8,FALSE)</f>
        <v>#REF!</v>
      </c>
      <c r="AY63" s="23" t="e">
        <f>VLOOKUP(K63,#REF!,8,FALSE)</f>
        <v>#REF!</v>
      </c>
      <c r="AZ63" s="4"/>
      <c r="BA63" s="272"/>
      <c r="BB63" s="318">
        <f t="shared" si="52"/>
        <v>0</v>
      </c>
      <c r="BC63" s="269">
        <f t="shared" si="53"/>
        <v>8183.0999999999985</v>
      </c>
      <c r="BD63" t="str">
        <f t="shared" si="54"/>
        <v/>
      </c>
      <c r="BP63" s="166">
        <f t="shared" si="45"/>
        <v>8183.0999999999985</v>
      </c>
      <c r="BS63" s="165"/>
      <c r="BX63" s="495">
        <f t="shared" si="46"/>
        <v>8183.0999999999985</v>
      </c>
      <c r="BZ63" s="636">
        <f t="shared" si="18"/>
        <v>0</v>
      </c>
      <c r="CA63" s="633">
        <f t="shared" si="19"/>
        <v>0</v>
      </c>
    </row>
    <row r="64" spans="1:79" x14ac:dyDescent="0.2">
      <c r="A64" s="4">
        <v>1</v>
      </c>
      <c r="B64" s="4">
        <v>1</v>
      </c>
      <c r="C64" s="5">
        <f t="shared" si="49"/>
        <v>4001</v>
      </c>
      <c r="D64" s="6">
        <v>4001</v>
      </c>
      <c r="E64" s="121">
        <v>43012</v>
      </c>
      <c r="F64" s="6" t="s">
        <v>1606</v>
      </c>
      <c r="G64" s="7" t="s">
        <v>75</v>
      </c>
      <c r="H64" s="33"/>
      <c r="I64" s="33" t="s">
        <v>157</v>
      </c>
      <c r="J64" s="33"/>
      <c r="K64" s="29">
        <v>390833</v>
      </c>
      <c r="L64" s="34" t="s">
        <v>158</v>
      </c>
      <c r="M64" s="10" t="s">
        <v>196</v>
      </c>
      <c r="N64" s="10" t="s">
        <v>197</v>
      </c>
      <c r="O64" s="11" t="s">
        <v>198</v>
      </c>
      <c r="P64" s="12">
        <v>40245</v>
      </c>
      <c r="Q64" s="13">
        <f t="shared" ca="1" si="31"/>
        <v>15.542778918548938</v>
      </c>
      <c r="R64" s="14">
        <v>8</v>
      </c>
      <c r="S64" s="15">
        <v>872</v>
      </c>
      <c r="T64" s="8">
        <v>872</v>
      </c>
      <c r="U64" s="16">
        <v>45017</v>
      </c>
      <c r="V64" s="17">
        <v>1</v>
      </c>
      <c r="W64" s="16">
        <v>45382</v>
      </c>
      <c r="X64" s="14">
        <v>192</v>
      </c>
      <c r="Y64" s="18">
        <f t="shared" si="57"/>
        <v>192</v>
      </c>
      <c r="Z64" s="18">
        <f t="shared" si="55"/>
        <v>1</v>
      </c>
      <c r="AA64" s="18" t="s">
        <v>36</v>
      </c>
      <c r="AB64" s="26">
        <v>30</v>
      </c>
      <c r="AC64" s="26"/>
      <c r="AD64" s="26"/>
      <c r="AE64" s="147" t="str">
        <f t="shared" si="34"/>
        <v>0</v>
      </c>
      <c r="AF64" s="147" t="str">
        <f t="shared" si="35"/>
        <v>1</v>
      </c>
      <c r="AG64" s="147" t="str">
        <f t="shared" si="36"/>
        <v>0</v>
      </c>
      <c r="AH64" s="147" t="str">
        <f t="shared" si="37"/>
        <v>NO</v>
      </c>
      <c r="AI64" s="147" t="str">
        <f t="shared" si="38"/>
        <v>NO</v>
      </c>
      <c r="AJ64" s="147" t="str">
        <f t="shared" si="39"/>
        <v>NO</v>
      </c>
      <c r="AK64" s="147" t="str">
        <f t="shared" si="40"/>
        <v>NO</v>
      </c>
      <c r="AL64" s="21"/>
      <c r="AM64" s="21">
        <f>IF(H64="Y",AL64,((AB64*$O$902)-6000))</f>
        <v>8183.0999999999985</v>
      </c>
      <c r="AN64" s="27" t="s">
        <v>37</v>
      </c>
      <c r="AO64" s="21">
        <v>1</v>
      </c>
      <c r="AP64" s="21">
        <f t="shared" si="51"/>
        <v>1</v>
      </c>
      <c r="AQ64" s="149">
        <f t="shared" si="58"/>
        <v>8183.0999999999985</v>
      </c>
      <c r="AR64" s="21">
        <v>8183.0999999999985</v>
      </c>
      <c r="AS64" s="610">
        <v>8183.0999999999985</v>
      </c>
      <c r="AT64" s="112">
        <v>8183.0999999999985</v>
      </c>
      <c r="AU64" s="4"/>
      <c r="AV64" s="4"/>
      <c r="AW64" s="23" t="e">
        <f>VLOOKUP(K64,#REF!,8,FALSE)</f>
        <v>#REF!</v>
      </c>
      <c r="AX64" s="23" t="e">
        <f>VLOOKUP(K64,#REF!,8,FALSE)</f>
        <v>#REF!</v>
      </c>
      <c r="AY64" s="23" t="e">
        <f>VLOOKUP(K64,#REF!,8,FALSE)</f>
        <v>#REF!</v>
      </c>
      <c r="AZ64" s="4"/>
      <c r="BA64" s="272"/>
      <c r="BB64" s="318">
        <f t="shared" si="52"/>
        <v>0</v>
      </c>
      <c r="BC64" s="269">
        <f t="shared" si="53"/>
        <v>8183.0999999999985</v>
      </c>
      <c r="BD64" t="str">
        <f t="shared" si="54"/>
        <v/>
      </c>
      <c r="BP64" s="166">
        <f t="shared" si="45"/>
        <v>8183.0999999999985</v>
      </c>
      <c r="BS64" s="165"/>
      <c r="BX64" s="495">
        <f t="shared" si="46"/>
        <v>8183.0999999999985</v>
      </c>
      <c r="BZ64" s="636">
        <f t="shared" si="18"/>
        <v>0</v>
      </c>
      <c r="CA64" s="633">
        <f t="shared" si="19"/>
        <v>0</v>
      </c>
    </row>
    <row r="65" spans="1:79" x14ac:dyDescent="0.2">
      <c r="A65" s="4">
        <v>1</v>
      </c>
      <c r="B65" s="4">
        <v>1</v>
      </c>
      <c r="C65" s="5">
        <f t="shared" si="49"/>
        <v>4001</v>
      </c>
      <c r="D65" s="6">
        <v>4001</v>
      </c>
      <c r="E65" s="121">
        <v>43012</v>
      </c>
      <c r="F65" s="6" t="s">
        <v>1606</v>
      </c>
      <c r="G65" s="7" t="s">
        <v>75</v>
      </c>
      <c r="H65" s="7"/>
      <c r="I65" s="33" t="s">
        <v>157</v>
      </c>
      <c r="J65" s="33"/>
      <c r="K65" s="29">
        <v>373829</v>
      </c>
      <c r="L65" s="34" t="s">
        <v>158</v>
      </c>
      <c r="M65" s="10" t="s">
        <v>199</v>
      </c>
      <c r="N65" s="10" t="s">
        <v>200</v>
      </c>
      <c r="O65" s="11" t="s">
        <v>201</v>
      </c>
      <c r="P65" s="12">
        <v>39423</v>
      </c>
      <c r="Q65" s="13">
        <f t="shared" ca="1" si="31"/>
        <v>17.793292265571527</v>
      </c>
      <c r="R65" s="14">
        <v>10</v>
      </c>
      <c r="S65" s="15">
        <v>872</v>
      </c>
      <c r="T65" s="8">
        <v>872</v>
      </c>
      <c r="U65" s="16">
        <v>45017</v>
      </c>
      <c r="V65" s="17">
        <v>1</v>
      </c>
      <c r="W65" s="16">
        <v>45382</v>
      </c>
      <c r="X65" s="14">
        <v>192</v>
      </c>
      <c r="Y65" s="18">
        <f t="shared" si="57"/>
        <v>192</v>
      </c>
      <c r="Z65" s="18">
        <f t="shared" si="55"/>
        <v>1</v>
      </c>
      <c r="AA65" s="18" t="s">
        <v>36</v>
      </c>
      <c r="AB65" s="26">
        <v>26</v>
      </c>
      <c r="AC65" s="26"/>
      <c r="AD65" s="26"/>
      <c r="AE65" s="147" t="str">
        <f t="shared" si="34"/>
        <v>0</v>
      </c>
      <c r="AF65" s="147" t="str">
        <f t="shared" si="35"/>
        <v>1</v>
      </c>
      <c r="AG65" s="147" t="str">
        <f t="shared" si="36"/>
        <v>0</v>
      </c>
      <c r="AH65" s="147" t="str">
        <f t="shared" si="37"/>
        <v>NO</v>
      </c>
      <c r="AI65" s="147" t="str">
        <f t="shared" si="38"/>
        <v>NO</v>
      </c>
      <c r="AJ65" s="147" t="str">
        <f t="shared" si="39"/>
        <v>NO</v>
      </c>
      <c r="AK65" s="147" t="str">
        <f t="shared" si="40"/>
        <v>NO</v>
      </c>
      <c r="AL65" s="21"/>
      <c r="AM65" s="21">
        <f>IF(H65="Y",AL65,((AB65*$O$902)-6000))</f>
        <v>6292.02</v>
      </c>
      <c r="AN65" s="27" t="s">
        <v>56</v>
      </c>
      <c r="AO65" s="21">
        <v>1</v>
      </c>
      <c r="AP65" s="21">
        <f t="shared" si="51"/>
        <v>1</v>
      </c>
      <c r="AQ65" s="149">
        <f t="shared" si="58"/>
        <v>6292.02</v>
      </c>
      <c r="AR65" s="21">
        <v>6292.02</v>
      </c>
      <c r="AS65" s="610">
        <v>6292.02</v>
      </c>
      <c r="AT65" s="112">
        <v>6292.02</v>
      </c>
      <c r="AU65" s="4"/>
      <c r="AV65" s="4"/>
      <c r="AW65" s="23" t="e">
        <f>VLOOKUP(K65,#REF!,8,FALSE)</f>
        <v>#REF!</v>
      </c>
      <c r="AX65" s="23" t="e">
        <f>VLOOKUP(K65,#REF!,8,FALSE)</f>
        <v>#REF!</v>
      </c>
      <c r="AY65" s="23" t="e">
        <f>VLOOKUP(K65,#REF!,8,FALSE)</f>
        <v>#REF!</v>
      </c>
      <c r="AZ65" s="4"/>
      <c r="BA65" s="272"/>
      <c r="BB65" s="318">
        <f t="shared" si="52"/>
        <v>0</v>
      </c>
      <c r="BC65" s="269">
        <f t="shared" si="53"/>
        <v>6292.02</v>
      </c>
      <c r="BD65" t="str">
        <f t="shared" si="54"/>
        <v/>
      </c>
      <c r="BP65" s="166">
        <f t="shared" si="45"/>
        <v>6292.02</v>
      </c>
      <c r="BS65" s="165"/>
      <c r="BX65" s="495">
        <f t="shared" si="46"/>
        <v>6292.02</v>
      </c>
      <c r="BZ65" s="636">
        <f t="shared" si="18"/>
        <v>0</v>
      </c>
      <c r="CA65" s="633">
        <f t="shared" si="19"/>
        <v>0</v>
      </c>
    </row>
    <row r="66" spans="1:79" x14ac:dyDescent="0.2">
      <c r="A66" s="4">
        <v>1</v>
      </c>
      <c r="B66" s="4">
        <v>1</v>
      </c>
      <c r="C66" s="5">
        <f t="shared" si="49"/>
        <v>4001</v>
      </c>
      <c r="D66" s="6">
        <v>4001</v>
      </c>
      <c r="E66" s="121">
        <v>43012</v>
      </c>
      <c r="F66" s="6" t="s">
        <v>1606</v>
      </c>
      <c r="G66" s="7" t="s">
        <v>75</v>
      </c>
      <c r="H66" s="7"/>
      <c r="I66" s="33" t="s">
        <v>157</v>
      </c>
      <c r="J66" s="33"/>
      <c r="K66" s="29">
        <v>392424</v>
      </c>
      <c r="L66" s="34" t="s">
        <v>158</v>
      </c>
      <c r="M66" s="10" t="s">
        <v>202</v>
      </c>
      <c r="N66" s="10" t="s">
        <v>203</v>
      </c>
      <c r="O66" s="11" t="s">
        <v>204</v>
      </c>
      <c r="P66" s="12">
        <v>40486</v>
      </c>
      <c r="Q66" s="13">
        <f t="shared" ca="1" si="31"/>
        <v>14.882956878850102</v>
      </c>
      <c r="R66" s="14">
        <v>7</v>
      </c>
      <c r="S66" s="15">
        <v>872</v>
      </c>
      <c r="T66" s="8">
        <v>872</v>
      </c>
      <c r="U66" s="16">
        <v>45017</v>
      </c>
      <c r="V66" s="17">
        <v>1</v>
      </c>
      <c r="W66" s="16">
        <v>45382</v>
      </c>
      <c r="X66" s="14">
        <v>192</v>
      </c>
      <c r="Y66" s="18">
        <f t="shared" si="57"/>
        <v>192</v>
      </c>
      <c r="Z66" s="18">
        <f t="shared" si="55"/>
        <v>1</v>
      </c>
      <c r="AA66" s="18" t="s">
        <v>36</v>
      </c>
      <c r="AB66" s="26">
        <v>30</v>
      </c>
      <c r="AC66" s="26"/>
      <c r="AD66" s="26"/>
      <c r="AE66" s="147" t="str">
        <f t="shared" si="34"/>
        <v>0</v>
      </c>
      <c r="AF66" s="147" t="str">
        <f t="shared" si="35"/>
        <v>1</v>
      </c>
      <c r="AG66" s="147" t="str">
        <f t="shared" si="36"/>
        <v>0</v>
      </c>
      <c r="AH66" s="147" t="str">
        <f t="shared" si="37"/>
        <v>NO</v>
      </c>
      <c r="AI66" s="147" t="str">
        <f t="shared" si="38"/>
        <v>NO</v>
      </c>
      <c r="AJ66" s="147" t="str">
        <f t="shared" si="39"/>
        <v>NO</v>
      </c>
      <c r="AK66" s="147" t="str">
        <f t="shared" si="40"/>
        <v>NO</v>
      </c>
      <c r="AL66" s="21"/>
      <c r="AM66" s="21">
        <f>IF(H66="Y",AL66,((AB66*$O$902)-6000))</f>
        <v>8183.0999999999985</v>
      </c>
      <c r="AN66" s="27"/>
      <c r="AO66" s="21">
        <v>1</v>
      </c>
      <c r="AP66" s="21">
        <f t="shared" si="51"/>
        <v>1</v>
      </c>
      <c r="AQ66" s="149">
        <f t="shared" si="58"/>
        <v>8183.0999999999985</v>
      </c>
      <c r="AR66" s="21">
        <v>8183.0999999999985</v>
      </c>
      <c r="AS66" s="610">
        <v>8183.0999999999985</v>
      </c>
      <c r="AT66" s="112">
        <v>8183.0999999999985</v>
      </c>
      <c r="AU66" s="4"/>
      <c r="AV66" s="4"/>
      <c r="AW66" s="23" t="e">
        <f>VLOOKUP(K66,#REF!,8,FALSE)</f>
        <v>#REF!</v>
      </c>
      <c r="AX66" s="23" t="e">
        <f>VLOOKUP(K66,#REF!,8,FALSE)</f>
        <v>#REF!</v>
      </c>
      <c r="AY66" s="23" t="e">
        <f>VLOOKUP(K66,#REF!,8,FALSE)</f>
        <v>#REF!</v>
      </c>
      <c r="AZ66" s="4"/>
      <c r="BA66" s="272"/>
      <c r="BB66" s="318">
        <f t="shared" si="52"/>
        <v>0</v>
      </c>
      <c r="BC66" s="269">
        <f t="shared" si="53"/>
        <v>8183.0999999999985</v>
      </c>
      <c r="BD66" t="str">
        <f t="shared" si="54"/>
        <v/>
      </c>
      <c r="BP66" s="166">
        <f t="shared" si="45"/>
        <v>8183.0999999999985</v>
      </c>
      <c r="BS66" s="165"/>
      <c r="BX66" s="495">
        <f t="shared" si="46"/>
        <v>8183.0999999999985</v>
      </c>
      <c r="BZ66" s="636">
        <f t="shared" si="18"/>
        <v>0</v>
      </c>
      <c r="CA66" s="633">
        <f t="shared" si="19"/>
        <v>0</v>
      </c>
    </row>
    <row r="67" spans="1:79" x14ac:dyDescent="0.2">
      <c r="A67" s="4">
        <v>1</v>
      </c>
      <c r="B67" s="4">
        <v>1</v>
      </c>
      <c r="C67" s="5">
        <f t="shared" si="49"/>
        <v>4001</v>
      </c>
      <c r="D67" s="6">
        <v>4001</v>
      </c>
      <c r="E67" s="121">
        <v>43012</v>
      </c>
      <c r="F67" s="6" t="s">
        <v>1606</v>
      </c>
      <c r="G67" s="7" t="s">
        <v>75</v>
      </c>
      <c r="H67" s="7"/>
      <c r="I67" s="33" t="s">
        <v>157</v>
      </c>
      <c r="J67" s="33"/>
      <c r="K67" s="29">
        <v>378714</v>
      </c>
      <c r="L67" s="34" t="s">
        <v>158</v>
      </c>
      <c r="M67" s="10" t="s">
        <v>205</v>
      </c>
      <c r="N67" s="10" t="s">
        <v>206</v>
      </c>
      <c r="O67" s="11" t="s">
        <v>207</v>
      </c>
      <c r="P67" s="12">
        <v>40157</v>
      </c>
      <c r="Q67" s="13">
        <f t="shared" ca="1" si="31"/>
        <v>15.783709787816564</v>
      </c>
      <c r="R67" s="14">
        <v>8</v>
      </c>
      <c r="S67" s="15">
        <v>872</v>
      </c>
      <c r="T67" s="8">
        <v>872</v>
      </c>
      <c r="U67" s="16">
        <v>45017</v>
      </c>
      <c r="V67" s="17">
        <v>1</v>
      </c>
      <c r="W67" s="16">
        <v>45382</v>
      </c>
      <c r="X67" s="14">
        <v>192</v>
      </c>
      <c r="Y67" s="18">
        <f t="shared" si="57"/>
        <v>192</v>
      </c>
      <c r="Z67" s="18">
        <f t="shared" si="55"/>
        <v>1</v>
      </c>
      <c r="AA67" s="18" t="s">
        <v>36</v>
      </c>
      <c r="AB67" s="26">
        <v>29</v>
      </c>
      <c r="AC67" s="26"/>
      <c r="AD67" s="26"/>
      <c r="AE67" s="147" t="str">
        <f t="shared" si="34"/>
        <v>0</v>
      </c>
      <c r="AF67" s="147" t="str">
        <f t="shared" si="35"/>
        <v>1</v>
      </c>
      <c r="AG67" s="147" t="str">
        <f t="shared" si="36"/>
        <v>0</v>
      </c>
      <c r="AH67" s="147" t="str">
        <f t="shared" si="37"/>
        <v>NO</v>
      </c>
      <c r="AI67" s="147" t="str">
        <f t="shared" si="38"/>
        <v>NO</v>
      </c>
      <c r="AJ67" s="147" t="str">
        <f t="shared" si="39"/>
        <v>NO</v>
      </c>
      <c r="AK67" s="147" t="str">
        <f t="shared" si="40"/>
        <v>NO</v>
      </c>
      <c r="AL67" s="21"/>
      <c r="AM67" s="21">
        <f>IF(H67="Y",AL67,((AB67*$O$902)-6000))</f>
        <v>7710.33</v>
      </c>
      <c r="AN67" s="27" t="s">
        <v>66</v>
      </c>
      <c r="AO67" s="21">
        <v>1</v>
      </c>
      <c r="AP67" s="21">
        <f t="shared" si="51"/>
        <v>1</v>
      </c>
      <c r="AQ67" s="149">
        <f t="shared" si="58"/>
        <v>7710.33</v>
      </c>
      <c r="AR67" s="21">
        <v>7710.33</v>
      </c>
      <c r="AS67" s="610">
        <v>7710.33</v>
      </c>
      <c r="AT67" s="112">
        <v>7710.33</v>
      </c>
      <c r="AU67" s="4"/>
      <c r="AV67" s="4"/>
      <c r="AW67" s="23" t="e">
        <f>VLOOKUP(K67,#REF!,8,FALSE)</f>
        <v>#REF!</v>
      </c>
      <c r="AX67" s="23" t="e">
        <f>VLOOKUP(K67,#REF!,8,FALSE)</f>
        <v>#REF!</v>
      </c>
      <c r="AY67" s="23" t="e">
        <f>VLOOKUP(K67,#REF!,8,FALSE)</f>
        <v>#REF!</v>
      </c>
      <c r="AZ67" s="4"/>
      <c r="BA67" s="272"/>
      <c r="BB67" s="318">
        <f t="shared" si="52"/>
        <v>0</v>
      </c>
      <c r="BC67" s="269">
        <f t="shared" si="53"/>
        <v>7710.33</v>
      </c>
      <c r="BD67" t="str">
        <f t="shared" si="54"/>
        <v/>
      </c>
      <c r="BP67" s="166">
        <f t="shared" si="45"/>
        <v>7710.33</v>
      </c>
      <c r="BS67" s="165"/>
      <c r="BX67" s="495">
        <f t="shared" si="46"/>
        <v>7710.33</v>
      </c>
      <c r="BZ67" s="636">
        <f t="shared" ref="BZ67:BZ130" si="59">BX67-BP67</f>
        <v>0</v>
      </c>
      <c r="CA67" s="633">
        <f t="shared" ref="CA67:CA130" si="60">BX67-AS67</f>
        <v>0</v>
      </c>
    </row>
    <row r="68" spans="1:79" x14ac:dyDescent="0.2">
      <c r="A68" s="4">
        <v>1</v>
      </c>
      <c r="B68" s="4">
        <v>1</v>
      </c>
      <c r="C68" s="5">
        <f t="shared" si="49"/>
        <v>4001</v>
      </c>
      <c r="D68" s="6">
        <v>4001</v>
      </c>
      <c r="E68" s="121">
        <v>43012</v>
      </c>
      <c r="F68" s="6" t="s">
        <v>1606</v>
      </c>
      <c r="G68" s="7" t="s">
        <v>75</v>
      </c>
      <c r="H68" s="7"/>
      <c r="I68" s="33" t="s">
        <v>157</v>
      </c>
      <c r="J68" s="33"/>
      <c r="K68" s="29">
        <v>374969</v>
      </c>
      <c r="L68" s="34" t="s">
        <v>158</v>
      </c>
      <c r="M68" s="10" t="s">
        <v>208</v>
      </c>
      <c r="N68" s="10" t="s">
        <v>209</v>
      </c>
      <c r="O68" s="11" t="s">
        <v>210</v>
      </c>
      <c r="P68" s="12">
        <v>39448</v>
      </c>
      <c r="Q68" s="13">
        <f t="shared" ca="1" si="31"/>
        <v>17.724845995893222</v>
      </c>
      <c r="R68" s="14">
        <v>10</v>
      </c>
      <c r="S68" s="15">
        <v>872</v>
      </c>
      <c r="T68" s="8">
        <v>872</v>
      </c>
      <c r="U68" s="16">
        <v>45017</v>
      </c>
      <c r="V68" s="17">
        <v>1</v>
      </c>
      <c r="W68" s="16">
        <v>45382</v>
      </c>
      <c r="X68" s="14">
        <v>192</v>
      </c>
      <c r="Y68" s="18">
        <f t="shared" si="57"/>
        <v>192</v>
      </c>
      <c r="Z68" s="18">
        <f t="shared" si="55"/>
        <v>1</v>
      </c>
      <c r="AA68" s="18" t="s">
        <v>36</v>
      </c>
      <c r="AB68" s="26">
        <v>45900</v>
      </c>
      <c r="AC68" s="26"/>
      <c r="AD68" s="26"/>
      <c r="AE68" s="147" t="str">
        <f t="shared" si="34"/>
        <v>0</v>
      </c>
      <c r="AF68" s="147" t="str">
        <f t="shared" si="35"/>
        <v>0</v>
      </c>
      <c r="AG68" s="147" t="str">
        <f t="shared" si="36"/>
        <v>1</v>
      </c>
      <c r="AH68" s="147" t="str">
        <f t="shared" si="37"/>
        <v>NO</v>
      </c>
      <c r="AI68" s="147" t="str">
        <f t="shared" si="38"/>
        <v>NO</v>
      </c>
      <c r="AJ68" s="147" t="str">
        <f t="shared" si="39"/>
        <v>NO</v>
      </c>
      <c r="AK68" s="147" t="str">
        <f t="shared" si="40"/>
        <v>NO</v>
      </c>
      <c r="AL68" s="21"/>
      <c r="AM68" s="21">
        <v>45900</v>
      </c>
      <c r="AN68" s="27" t="s">
        <v>43</v>
      </c>
      <c r="AO68" s="21">
        <v>1</v>
      </c>
      <c r="AP68" s="21">
        <f t="shared" si="51"/>
        <v>1</v>
      </c>
      <c r="AQ68" s="149">
        <f t="shared" si="58"/>
        <v>45900</v>
      </c>
      <c r="AR68" s="21">
        <v>45900</v>
      </c>
      <c r="AS68" s="610">
        <v>8183.0999999999985</v>
      </c>
      <c r="AT68" s="112">
        <v>45900</v>
      </c>
      <c r="AU68" s="4"/>
      <c r="AV68" s="4"/>
      <c r="AW68" s="23" t="e">
        <f>VLOOKUP(K68,#REF!,8,FALSE)</f>
        <v>#REF!</v>
      </c>
      <c r="AX68" s="23" t="e">
        <f>VLOOKUP(K68,#REF!,8,FALSE)</f>
        <v>#REF!</v>
      </c>
      <c r="AY68" s="23" t="e">
        <f>VLOOKUP(K68,#REF!,8,FALSE)</f>
        <v>#REF!</v>
      </c>
      <c r="AZ68" s="4"/>
      <c r="BA68" s="272"/>
      <c r="BB68" s="318">
        <f t="shared" si="52"/>
        <v>0</v>
      </c>
      <c r="BC68" s="269">
        <f t="shared" si="53"/>
        <v>45900</v>
      </c>
      <c r="BD68" t="str">
        <f t="shared" si="54"/>
        <v/>
      </c>
      <c r="BP68" s="166">
        <f t="shared" si="45"/>
        <v>45900</v>
      </c>
      <c r="BS68" s="165"/>
      <c r="BX68" s="495">
        <f t="shared" si="46"/>
        <v>45900</v>
      </c>
      <c r="BZ68" s="636">
        <f t="shared" si="59"/>
        <v>0</v>
      </c>
      <c r="CA68" s="633">
        <f t="shared" si="60"/>
        <v>37716.9</v>
      </c>
    </row>
    <row r="69" spans="1:79" x14ac:dyDescent="0.2">
      <c r="A69" s="4">
        <v>1</v>
      </c>
      <c r="B69" s="4">
        <v>1</v>
      </c>
      <c r="C69" s="5">
        <f t="shared" si="49"/>
        <v>4001</v>
      </c>
      <c r="D69" s="6">
        <v>4001</v>
      </c>
      <c r="E69" s="121">
        <v>43012</v>
      </c>
      <c r="F69" s="6" t="s">
        <v>1606</v>
      </c>
      <c r="G69" s="7" t="s">
        <v>75</v>
      </c>
      <c r="H69" s="7"/>
      <c r="I69" s="33" t="s">
        <v>157</v>
      </c>
      <c r="J69" s="33"/>
      <c r="K69" s="29">
        <v>379184</v>
      </c>
      <c r="L69" s="34" t="s">
        <v>158</v>
      </c>
      <c r="M69" s="10" t="s">
        <v>211</v>
      </c>
      <c r="N69" s="10" t="s">
        <v>212</v>
      </c>
      <c r="O69" s="11" t="s">
        <v>213</v>
      </c>
      <c r="P69" s="12">
        <v>39731</v>
      </c>
      <c r="Q69" s="13">
        <f t="shared" ca="1" si="31"/>
        <v>16.950034223134839</v>
      </c>
      <c r="R69" s="14">
        <v>9</v>
      </c>
      <c r="S69" s="15">
        <v>872</v>
      </c>
      <c r="T69" s="8">
        <v>872</v>
      </c>
      <c r="U69" s="16">
        <v>45017</v>
      </c>
      <c r="V69" s="17">
        <v>1</v>
      </c>
      <c r="W69" s="16">
        <v>45382</v>
      </c>
      <c r="X69" s="14">
        <v>192</v>
      </c>
      <c r="Y69" s="18">
        <f t="shared" si="57"/>
        <v>192</v>
      </c>
      <c r="Z69" s="18">
        <f t="shared" si="55"/>
        <v>1</v>
      </c>
      <c r="AA69" s="18" t="s">
        <v>36</v>
      </c>
      <c r="AB69" s="26">
        <v>29</v>
      </c>
      <c r="AC69" s="26"/>
      <c r="AD69" s="26"/>
      <c r="AE69" s="147" t="str">
        <f t="shared" si="34"/>
        <v>0</v>
      </c>
      <c r="AF69" s="147" t="str">
        <f t="shared" si="35"/>
        <v>1</v>
      </c>
      <c r="AG69" s="147" t="str">
        <f t="shared" si="36"/>
        <v>0</v>
      </c>
      <c r="AH69" s="147" t="str">
        <f t="shared" si="37"/>
        <v>NO</v>
      </c>
      <c r="AI69" s="147" t="str">
        <f t="shared" si="38"/>
        <v>NO</v>
      </c>
      <c r="AJ69" s="147" t="str">
        <f t="shared" si="39"/>
        <v>NO</v>
      </c>
      <c r="AK69" s="147" t="str">
        <f t="shared" si="40"/>
        <v>NO</v>
      </c>
      <c r="AL69" s="21"/>
      <c r="AM69" s="21">
        <f>IF(H69="Y",AL69,((AB69*$O$902)-6000))</f>
        <v>7710.33</v>
      </c>
      <c r="AN69" s="27" t="s">
        <v>56</v>
      </c>
      <c r="AO69" s="21">
        <v>1</v>
      </c>
      <c r="AP69" s="21">
        <f t="shared" si="51"/>
        <v>1</v>
      </c>
      <c r="AQ69" s="149">
        <f t="shared" si="58"/>
        <v>7710.33</v>
      </c>
      <c r="AR69" s="21">
        <v>7710.33</v>
      </c>
      <c r="AS69" s="610">
        <v>7710.33</v>
      </c>
      <c r="AT69" s="112">
        <v>7710.33</v>
      </c>
      <c r="AU69" s="4"/>
      <c r="AV69" s="4"/>
      <c r="AW69" s="23" t="e">
        <f>VLOOKUP(K69,#REF!,8,FALSE)</f>
        <v>#REF!</v>
      </c>
      <c r="AX69" s="23" t="e">
        <f>VLOOKUP(K69,#REF!,8,FALSE)</f>
        <v>#REF!</v>
      </c>
      <c r="AY69" s="23" t="e">
        <f>VLOOKUP(K69,#REF!,8,FALSE)</f>
        <v>#REF!</v>
      </c>
      <c r="AZ69" s="4"/>
      <c r="BA69" s="272"/>
      <c r="BB69" s="318">
        <f t="shared" si="52"/>
        <v>0</v>
      </c>
      <c r="BC69" s="269">
        <f t="shared" si="53"/>
        <v>7710.33</v>
      </c>
      <c r="BD69" t="str">
        <f t="shared" si="54"/>
        <v/>
      </c>
      <c r="BP69" s="166">
        <f t="shared" si="45"/>
        <v>7710.33</v>
      </c>
      <c r="BS69" s="165"/>
      <c r="BX69" s="495">
        <f t="shared" si="46"/>
        <v>7710.33</v>
      </c>
      <c r="BZ69" s="636">
        <f t="shared" si="59"/>
        <v>0</v>
      </c>
      <c r="CA69" s="633">
        <f t="shared" si="60"/>
        <v>0</v>
      </c>
    </row>
    <row r="70" spans="1:79" x14ac:dyDescent="0.2">
      <c r="A70" s="4">
        <v>1</v>
      </c>
      <c r="B70" s="4">
        <v>1</v>
      </c>
      <c r="C70" s="5">
        <f t="shared" si="49"/>
        <v>4001</v>
      </c>
      <c r="D70" s="6">
        <v>4001</v>
      </c>
      <c r="E70" s="121">
        <v>43012</v>
      </c>
      <c r="F70" s="6" t="s">
        <v>1606</v>
      </c>
      <c r="G70" s="7" t="s">
        <v>75</v>
      </c>
      <c r="H70" s="7"/>
      <c r="I70" s="33" t="s">
        <v>157</v>
      </c>
      <c r="J70" s="33"/>
      <c r="K70" s="29">
        <v>445768</v>
      </c>
      <c r="L70" s="34" t="s">
        <v>158</v>
      </c>
      <c r="M70" s="10" t="s">
        <v>214</v>
      </c>
      <c r="N70" s="10" t="s">
        <v>215</v>
      </c>
      <c r="O70" s="11" t="s">
        <v>216</v>
      </c>
      <c r="P70" s="12">
        <v>40017</v>
      </c>
      <c r="Q70" s="13">
        <f t="shared" ca="1" si="31"/>
        <v>16.167008898015059</v>
      </c>
      <c r="R70" s="14">
        <v>9</v>
      </c>
      <c r="S70" s="15">
        <v>872</v>
      </c>
      <c r="T70" s="8">
        <v>872</v>
      </c>
      <c r="U70" s="16">
        <v>45017</v>
      </c>
      <c r="V70" s="17">
        <v>1</v>
      </c>
      <c r="W70" s="16">
        <v>45382</v>
      </c>
      <c r="X70" s="14">
        <v>192</v>
      </c>
      <c r="Y70" s="18">
        <f t="shared" si="57"/>
        <v>192</v>
      </c>
      <c r="Z70" s="18">
        <f t="shared" si="55"/>
        <v>1</v>
      </c>
      <c r="AA70" s="18" t="s">
        <v>36</v>
      </c>
      <c r="AB70" s="26">
        <v>30</v>
      </c>
      <c r="AC70" s="26"/>
      <c r="AD70" s="26"/>
      <c r="AE70" s="147" t="str">
        <f t="shared" si="34"/>
        <v>0</v>
      </c>
      <c r="AF70" s="147" t="str">
        <f t="shared" si="35"/>
        <v>1</v>
      </c>
      <c r="AG70" s="147" t="str">
        <f t="shared" si="36"/>
        <v>0</v>
      </c>
      <c r="AH70" s="147" t="str">
        <f t="shared" si="37"/>
        <v>NO</v>
      </c>
      <c r="AI70" s="147" t="str">
        <f t="shared" si="38"/>
        <v>NO</v>
      </c>
      <c r="AJ70" s="147" t="str">
        <f t="shared" si="39"/>
        <v>NO</v>
      </c>
      <c r="AK70" s="147" t="str">
        <f t="shared" si="40"/>
        <v>NO</v>
      </c>
      <c r="AL70" s="21"/>
      <c r="AM70" s="21">
        <f>IF(H70="Y",AL70,((AB70*$O$902)-6000))</f>
        <v>8183.0999999999985</v>
      </c>
      <c r="AN70" s="27" t="s">
        <v>43</v>
      </c>
      <c r="AO70" s="21">
        <v>1</v>
      </c>
      <c r="AP70" s="21">
        <f t="shared" si="51"/>
        <v>1</v>
      </c>
      <c r="AQ70" s="149">
        <f t="shared" si="58"/>
        <v>8183.0999999999985</v>
      </c>
      <c r="AR70" s="21">
        <v>8183.0999999999985</v>
      </c>
      <c r="AS70" s="610">
        <v>0</v>
      </c>
      <c r="AT70" s="112">
        <v>8183.0999999999985</v>
      </c>
      <c r="AU70" s="4"/>
      <c r="AV70" s="4"/>
      <c r="AW70" s="23" t="e">
        <f>VLOOKUP(K70,#REF!,8,FALSE)</f>
        <v>#REF!</v>
      </c>
      <c r="AX70" s="23" t="e">
        <f>VLOOKUP(K70,#REF!,8,FALSE)</f>
        <v>#REF!</v>
      </c>
      <c r="AY70" s="23" t="e">
        <f>VLOOKUP(K70,#REF!,8,FALSE)</f>
        <v>#REF!</v>
      </c>
      <c r="AZ70" s="4"/>
      <c r="BA70" s="272"/>
      <c r="BB70" s="318">
        <f t="shared" si="52"/>
        <v>0</v>
      </c>
      <c r="BC70" s="269">
        <f t="shared" si="53"/>
        <v>8183.0999999999985</v>
      </c>
      <c r="BD70" t="str">
        <f t="shared" si="54"/>
        <v/>
      </c>
      <c r="BP70" s="166">
        <f t="shared" si="45"/>
        <v>8183.0999999999985</v>
      </c>
      <c r="BS70" s="165"/>
      <c r="BX70" s="495">
        <f t="shared" si="46"/>
        <v>8183.0999999999985</v>
      </c>
      <c r="BZ70" s="636">
        <f t="shared" si="59"/>
        <v>0</v>
      </c>
      <c r="CA70" s="633">
        <f t="shared" si="60"/>
        <v>8183.0999999999985</v>
      </c>
    </row>
    <row r="71" spans="1:79" x14ac:dyDescent="0.2">
      <c r="A71" s="4">
        <v>1</v>
      </c>
      <c r="B71" s="4">
        <v>1</v>
      </c>
      <c r="C71" s="5">
        <f t="shared" si="49"/>
        <v>4001</v>
      </c>
      <c r="D71" s="6">
        <v>4001</v>
      </c>
      <c r="E71" s="121">
        <v>43012</v>
      </c>
      <c r="F71" s="6" t="s">
        <v>1606</v>
      </c>
      <c r="G71" s="7" t="s">
        <v>75</v>
      </c>
      <c r="H71" s="33"/>
      <c r="I71" s="33" t="s">
        <v>157</v>
      </c>
      <c r="J71" s="33"/>
      <c r="K71" s="29">
        <v>369045</v>
      </c>
      <c r="L71" s="34" t="s">
        <v>158</v>
      </c>
      <c r="M71" s="10" t="s">
        <v>217</v>
      </c>
      <c r="N71" s="10" t="s">
        <v>218</v>
      </c>
      <c r="O71" s="11" t="s">
        <v>219</v>
      </c>
      <c r="P71" s="12">
        <v>39133</v>
      </c>
      <c r="Q71" s="13">
        <f t="shared" ca="1" si="31"/>
        <v>18.587268993839835</v>
      </c>
      <c r="R71" s="14">
        <v>11</v>
      </c>
      <c r="S71" s="15">
        <v>872</v>
      </c>
      <c r="T71" s="8">
        <v>872</v>
      </c>
      <c r="U71" s="16">
        <v>45017</v>
      </c>
      <c r="V71" s="17">
        <v>1</v>
      </c>
      <c r="W71" s="16">
        <v>45128</v>
      </c>
      <c r="X71" s="14">
        <v>63</v>
      </c>
      <c r="Y71" s="18">
        <f t="shared" si="57"/>
        <v>63</v>
      </c>
      <c r="Z71" s="18">
        <f t="shared" si="55"/>
        <v>0.328125</v>
      </c>
      <c r="AA71" s="16" t="s">
        <v>166</v>
      </c>
      <c r="AB71" s="26">
        <v>29</v>
      </c>
      <c r="AC71" s="26"/>
      <c r="AD71" s="26"/>
      <c r="AE71" s="147" t="str">
        <f t="shared" si="34"/>
        <v>0</v>
      </c>
      <c r="AF71" s="147" t="str">
        <f t="shared" si="35"/>
        <v>1</v>
      </c>
      <c r="AG71" s="147" t="str">
        <f t="shared" si="36"/>
        <v>0</v>
      </c>
      <c r="AH71" s="147" t="str">
        <f t="shared" si="37"/>
        <v>NO</v>
      </c>
      <c r="AI71" s="147" t="str">
        <f t="shared" si="38"/>
        <v>NO</v>
      </c>
      <c r="AJ71" s="147" t="str">
        <f t="shared" si="39"/>
        <v>NO</v>
      </c>
      <c r="AK71" s="147" t="str">
        <f t="shared" si="40"/>
        <v>NO</v>
      </c>
      <c r="AL71" s="21"/>
      <c r="AM71" s="21">
        <f>IF(H71="Y",AL71,((AB71*$O$902)-6000))</f>
        <v>7710.33</v>
      </c>
      <c r="AN71" s="22" t="s">
        <v>52</v>
      </c>
      <c r="AO71" s="21">
        <v>1</v>
      </c>
      <c r="AP71" s="21">
        <f t="shared" si="51"/>
        <v>0.328125</v>
      </c>
      <c r="AQ71" s="149">
        <f t="shared" si="58"/>
        <v>2529.9520312499999</v>
      </c>
      <c r="AR71" s="21">
        <v>2529.9520312499999</v>
      </c>
      <c r="AS71" s="610">
        <v>2529.9520312499999</v>
      </c>
      <c r="AT71" s="112">
        <v>2529.9520312499999</v>
      </c>
      <c r="AU71" s="4"/>
      <c r="AV71" s="4"/>
      <c r="AW71" s="23" t="e">
        <f>VLOOKUP(K71,#REF!,8,FALSE)</f>
        <v>#REF!</v>
      </c>
      <c r="AX71" s="23" t="e">
        <f>VLOOKUP(K71,#REF!,8,FALSE)</f>
        <v>#REF!</v>
      </c>
      <c r="AY71" s="266" t="s">
        <v>2233</v>
      </c>
      <c r="AZ71" s="268" t="s">
        <v>75</v>
      </c>
      <c r="BA71" s="274">
        <f>AM71/3*2</f>
        <v>5140.22</v>
      </c>
      <c r="BB71" s="318">
        <f t="shared" si="52"/>
        <v>0</v>
      </c>
      <c r="BC71" s="269">
        <f t="shared" si="53"/>
        <v>2529.9520312499999</v>
      </c>
      <c r="BD71" t="e">
        <f t="shared" si="54"/>
        <v>#REF!</v>
      </c>
      <c r="BE71" t="s">
        <v>2351</v>
      </c>
      <c r="BI71" t="e">
        <f>VLOOKUP(K71,#REF!,8,FALSE)</f>
        <v>#REF!</v>
      </c>
      <c r="BK71" s="269"/>
      <c r="BN71" s="353" t="s">
        <v>75</v>
      </c>
      <c r="BO71" s="106"/>
      <c r="BP71" s="166">
        <f t="shared" si="45"/>
        <v>2529.9520312499999</v>
      </c>
      <c r="BQ71" t="s">
        <v>2351</v>
      </c>
      <c r="BS71" s="165"/>
      <c r="BX71" s="495">
        <f t="shared" si="46"/>
        <v>2529.9520312499999</v>
      </c>
      <c r="BZ71" s="636">
        <f t="shared" si="59"/>
        <v>0</v>
      </c>
      <c r="CA71" s="633">
        <f t="shared" si="60"/>
        <v>0</v>
      </c>
    </row>
    <row r="72" spans="1:79" x14ac:dyDescent="0.2">
      <c r="A72" s="4">
        <v>0</v>
      </c>
      <c r="B72" s="4">
        <v>1</v>
      </c>
      <c r="C72" s="5">
        <f t="shared" si="49"/>
        <v>4001</v>
      </c>
      <c r="D72" s="6">
        <v>4001</v>
      </c>
      <c r="E72" s="121">
        <v>43012</v>
      </c>
      <c r="F72" s="6" t="s">
        <v>1606</v>
      </c>
      <c r="G72" s="7" t="s">
        <v>75</v>
      </c>
      <c r="H72" s="33"/>
      <c r="I72" s="33" t="s">
        <v>157</v>
      </c>
      <c r="J72" s="33" t="s">
        <v>192</v>
      </c>
      <c r="K72" s="28">
        <v>369045</v>
      </c>
      <c r="L72" s="34" t="s">
        <v>158</v>
      </c>
      <c r="M72" s="10" t="s">
        <v>217</v>
      </c>
      <c r="N72" s="10" t="s">
        <v>218</v>
      </c>
      <c r="O72" s="11" t="s">
        <v>219</v>
      </c>
      <c r="P72" s="12">
        <v>39133</v>
      </c>
      <c r="Q72" s="13">
        <f t="shared" ca="1" si="31"/>
        <v>18.587268993839835</v>
      </c>
      <c r="R72" s="14">
        <v>11</v>
      </c>
      <c r="S72" s="15">
        <v>872</v>
      </c>
      <c r="T72" s="8">
        <v>872</v>
      </c>
      <c r="U72" s="16">
        <v>45017</v>
      </c>
      <c r="V72" s="17">
        <v>1</v>
      </c>
      <c r="W72" s="16">
        <v>45017</v>
      </c>
      <c r="X72" s="14">
        <v>0</v>
      </c>
      <c r="Y72" s="18">
        <f t="shared" si="57"/>
        <v>0</v>
      </c>
      <c r="Z72" s="18">
        <f t="shared" si="55"/>
        <v>0</v>
      </c>
      <c r="AA72" s="16" t="s">
        <v>166</v>
      </c>
      <c r="AB72" s="26">
        <v>14659.04</v>
      </c>
      <c r="AC72" s="26"/>
      <c r="AD72" s="26"/>
      <c r="AE72" s="147" t="str">
        <f t="shared" si="34"/>
        <v>0</v>
      </c>
      <c r="AF72" s="147" t="str">
        <f t="shared" si="35"/>
        <v>0</v>
      </c>
      <c r="AG72" s="147" t="str">
        <f t="shared" si="36"/>
        <v>1</v>
      </c>
      <c r="AH72" s="147" t="str">
        <f t="shared" si="37"/>
        <v>NO</v>
      </c>
      <c r="AI72" s="147" t="str">
        <f t="shared" si="38"/>
        <v>NO</v>
      </c>
      <c r="AJ72" s="147" t="str">
        <f t="shared" si="39"/>
        <v>NO</v>
      </c>
      <c r="AK72" s="147" t="str">
        <f t="shared" si="40"/>
        <v>NO</v>
      </c>
      <c r="AL72" s="21"/>
      <c r="AM72" s="21">
        <v>14659.04</v>
      </c>
      <c r="AN72" s="22" t="s">
        <v>81</v>
      </c>
      <c r="AO72" s="21">
        <v>1</v>
      </c>
      <c r="AP72" s="21">
        <f t="shared" si="51"/>
        <v>0</v>
      </c>
      <c r="AQ72" s="149">
        <f t="shared" si="58"/>
        <v>0</v>
      </c>
      <c r="AR72" s="21">
        <v>0</v>
      </c>
      <c r="AS72" s="610">
        <v>4809.9975000000004</v>
      </c>
      <c r="AT72" s="112">
        <v>0</v>
      </c>
      <c r="AU72" s="4"/>
      <c r="AV72" s="4"/>
      <c r="AW72" s="23" t="e">
        <f>VLOOKUP(K72,#REF!,8,FALSE)</f>
        <v>#REF!</v>
      </c>
      <c r="AX72" s="23" t="e">
        <f>VLOOKUP(K72,#REF!,8,FALSE)</f>
        <v>#REF!</v>
      </c>
      <c r="AY72" s="23" t="e">
        <f>VLOOKUP(K72,#REF!,8,FALSE)</f>
        <v>#REF!</v>
      </c>
      <c r="AZ72" s="4"/>
      <c r="BA72" s="272"/>
      <c r="BB72" s="318">
        <f t="shared" si="52"/>
        <v>0</v>
      </c>
      <c r="BC72" s="269">
        <f t="shared" si="53"/>
        <v>0</v>
      </c>
      <c r="BD72" t="e">
        <f t="shared" si="54"/>
        <v>#REF!</v>
      </c>
      <c r="BE72" t="s">
        <v>2351</v>
      </c>
      <c r="BI72" t="e">
        <f>VLOOKUP(K72,#REF!,8,FALSE)</f>
        <v>#REF!</v>
      </c>
      <c r="BN72" s="108" t="s">
        <v>75</v>
      </c>
      <c r="BP72" s="166">
        <f t="shared" si="45"/>
        <v>0</v>
      </c>
      <c r="BQ72" t="s">
        <v>2351</v>
      </c>
      <c r="BS72" s="165"/>
      <c r="BX72" s="495">
        <f t="shared" si="46"/>
        <v>0</v>
      </c>
      <c r="BZ72" s="636">
        <f t="shared" si="59"/>
        <v>0</v>
      </c>
      <c r="CA72" s="633">
        <f t="shared" si="60"/>
        <v>-4809.9975000000004</v>
      </c>
    </row>
    <row r="73" spans="1:79" x14ac:dyDescent="0.2">
      <c r="A73" s="4">
        <v>0</v>
      </c>
      <c r="B73" s="4">
        <v>1</v>
      </c>
      <c r="C73" s="5">
        <f t="shared" si="49"/>
        <v>4001</v>
      </c>
      <c r="D73" s="6">
        <v>4001</v>
      </c>
      <c r="E73" s="121">
        <v>43012</v>
      </c>
      <c r="F73" s="6" t="s">
        <v>1606</v>
      </c>
      <c r="G73" s="7" t="s">
        <v>75</v>
      </c>
      <c r="H73" s="33"/>
      <c r="I73" s="33" t="s">
        <v>157</v>
      </c>
      <c r="J73" s="33" t="s">
        <v>142</v>
      </c>
      <c r="K73" s="28">
        <v>369045</v>
      </c>
      <c r="L73" s="34" t="s">
        <v>158</v>
      </c>
      <c r="M73" s="10" t="s">
        <v>217</v>
      </c>
      <c r="N73" s="10" t="s">
        <v>218</v>
      </c>
      <c r="O73" s="11" t="s">
        <v>219</v>
      </c>
      <c r="P73" s="12">
        <v>39133</v>
      </c>
      <c r="Q73" s="13">
        <f t="shared" ca="1" si="31"/>
        <v>18.587268993839835</v>
      </c>
      <c r="R73" s="14">
        <v>11</v>
      </c>
      <c r="S73" s="15">
        <v>872</v>
      </c>
      <c r="T73" s="8">
        <v>872</v>
      </c>
      <c r="U73" s="16">
        <v>45017</v>
      </c>
      <c r="V73" s="17">
        <v>1</v>
      </c>
      <c r="W73" s="16">
        <v>45130</v>
      </c>
      <c r="X73" s="14">
        <v>63</v>
      </c>
      <c r="Y73" s="18">
        <f t="shared" si="57"/>
        <v>63</v>
      </c>
      <c r="Z73" s="18">
        <f t="shared" si="55"/>
        <v>0.328125</v>
      </c>
      <c r="AA73" s="16" t="s">
        <v>166</v>
      </c>
      <c r="AB73" s="26">
        <v>1140</v>
      </c>
      <c r="AC73" s="26"/>
      <c r="AD73" s="26"/>
      <c r="AE73" s="147" t="str">
        <f t="shared" si="34"/>
        <v>0</v>
      </c>
      <c r="AF73" s="147" t="str">
        <f t="shared" si="35"/>
        <v>0</v>
      </c>
      <c r="AG73" s="147" t="str">
        <f t="shared" si="36"/>
        <v>1</v>
      </c>
      <c r="AH73" s="147" t="str">
        <f t="shared" si="37"/>
        <v>NO</v>
      </c>
      <c r="AI73" s="147" t="str">
        <f t="shared" si="38"/>
        <v>NO</v>
      </c>
      <c r="AJ73" s="147" t="str">
        <f t="shared" si="39"/>
        <v>NO</v>
      </c>
      <c r="AK73" s="147" t="str">
        <f t="shared" si="40"/>
        <v>NO</v>
      </c>
      <c r="AL73" s="21"/>
      <c r="AM73" s="21">
        <f>AB73</f>
        <v>1140</v>
      </c>
      <c r="AN73" s="22" t="s">
        <v>81</v>
      </c>
      <c r="AO73" s="21">
        <v>1</v>
      </c>
      <c r="AP73" s="21">
        <f t="shared" si="51"/>
        <v>0.328125</v>
      </c>
      <c r="AQ73" s="149">
        <v>1140</v>
      </c>
      <c r="AR73" s="21">
        <v>1140</v>
      </c>
      <c r="AS73" s="610">
        <v>0</v>
      </c>
      <c r="AT73" s="112">
        <v>0</v>
      </c>
      <c r="AU73" s="4"/>
      <c r="AV73" s="4"/>
      <c r="AW73" s="23" t="e">
        <f>VLOOKUP(K73,#REF!,8,FALSE)</f>
        <v>#REF!</v>
      </c>
      <c r="AX73" s="23" t="e">
        <f>VLOOKUP(K73,#REF!,8,FALSE)</f>
        <v>#REF!</v>
      </c>
      <c r="AY73" s="23" t="e">
        <f>VLOOKUP(K73,#REF!,8,FALSE)</f>
        <v>#REF!</v>
      </c>
      <c r="AZ73" s="4"/>
      <c r="BA73" s="272"/>
      <c r="BB73" s="318">
        <f t="shared" si="52"/>
        <v>1140</v>
      </c>
      <c r="BC73" s="269">
        <f t="shared" si="53"/>
        <v>1140</v>
      </c>
      <c r="BD73" t="e">
        <f t="shared" si="54"/>
        <v>#REF!</v>
      </c>
      <c r="BE73" t="s">
        <v>2351</v>
      </c>
      <c r="BI73" t="e">
        <f>VLOOKUP(K73,#REF!,8,FALSE)</f>
        <v>#REF!</v>
      </c>
      <c r="BK73" s="269"/>
      <c r="BN73" s="353" t="s">
        <v>75</v>
      </c>
      <c r="BO73" s="106"/>
      <c r="BP73" s="166">
        <f t="shared" si="45"/>
        <v>1140</v>
      </c>
      <c r="BQ73" t="s">
        <v>2351</v>
      </c>
      <c r="BS73" s="165"/>
      <c r="BX73" s="495">
        <f t="shared" si="46"/>
        <v>1140</v>
      </c>
      <c r="BZ73" s="636">
        <f t="shared" si="59"/>
        <v>0</v>
      </c>
      <c r="CA73" s="633">
        <f t="shared" si="60"/>
        <v>1140</v>
      </c>
    </row>
    <row r="74" spans="1:79" x14ac:dyDescent="0.2">
      <c r="A74" s="4">
        <v>1</v>
      </c>
      <c r="B74" s="4">
        <v>1</v>
      </c>
      <c r="C74" s="5">
        <f t="shared" si="49"/>
        <v>4001</v>
      </c>
      <c r="D74" s="6">
        <v>4001</v>
      </c>
      <c r="E74" s="121">
        <v>43012</v>
      </c>
      <c r="F74" s="6" t="s">
        <v>1606</v>
      </c>
      <c r="G74" s="7" t="s">
        <v>75</v>
      </c>
      <c r="H74" s="33"/>
      <c r="I74" s="33" t="s">
        <v>157</v>
      </c>
      <c r="J74" s="33"/>
      <c r="K74" s="29">
        <v>410725</v>
      </c>
      <c r="L74" s="34" t="s">
        <v>158</v>
      </c>
      <c r="M74" s="10" t="s">
        <v>220</v>
      </c>
      <c r="N74" s="10" t="s">
        <v>221</v>
      </c>
      <c r="O74" s="11" t="s">
        <v>222</v>
      </c>
      <c r="P74" s="12">
        <v>40759</v>
      </c>
      <c r="Q74" s="13">
        <f t="shared" ca="1" si="31"/>
        <v>14.13552361396304</v>
      </c>
      <c r="R74" s="14">
        <v>7</v>
      </c>
      <c r="S74" s="15">
        <v>872</v>
      </c>
      <c r="T74" s="8">
        <v>872</v>
      </c>
      <c r="U74" s="16">
        <v>45017</v>
      </c>
      <c r="V74" s="17">
        <v>1</v>
      </c>
      <c r="W74" s="16">
        <v>45382</v>
      </c>
      <c r="X74" s="14">
        <v>192</v>
      </c>
      <c r="Y74" s="18">
        <f t="shared" si="57"/>
        <v>192</v>
      </c>
      <c r="Z74" s="18">
        <f t="shared" si="55"/>
        <v>1</v>
      </c>
      <c r="AA74" s="18" t="s">
        <v>36</v>
      </c>
      <c r="AB74" s="26">
        <v>30</v>
      </c>
      <c r="AC74" s="26"/>
      <c r="AD74" s="26"/>
      <c r="AE74" s="147" t="str">
        <f t="shared" si="34"/>
        <v>0</v>
      </c>
      <c r="AF74" s="147" t="str">
        <f t="shared" si="35"/>
        <v>1</v>
      </c>
      <c r="AG74" s="147" t="str">
        <f t="shared" si="36"/>
        <v>0</v>
      </c>
      <c r="AH74" s="147" t="str">
        <f t="shared" si="37"/>
        <v>NO</v>
      </c>
      <c r="AI74" s="147" t="str">
        <f t="shared" si="38"/>
        <v>NO</v>
      </c>
      <c r="AJ74" s="147" t="str">
        <f t="shared" si="39"/>
        <v>NO</v>
      </c>
      <c r="AK74" s="147" t="str">
        <f t="shared" si="40"/>
        <v>NO</v>
      </c>
      <c r="AL74" s="21"/>
      <c r="AM74" s="21">
        <f>IF(H74="Y",AL74,((AB74*$O$902)-6000))</f>
        <v>8183.0999999999985</v>
      </c>
      <c r="AN74" s="22" t="s">
        <v>81</v>
      </c>
      <c r="AO74" s="21">
        <v>1</v>
      </c>
      <c r="AP74" s="21">
        <f t="shared" si="51"/>
        <v>1</v>
      </c>
      <c r="AQ74" s="149">
        <f t="shared" ref="AQ74:AQ105" si="61">AP74*AM74</f>
        <v>8183.0999999999985</v>
      </c>
      <c r="AR74" s="21">
        <v>8183.0999999999985</v>
      </c>
      <c r="AS74" s="610">
        <v>8183.0999999999985</v>
      </c>
      <c r="AT74" s="112">
        <v>8183.0999999999985</v>
      </c>
      <c r="AU74" s="4"/>
      <c r="AV74" s="4"/>
      <c r="AW74" s="23" t="e">
        <f>VLOOKUP(K74,#REF!,8,FALSE)</f>
        <v>#REF!</v>
      </c>
      <c r="AX74" s="23" t="e">
        <f>VLOOKUP(K74,#REF!,8,FALSE)</f>
        <v>#REF!</v>
      </c>
      <c r="AY74" s="23" t="e">
        <f>VLOOKUP(K74,#REF!,8,FALSE)</f>
        <v>#REF!</v>
      </c>
      <c r="AZ74" s="4"/>
      <c r="BA74" s="272"/>
      <c r="BB74" s="318">
        <f t="shared" si="52"/>
        <v>0</v>
      </c>
      <c r="BC74" s="269">
        <f t="shared" si="53"/>
        <v>8183.0999999999985</v>
      </c>
      <c r="BD74" t="str">
        <f t="shared" si="54"/>
        <v/>
      </c>
      <c r="BP74" s="166">
        <f t="shared" si="45"/>
        <v>8183.0999999999985</v>
      </c>
      <c r="BS74" s="165"/>
      <c r="BX74" s="495">
        <f t="shared" si="46"/>
        <v>8183.0999999999985</v>
      </c>
      <c r="BZ74" s="636">
        <f t="shared" si="59"/>
        <v>0</v>
      </c>
      <c r="CA74" s="633">
        <f t="shared" si="60"/>
        <v>0</v>
      </c>
    </row>
    <row r="75" spans="1:79" x14ac:dyDescent="0.2">
      <c r="A75" s="4">
        <v>1</v>
      </c>
      <c r="B75" s="4">
        <v>1</v>
      </c>
      <c r="C75" s="5">
        <f t="shared" si="49"/>
        <v>4001</v>
      </c>
      <c r="D75" s="6">
        <v>4001</v>
      </c>
      <c r="E75" s="121">
        <v>43012</v>
      </c>
      <c r="F75" s="6" t="s">
        <v>1606</v>
      </c>
      <c r="G75" s="7" t="s">
        <v>75</v>
      </c>
      <c r="H75" s="33"/>
      <c r="I75" s="33" t="s">
        <v>157</v>
      </c>
      <c r="J75" s="33"/>
      <c r="K75" s="29">
        <v>374908</v>
      </c>
      <c r="L75" s="34" t="s">
        <v>158</v>
      </c>
      <c r="M75" s="10" t="s">
        <v>2287</v>
      </c>
      <c r="N75" s="10" t="s">
        <v>1245</v>
      </c>
      <c r="O75" s="11" t="s">
        <v>2288</v>
      </c>
      <c r="P75" s="12">
        <v>39569</v>
      </c>
      <c r="Q75" s="13">
        <f t="shared" ca="1" si="31"/>
        <v>17.393566050650239</v>
      </c>
      <c r="R75" s="14">
        <v>10</v>
      </c>
      <c r="S75" s="15">
        <v>872</v>
      </c>
      <c r="T75" s="8">
        <v>872</v>
      </c>
      <c r="U75" s="16">
        <v>45072</v>
      </c>
      <c r="V75" s="17">
        <v>29</v>
      </c>
      <c r="W75" s="16">
        <v>45382</v>
      </c>
      <c r="X75" s="14">
        <v>192</v>
      </c>
      <c r="Y75" s="18">
        <f t="shared" si="57"/>
        <v>164</v>
      </c>
      <c r="Z75" s="18">
        <f t="shared" si="55"/>
        <v>0.85416666666666663</v>
      </c>
      <c r="AA75" s="18" t="s">
        <v>36</v>
      </c>
      <c r="AB75" s="26">
        <v>30</v>
      </c>
      <c r="AC75" s="26"/>
      <c r="AD75" s="26"/>
      <c r="AE75" s="147" t="str">
        <f t="shared" si="34"/>
        <v>0</v>
      </c>
      <c r="AF75" s="147" t="str">
        <f t="shared" si="35"/>
        <v>1</v>
      </c>
      <c r="AG75" s="147" t="str">
        <f t="shared" si="36"/>
        <v>0</v>
      </c>
      <c r="AH75" s="147" t="str">
        <f t="shared" si="37"/>
        <v>NO</v>
      </c>
      <c r="AI75" s="147" t="str">
        <f t="shared" si="38"/>
        <v>NO</v>
      </c>
      <c r="AJ75" s="147" t="str">
        <f t="shared" si="39"/>
        <v>NO</v>
      </c>
      <c r="AK75" s="147" t="str">
        <f t="shared" si="40"/>
        <v>NO</v>
      </c>
      <c r="AL75" s="21"/>
      <c r="AM75" s="21">
        <f>IF(H75="Y",AL75,((AB75*$O$902)-6000))</f>
        <v>8183.0999999999985</v>
      </c>
      <c r="AN75" s="22" t="s">
        <v>56</v>
      </c>
      <c r="AO75" s="21">
        <v>1</v>
      </c>
      <c r="AP75" s="21">
        <f t="shared" si="51"/>
        <v>0.85416666666666663</v>
      </c>
      <c r="AQ75" s="149">
        <f t="shared" si="61"/>
        <v>6989.7312499999989</v>
      </c>
      <c r="AR75" s="21">
        <v>6989.7312499999989</v>
      </c>
      <c r="AS75" s="610">
        <v>0</v>
      </c>
      <c r="AT75" s="112">
        <v>0</v>
      </c>
      <c r="AU75" s="4"/>
      <c r="AV75" s="4"/>
      <c r="AW75" s="23"/>
      <c r="AX75" s="23"/>
      <c r="AY75" s="23"/>
      <c r="AZ75" s="4"/>
      <c r="BA75" s="272"/>
      <c r="BB75" s="318">
        <f t="shared" si="52"/>
        <v>6989.7312499999989</v>
      </c>
      <c r="BC75" s="269">
        <f t="shared" si="53"/>
        <v>6989.7312499999989</v>
      </c>
      <c r="BD75" t="str">
        <f t="shared" si="54"/>
        <v/>
      </c>
      <c r="BP75" s="166">
        <f t="shared" si="45"/>
        <v>6989.7312499999989</v>
      </c>
      <c r="BS75" s="165"/>
      <c r="BX75" s="495">
        <f t="shared" si="46"/>
        <v>6989.7312499999989</v>
      </c>
      <c r="BZ75" s="636">
        <f t="shared" si="59"/>
        <v>0</v>
      </c>
      <c r="CA75" s="633">
        <f t="shared" si="60"/>
        <v>6989.7312499999989</v>
      </c>
    </row>
    <row r="76" spans="1:79" x14ac:dyDescent="0.2">
      <c r="A76" s="4">
        <v>1</v>
      </c>
      <c r="B76" s="4">
        <v>1</v>
      </c>
      <c r="C76" s="5">
        <f t="shared" si="49"/>
        <v>4001</v>
      </c>
      <c r="D76" s="6">
        <v>4001</v>
      </c>
      <c r="E76" s="121">
        <v>43012</v>
      </c>
      <c r="F76" s="6" t="s">
        <v>1606</v>
      </c>
      <c r="G76" s="7" t="s">
        <v>75</v>
      </c>
      <c r="H76" s="33"/>
      <c r="I76" s="33" t="s">
        <v>157</v>
      </c>
      <c r="J76" s="33"/>
      <c r="K76" s="29">
        <v>418824</v>
      </c>
      <c r="L76" s="34" t="s">
        <v>158</v>
      </c>
      <c r="M76" s="10" t="s">
        <v>223</v>
      </c>
      <c r="N76" s="10" t="s">
        <v>224</v>
      </c>
      <c r="O76" s="11" t="s">
        <v>225</v>
      </c>
      <c r="P76" s="12">
        <v>39552</v>
      </c>
      <c r="Q76" s="13">
        <f t="shared" ca="1" si="31"/>
        <v>17.440109514031484</v>
      </c>
      <c r="R76" s="14">
        <v>10</v>
      </c>
      <c r="S76" s="15">
        <v>872</v>
      </c>
      <c r="T76" s="8">
        <v>872</v>
      </c>
      <c r="U76" s="16">
        <v>45017</v>
      </c>
      <c r="V76" s="17">
        <v>1</v>
      </c>
      <c r="W76" s="16">
        <v>45382</v>
      </c>
      <c r="X76" s="14">
        <v>192</v>
      </c>
      <c r="Y76" s="18">
        <f t="shared" si="57"/>
        <v>192</v>
      </c>
      <c r="Z76" s="18">
        <f t="shared" si="55"/>
        <v>1</v>
      </c>
      <c r="AA76" s="18" t="s">
        <v>36</v>
      </c>
      <c r="AB76" s="26">
        <v>26</v>
      </c>
      <c r="AC76" s="26"/>
      <c r="AD76" s="26"/>
      <c r="AE76" s="147" t="str">
        <f t="shared" si="34"/>
        <v>0</v>
      </c>
      <c r="AF76" s="147" t="str">
        <f t="shared" si="35"/>
        <v>1</v>
      </c>
      <c r="AG76" s="147" t="str">
        <f t="shared" si="36"/>
        <v>0</v>
      </c>
      <c r="AH76" s="147" t="str">
        <f t="shared" si="37"/>
        <v>NO</v>
      </c>
      <c r="AI76" s="147" t="str">
        <f t="shared" si="38"/>
        <v>NO</v>
      </c>
      <c r="AJ76" s="147" t="str">
        <f t="shared" si="39"/>
        <v>NO</v>
      </c>
      <c r="AK76" s="147" t="str">
        <f t="shared" si="40"/>
        <v>NO</v>
      </c>
      <c r="AL76" s="21"/>
      <c r="AM76" s="21">
        <f>IF(H76="Y",AL76,((AB76*$O$902)-6000))</f>
        <v>6292.02</v>
      </c>
      <c r="AN76" s="27" t="s">
        <v>56</v>
      </c>
      <c r="AO76" s="21">
        <v>1</v>
      </c>
      <c r="AP76" s="21">
        <f t="shared" ref="AP76:AP107" si="62">AO76*Z76</f>
        <v>1</v>
      </c>
      <c r="AQ76" s="149">
        <f t="shared" si="61"/>
        <v>6292.02</v>
      </c>
      <c r="AR76" s="21">
        <v>6292.02</v>
      </c>
      <c r="AS76" s="610">
        <v>6292.02</v>
      </c>
      <c r="AT76" s="112">
        <v>6292.02</v>
      </c>
      <c r="AU76" s="4"/>
      <c r="AV76" s="4"/>
      <c r="AW76" s="23" t="e">
        <f>VLOOKUP(K76,#REF!,8,FALSE)</f>
        <v>#REF!</v>
      </c>
      <c r="AX76" s="23" t="e">
        <f>VLOOKUP(K76,#REF!,8,FALSE)</f>
        <v>#REF!</v>
      </c>
      <c r="AY76" s="23" t="e">
        <f>VLOOKUP(K76,#REF!,8,FALSE)</f>
        <v>#REF!</v>
      </c>
      <c r="AZ76" s="4"/>
      <c r="BA76" s="272"/>
      <c r="BB76" s="318">
        <f t="shared" ref="BB76:BB107" si="63">BC76-AT76</f>
        <v>0</v>
      </c>
      <c r="BC76" s="269">
        <f t="shared" si="53"/>
        <v>6292.02</v>
      </c>
      <c r="BD76" t="str">
        <f t="shared" ref="BD76:BD93" si="64">BG76&amp;BH76&amp;BI76</f>
        <v/>
      </c>
      <c r="BP76" s="166">
        <f t="shared" si="45"/>
        <v>6292.02</v>
      </c>
      <c r="BS76" s="165"/>
      <c r="BX76" s="495">
        <f t="shared" si="46"/>
        <v>6292.02</v>
      </c>
      <c r="BZ76" s="636">
        <f t="shared" si="59"/>
        <v>0</v>
      </c>
      <c r="CA76" s="633">
        <f t="shared" si="60"/>
        <v>0</v>
      </c>
    </row>
    <row r="77" spans="1:79" x14ac:dyDescent="0.2">
      <c r="A77" s="4">
        <v>1</v>
      </c>
      <c r="B77" s="4">
        <v>1</v>
      </c>
      <c r="C77" s="5">
        <f t="shared" si="49"/>
        <v>4001</v>
      </c>
      <c r="D77" s="6">
        <v>4001</v>
      </c>
      <c r="E77" s="121">
        <v>43012</v>
      </c>
      <c r="F77" s="6" t="s">
        <v>1606</v>
      </c>
      <c r="G77" s="7" t="s">
        <v>75</v>
      </c>
      <c r="H77" s="33"/>
      <c r="I77" s="33" t="s">
        <v>157</v>
      </c>
      <c r="J77" s="33"/>
      <c r="K77" s="29">
        <v>371226</v>
      </c>
      <c r="L77" s="34" t="s">
        <v>158</v>
      </c>
      <c r="M77" s="10" t="s">
        <v>226</v>
      </c>
      <c r="N77" s="10" t="s">
        <v>227</v>
      </c>
      <c r="O77" s="11" t="s">
        <v>228</v>
      </c>
      <c r="P77" s="12">
        <v>39287</v>
      </c>
      <c r="Q77" s="13">
        <f t="shared" ca="1" si="31"/>
        <v>18.165639972621491</v>
      </c>
      <c r="R77" s="14">
        <v>11</v>
      </c>
      <c r="S77" s="15">
        <v>872</v>
      </c>
      <c r="T77" s="8">
        <v>872</v>
      </c>
      <c r="U77" s="16">
        <v>45017</v>
      </c>
      <c r="V77" s="17">
        <v>1</v>
      </c>
      <c r="W77" s="16">
        <v>45128</v>
      </c>
      <c r="X77" s="14">
        <v>63</v>
      </c>
      <c r="Y77" s="18">
        <f t="shared" si="57"/>
        <v>63</v>
      </c>
      <c r="Z77" s="18">
        <f t="shared" si="55"/>
        <v>0.328125</v>
      </c>
      <c r="AA77" s="16" t="s">
        <v>166</v>
      </c>
      <c r="AB77" s="26">
        <v>27</v>
      </c>
      <c r="AC77" s="26"/>
      <c r="AD77" s="26"/>
      <c r="AE77" s="147" t="str">
        <f t="shared" si="34"/>
        <v>0</v>
      </c>
      <c r="AF77" s="147" t="str">
        <f t="shared" si="35"/>
        <v>1</v>
      </c>
      <c r="AG77" s="147" t="str">
        <f t="shared" si="36"/>
        <v>0</v>
      </c>
      <c r="AH77" s="147" t="str">
        <f t="shared" si="37"/>
        <v>NO</v>
      </c>
      <c r="AI77" s="147" t="str">
        <f t="shared" si="38"/>
        <v>NO</v>
      </c>
      <c r="AJ77" s="147" t="str">
        <f t="shared" si="39"/>
        <v>NO</v>
      </c>
      <c r="AK77" s="147" t="str">
        <f t="shared" si="40"/>
        <v>NO</v>
      </c>
      <c r="AL77" s="21"/>
      <c r="AM77" s="21">
        <f>IF(H77="Y",AL77,((AB77*$O$902)-6000))</f>
        <v>6764.7899999999991</v>
      </c>
      <c r="AN77" s="27" t="s">
        <v>56</v>
      </c>
      <c r="AO77" s="21">
        <v>1</v>
      </c>
      <c r="AP77" s="21">
        <f t="shared" si="62"/>
        <v>0.328125</v>
      </c>
      <c r="AQ77" s="149">
        <f t="shared" si="61"/>
        <v>2219.6967187499995</v>
      </c>
      <c r="AR77" s="21">
        <v>2219.6967187499995</v>
      </c>
      <c r="AS77" s="610">
        <v>2219.6967187499995</v>
      </c>
      <c r="AT77" s="112">
        <v>2219.6967187499995</v>
      </c>
      <c r="AU77" s="4"/>
      <c r="AV77" s="4"/>
      <c r="AW77" s="23" t="e">
        <f>VLOOKUP(K77,#REF!,8,FALSE)</f>
        <v>#REF!</v>
      </c>
      <c r="AX77" s="23" t="e">
        <f>VLOOKUP(K77,#REF!,8,FALSE)</f>
        <v>#REF!</v>
      </c>
      <c r="AY77" s="266" t="s">
        <v>2234</v>
      </c>
      <c r="AZ77" s="268" t="s">
        <v>75</v>
      </c>
      <c r="BA77" s="274">
        <f>AM77/3*2</f>
        <v>4509.8599999999997</v>
      </c>
      <c r="BB77" s="318">
        <f t="shared" si="63"/>
        <v>0</v>
      </c>
      <c r="BC77" s="269">
        <f t="shared" si="53"/>
        <v>2219.6967187499995</v>
      </c>
      <c r="BD77" t="e">
        <f t="shared" si="64"/>
        <v>#REF!</v>
      </c>
      <c r="BE77" t="s">
        <v>2351</v>
      </c>
      <c r="BI77" t="e">
        <f>VLOOKUP(K77,#REF!,8,FALSE)</f>
        <v>#REF!</v>
      </c>
      <c r="BK77" s="269"/>
      <c r="BN77" s="353" t="s">
        <v>75</v>
      </c>
      <c r="BO77" s="106"/>
      <c r="BP77" s="166">
        <f t="shared" si="45"/>
        <v>2219.6967187499995</v>
      </c>
      <c r="BQ77" t="s">
        <v>2351</v>
      </c>
      <c r="BS77" s="165"/>
      <c r="BX77" s="495">
        <f t="shared" si="46"/>
        <v>2219.6967187499995</v>
      </c>
      <c r="BZ77" s="636">
        <f t="shared" si="59"/>
        <v>0</v>
      </c>
      <c r="CA77" s="633">
        <f t="shared" si="60"/>
        <v>0</v>
      </c>
    </row>
    <row r="78" spans="1:79" x14ac:dyDescent="0.2">
      <c r="A78" s="4">
        <v>1</v>
      </c>
      <c r="B78" s="4">
        <v>1</v>
      </c>
      <c r="C78" s="5">
        <f t="shared" si="49"/>
        <v>4001</v>
      </c>
      <c r="D78" s="6">
        <v>4001</v>
      </c>
      <c r="E78" s="121">
        <v>43012</v>
      </c>
      <c r="F78" s="6" t="s">
        <v>1606</v>
      </c>
      <c r="G78" s="7" t="s">
        <v>75</v>
      </c>
      <c r="H78" s="33"/>
      <c r="I78" s="33" t="s">
        <v>157</v>
      </c>
      <c r="J78" s="33"/>
      <c r="K78" s="29">
        <v>380743</v>
      </c>
      <c r="L78" s="34" t="s">
        <v>158</v>
      </c>
      <c r="M78" s="10" t="s">
        <v>111</v>
      </c>
      <c r="N78" s="10" t="s">
        <v>229</v>
      </c>
      <c r="O78" s="11" t="s">
        <v>230</v>
      </c>
      <c r="P78" s="12">
        <v>39897</v>
      </c>
      <c r="Q78" s="13">
        <f t="shared" ca="1" si="31"/>
        <v>16.495550992470911</v>
      </c>
      <c r="R78" s="14">
        <v>9</v>
      </c>
      <c r="S78" s="15">
        <v>872</v>
      </c>
      <c r="T78" s="8">
        <v>872</v>
      </c>
      <c r="U78" s="16">
        <v>45017</v>
      </c>
      <c r="V78" s="17">
        <v>1</v>
      </c>
      <c r="W78" s="16">
        <v>45382</v>
      </c>
      <c r="X78" s="14">
        <v>192</v>
      </c>
      <c r="Y78" s="18">
        <f t="shared" si="57"/>
        <v>192</v>
      </c>
      <c r="Z78" s="18">
        <f t="shared" si="55"/>
        <v>1</v>
      </c>
      <c r="AA78" s="18" t="s">
        <v>36</v>
      </c>
      <c r="AB78" s="26">
        <v>25</v>
      </c>
      <c r="AC78" s="26"/>
      <c r="AD78" s="26"/>
      <c r="AE78" s="147" t="str">
        <f t="shared" si="34"/>
        <v>1</v>
      </c>
      <c r="AF78" s="147" t="str">
        <f t="shared" si="35"/>
        <v>0</v>
      </c>
      <c r="AG78" s="147" t="str">
        <f t="shared" si="36"/>
        <v>0</v>
      </c>
      <c r="AH78" s="147" t="str">
        <f t="shared" si="37"/>
        <v>NO</v>
      </c>
      <c r="AI78" s="147" t="str">
        <f t="shared" si="38"/>
        <v>NO</v>
      </c>
      <c r="AJ78" s="147" t="str">
        <f t="shared" si="39"/>
        <v>NO</v>
      </c>
      <c r="AK78" s="147" t="str">
        <f t="shared" si="40"/>
        <v>NO</v>
      </c>
      <c r="AL78" s="21"/>
      <c r="AM78" s="21">
        <f>IF(H78="Y",AL78,((AB78*$O$902)-6000))</f>
        <v>5819.25</v>
      </c>
      <c r="AN78" s="27" t="s">
        <v>56</v>
      </c>
      <c r="AO78" s="21">
        <v>1</v>
      </c>
      <c r="AP78" s="21">
        <f t="shared" si="62"/>
        <v>1</v>
      </c>
      <c r="AQ78" s="149">
        <f t="shared" si="61"/>
        <v>5819.25</v>
      </c>
      <c r="AR78" s="21">
        <v>5819.25</v>
      </c>
      <c r="AS78" s="610">
        <v>5819.25</v>
      </c>
      <c r="AT78" s="112">
        <v>5819.25</v>
      </c>
      <c r="AU78" s="4"/>
      <c r="AV78" s="4"/>
      <c r="AW78" s="23" t="e">
        <f>VLOOKUP(K78,#REF!,8,FALSE)</f>
        <v>#REF!</v>
      </c>
      <c r="AX78" s="23" t="e">
        <f>VLOOKUP(K78,#REF!,8,FALSE)</f>
        <v>#REF!</v>
      </c>
      <c r="AY78" s="23" t="e">
        <f>VLOOKUP(K78,#REF!,8,FALSE)</f>
        <v>#REF!</v>
      </c>
      <c r="AZ78" s="4"/>
      <c r="BA78" s="272"/>
      <c r="BB78" s="318">
        <f t="shared" si="63"/>
        <v>0</v>
      </c>
      <c r="BC78" s="269">
        <f t="shared" si="53"/>
        <v>5819.25</v>
      </c>
      <c r="BD78" t="str">
        <f t="shared" si="64"/>
        <v/>
      </c>
      <c r="BP78" s="166">
        <f t="shared" si="45"/>
        <v>5819.25</v>
      </c>
      <c r="BS78" s="165"/>
      <c r="BX78" s="495">
        <f t="shared" si="46"/>
        <v>5819.25</v>
      </c>
      <c r="BZ78" s="636">
        <f t="shared" si="59"/>
        <v>0</v>
      </c>
      <c r="CA78" s="633">
        <f t="shared" si="60"/>
        <v>0</v>
      </c>
    </row>
    <row r="79" spans="1:79" x14ac:dyDescent="0.2">
      <c r="A79" s="4">
        <v>1</v>
      </c>
      <c r="B79" s="4">
        <v>1</v>
      </c>
      <c r="C79" s="5">
        <f t="shared" si="49"/>
        <v>4001</v>
      </c>
      <c r="D79" s="6">
        <v>4001</v>
      </c>
      <c r="E79" s="121">
        <v>43012</v>
      </c>
      <c r="F79" s="6" t="s">
        <v>1606</v>
      </c>
      <c r="G79" s="7" t="s">
        <v>75</v>
      </c>
      <c r="H79" s="33"/>
      <c r="I79" s="33" t="s">
        <v>157</v>
      </c>
      <c r="J79" s="33"/>
      <c r="K79" s="29">
        <v>362269</v>
      </c>
      <c r="L79" s="34" t="s">
        <v>158</v>
      </c>
      <c r="M79" s="10" t="s">
        <v>231</v>
      </c>
      <c r="N79" s="10" t="s">
        <v>122</v>
      </c>
      <c r="O79" s="11" t="s">
        <v>232</v>
      </c>
      <c r="P79" s="12">
        <v>39385</v>
      </c>
      <c r="Q79" s="13">
        <f t="shared" ca="1" si="31"/>
        <v>17.897330595482547</v>
      </c>
      <c r="R79" s="14">
        <v>10</v>
      </c>
      <c r="S79" s="15">
        <v>872</v>
      </c>
      <c r="T79" s="8">
        <v>872</v>
      </c>
      <c r="U79" s="16">
        <v>45017</v>
      </c>
      <c r="V79" s="17">
        <v>1</v>
      </c>
      <c r="W79" s="16">
        <v>45382</v>
      </c>
      <c r="X79" s="14">
        <v>192</v>
      </c>
      <c r="Y79" s="18">
        <f t="shared" si="57"/>
        <v>192</v>
      </c>
      <c r="Z79" s="18">
        <f t="shared" si="55"/>
        <v>1</v>
      </c>
      <c r="AA79" s="18" t="s">
        <v>36</v>
      </c>
      <c r="AB79" s="26">
        <v>13200</v>
      </c>
      <c r="AC79" s="26"/>
      <c r="AD79" s="26"/>
      <c r="AE79" s="147" t="str">
        <f t="shared" si="34"/>
        <v>0</v>
      </c>
      <c r="AF79" s="147" t="str">
        <f t="shared" si="35"/>
        <v>0</v>
      </c>
      <c r="AG79" s="147" t="str">
        <f t="shared" si="36"/>
        <v>1</v>
      </c>
      <c r="AH79" s="147" t="str">
        <f t="shared" si="37"/>
        <v>NO</v>
      </c>
      <c r="AI79" s="147" t="str">
        <f t="shared" si="38"/>
        <v>NO</v>
      </c>
      <c r="AJ79" s="147" t="str">
        <f t="shared" si="39"/>
        <v>NO</v>
      </c>
      <c r="AK79" s="147" t="str">
        <f t="shared" si="40"/>
        <v>NO</v>
      </c>
      <c r="AL79" s="21"/>
      <c r="AM79" s="21">
        <v>13200</v>
      </c>
      <c r="AN79" s="27"/>
      <c r="AO79" s="21">
        <v>1</v>
      </c>
      <c r="AP79" s="21">
        <f t="shared" si="62"/>
        <v>1</v>
      </c>
      <c r="AQ79" s="149">
        <f t="shared" si="61"/>
        <v>13200</v>
      </c>
      <c r="AR79" s="21">
        <v>13200</v>
      </c>
      <c r="AS79" s="610">
        <v>13200</v>
      </c>
      <c r="AT79" s="112">
        <v>13200</v>
      </c>
      <c r="AU79" s="4"/>
      <c r="AV79" s="4"/>
      <c r="AW79" s="23" t="e">
        <f>VLOOKUP(K79,#REF!,8,FALSE)</f>
        <v>#REF!</v>
      </c>
      <c r="AX79" s="23" t="e">
        <f>VLOOKUP(K79,#REF!,8,FALSE)</f>
        <v>#REF!</v>
      </c>
      <c r="AY79" s="23" t="e">
        <f>VLOOKUP(K79,#REF!,8,FALSE)</f>
        <v>#REF!</v>
      </c>
      <c r="AZ79" s="4"/>
      <c r="BA79" s="272"/>
      <c r="BB79" s="318">
        <f t="shared" si="63"/>
        <v>0</v>
      </c>
      <c r="BC79" s="269">
        <f t="shared" si="53"/>
        <v>13200</v>
      </c>
      <c r="BD79" t="str">
        <f t="shared" si="64"/>
        <v/>
      </c>
      <c r="BP79" s="166">
        <f t="shared" si="45"/>
        <v>13200</v>
      </c>
      <c r="BS79" s="165"/>
      <c r="BX79" s="495">
        <f t="shared" si="46"/>
        <v>13200</v>
      </c>
      <c r="BZ79" s="636">
        <f t="shared" si="59"/>
        <v>0</v>
      </c>
      <c r="CA79" s="633">
        <f t="shared" si="60"/>
        <v>0</v>
      </c>
    </row>
    <row r="80" spans="1:79" x14ac:dyDescent="0.2">
      <c r="A80" s="4">
        <v>1</v>
      </c>
      <c r="B80" s="4">
        <v>1</v>
      </c>
      <c r="C80" s="5">
        <f t="shared" si="49"/>
        <v>4001</v>
      </c>
      <c r="D80" s="6">
        <v>4001</v>
      </c>
      <c r="E80" s="121">
        <v>43012</v>
      </c>
      <c r="F80" s="6" t="s">
        <v>1606</v>
      </c>
      <c r="G80" s="7" t="s">
        <v>75</v>
      </c>
      <c r="H80" s="33"/>
      <c r="I80" s="33" t="s">
        <v>157</v>
      </c>
      <c r="J80" s="33"/>
      <c r="K80" s="29">
        <v>401202</v>
      </c>
      <c r="L80" s="34" t="s">
        <v>158</v>
      </c>
      <c r="M80" s="10" t="s">
        <v>233</v>
      </c>
      <c r="N80" s="10" t="s">
        <v>234</v>
      </c>
      <c r="O80" s="11" t="s">
        <v>235</v>
      </c>
      <c r="P80" s="12">
        <v>40081</v>
      </c>
      <c r="Q80" s="13">
        <f t="shared" ca="1" si="31"/>
        <v>15.991786447638603</v>
      </c>
      <c r="R80" s="14">
        <v>8</v>
      </c>
      <c r="S80" s="15">
        <v>872</v>
      </c>
      <c r="T80" s="8">
        <v>872</v>
      </c>
      <c r="U80" s="16">
        <v>45017</v>
      </c>
      <c r="V80" s="17">
        <v>1</v>
      </c>
      <c r="W80" s="16">
        <v>45382</v>
      </c>
      <c r="X80" s="14">
        <v>192</v>
      </c>
      <c r="Y80" s="18">
        <f t="shared" si="57"/>
        <v>192</v>
      </c>
      <c r="Z80" s="18">
        <f t="shared" si="55"/>
        <v>1</v>
      </c>
      <c r="AA80" s="18" t="s">
        <v>36</v>
      </c>
      <c r="AB80" s="26">
        <v>25</v>
      </c>
      <c r="AC80" s="26"/>
      <c r="AD80" s="26"/>
      <c r="AE80" s="147" t="str">
        <f t="shared" si="34"/>
        <v>1</v>
      </c>
      <c r="AF80" s="147" t="str">
        <f t="shared" si="35"/>
        <v>0</v>
      </c>
      <c r="AG80" s="147" t="str">
        <f t="shared" si="36"/>
        <v>0</v>
      </c>
      <c r="AH80" s="147" t="str">
        <f t="shared" si="37"/>
        <v>NO</v>
      </c>
      <c r="AI80" s="147" t="str">
        <f t="shared" si="38"/>
        <v>NO</v>
      </c>
      <c r="AJ80" s="147" t="str">
        <f t="shared" si="39"/>
        <v>NO</v>
      </c>
      <c r="AK80" s="147" t="str">
        <f t="shared" si="40"/>
        <v>NO</v>
      </c>
      <c r="AL80" s="21"/>
      <c r="AM80" s="21">
        <f>IF(H80="Y",AL80,((AB80*$O$902)-6000))</f>
        <v>5819.25</v>
      </c>
      <c r="AN80" s="27" t="s">
        <v>43</v>
      </c>
      <c r="AO80" s="21">
        <v>1</v>
      </c>
      <c r="AP80" s="21">
        <f t="shared" si="62"/>
        <v>1</v>
      </c>
      <c r="AQ80" s="149">
        <f t="shared" si="61"/>
        <v>5819.25</v>
      </c>
      <c r="AR80" s="21">
        <v>5819.25</v>
      </c>
      <c r="AS80" s="610">
        <v>5819.25</v>
      </c>
      <c r="AT80" s="112">
        <v>5819.25</v>
      </c>
      <c r="AU80" s="4"/>
      <c r="AV80" s="4"/>
      <c r="AW80" s="23" t="e">
        <f>VLOOKUP(K80,#REF!,8,FALSE)</f>
        <v>#REF!</v>
      </c>
      <c r="AX80" s="23" t="e">
        <f>VLOOKUP(K80,#REF!,8,FALSE)</f>
        <v>#REF!</v>
      </c>
      <c r="AY80" s="23" t="e">
        <f>VLOOKUP(K80,#REF!,8,FALSE)</f>
        <v>#REF!</v>
      </c>
      <c r="AZ80" s="4"/>
      <c r="BA80" s="272"/>
      <c r="BB80" s="318">
        <f t="shared" si="63"/>
        <v>0</v>
      </c>
      <c r="BC80" s="269">
        <f t="shared" si="53"/>
        <v>5819.25</v>
      </c>
      <c r="BD80" t="str">
        <f t="shared" si="64"/>
        <v/>
      </c>
      <c r="BP80" s="166">
        <f t="shared" si="45"/>
        <v>5819.25</v>
      </c>
      <c r="BS80" s="165"/>
      <c r="BX80" s="495">
        <f t="shared" si="46"/>
        <v>5819.25</v>
      </c>
      <c r="BZ80" s="636">
        <f t="shared" si="59"/>
        <v>0</v>
      </c>
      <c r="CA80" s="633">
        <f t="shared" si="60"/>
        <v>0</v>
      </c>
    </row>
    <row r="81" spans="1:79" x14ac:dyDescent="0.2">
      <c r="A81" s="4">
        <v>1</v>
      </c>
      <c r="B81" s="4">
        <v>1</v>
      </c>
      <c r="C81" s="5">
        <f t="shared" si="49"/>
        <v>4001</v>
      </c>
      <c r="D81" s="6">
        <v>4001</v>
      </c>
      <c r="E81" s="121">
        <v>43012</v>
      </c>
      <c r="F81" s="6" t="s">
        <v>1606</v>
      </c>
      <c r="G81" s="7" t="s">
        <v>75</v>
      </c>
      <c r="H81" s="33"/>
      <c r="I81" s="33" t="s">
        <v>157</v>
      </c>
      <c r="J81" s="33"/>
      <c r="K81" s="29">
        <v>375651</v>
      </c>
      <c r="L81" s="34" t="s">
        <v>158</v>
      </c>
      <c r="M81" s="10" t="s">
        <v>236</v>
      </c>
      <c r="N81" s="10" t="s">
        <v>237</v>
      </c>
      <c r="O81" s="11" t="s">
        <v>238</v>
      </c>
      <c r="P81" s="12">
        <v>39656</v>
      </c>
      <c r="Q81" s="13">
        <f t="shared" ca="1" si="31"/>
        <v>17.155373032169745</v>
      </c>
      <c r="R81" s="14">
        <v>10</v>
      </c>
      <c r="S81" s="15">
        <v>872</v>
      </c>
      <c r="T81" s="8">
        <v>872</v>
      </c>
      <c r="U81" s="16">
        <v>45017</v>
      </c>
      <c r="V81" s="17">
        <v>1</v>
      </c>
      <c r="W81" s="16">
        <v>45382</v>
      </c>
      <c r="X81" s="14">
        <v>192</v>
      </c>
      <c r="Y81" s="18">
        <f t="shared" si="57"/>
        <v>192</v>
      </c>
      <c r="Z81" s="18">
        <f t="shared" si="55"/>
        <v>1</v>
      </c>
      <c r="AA81" s="18" t="s">
        <v>36</v>
      </c>
      <c r="AB81" s="26">
        <v>25</v>
      </c>
      <c r="AC81" s="26"/>
      <c r="AD81" s="26"/>
      <c r="AE81" s="147" t="str">
        <f t="shared" si="34"/>
        <v>1</v>
      </c>
      <c r="AF81" s="147" t="str">
        <f t="shared" si="35"/>
        <v>0</v>
      </c>
      <c r="AG81" s="147" t="str">
        <f t="shared" si="36"/>
        <v>0</v>
      </c>
      <c r="AH81" s="147" t="str">
        <f t="shared" si="37"/>
        <v>NO</v>
      </c>
      <c r="AI81" s="147" t="str">
        <f t="shared" si="38"/>
        <v>NO</v>
      </c>
      <c r="AJ81" s="147" t="str">
        <f t="shared" si="39"/>
        <v>NO</v>
      </c>
      <c r="AK81" s="147" t="str">
        <f t="shared" si="40"/>
        <v>NO</v>
      </c>
      <c r="AL81" s="21"/>
      <c r="AM81" s="21">
        <f>IF(H81="Y",AL81,((AB81*$O$902)-6000))</f>
        <v>5819.25</v>
      </c>
      <c r="AN81" s="27" t="s">
        <v>66</v>
      </c>
      <c r="AO81" s="21">
        <v>1</v>
      </c>
      <c r="AP81" s="21">
        <f t="shared" si="62"/>
        <v>1</v>
      </c>
      <c r="AQ81" s="149">
        <f t="shared" si="61"/>
        <v>5819.25</v>
      </c>
      <c r="AR81" s="21">
        <v>5819.25</v>
      </c>
      <c r="AS81" s="610">
        <v>5819.25</v>
      </c>
      <c r="AT81" s="112">
        <v>5819.25</v>
      </c>
      <c r="AU81" s="4"/>
      <c r="AV81" s="4"/>
      <c r="AW81" s="23" t="e">
        <f>VLOOKUP(K81,#REF!,8,FALSE)</f>
        <v>#REF!</v>
      </c>
      <c r="AX81" s="23" t="e">
        <f>VLOOKUP(K81,#REF!,8,FALSE)</f>
        <v>#REF!</v>
      </c>
      <c r="AY81" s="23" t="e">
        <f>VLOOKUP(K81,#REF!,8,FALSE)</f>
        <v>#REF!</v>
      </c>
      <c r="AZ81" s="4"/>
      <c r="BA81" s="272"/>
      <c r="BB81" s="318">
        <f t="shared" si="63"/>
        <v>0</v>
      </c>
      <c r="BC81" s="269">
        <f t="shared" si="53"/>
        <v>5819.25</v>
      </c>
      <c r="BD81" t="str">
        <f t="shared" si="64"/>
        <v/>
      </c>
      <c r="BP81" s="166">
        <f t="shared" si="45"/>
        <v>5819.25</v>
      </c>
      <c r="BS81" s="165"/>
      <c r="BX81" s="495">
        <f t="shared" si="46"/>
        <v>5819.25</v>
      </c>
      <c r="BZ81" s="636">
        <f t="shared" si="59"/>
        <v>0</v>
      </c>
      <c r="CA81" s="633">
        <f t="shared" si="60"/>
        <v>0</v>
      </c>
    </row>
    <row r="82" spans="1:79" x14ac:dyDescent="0.2">
      <c r="A82" s="4">
        <v>1</v>
      </c>
      <c r="B82" s="4">
        <v>1</v>
      </c>
      <c r="C82" s="5">
        <f t="shared" si="49"/>
        <v>41201</v>
      </c>
      <c r="D82" s="6">
        <v>41201</v>
      </c>
      <c r="E82" s="6">
        <v>43011</v>
      </c>
      <c r="F82" s="6" t="s">
        <v>1606</v>
      </c>
      <c r="G82" s="7"/>
      <c r="H82" s="33"/>
      <c r="I82" s="33" t="s">
        <v>157</v>
      </c>
      <c r="J82" s="33"/>
      <c r="K82" s="29">
        <v>407015</v>
      </c>
      <c r="L82" s="10" t="s">
        <v>239</v>
      </c>
      <c r="M82" s="10" t="s">
        <v>40</v>
      </c>
      <c r="N82" s="10" t="s">
        <v>72</v>
      </c>
      <c r="O82" s="11" t="s">
        <v>240</v>
      </c>
      <c r="P82" s="12">
        <v>40274</v>
      </c>
      <c r="Q82" s="13">
        <f t="shared" ca="1" si="31"/>
        <v>15.463381245722108</v>
      </c>
      <c r="R82" s="14">
        <v>8</v>
      </c>
      <c r="S82" s="15">
        <v>872</v>
      </c>
      <c r="T82" s="8">
        <v>872</v>
      </c>
      <c r="U82" s="16">
        <v>45017</v>
      </c>
      <c r="V82" s="17">
        <v>1</v>
      </c>
      <c r="W82" s="16">
        <v>45382</v>
      </c>
      <c r="X82" s="14">
        <v>192</v>
      </c>
      <c r="Y82" s="18">
        <f t="shared" si="57"/>
        <v>192</v>
      </c>
      <c r="Z82" s="18">
        <f t="shared" si="55"/>
        <v>1</v>
      </c>
      <c r="AA82" s="18" t="s">
        <v>36</v>
      </c>
      <c r="AB82" s="26">
        <v>23</v>
      </c>
      <c r="AC82" s="26"/>
      <c r="AD82" s="26"/>
      <c r="AE82" s="147" t="str">
        <f t="shared" si="34"/>
        <v>1</v>
      </c>
      <c r="AF82" s="147" t="str">
        <f t="shared" si="35"/>
        <v>0</v>
      </c>
      <c r="AG82" s="147" t="str">
        <f t="shared" si="36"/>
        <v>0</v>
      </c>
      <c r="AH82" s="147" t="str">
        <f t="shared" si="37"/>
        <v>NO</v>
      </c>
      <c r="AI82" s="147" t="str">
        <f t="shared" si="38"/>
        <v>NO</v>
      </c>
      <c r="AJ82" s="147" t="str">
        <f t="shared" si="39"/>
        <v>NO</v>
      </c>
      <c r="AK82" s="147" t="str">
        <f t="shared" si="40"/>
        <v>NO</v>
      </c>
      <c r="AL82" s="21"/>
      <c r="AM82" s="21">
        <f>IF(H82="Y",AL82,((AB82*$O$902)-6000))</f>
        <v>4873.7099999999991</v>
      </c>
      <c r="AN82" s="27" t="s">
        <v>56</v>
      </c>
      <c r="AO82" s="21">
        <v>1</v>
      </c>
      <c r="AP82" s="21">
        <f t="shared" si="62"/>
        <v>1</v>
      </c>
      <c r="AQ82" s="149">
        <f t="shared" si="61"/>
        <v>4873.7099999999991</v>
      </c>
      <c r="AR82" s="21">
        <v>4873.7099999999991</v>
      </c>
      <c r="AS82" s="610">
        <v>4873.7099999999991</v>
      </c>
      <c r="AT82" s="112">
        <v>4873.7099999999991</v>
      </c>
      <c r="AU82" s="4"/>
      <c r="AV82" s="4"/>
      <c r="AW82" s="23" t="e">
        <f>VLOOKUP(K82,#REF!,8,FALSE)</f>
        <v>#REF!</v>
      </c>
      <c r="AX82" s="23" t="e">
        <f>VLOOKUP(K82,#REF!,8,FALSE)</f>
        <v>#REF!</v>
      </c>
      <c r="AY82" s="23" t="e">
        <f>VLOOKUP(K82,#REF!,8,FALSE)</f>
        <v>#REF!</v>
      </c>
      <c r="AZ82" s="4"/>
      <c r="BA82" s="272"/>
      <c r="BB82" s="318">
        <f t="shared" si="63"/>
        <v>0</v>
      </c>
      <c r="BC82" s="269">
        <f t="shared" si="53"/>
        <v>4873.7099999999991</v>
      </c>
      <c r="BD82" t="str">
        <f t="shared" si="64"/>
        <v/>
      </c>
      <c r="BP82" s="166">
        <f t="shared" si="45"/>
        <v>4873.7099999999991</v>
      </c>
      <c r="BS82" s="165"/>
      <c r="BX82" s="495">
        <f t="shared" si="46"/>
        <v>4873.7099999999991</v>
      </c>
      <c r="BZ82" s="636">
        <f t="shared" si="59"/>
        <v>0</v>
      </c>
      <c r="CA82" s="633">
        <f t="shared" si="60"/>
        <v>0</v>
      </c>
    </row>
    <row r="83" spans="1:79" x14ac:dyDescent="0.2">
      <c r="A83" s="4">
        <v>1</v>
      </c>
      <c r="B83" s="4">
        <v>1</v>
      </c>
      <c r="C83" s="5">
        <f t="shared" si="49"/>
        <v>41201</v>
      </c>
      <c r="D83" s="6">
        <v>41201</v>
      </c>
      <c r="E83" s="6">
        <v>43011</v>
      </c>
      <c r="F83" s="6" t="s">
        <v>1606</v>
      </c>
      <c r="G83" s="7"/>
      <c r="H83" s="7"/>
      <c r="I83" s="33" t="s">
        <v>157</v>
      </c>
      <c r="J83" s="33"/>
      <c r="K83" s="29">
        <v>373179</v>
      </c>
      <c r="L83" s="10" t="s">
        <v>239</v>
      </c>
      <c r="M83" s="10" t="s">
        <v>241</v>
      </c>
      <c r="N83" s="10" t="s">
        <v>242</v>
      </c>
      <c r="O83" s="11" t="s">
        <v>243</v>
      </c>
      <c r="P83" s="12">
        <v>39245</v>
      </c>
      <c r="Q83" s="13">
        <f t="shared" ref="Q83:Q146" ca="1" si="65">(TODAY()-P83)/365.25</f>
        <v>18.28062970568104</v>
      </c>
      <c r="R83" s="14">
        <v>11</v>
      </c>
      <c r="S83" s="15">
        <v>872</v>
      </c>
      <c r="T83" s="8">
        <v>872</v>
      </c>
      <c r="U83" s="16">
        <v>45017</v>
      </c>
      <c r="V83" s="17">
        <v>1</v>
      </c>
      <c r="W83" s="16">
        <v>45128</v>
      </c>
      <c r="X83" s="14">
        <v>63</v>
      </c>
      <c r="Y83" s="18">
        <f t="shared" ref="Y83:Y114" si="66">X83-V83+1</f>
        <v>63</v>
      </c>
      <c r="Z83" s="18">
        <f t="shared" si="55"/>
        <v>0.328125</v>
      </c>
      <c r="AA83" s="16" t="s">
        <v>166</v>
      </c>
      <c r="AB83" s="36">
        <v>14392.46</v>
      </c>
      <c r="AC83" s="36"/>
      <c r="AD83" s="36"/>
      <c r="AE83" s="147" t="str">
        <f t="shared" ref="AE83:AE146" si="67">IF(AND(AB83&lt;=25,AB83&gt;=20),"1","0")</f>
        <v>0</v>
      </c>
      <c r="AF83" s="147" t="str">
        <f t="shared" ref="AF83:AF146" si="68">IF(AND(AB83&lt;=30,AB83&gt;=26),"1","0")</f>
        <v>0</v>
      </c>
      <c r="AG83" s="147" t="str">
        <f t="shared" ref="AG83:AG146" si="69">IF(AB83&gt;=31,"1","0")</f>
        <v>1</v>
      </c>
      <c r="AH83" s="147" t="str">
        <f t="shared" ref="AH83:AH146" si="70">IF(AD83="BAND3","YES","NO")</f>
        <v>NO</v>
      </c>
      <c r="AI83" s="147" t="str">
        <f t="shared" ref="AI83:AI146" si="71">IF(AD83="BAND4","YES","NO")</f>
        <v>NO</v>
      </c>
      <c r="AJ83" s="147" t="str">
        <f t="shared" ref="AJ83:AJ146" si="72">IF(AD83="BAND5","YES","NO")</f>
        <v>NO</v>
      </c>
      <c r="AK83" s="147" t="str">
        <f t="shared" ref="AK83:AK146" si="73">IF(AD83="BAND6","YES","NO")</f>
        <v>NO</v>
      </c>
      <c r="AL83" s="21"/>
      <c r="AM83" s="21">
        <v>14392.46</v>
      </c>
      <c r="AN83" s="27" t="s">
        <v>66</v>
      </c>
      <c r="AO83" s="21">
        <v>1</v>
      </c>
      <c r="AP83" s="21">
        <f t="shared" si="62"/>
        <v>0.328125</v>
      </c>
      <c r="AQ83" s="149">
        <f t="shared" si="61"/>
        <v>4722.5259374999996</v>
      </c>
      <c r="AR83" s="21">
        <v>4722.5259374999996</v>
      </c>
      <c r="AS83" s="610">
        <v>4722.5259374999996</v>
      </c>
      <c r="AT83" s="112">
        <v>4722.5259374999996</v>
      </c>
      <c r="AU83" s="4"/>
      <c r="AV83" s="4"/>
      <c r="AW83" s="23" t="e">
        <f>VLOOKUP(K83,#REF!,8,FALSE)</f>
        <v>#REF!</v>
      </c>
      <c r="AX83" s="23" t="e">
        <f>VLOOKUP(K83,#REF!,8,FALSE)</f>
        <v>#REF!</v>
      </c>
      <c r="AY83" s="266" t="s">
        <v>2235</v>
      </c>
      <c r="AZ83" s="268" t="s">
        <v>75</v>
      </c>
      <c r="BA83" s="274">
        <f>AM83/3*2</f>
        <v>9594.9733333333334</v>
      </c>
      <c r="BB83" s="318">
        <f t="shared" si="63"/>
        <v>0</v>
      </c>
      <c r="BC83" s="269">
        <f t="shared" si="53"/>
        <v>4722.5259374999996</v>
      </c>
      <c r="BD83" t="e">
        <f t="shared" si="64"/>
        <v>#REF!</v>
      </c>
      <c r="BE83" t="s">
        <v>2351</v>
      </c>
      <c r="BI83" t="e">
        <f>VLOOKUP(K83,#REF!,8,FALSE)</f>
        <v>#REF!</v>
      </c>
      <c r="BK83" s="269"/>
      <c r="BN83" s="353" t="s">
        <v>75</v>
      </c>
      <c r="BO83" s="106"/>
      <c r="BP83" s="166">
        <f t="shared" ref="BP83:BP146" si="74">BC83+BO83</f>
        <v>4722.5259374999996</v>
      </c>
      <c r="BQ83" t="s">
        <v>2351</v>
      </c>
      <c r="BS83" s="165"/>
      <c r="BX83" s="495">
        <f t="shared" ref="BX83:BX146" si="75">AQ83+BO83+BU83</f>
        <v>4722.5259374999996</v>
      </c>
      <c r="BZ83" s="636">
        <f t="shared" si="59"/>
        <v>0</v>
      </c>
      <c r="CA83" s="633">
        <f t="shared" si="60"/>
        <v>0</v>
      </c>
    </row>
    <row r="84" spans="1:79" x14ac:dyDescent="0.2">
      <c r="A84" s="4">
        <v>1</v>
      </c>
      <c r="B84" s="4">
        <v>1</v>
      </c>
      <c r="C84" s="5">
        <f t="shared" si="49"/>
        <v>41201</v>
      </c>
      <c r="D84" s="6">
        <v>41201</v>
      </c>
      <c r="E84" s="6">
        <v>43011</v>
      </c>
      <c r="F84" s="6" t="s">
        <v>1606</v>
      </c>
      <c r="G84" s="37"/>
      <c r="H84" s="7"/>
      <c r="I84" s="33" t="s">
        <v>157</v>
      </c>
      <c r="J84" s="33"/>
      <c r="K84" s="29">
        <v>369009</v>
      </c>
      <c r="L84" s="10" t="s">
        <v>239</v>
      </c>
      <c r="M84" s="10" t="s">
        <v>244</v>
      </c>
      <c r="N84" s="10" t="s">
        <v>245</v>
      </c>
      <c r="O84" s="11" t="s">
        <v>246</v>
      </c>
      <c r="P84" s="12">
        <v>39171</v>
      </c>
      <c r="Q84" s="13">
        <f t="shared" ca="1" si="65"/>
        <v>18.483230663928815</v>
      </c>
      <c r="R84" s="14">
        <v>11</v>
      </c>
      <c r="S84" s="15">
        <v>872</v>
      </c>
      <c r="T84" s="8">
        <v>872</v>
      </c>
      <c r="U84" s="16">
        <v>45017</v>
      </c>
      <c r="V84" s="17">
        <v>1</v>
      </c>
      <c r="W84" s="16">
        <v>45128</v>
      </c>
      <c r="X84" s="14">
        <v>63</v>
      </c>
      <c r="Y84" s="18">
        <f t="shared" si="66"/>
        <v>63</v>
      </c>
      <c r="Z84" s="18">
        <f t="shared" si="55"/>
        <v>0.328125</v>
      </c>
      <c r="AA84" s="16" t="s">
        <v>166</v>
      </c>
      <c r="AB84" s="26">
        <v>25</v>
      </c>
      <c r="AC84" s="26"/>
      <c r="AD84" s="26"/>
      <c r="AE84" s="147" t="str">
        <f t="shared" si="67"/>
        <v>1</v>
      </c>
      <c r="AF84" s="147" t="str">
        <f t="shared" si="68"/>
        <v>0</v>
      </c>
      <c r="AG84" s="147" t="str">
        <f t="shared" si="69"/>
        <v>0</v>
      </c>
      <c r="AH84" s="147" t="str">
        <f t="shared" si="70"/>
        <v>NO</v>
      </c>
      <c r="AI84" s="147" t="str">
        <f t="shared" si="71"/>
        <v>NO</v>
      </c>
      <c r="AJ84" s="147" t="str">
        <f t="shared" si="72"/>
        <v>NO</v>
      </c>
      <c r="AK84" s="147" t="str">
        <f t="shared" si="73"/>
        <v>NO</v>
      </c>
      <c r="AL84" s="21"/>
      <c r="AM84" s="21">
        <f t="shared" ref="AM84:AM94" si="76">IF(H84="Y",AL84,((AB84*$O$902)-6000))</f>
        <v>5819.25</v>
      </c>
      <c r="AN84" s="27" t="s">
        <v>56</v>
      </c>
      <c r="AO84" s="21">
        <v>1</v>
      </c>
      <c r="AP84" s="21">
        <f t="shared" si="62"/>
        <v>0.328125</v>
      </c>
      <c r="AQ84" s="149">
        <f t="shared" si="61"/>
        <v>1909.44140625</v>
      </c>
      <c r="AR84" s="21">
        <v>1909.44140625</v>
      </c>
      <c r="AS84" s="610">
        <v>1909.44140625</v>
      </c>
      <c r="AT84" s="112">
        <v>1909.44140625</v>
      </c>
      <c r="AU84" s="4"/>
      <c r="AV84" s="4"/>
      <c r="AW84" s="23" t="e">
        <f>VLOOKUP(K84,#REF!,8,FALSE)</f>
        <v>#REF!</v>
      </c>
      <c r="AX84" s="23" t="e">
        <f>VLOOKUP(K84,#REF!,8,FALSE)</f>
        <v>#REF!</v>
      </c>
      <c r="AY84" s="266" t="s">
        <v>2142</v>
      </c>
      <c r="AZ84" s="268" t="s">
        <v>75</v>
      </c>
      <c r="BA84" s="274">
        <f>AM84/3*2</f>
        <v>3879.5</v>
      </c>
      <c r="BB84" s="318">
        <f t="shared" si="63"/>
        <v>0</v>
      </c>
      <c r="BC84" s="269">
        <f t="shared" si="53"/>
        <v>1909.44140625</v>
      </c>
      <c r="BD84" t="e">
        <f t="shared" si="64"/>
        <v>#REF!</v>
      </c>
      <c r="BE84" t="s">
        <v>2351</v>
      </c>
      <c r="BI84" t="e">
        <f>VLOOKUP(K84,#REF!,8,FALSE)</f>
        <v>#REF!</v>
      </c>
      <c r="BK84" s="269"/>
      <c r="BN84" s="353" t="s">
        <v>75</v>
      </c>
      <c r="BO84" s="106"/>
      <c r="BP84" s="166">
        <f t="shared" si="74"/>
        <v>1909.44140625</v>
      </c>
      <c r="BQ84" t="s">
        <v>2351</v>
      </c>
      <c r="BS84" s="165"/>
      <c r="BX84" s="495">
        <f t="shared" si="75"/>
        <v>1909.44140625</v>
      </c>
      <c r="BZ84" s="636">
        <f t="shared" si="59"/>
        <v>0</v>
      </c>
      <c r="CA84" s="633">
        <f t="shared" si="60"/>
        <v>0</v>
      </c>
    </row>
    <row r="85" spans="1:79" x14ac:dyDescent="0.2">
      <c r="A85" s="4">
        <v>1</v>
      </c>
      <c r="B85" s="4">
        <v>1</v>
      </c>
      <c r="C85" s="5">
        <f t="shared" si="49"/>
        <v>41201</v>
      </c>
      <c r="D85" s="6">
        <v>41201</v>
      </c>
      <c r="E85" s="6">
        <v>43011</v>
      </c>
      <c r="F85" s="6" t="s">
        <v>1606</v>
      </c>
      <c r="G85" s="7"/>
      <c r="H85" s="7"/>
      <c r="I85" s="33" t="s">
        <v>157</v>
      </c>
      <c r="J85" s="33"/>
      <c r="K85" s="29">
        <v>400461</v>
      </c>
      <c r="L85" s="10" t="s">
        <v>239</v>
      </c>
      <c r="M85" s="10" t="s">
        <v>247</v>
      </c>
      <c r="N85" s="10" t="s">
        <v>248</v>
      </c>
      <c r="O85" s="11" t="str">
        <f>M85&amp;N85</f>
        <v>CallumHutchinson</v>
      </c>
      <c r="P85" s="12">
        <v>40488</v>
      </c>
      <c r="Q85" s="13">
        <f t="shared" ca="1" si="65"/>
        <v>14.877481177275838</v>
      </c>
      <c r="R85" s="14">
        <v>7</v>
      </c>
      <c r="S85" s="15">
        <v>872</v>
      </c>
      <c r="T85" s="8">
        <v>872</v>
      </c>
      <c r="U85" s="16">
        <v>45017</v>
      </c>
      <c r="V85" s="17">
        <v>1</v>
      </c>
      <c r="W85" s="16">
        <v>45382</v>
      </c>
      <c r="X85" s="14">
        <v>192</v>
      </c>
      <c r="Y85" s="18">
        <f t="shared" si="66"/>
        <v>192</v>
      </c>
      <c r="Z85" s="18">
        <f t="shared" si="55"/>
        <v>1</v>
      </c>
      <c r="AA85" s="18" t="s">
        <v>36</v>
      </c>
      <c r="AB85" s="26">
        <v>25</v>
      </c>
      <c r="AC85" s="26"/>
      <c r="AD85" s="26"/>
      <c r="AE85" s="147" t="str">
        <f t="shared" si="67"/>
        <v>1</v>
      </c>
      <c r="AF85" s="147" t="str">
        <f t="shared" si="68"/>
        <v>0</v>
      </c>
      <c r="AG85" s="147" t="str">
        <f t="shared" si="69"/>
        <v>0</v>
      </c>
      <c r="AH85" s="147" t="str">
        <f t="shared" si="70"/>
        <v>NO</v>
      </c>
      <c r="AI85" s="147" t="str">
        <f t="shared" si="71"/>
        <v>NO</v>
      </c>
      <c r="AJ85" s="147" t="str">
        <f t="shared" si="72"/>
        <v>NO</v>
      </c>
      <c r="AK85" s="147" t="str">
        <f t="shared" si="73"/>
        <v>NO</v>
      </c>
      <c r="AL85" s="21"/>
      <c r="AM85" s="21">
        <f t="shared" si="76"/>
        <v>5819.25</v>
      </c>
      <c r="AN85" s="27" t="s">
        <v>37</v>
      </c>
      <c r="AO85" s="21">
        <v>1</v>
      </c>
      <c r="AP85" s="21">
        <f t="shared" si="62"/>
        <v>1</v>
      </c>
      <c r="AQ85" s="149">
        <f t="shared" si="61"/>
        <v>5819.25</v>
      </c>
      <c r="AR85" s="21">
        <v>5819.25</v>
      </c>
      <c r="AS85" s="610">
        <v>5819.25</v>
      </c>
      <c r="AT85" s="112">
        <v>5819.25</v>
      </c>
      <c r="AU85" s="4"/>
      <c r="AV85" s="4"/>
      <c r="AW85" s="23" t="e">
        <f>VLOOKUP(K85,#REF!,8,FALSE)</f>
        <v>#REF!</v>
      </c>
      <c r="AX85" s="23" t="e">
        <f>VLOOKUP(K85,#REF!,8,FALSE)</f>
        <v>#REF!</v>
      </c>
      <c r="AY85" s="23" t="e">
        <f>VLOOKUP(K85,#REF!,8,FALSE)</f>
        <v>#REF!</v>
      </c>
      <c r="AZ85" s="4"/>
      <c r="BA85" s="272"/>
      <c r="BB85" s="318">
        <f t="shared" si="63"/>
        <v>0</v>
      </c>
      <c r="BC85" s="269">
        <f t="shared" si="53"/>
        <v>5819.25</v>
      </c>
      <c r="BD85" t="str">
        <f t="shared" si="64"/>
        <v/>
      </c>
      <c r="BP85" s="166">
        <f t="shared" si="74"/>
        <v>5819.25</v>
      </c>
      <c r="BS85" s="165"/>
      <c r="BX85" s="495">
        <f t="shared" si="75"/>
        <v>5819.25</v>
      </c>
      <c r="BZ85" s="636">
        <f t="shared" si="59"/>
        <v>0</v>
      </c>
      <c r="CA85" s="633">
        <f t="shared" si="60"/>
        <v>0</v>
      </c>
    </row>
    <row r="86" spans="1:79" x14ac:dyDescent="0.2">
      <c r="A86" s="4">
        <v>1</v>
      </c>
      <c r="B86" s="4">
        <v>1</v>
      </c>
      <c r="C86" s="5">
        <f t="shared" si="49"/>
        <v>41201</v>
      </c>
      <c r="D86" s="6">
        <v>41201</v>
      </c>
      <c r="E86" s="6">
        <v>43011</v>
      </c>
      <c r="F86" s="6" t="s">
        <v>1606</v>
      </c>
      <c r="G86" s="7"/>
      <c r="H86" s="7"/>
      <c r="I86" s="33" t="s">
        <v>157</v>
      </c>
      <c r="J86" s="33"/>
      <c r="K86" s="29">
        <v>394901</v>
      </c>
      <c r="L86" s="10" t="s">
        <v>239</v>
      </c>
      <c r="M86" s="10" t="s">
        <v>249</v>
      </c>
      <c r="N86" s="10" t="s">
        <v>250</v>
      </c>
      <c r="O86" s="11" t="s">
        <v>251</v>
      </c>
      <c r="P86" s="12">
        <v>39272</v>
      </c>
      <c r="Q86" s="13">
        <f t="shared" ca="1" si="65"/>
        <v>18.206707734428473</v>
      </c>
      <c r="R86" s="14">
        <v>11</v>
      </c>
      <c r="S86" s="15">
        <v>872</v>
      </c>
      <c r="T86" s="8">
        <v>872</v>
      </c>
      <c r="U86" s="16">
        <v>45017</v>
      </c>
      <c r="V86" s="17">
        <v>1</v>
      </c>
      <c r="W86" s="16">
        <v>45128</v>
      </c>
      <c r="X86" s="14">
        <v>63</v>
      </c>
      <c r="Y86" s="18">
        <f t="shared" si="66"/>
        <v>63</v>
      </c>
      <c r="Z86" s="18">
        <f t="shared" si="55"/>
        <v>0.328125</v>
      </c>
      <c r="AA86" s="16" t="s">
        <v>166</v>
      </c>
      <c r="AB86" s="26">
        <v>25</v>
      </c>
      <c r="AC86" s="26"/>
      <c r="AD86" s="26"/>
      <c r="AE86" s="147" t="str">
        <f t="shared" si="67"/>
        <v>1</v>
      </c>
      <c r="AF86" s="147" t="str">
        <f t="shared" si="68"/>
        <v>0</v>
      </c>
      <c r="AG86" s="147" t="str">
        <f t="shared" si="69"/>
        <v>0</v>
      </c>
      <c r="AH86" s="147" t="str">
        <f t="shared" si="70"/>
        <v>NO</v>
      </c>
      <c r="AI86" s="147" t="str">
        <f t="shared" si="71"/>
        <v>NO</v>
      </c>
      <c r="AJ86" s="147" t="str">
        <f t="shared" si="72"/>
        <v>NO</v>
      </c>
      <c r="AK86" s="147" t="str">
        <f t="shared" si="73"/>
        <v>NO</v>
      </c>
      <c r="AL86" s="21"/>
      <c r="AM86" s="21">
        <f t="shared" si="76"/>
        <v>5819.25</v>
      </c>
      <c r="AN86" s="27" t="s">
        <v>43</v>
      </c>
      <c r="AO86" s="21">
        <v>1</v>
      </c>
      <c r="AP86" s="21">
        <f t="shared" si="62"/>
        <v>0.328125</v>
      </c>
      <c r="AQ86" s="149">
        <f t="shared" si="61"/>
        <v>1909.44140625</v>
      </c>
      <c r="AR86" s="21">
        <v>1909.44140625</v>
      </c>
      <c r="AS86" s="610">
        <v>1909.44140625</v>
      </c>
      <c r="AT86" s="112">
        <v>1909.44140625</v>
      </c>
      <c r="AU86" s="4"/>
      <c r="AV86" s="4"/>
      <c r="AW86" s="23" t="e">
        <f>VLOOKUP(K86,#REF!,8,FALSE)</f>
        <v>#REF!</v>
      </c>
      <c r="AX86" s="23" t="e">
        <f>VLOOKUP(K86,#REF!,8,FALSE)</f>
        <v>#REF!</v>
      </c>
      <c r="AY86" s="266" t="s">
        <v>2233</v>
      </c>
      <c r="AZ86" s="268" t="s">
        <v>75</v>
      </c>
      <c r="BA86" s="274">
        <f>AM86/3*2</f>
        <v>3879.5</v>
      </c>
      <c r="BB86" s="318">
        <f t="shared" si="63"/>
        <v>0</v>
      </c>
      <c r="BC86" s="269">
        <f t="shared" si="53"/>
        <v>1909.44140625</v>
      </c>
      <c r="BD86" t="e">
        <f t="shared" si="64"/>
        <v>#REF!</v>
      </c>
      <c r="BE86" t="s">
        <v>2351</v>
      </c>
      <c r="BI86" t="e">
        <f>VLOOKUP(K86,#REF!,8,FALSE)</f>
        <v>#REF!</v>
      </c>
      <c r="BK86" s="269"/>
      <c r="BN86" s="353" t="s">
        <v>75</v>
      </c>
      <c r="BO86" s="106"/>
      <c r="BP86" s="166">
        <f t="shared" si="74"/>
        <v>1909.44140625</v>
      </c>
      <c r="BQ86" t="s">
        <v>2351</v>
      </c>
      <c r="BS86" s="165"/>
      <c r="BX86" s="495">
        <f t="shared" si="75"/>
        <v>1909.44140625</v>
      </c>
      <c r="BZ86" s="636">
        <f t="shared" si="59"/>
        <v>0</v>
      </c>
      <c r="CA86" s="633">
        <f t="shared" si="60"/>
        <v>0</v>
      </c>
    </row>
    <row r="87" spans="1:79" x14ac:dyDescent="0.2">
      <c r="A87" s="4">
        <v>1</v>
      </c>
      <c r="B87" s="4">
        <v>1</v>
      </c>
      <c r="C87" s="5">
        <f t="shared" si="49"/>
        <v>41201</v>
      </c>
      <c r="D87" s="6">
        <v>41201</v>
      </c>
      <c r="E87" s="6">
        <v>43011</v>
      </c>
      <c r="F87" s="6" t="s">
        <v>1606</v>
      </c>
      <c r="G87" s="7"/>
      <c r="H87" s="7"/>
      <c r="I87" s="33" t="s">
        <v>157</v>
      </c>
      <c r="J87" s="33"/>
      <c r="K87" s="29">
        <v>389088</v>
      </c>
      <c r="L87" s="10" t="s">
        <v>239</v>
      </c>
      <c r="M87" s="10" t="s">
        <v>177</v>
      </c>
      <c r="N87" s="10" t="s">
        <v>252</v>
      </c>
      <c r="O87" s="11" t="s">
        <v>253</v>
      </c>
      <c r="P87" s="12">
        <v>40278</v>
      </c>
      <c r="Q87" s="13">
        <f t="shared" ca="1" si="65"/>
        <v>15.452429842573579</v>
      </c>
      <c r="R87" s="14">
        <v>8</v>
      </c>
      <c r="S87" s="15">
        <v>872</v>
      </c>
      <c r="T87" s="8">
        <v>872</v>
      </c>
      <c r="U87" s="16">
        <v>45017</v>
      </c>
      <c r="V87" s="17">
        <v>1</v>
      </c>
      <c r="W87" s="16">
        <v>45382</v>
      </c>
      <c r="X87" s="14">
        <v>192</v>
      </c>
      <c r="Y87" s="18">
        <f t="shared" si="66"/>
        <v>192</v>
      </c>
      <c r="Z87" s="18">
        <f t="shared" si="55"/>
        <v>1</v>
      </c>
      <c r="AA87" s="18" t="s">
        <v>36</v>
      </c>
      <c r="AB87" s="26">
        <v>25</v>
      </c>
      <c r="AC87" s="26"/>
      <c r="AD87" s="26"/>
      <c r="AE87" s="147" t="str">
        <f t="shared" si="67"/>
        <v>1</v>
      </c>
      <c r="AF87" s="147" t="str">
        <f t="shared" si="68"/>
        <v>0</v>
      </c>
      <c r="AG87" s="147" t="str">
        <f t="shared" si="69"/>
        <v>0</v>
      </c>
      <c r="AH87" s="147" t="str">
        <f t="shared" si="70"/>
        <v>NO</v>
      </c>
      <c r="AI87" s="147" t="str">
        <f t="shared" si="71"/>
        <v>NO</v>
      </c>
      <c r="AJ87" s="147" t="str">
        <f t="shared" si="72"/>
        <v>NO</v>
      </c>
      <c r="AK87" s="147" t="str">
        <f t="shared" si="73"/>
        <v>NO</v>
      </c>
      <c r="AL87" s="21"/>
      <c r="AM87" s="21">
        <f t="shared" si="76"/>
        <v>5819.25</v>
      </c>
      <c r="AN87" s="27" t="s">
        <v>254</v>
      </c>
      <c r="AO87" s="21">
        <v>1</v>
      </c>
      <c r="AP87" s="21">
        <f t="shared" si="62"/>
        <v>1</v>
      </c>
      <c r="AQ87" s="149">
        <f t="shared" si="61"/>
        <v>5819.25</v>
      </c>
      <c r="AR87" s="21">
        <v>5819.25</v>
      </c>
      <c r="AS87" s="610">
        <v>5819.25</v>
      </c>
      <c r="AT87" s="112">
        <v>5819.25</v>
      </c>
      <c r="AU87" s="4"/>
      <c r="AV87" s="4"/>
      <c r="AW87" s="23" t="e">
        <f>VLOOKUP(K87,#REF!,8,FALSE)</f>
        <v>#REF!</v>
      </c>
      <c r="AX87" s="23" t="e">
        <f>VLOOKUP(K87,#REF!,8,FALSE)</f>
        <v>#REF!</v>
      </c>
      <c r="AY87" s="23" t="e">
        <f>VLOOKUP(K87,#REF!,8,FALSE)</f>
        <v>#REF!</v>
      </c>
      <c r="AZ87" s="4"/>
      <c r="BA87" s="272"/>
      <c r="BB87" s="318">
        <f t="shared" si="63"/>
        <v>0</v>
      </c>
      <c r="BC87" s="269">
        <f t="shared" si="53"/>
        <v>5819.25</v>
      </c>
      <c r="BD87" t="str">
        <f t="shared" si="64"/>
        <v/>
      </c>
      <c r="BP87" s="166">
        <f t="shared" si="74"/>
        <v>5819.25</v>
      </c>
      <c r="BS87" s="165"/>
      <c r="BX87" s="495">
        <f t="shared" si="75"/>
        <v>5819.25</v>
      </c>
      <c r="BZ87" s="636">
        <f t="shared" si="59"/>
        <v>0</v>
      </c>
      <c r="CA87" s="633">
        <f t="shared" si="60"/>
        <v>0</v>
      </c>
    </row>
    <row r="88" spans="1:79" x14ac:dyDescent="0.2">
      <c r="A88" s="4">
        <v>1</v>
      </c>
      <c r="B88" s="4">
        <v>1</v>
      </c>
      <c r="C88" s="5">
        <f t="shared" si="49"/>
        <v>41201</v>
      </c>
      <c r="D88" s="6">
        <v>41201</v>
      </c>
      <c r="E88" s="6">
        <v>43011</v>
      </c>
      <c r="F88" s="6" t="s">
        <v>1606</v>
      </c>
      <c r="G88" s="7"/>
      <c r="H88" s="7"/>
      <c r="I88" s="33" t="s">
        <v>157</v>
      </c>
      <c r="J88" s="33"/>
      <c r="K88" s="29">
        <v>396193</v>
      </c>
      <c r="L88" s="10" t="s">
        <v>239</v>
      </c>
      <c r="M88" s="10" t="s">
        <v>177</v>
      </c>
      <c r="N88" s="10" t="s">
        <v>255</v>
      </c>
      <c r="O88" s="11" t="s">
        <v>256</v>
      </c>
      <c r="P88" s="12">
        <v>40634</v>
      </c>
      <c r="Q88" s="13">
        <f t="shared" ca="1" si="65"/>
        <v>14.477754962354553</v>
      </c>
      <c r="R88" s="14">
        <v>7</v>
      </c>
      <c r="S88" s="15">
        <v>872</v>
      </c>
      <c r="T88" s="8">
        <v>872</v>
      </c>
      <c r="U88" s="16">
        <v>45017</v>
      </c>
      <c r="V88" s="17">
        <v>1</v>
      </c>
      <c r="W88" s="16">
        <v>45382</v>
      </c>
      <c r="X88" s="14">
        <v>192</v>
      </c>
      <c r="Y88" s="18">
        <f t="shared" si="66"/>
        <v>192</v>
      </c>
      <c r="Z88" s="18">
        <f t="shared" si="55"/>
        <v>1</v>
      </c>
      <c r="AA88" s="18" t="s">
        <v>36</v>
      </c>
      <c r="AB88" s="26">
        <v>25</v>
      </c>
      <c r="AC88" s="26"/>
      <c r="AD88" s="26"/>
      <c r="AE88" s="147" t="str">
        <f t="shared" si="67"/>
        <v>1</v>
      </c>
      <c r="AF88" s="147" t="str">
        <f t="shared" si="68"/>
        <v>0</v>
      </c>
      <c r="AG88" s="147" t="str">
        <f t="shared" si="69"/>
        <v>0</v>
      </c>
      <c r="AH88" s="147" t="str">
        <f t="shared" si="70"/>
        <v>NO</v>
      </c>
      <c r="AI88" s="147" t="str">
        <f t="shared" si="71"/>
        <v>NO</v>
      </c>
      <c r="AJ88" s="147" t="str">
        <f t="shared" si="72"/>
        <v>NO</v>
      </c>
      <c r="AK88" s="147" t="str">
        <f t="shared" si="73"/>
        <v>NO</v>
      </c>
      <c r="AL88" s="21"/>
      <c r="AM88" s="21">
        <f t="shared" si="76"/>
        <v>5819.25</v>
      </c>
      <c r="AN88" s="27" t="s">
        <v>37</v>
      </c>
      <c r="AO88" s="21">
        <v>1</v>
      </c>
      <c r="AP88" s="21">
        <f t="shared" si="62"/>
        <v>1</v>
      </c>
      <c r="AQ88" s="149">
        <f t="shared" si="61"/>
        <v>5819.25</v>
      </c>
      <c r="AR88" s="21">
        <v>5819.25</v>
      </c>
      <c r="AS88" s="610">
        <v>5819.25</v>
      </c>
      <c r="AT88" s="112">
        <v>5819.25</v>
      </c>
      <c r="AU88" s="4"/>
      <c r="AV88" s="4"/>
      <c r="AW88" s="23" t="e">
        <f>VLOOKUP(K88,#REF!,8,FALSE)</f>
        <v>#REF!</v>
      </c>
      <c r="AX88" s="23" t="e">
        <f>VLOOKUP(K88,#REF!,8,FALSE)</f>
        <v>#REF!</v>
      </c>
      <c r="AY88" s="23" t="e">
        <f>VLOOKUP(K88,#REF!,8,FALSE)</f>
        <v>#REF!</v>
      </c>
      <c r="AZ88" s="4"/>
      <c r="BA88" s="272"/>
      <c r="BB88" s="318">
        <f t="shared" si="63"/>
        <v>0</v>
      </c>
      <c r="BC88" s="269">
        <f t="shared" si="53"/>
        <v>5819.25</v>
      </c>
      <c r="BD88" t="str">
        <f t="shared" si="64"/>
        <v/>
      </c>
      <c r="BP88" s="166">
        <f t="shared" si="74"/>
        <v>5819.25</v>
      </c>
      <c r="BS88" s="165"/>
      <c r="BX88" s="495">
        <f t="shared" si="75"/>
        <v>5819.25</v>
      </c>
      <c r="BZ88" s="636">
        <f t="shared" si="59"/>
        <v>0</v>
      </c>
      <c r="CA88" s="633">
        <f t="shared" si="60"/>
        <v>0</v>
      </c>
    </row>
    <row r="89" spans="1:79" x14ac:dyDescent="0.2">
      <c r="A89" s="4">
        <v>1</v>
      </c>
      <c r="B89" s="4">
        <v>1</v>
      </c>
      <c r="C89" s="5">
        <f t="shared" si="49"/>
        <v>41201</v>
      </c>
      <c r="D89" s="6">
        <v>41201</v>
      </c>
      <c r="E89" s="6">
        <v>43011</v>
      </c>
      <c r="F89" s="6" t="s">
        <v>1606</v>
      </c>
      <c r="G89" s="7"/>
      <c r="H89" s="7"/>
      <c r="I89" s="33" t="s">
        <v>157</v>
      </c>
      <c r="J89" s="33"/>
      <c r="K89" s="29">
        <v>392590</v>
      </c>
      <c r="L89" s="10" t="s">
        <v>239</v>
      </c>
      <c r="M89" s="10" t="s">
        <v>132</v>
      </c>
      <c r="N89" s="10" t="s">
        <v>257</v>
      </c>
      <c r="O89" s="11" t="s">
        <v>258</v>
      </c>
      <c r="P89" s="12">
        <v>40434</v>
      </c>
      <c r="Q89" s="13">
        <f t="shared" ca="1" si="65"/>
        <v>15.025325119780971</v>
      </c>
      <c r="R89" s="14">
        <v>7</v>
      </c>
      <c r="S89" s="15">
        <v>872</v>
      </c>
      <c r="T89" s="8">
        <v>872</v>
      </c>
      <c r="U89" s="16">
        <v>45017</v>
      </c>
      <c r="V89" s="17">
        <v>1</v>
      </c>
      <c r="W89" s="16">
        <v>45382</v>
      </c>
      <c r="X89" s="14">
        <v>192</v>
      </c>
      <c r="Y89" s="18">
        <f t="shared" si="66"/>
        <v>192</v>
      </c>
      <c r="Z89" s="18">
        <f t="shared" si="55"/>
        <v>1</v>
      </c>
      <c r="AA89" s="18" t="s">
        <v>36</v>
      </c>
      <c r="AB89" s="26">
        <v>25</v>
      </c>
      <c r="AC89" s="26"/>
      <c r="AD89" s="26"/>
      <c r="AE89" s="147" t="str">
        <f t="shared" si="67"/>
        <v>1</v>
      </c>
      <c r="AF89" s="147" t="str">
        <f t="shared" si="68"/>
        <v>0</v>
      </c>
      <c r="AG89" s="147" t="str">
        <f t="shared" si="69"/>
        <v>0</v>
      </c>
      <c r="AH89" s="147" t="str">
        <f t="shared" si="70"/>
        <v>NO</v>
      </c>
      <c r="AI89" s="147" t="str">
        <f t="shared" si="71"/>
        <v>NO</v>
      </c>
      <c r="AJ89" s="147" t="str">
        <f t="shared" si="72"/>
        <v>NO</v>
      </c>
      <c r="AK89" s="147" t="str">
        <f t="shared" si="73"/>
        <v>NO</v>
      </c>
      <c r="AL89" s="21"/>
      <c r="AM89" s="21">
        <f t="shared" si="76"/>
        <v>5819.25</v>
      </c>
      <c r="AN89" s="27" t="s">
        <v>56</v>
      </c>
      <c r="AO89" s="21">
        <v>1</v>
      </c>
      <c r="AP89" s="21">
        <f t="shared" si="62"/>
        <v>1</v>
      </c>
      <c r="AQ89" s="149">
        <f t="shared" si="61"/>
        <v>5819.25</v>
      </c>
      <c r="AR89" s="21">
        <v>5819.25</v>
      </c>
      <c r="AS89" s="610">
        <v>5819.25</v>
      </c>
      <c r="AT89" s="112">
        <v>5819.25</v>
      </c>
      <c r="AU89" s="4"/>
      <c r="AV89" s="4"/>
      <c r="AW89" s="23" t="e">
        <f>VLOOKUP(K89,#REF!,8,FALSE)</f>
        <v>#REF!</v>
      </c>
      <c r="AX89" s="23" t="e">
        <f>VLOOKUP(K89,#REF!,8,FALSE)</f>
        <v>#REF!</v>
      </c>
      <c r="AY89" s="23" t="e">
        <f>VLOOKUP(K89,#REF!,8,FALSE)</f>
        <v>#REF!</v>
      </c>
      <c r="AZ89" s="4"/>
      <c r="BA89" s="272"/>
      <c r="BB89" s="318">
        <f t="shared" si="63"/>
        <v>0</v>
      </c>
      <c r="BC89" s="269">
        <f t="shared" si="53"/>
        <v>5819.25</v>
      </c>
      <c r="BD89" t="str">
        <f t="shared" si="64"/>
        <v/>
      </c>
      <c r="BP89" s="166">
        <f t="shared" si="74"/>
        <v>5819.25</v>
      </c>
      <c r="BS89" s="165"/>
      <c r="BX89" s="495">
        <f t="shared" si="75"/>
        <v>5819.25</v>
      </c>
      <c r="BZ89" s="636">
        <f t="shared" si="59"/>
        <v>0</v>
      </c>
      <c r="CA89" s="633">
        <f t="shared" si="60"/>
        <v>0</v>
      </c>
    </row>
    <row r="90" spans="1:79" x14ac:dyDescent="0.2">
      <c r="A90" s="4">
        <v>1</v>
      </c>
      <c r="B90" s="4">
        <v>1</v>
      </c>
      <c r="C90" s="5">
        <f t="shared" si="49"/>
        <v>41201</v>
      </c>
      <c r="D90" s="6">
        <v>41201</v>
      </c>
      <c r="E90" s="6">
        <v>43011</v>
      </c>
      <c r="F90" s="6" t="s">
        <v>1606</v>
      </c>
      <c r="G90" s="7"/>
      <c r="H90" s="7"/>
      <c r="I90" s="33" t="s">
        <v>157</v>
      </c>
      <c r="J90" s="33"/>
      <c r="K90" s="29">
        <v>368586</v>
      </c>
      <c r="L90" s="10" t="s">
        <v>239</v>
      </c>
      <c r="M90" s="10" t="s">
        <v>259</v>
      </c>
      <c r="N90" s="10" t="s">
        <v>260</v>
      </c>
      <c r="O90" s="11" t="s">
        <v>261</v>
      </c>
      <c r="P90" s="12">
        <v>39105</v>
      </c>
      <c r="Q90" s="13">
        <f t="shared" ca="1" si="65"/>
        <v>18.663928815879533</v>
      </c>
      <c r="R90" s="14">
        <v>11</v>
      </c>
      <c r="S90" s="15">
        <v>872</v>
      </c>
      <c r="T90" s="8">
        <v>872</v>
      </c>
      <c r="U90" s="16">
        <v>45017</v>
      </c>
      <c r="V90" s="17">
        <v>1</v>
      </c>
      <c r="W90" s="16">
        <v>45128</v>
      </c>
      <c r="X90" s="14">
        <v>63</v>
      </c>
      <c r="Y90" s="18">
        <f t="shared" si="66"/>
        <v>63</v>
      </c>
      <c r="Z90" s="18">
        <f t="shared" si="55"/>
        <v>0.328125</v>
      </c>
      <c r="AA90" s="16" t="s">
        <v>166</v>
      </c>
      <c r="AB90" s="26">
        <v>23</v>
      </c>
      <c r="AC90" s="26"/>
      <c r="AD90" s="26"/>
      <c r="AE90" s="147" t="str">
        <f t="shared" si="67"/>
        <v>1</v>
      </c>
      <c r="AF90" s="147" t="str">
        <f t="shared" si="68"/>
        <v>0</v>
      </c>
      <c r="AG90" s="147" t="str">
        <f t="shared" si="69"/>
        <v>0</v>
      </c>
      <c r="AH90" s="147" t="str">
        <f t="shared" si="70"/>
        <v>NO</v>
      </c>
      <c r="AI90" s="147" t="str">
        <f t="shared" si="71"/>
        <v>NO</v>
      </c>
      <c r="AJ90" s="147" t="str">
        <f t="shared" si="72"/>
        <v>NO</v>
      </c>
      <c r="AK90" s="147" t="str">
        <f t="shared" si="73"/>
        <v>NO</v>
      </c>
      <c r="AL90" s="21"/>
      <c r="AM90" s="21">
        <f t="shared" si="76"/>
        <v>4873.7099999999991</v>
      </c>
      <c r="AN90" s="27" t="s">
        <v>185</v>
      </c>
      <c r="AO90" s="21">
        <v>1</v>
      </c>
      <c r="AP90" s="21">
        <f t="shared" si="62"/>
        <v>0.328125</v>
      </c>
      <c r="AQ90" s="149">
        <f t="shared" si="61"/>
        <v>1599.1860937499996</v>
      </c>
      <c r="AR90" s="21">
        <v>1599.1860937499996</v>
      </c>
      <c r="AS90" s="610">
        <v>1599.1860937499996</v>
      </c>
      <c r="AT90" s="112">
        <v>1599.1860937499996</v>
      </c>
      <c r="AU90" s="4"/>
      <c r="AV90" s="4"/>
      <c r="AW90" s="23" t="e">
        <f>VLOOKUP(K90,#REF!,8,FALSE)</f>
        <v>#REF!</v>
      </c>
      <c r="AX90" s="23" t="e">
        <f>VLOOKUP(K90,#REF!,8,FALSE)</f>
        <v>#REF!</v>
      </c>
      <c r="AY90" s="266" t="s">
        <v>2235</v>
      </c>
      <c r="AZ90" s="268" t="s">
        <v>75</v>
      </c>
      <c r="BA90" s="274">
        <f>AM90/3*2</f>
        <v>3249.1399999999994</v>
      </c>
      <c r="BB90" s="318">
        <f t="shared" si="63"/>
        <v>0</v>
      </c>
      <c r="BC90" s="269">
        <f t="shared" si="53"/>
        <v>1599.1860937499996</v>
      </c>
      <c r="BD90" t="e">
        <f t="shared" si="64"/>
        <v>#REF!</v>
      </c>
      <c r="BE90" t="s">
        <v>2351</v>
      </c>
      <c r="BI90" t="e">
        <f>VLOOKUP(K90,#REF!,8,FALSE)</f>
        <v>#REF!</v>
      </c>
      <c r="BK90" s="269"/>
      <c r="BN90" s="353" t="s">
        <v>75</v>
      </c>
      <c r="BO90" s="106"/>
      <c r="BP90" s="166">
        <f t="shared" si="74"/>
        <v>1599.1860937499996</v>
      </c>
      <c r="BQ90" t="s">
        <v>2351</v>
      </c>
      <c r="BS90" s="165"/>
      <c r="BX90" s="495">
        <f t="shared" si="75"/>
        <v>1599.1860937499996</v>
      </c>
      <c r="BZ90" s="636">
        <f t="shared" si="59"/>
        <v>0</v>
      </c>
      <c r="CA90" s="633">
        <f t="shared" si="60"/>
        <v>0</v>
      </c>
    </row>
    <row r="91" spans="1:79" x14ac:dyDescent="0.2">
      <c r="A91" s="4">
        <v>1</v>
      </c>
      <c r="B91" s="4">
        <v>1</v>
      </c>
      <c r="C91" s="5">
        <f t="shared" si="49"/>
        <v>41201</v>
      </c>
      <c r="D91" s="6">
        <v>41201</v>
      </c>
      <c r="E91" s="6">
        <v>43011</v>
      </c>
      <c r="F91" s="6" t="s">
        <v>1606</v>
      </c>
      <c r="G91" s="7"/>
      <c r="H91" s="7"/>
      <c r="I91" s="33" t="s">
        <v>157</v>
      </c>
      <c r="J91" s="33"/>
      <c r="K91" s="29">
        <v>415257</v>
      </c>
      <c r="L91" s="10" t="s">
        <v>239</v>
      </c>
      <c r="M91" s="10" t="s">
        <v>262</v>
      </c>
      <c r="N91" s="10" t="s">
        <v>263</v>
      </c>
      <c r="O91" s="11" t="s">
        <v>264</v>
      </c>
      <c r="P91" s="12">
        <v>39741</v>
      </c>
      <c r="Q91" s="13">
        <f t="shared" ca="1" si="65"/>
        <v>16.922655715263517</v>
      </c>
      <c r="R91" s="14">
        <v>9</v>
      </c>
      <c r="S91" s="15">
        <v>872</v>
      </c>
      <c r="T91" s="8">
        <v>872</v>
      </c>
      <c r="U91" s="16">
        <v>45017</v>
      </c>
      <c r="V91" s="17">
        <v>1</v>
      </c>
      <c r="W91" s="16">
        <v>45382</v>
      </c>
      <c r="X91" s="14">
        <v>192</v>
      </c>
      <c r="Y91" s="18">
        <f t="shared" si="66"/>
        <v>192</v>
      </c>
      <c r="Z91" s="18">
        <f t="shared" si="55"/>
        <v>1</v>
      </c>
      <c r="AA91" s="18" t="s">
        <v>36</v>
      </c>
      <c r="AB91" s="38">
        <v>30</v>
      </c>
      <c r="AC91" s="38"/>
      <c r="AD91" s="38"/>
      <c r="AE91" s="147" t="str">
        <f t="shared" si="67"/>
        <v>0</v>
      </c>
      <c r="AF91" s="147" t="str">
        <f t="shared" si="68"/>
        <v>1</v>
      </c>
      <c r="AG91" s="147" t="str">
        <f t="shared" si="69"/>
        <v>0</v>
      </c>
      <c r="AH91" s="147" t="str">
        <f t="shared" si="70"/>
        <v>NO</v>
      </c>
      <c r="AI91" s="147" t="str">
        <f t="shared" si="71"/>
        <v>NO</v>
      </c>
      <c r="AJ91" s="147" t="str">
        <f t="shared" si="72"/>
        <v>NO</v>
      </c>
      <c r="AK91" s="147" t="str">
        <f t="shared" si="73"/>
        <v>NO</v>
      </c>
      <c r="AL91" s="21"/>
      <c r="AM91" s="21">
        <f t="shared" si="76"/>
        <v>8183.0999999999985</v>
      </c>
      <c r="AN91" s="27" t="s">
        <v>66</v>
      </c>
      <c r="AO91" s="21">
        <v>1</v>
      </c>
      <c r="AP91" s="21">
        <f t="shared" si="62"/>
        <v>1</v>
      </c>
      <c r="AQ91" s="149">
        <f t="shared" si="61"/>
        <v>8183.0999999999985</v>
      </c>
      <c r="AR91" s="21">
        <v>8183.0999999999985</v>
      </c>
      <c r="AS91" s="610">
        <v>8183.0999999999985</v>
      </c>
      <c r="AT91" s="112">
        <v>8183.0999999999985</v>
      </c>
      <c r="AU91" s="4"/>
      <c r="AV91" s="4"/>
      <c r="AW91" s="23" t="e">
        <f>VLOOKUP(K91,#REF!,8,FALSE)</f>
        <v>#REF!</v>
      </c>
      <c r="AX91" s="23" t="e">
        <f>VLOOKUP(K91,#REF!,8,FALSE)</f>
        <v>#REF!</v>
      </c>
      <c r="AY91" s="23" t="e">
        <f>VLOOKUP(K91,#REF!,8,FALSE)</f>
        <v>#REF!</v>
      </c>
      <c r="AZ91" s="4"/>
      <c r="BA91" s="272"/>
      <c r="BB91" s="318">
        <f t="shared" si="63"/>
        <v>0</v>
      </c>
      <c r="BC91" s="269">
        <f t="shared" si="53"/>
        <v>8183.0999999999985</v>
      </c>
      <c r="BD91" t="str">
        <f t="shared" si="64"/>
        <v/>
      </c>
      <c r="BP91" s="166">
        <f t="shared" si="74"/>
        <v>8183.0999999999985</v>
      </c>
      <c r="BS91" s="165"/>
      <c r="BX91" s="495">
        <f t="shared" si="75"/>
        <v>8183.0999999999985</v>
      </c>
      <c r="BZ91" s="636">
        <f t="shared" si="59"/>
        <v>0</v>
      </c>
      <c r="CA91" s="633">
        <f t="shared" si="60"/>
        <v>0</v>
      </c>
    </row>
    <row r="92" spans="1:79" x14ac:dyDescent="0.2">
      <c r="A92" s="4">
        <v>1</v>
      </c>
      <c r="B92" s="4">
        <v>1</v>
      </c>
      <c r="C92" s="5">
        <f t="shared" si="49"/>
        <v>41201</v>
      </c>
      <c r="D92" s="6">
        <v>41201</v>
      </c>
      <c r="E92" s="6">
        <v>43011</v>
      </c>
      <c r="F92" s="6" t="s">
        <v>1606</v>
      </c>
      <c r="G92" s="7"/>
      <c r="H92" s="7"/>
      <c r="I92" s="33" t="s">
        <v>157</v>
      </c>
      <c r="J92" s="33"/>
      <c r="K92" s="29">
        <v>373230</v>
      </c>
      <c r="L92" s="10" t="s">
        <v>239</v>
      </c>
      <c r="M92" s="10" t="s">
        <v>265</v>
      </c>
      <c r="N92" s="10" t="s">
        <v>266</v>
      </c>
      <c r="O92" s="11" t="s">
        <v>267</v>
      </c>
      <c r="P92" s="12">
        <v>39364</v>
      </c>
      <c r="Q92" s="13">
        <f t="shared" ca="1" si="65"/>
        <v>17.95482546201232</v>
      </c>
      <c r="R92" s="14">
        <v>10</v>
      </c>
      <c r="S92" s="15">
        <v>872</v>
      </c>
      <c r="T92" s="8">
        <v>872</v>
      </c>
      <c r="U92" s="16">
        <v>45017</v>
      </c>
      <c r="V92" s="17">
        <v>1</v>
      </c>
      <c r="W92" s="16">
        <v>45382</v>
      </c>
      <c r="X92" s="14">
        <v>192</v>
      </c>
      <c r="Y92" s="18">
        <f t="shared" si="66"/>
        <v>192</v>
      </c>
      <c r="Z92" s="18">
        <f t="shared" si="55"/>
        <v>1</v>
      </c>
      <c r="AA92" s="18" t="s">
        <v>36</v>
      </c>
      <c r="AB92" s="26">
        <v>23</v>
      </c>
      <c r="AC92" s="26"/>
      <c r="AD92" s="26"/>
      <c r="AE92" s="147" t="str">
        <f t="shared" si="67"/>
        <v>1</v>
      </c>
      <c r="AF92" s="147" t="str">
        <f t="shared" si="68"/>
        <v>0</v>
      </c>
      <c r="AG92" s="147" t="str">
        <f t="shared" si="69"/>
        <v>0</v>
      </c>
      <c r="AH92" s="147" t="str">
        <f t="shared" si="70"/>
        <v>NO</v>
      </c>
      <c r="AI92" s="147" t="str">
        <f t="shared" si="71"/>
        <v>NO</v>
      </c>
      <c r="AJ92" s="147" t="str">
        <f t="shared" si="72"/>
        <v>NO</v>
      </c>
      <c r="AK92" s="147" t="str">
        <f t="shared" si="73"/>
        <v>NO</v>
      </c>
      <c r="AL92" s="21"/>
      <c r="AM92" s="21">
        <f t="shared" si="76"/>
        <v>4873.7099999999991</v>
      </c>
      <c r="AN92" s="27" t="s">
        <v>43</v>
      </c>
      <c r="AO92" s="21">
        <v>1</v>
      </c>
      <c r="AP92" s="21">
        <f t="shared" si="62"/>
        <v>1</v>
      </c>
      <c r="AQ92" s="149">
        <f t="shared" si="61"/>
        <v>4873.7099999999991</v>
      </c>
      <c r="AR92" s="21">
        <v>4873.7099999999991</v>
      </c>
      <c r="AS92" s="610">
        <v>4873.7099999999991</v>
      </c>
      <c r="AT92" s="112">
        <v>4873.7099999999991</v>
      </c>
      <c r="AU92" s="4"/>
      <c r="AV92" s="4"/>
      <c r="AW92" s="23" t="e">
        <f>VLOOKUP(K92,#REF!,8,FALSE)</f>
        <v>#REF!</v>
      </c>
      <c r="AX92" s="23" t="e">
        <f>VLOOKUP(K92,#REF!,8,FALSE)</f>
        <v>#REF!</v>
      </c>
      <c r="AY92" s="23" t="e">
        <f>VLOOKUP(K92,#REF!,8,FALSE)</f>
        <v>#REF!</v>
      </c>
      <c r="AZ92" s="4"/>
      <c r="BA92" s="272"/>
      <c r="BB92" s="318">
        <f t="shared" si="63"/>
        <v>0</v>
      </c>
      <c r="BC92" s="269">
        <f t="shared" si="53"/>
        <v>4873.7099999999991</v>
      </c>
      <c r="BD92" t="str">
        <f t="shared" si="64"/>
        <v/>
      </c>
      <c r="BE92" t="s">
        <v>2351</v>
      </c>
      <c r="BP92" s="166">
        <f t="shared" si="74"/>
        <v>4873.7099999999991</v>
      </c>
      <c r="BS92" s="165"/>
      <c r="BX92" s="495">
        <f t="shared" si="75"/>
        <v>4873.7099999999991</v>
      </c>
      <c r="BZ92" s="636">
        <f t="shared" si="59"/>
        <v>0</v>
      </c>
      <c r="CA92" s="633">
        <f t="shared" si="60"/>
        <v>0</v>
      </c>
    </row>
    <row r="93" spans="1:79" x14ac:dyDescent="0.2">
      <c r="A93" s="4">
        <v>1</v>
      </c>
      <c r="B93" s="4">
        <v>1</v>
      </c>
      <c r="C93" s="5">
        <f t="shared" si="49"/>
        <v>41201</v>
      </c>
      <c r="D93" s="6">
        <v>41201</v>
      </c>
      <c r="E93" s="6">
        <v>43011</v>
      </c>
      <c r="F93" s="6" t="s">
        <v>1606</v>
      </c>
      <c r="G93" s="7"/>
      <c r="H93" s="7"/>
      <c r="I93" s="33" t="s">
        <v>157</v>
      </c>
      <c r="J93" s="33"/>
      <c r="K93" s="29">
        <v>372046</v>
      </c>
      <c r="L93" s="10" t="s">
        <v>239</v>
      </c>
      <c r="M93" s="10" t="s">
        <v>268</v>
      </c>
      <c r="N93" s="10" t="s">
        <v>269</v>
      </c>
      <c r="O93" s="11" t="str">
        <f>M93&amp;N93</f>
        <v>KielanSampson</v>
      </c>
      <c r="P93" s="12">
        <v>38987</v>
      </c>
      <c r="Q93" s="13">
        <f t="shared" ca="1" si="65"/>
        <v>18.986995208761122</v>
      </c>
      <c r="R93" s="14">
        <v>11</v>
      </c>
      <c r="S93" s="15">
        <v>872</v>
      </c>
      <c r="T93" s="8">
        <v>872</v>
      </c>
      <c r="U93" s="16">
        <v>45017</v>
      </c>
      <c r="V93" s="17">
        <v>1</v>
      </c>
      <c r="W93" s="16">
        <v>45128</v>
      </c>
      <c r="X93" s="14">
        <v>63</v>
      </c>
      <c r="Y93" s="18">
        <f t="shared" si="66"/>
        <v>63</v>
      </c>
      <c r="Z93" s="18">
        <f t="shared" si="55"/>
        <v>0.328125</v>
      </c>
      <c r="AA93" s="16" t="s">
        <v>166</v>
      </c>
      <c r="AB93" s="26">
        <v>25</v>
      </c>
      <c r="AC93" s="26"/>
      <c r="AD93" s="26"/>
      <c r="AE93" s="147" t="str">
        <f t="shared" si="67"/>
        <v>1</v>
      </c>
      <c r="AF93" s="147" t="str">
        <f t="shared" si="68"/>
        <v>0</v>
      </c>
      <c r="AG93" s="147" t="str">
        <f t="shared" si="69"/>
        <v>0</v>
      </c>
      <c r="AH93" s="147" t="str">
        <f t="shared" si="70"/>
        <v>NO</v>
      </c>
      <c r="AI93" s="147" t="str">
        <f t="shared" si="71"/>
        <v>NO</v>
      </c>
      <c r="AJ93" s="147" t="str">
        <f t="shared" si="72"/>
        <v>NO</v>
      </c>
      <c r="AK93" s="147" t="str">
        <f t="shared" si="73"/>
        <v>NO</v>
      </c>
      <c r="AL93" s="21"/>
      <c r="AM93" s="21">
        <f t="shared" si="76"/>
        <v>5819.25</v>
      </c>
      <c r="AN93" s="27" t="s">
        <v>43</v>
      </c>
      <c r="AO93" s="21">
        <v>1</v>
      </c>
      <c r="AP93" s="21">
        <f t="shared" si="62"/>
        <v>0.328125</v>
      </c>
      <c r="AQ93" s="149">
        <f t="shared" si="61"/>
        <v>1909.44140625</v>
      </c>
      <c r="AR93" s="21">
        <v>1909.44140625</v>
      </c>
      <c r="AS93" s="610">
        <v>1909.44140625</v>
      </c>
      <c r="AT93" s="112">
        <v>1909.44140625</v>
      </c>
      <c r="AU93" s="4"/>
      <c r="AV93" s="4"/>
      <c r="AW93" s="23" t="e">
        <f>VLOOKUP(K93,#REF!,8,FALSE)</f>
        <v>#REF!</v>
      </c>
      <c r="AX93" s="23" t="e">
        <f>VLOOKUP(K93,#REF!,8,FALSE)</f>
        <v>#REF!</v>
      </c>
      <c r="AY93" s="266" t="s">
        <v>2235</v>
      </c>
      <c r="AZ93" s="268" t="s">
        <v>75</v>
      </c>
      <c r="BA93" s="274">
        <f>AM93/3*2</f>
        <v>3879.5</v>
      </c>
      <c r="BB93" s="318">
        <f t="shared" si="63"/>
        <v>0</v>
      </c>
      <c r="BC93" s="269">
        <f t="shared" si="53"/>
        <v>1909.44140625</v>
      </c>
      <c r="BD93" t="e">
        <f t="shared" si="64"/>
        <v>#REF!</v>
      </c>
      <c r="BE93" t="s">
        <v>2351</v>
      </c>
      <c r="BI93" t="e">
        <f>VLOOKUP(K93,#REF!,8,FALSE)</f>
        <v>#REF!</v>
      </c>
      <c r="BK93" s="269"/>
      <c r="BN93" s="353" t="s">
        <v>75</v>
      </c>
      <c r="BO93" s="106"/>
      <c r="BP93" s="166">
        <f t="shared" si="74"/>
        <v>1909.44140625</v>
      </c>
      <c r="BQ93" t="s">
        <v>2351</v>
      </c>
      <c r="BS93" s="165"/>
      <c r="BX93" s="495">
        <f t="shared" si="75"/>
        <v>1909.44140625</v>
      </c>
      <c r="BZ93" s="636">
        <f t="shared" si="59"/>
        <v>0</v>
      </c>
      <c r="CA93" s="633">
        <f t="shared" si="60"/>
        <v>0</v>
      </c>
    </row>
    <row r="94" spans="1:79" x14ac:dyDescent="0.2">
      <c r="A94" s="4">
        <v>1</v>
      </c>
      <c r="B94" s="4">
        <v>1</v>
      </c>
      <c r="C94" s="5">
        <f t="shared" si="49"/>
        <v>41201</v>
      </c>
      <c r="D94" s="6">
        <v>41201</v>
      </c>
      <c r="E94" s="6">
        <v>43011</v>
      </c>
      <c r="F94" s="6" t="s">
        <v>1606</v>
      </c>
      <c r="G94" s="7"/>
      <c r="H94" s="7"/>
      <c r="I94" s="33" t="s">
        <v>270</v>
      </c>
      <c r="J94" s="33"/>
      <c r="K94" s="29">
        <v>358533</v>
      </c>
      <c r="L94" s="10" t="s">
        <v>239</v>
      </c>
      <c r="M94" s="10" t="s">
        <v>271</v>
      </c>
      <c r="N94" s="10" t="s">
        <v>272</v>
      </c>
      <c r="O94" s="11" t="s">
        <v>273</v>
      </c>
      <c r="P94" s="12">
        <v>38478</v>
      </c>
      <c r="Q94" s="13">
        <f t="shared" ca="1" si="65"/>
        <v>20.380561259411362</v>
      </c>
      <c r="R94" s="14">
        <v>13</v>
      </c>
      <c r="S94" s="15">
        <v>872</v>
      </c>
      <c r="T94" s="8">
        <v>872</v>
      </c>
      <c r="U94" s="16">
        <v>45017</v>
      </c>
      <c r="V94" s="17">
        <v>1</v>
      </c>
      <c r="W94" s="16">
        <v>45128</v>
      </c>
      <c r="X94" s="14">
        <v>63</v>
      </c>
      <c r="Y94" s="18">
        <f t="shared" si="66"/>
        <v>63</v>
      </c>
      <c r="Z94" s="18">
        <f t="shared" si="55"/>
        <v>0.328125</v>
      </c>
      <c r="AA94" s="16" t="s">
        <v>270</v>
      </c>
      <c r="AB94" s="26">
        <v>30</v>
      </c>
      <c r="AC94" s="26"/>
      <c r="AD94" s="26"/>
      <c r="AE94" s="147" t="str">
        <f t="shared" si="67"/>
        <v>0</v>
      </c>
      <c r="AF94" s="147" t="str">
        <f t="shared" si="68"/>
        <v>1</v>
      </c>
      <c r="AG94" s="147" t="str">
        <f t="shared" si="69"/>
        <v>0</v>
      </c>
      <c r="AH94" s="147" t="str">
        <f t="shared" si="70"/>
        <v>NO</v>
      </c>
      <c r="AI94" s="147" t="str">
        <f t="shared" si="71"/>
        <v>NO</v>
      </c>
      <c r="AJ94" s="147" t="str">
        <f t="shared" si="72"/>
        <v>NO</v>
      </c>
      <c r="AK94" s="147" t="str">
        <f t="shared" si="73"/>
        <v>NO</v>
      </c>
      <c r="AL94" s="21"/>
      <c r="AM94" s="21">
        <f t="shared" si="76"/>
        <v>8183.0999999999985</v>
      </c>
      <c r="AN94" s="27" t="s">
        <v>56</v>
      </c>
      <c r="AO94" s="21">
        <v>1</v>
      </c>
      <c r="AP94" s="21">
        <f t="shared" si="62"/>
        <v>0.328125</v>
      </c>
      <c r="AQ94" s="149">
        <f t="shared" si="61"/>
        <v>2685.0796874999996</v>
      </c>
      <c r="AR94" s="21">
        <v>2685.0796874999996</v>
      </c>
      <c r="AS94" s="610">
        <v>2685.0796874999996</v>
      </c>
      <c r="AT94" s="112">
        <v>2685.0796874999996</v>
      </c>
      <c r="AU94" s="4"/>
      <c r="AV94" s="4"/>
      <c r="AW94" s="23" t="e">
        <f>VLOOKUP(K94,#REF!,8,FALSE)</f>
        <v>#REF!</v>
      </c>
      <c r="AX94" s="23" t="e">
        <f>VLOOKUP(K94,#REF!,8,FALSE)</f>
        <v>#REF!</v>
      </c>
      <c r="AY94" s="23" t="e">
        <f>VLOOKUP(K94,#REF!,8,FALSE)</f>
        <v>#REF!</v>
      </c>
      <c r="AZ94" s="4"/>
      <c r="BA94" s="272"/>
      <c r="BB94" s="318">
        <f t="shared" si="63"/>
        <v>0</v>
      </c>
      <c r="BC94" s="269">
        <f t="shared" si="53"/>
        <v>2685.0796874999996</v>
      </c>
      <c r="BD94" s="110" t="s">
        <v>2405</v>
      </c>
      <c r="BJ94">
        <f>AB94</f>
        <v>30</v>
      </c>
      <c r="BK94" s="269">
        <f>AM94</f>
        <v>8183.0999999999985</v>
      </c>
      <c r="BO94" s="106">
        <f>BK94/192*127</f>
        <v>5412.7796874999985</v>
      </c>
      <c r="BP94" s="166">
        <f t="shared" si="74"/>
        <v>8097.8593749999982</v>
      </c>
      <c r="BS94" s="165"/>
      <c r="BX94" s="495">
        <f t="shared" si="75"/>
        <v>8097.8593749999982</v>
      </c>
      <c r="BZ94" s="636">
        <f t="shared" si="59"/>
        <v>0</v>
      </c>
      <c r="CA94" s="633">
        <f t="shared" si="60"/>
        <v>5412.7796874999985</v>
      </c>
    </row>
    <row r="95" spans="1:79" x14ac:dyDescent="0.2">
      <c r="A95" s="4">
        <v>1</v>
      </c>
      <c r="B95" s="4">
        <v>1</v>
      </c>
      <c r="C95" s="5">
        <f t="shared" ref="C95:C158" si="77">D95*1</f>
        <v>41201</v>
      </c>
      <c r="D95" s="6">
        <v>41201</v>
      </c>
      <c r="E95" s="6">
        <v>43011</v>
      </c>
      <c r="F95" s="6" t="s">
        <v>1606</v>
      </c>
      <c r="G95" s="7"/>
      <c r="H95" s="7"/>
      <c r="I95" s="33" t="s">
        <v>157</v>
      </c>
      <c r="J95" s="33"/>
      <c r="K95" s="29">
        <v>376892</v>
      </c>
      <c r="L95" s="10" t="s">
        <v>239</v>
      </c>
      <c r="M95" s="10" t="s">
        <v>274</v>
      </c>
      <c r="N95" s="10" t="s">
        <v>260</v>
      </c>
      <c r="O95" s="11" t="s">
        <v>275</v>
      </c>
      <c r="P95" s="12">
        <v>39553</v>
      </c>
      <c r="Q95" s="13">
        <f t="shared" ca="1" si="65"/>
        <v>17.437371663244353</v>
      </c>
      <c r="R95" s="14">
        <v>10</v>
      </c>
      <c r="S95" s="15">
        <v>872</v>
      </c>
      <c r="T95" s="8">
        <v>872</v>
      </c>
      <c r="U95" s="16">
        <v>45033</v>
      </c>
      <c r="V95" s="17">
        <v>2</v>
      </c>
      <c r="W95" s="16">
        <v>45382</v>
      </c>
      <c r="X95" s="14">
        <v>192</v>
      </c>
      <c r="Y95" s="18">
        <f t="shared" si="66"/>
        <v>191</v>
      </c>
      <c r="Z95" s="18">
        <v>1</v>
      </c>
      <c r="AA95" s="16">
        <v>45504</v>
      </c>
      <c r="AB95" s="26">
        <v>4000</v>
      </c>
      <c r="AC95" s="26"/>
      <c r="AD95" s="26"/>
      <c r="AE95" s="147" t="str">
        <f t="shared" si="67"/>
        <v>0</v>
      </c>
      <c r="AF95" s="147" t="str">
        <f t="shared" si="68"/>
        <v>0</v>
      </c>
      <c r="AG95" s="147" t="str">
        <f t="shared" si="69"/>
        <v>1</v>
      </c>
      <c r="AH95" s="147" t="str">
        <f t="shared" si="70"/>
        <v>NO</v>
      </c>
      <c r="AI95" s="147" t="str">
        <f t="shared" si="71"/>
        <v>NO</v>
      </c>
      <c r="AJ95" s="147" t="str">
        <f t="shared" si="72"/>
        <v>NO</v>
      </c>
      <c r="AK95" s="147" t="str">
        <f t="shared" si="73"/>
        <v>NO</v>
      </c>
      <c r="AL95" s="21"/>
      <c r="AM95" s="21">
        <v>4000</v>
      </c>
      <c r="AN95" s="27" t="s">
        <v>128</v>
      </c>
      <c r="AO95" s="21">
        <v>1</v>
      </c>
      <c r="AP95" s="21">
        <f t="shared" si="62"/>
        <v>1</v>
      </c>
      <c r="AQ95" s="149">
        <f t="shared" si="61"/>
        <v>4000</v>
      </c>
      <c r="AR95" s="21">
        <v>4000</v>
      </c>
      <c r="AS95" s="610">
        <v>0</v>
      </c>
      <c r="AT95" s="112">
        <v>4000</v>
      </c>
      <c r="AU95" s="4"/>
      <c r="AV95" s="4"/>
      <c r="AW95" s="23" t="e">
        <f>VLOOKUP(K95,#REF!,8,FALSE)</f>
        <v>#REF!</v>
      </c>
      <c r="AX95" s="23" t="e">
        <f>VLOOKUP(K95,#REF!,8,FALSE)</f>
        <v>#REF!</v>
      </c>
      <c r="AY95" s="23" t="e">
        <f>VLOOKUP(K95,#REF!,8,FALSE)</f>
        <v>#REF!</v>
      </c>
      <c r="AZ95" s="4"/>
      <c r="BA95" s="272"/>
      <c r="BB95" s="318">
        <f t="shared" si="63"/>
        <v>0</v>
      </c>
      <c r="BC95" s="269">
        <f t="shared" si="53"/>
        <v>4000</v>
      </c>
      <c r="BD95" t="str">
        <f t="shared" ref="BD95:BD106" si="78">BG95&amp;BH95&amp;BI95</f>
        <v/>
      </c>
      <c r="BP95" s="166">
        <f t="shared" si="74"/>
        <v>4000</v>
      </c>
      <c r="BS95" s="165"/>
      <c r="BX95" s="495">
        <f t="shared" si="75"/>
        <v>4000</v>
      </c>
      <c r="BZ95" s="636">
        <f t="shared" si="59"/>
        <v>0</v>
      </c>
      <c r="CA95" s="633">
        <f t="shared" si="60"/>
        <v>4000</v>
      </c>
    </row>
    <row r="96" spans="1:79" x14ac:dyDescent="0.2">
      <c r="A96" s="4">
        <v>1</v>
      </c>
      <c r="B96" s="4">
        <v>1</v>
      </c>
      <c r="C96" s="5">
        <f t="shared" si="77"/>
        <v>41201</v>
      </c>
      <c r="D96" s="6">
        <v>41201</v>
      </c>
      <c r="E96" s="6">
        <v>43011</v>
      </c>
      <c r="F96" s="6" t="s">
        <v>1606</v>
      </c>
      <c r="G96" s="7"/>
      <c r="H96" s="7"/>
      <c r="I96" s="33" t="s">
        <v>157</v>
      </c>
      <c r="J96" s="33"/>
      <c r="K96" s="29">
        <v>396465</v>
      </c>
      <c r="L96" s="10" t="s">
        <v>239</v>
      </c>
      <c r="M96" s="10" t="s">
        <v>276</v>
      </c>
      <c r="N96" s="10" t="s">
        <v>277</v>
      </c>
      <c r="O96" s="11" t="s">
        <v>278</v>
      </c>
      <c r="P96" s="12">
        <v>40548</v>
      </c>
      <c r="Q96" s="13">
        <f t="shared" ca="1" si="65"/>
        <v>14.713210130047912</v>
      </c>
      <c r="R96" s="14">
        <v>7</v>
      </c>
      <c r="S96" s="15">
        <v>872</v>
      </c>
      <c r="T96" s="8">
        <v>872</v>
      </c>
      <c r="U96" s="16">
        <v>45017</v>
      </c>
      <c r="V96" s="17">
        <v>1</v>
      </c>
      <c r="W96" s="16">
        <v>45382</v>
      </c>
      <c r="X96" s="14">
        <v>192</v>
      </c>
      <c r="Y96" s="18">
        <f t="shared" si="66"/>
        <v>192</v>
      </c>
      <c r="Z96" s="18">
        <f t="shared" ref="Z96:Z109" si="79">Y96/192</f>
        <v>1</v>
      </c>
      <c r="AA96" s="18" t="s">
        <v>36</v>
      </c>
      <c r="AB96" s="26">
        <v>30</v>
      </c>
      <c r="AC96" s="26"/>
      <c r="AD96" s="26"/>
      <c r="AE96" s="147" t="str">
        <f t="shared" si="67"/>
        <v>0</v>
      </c>
      <c r="AF96" s="147" t="str">
        <f t="shared" si="68"/>
        <v>1</v>
      </c>
      <c r="AG96" s="147" t="str">
        <f t="shared" si="69"/>
        <v>0</v>
      </c>
      <c r="AH96" s="147" t="str">
        <f t="shared" si="70"/>
        <v>NO</v>
      </c>
      <c r="AI96" s="147" t="str">
        <f t="shared" si="71"/>
        <v>NO</v>
      </c>
      <c r="AJ96" s="147" t="str">
        <f t="shared" si="72"/>
        <v>NO</v>
      </c>
      <c r="AK96" s="147" t="str">
        <f t="shared" si="73"/>
        <v>NO</v>
      </c>
      <c r="AL96" s="21"/>
      <c r="AM96" s="21">
        <f t="shared" ref="AM96:AM104" si="80">IF(H96="Y",AL96,((AB96*$O$902)-6000))</f>
        <v>8183.0999999999985</v>
      </c>
      <c r="AN96" s="27" t="s">
        <v>56</v>
      </c>
      <c r="AO96" s="21">
        <v>1</v>
      </c>
      <c r="AP96" s="21">
        <f t="shared" si="62"/>
        <v>1</v>
      </c>
      <c r="AQ96" s="149">
        <f t="shared" si="61"/>
        <v>8183.0999999999985</v>
      </c>
      <c r="AR96" s="21">
        <v>8183.0999999999985</v>
      </c>
      <c r="AS96" s="610">
        <v>8183.0999999999985</v>
      </c>
      <c r="AT96" s="112">
        <v>8183.0999999999985</v>
      </c>
      <c r="AU96" s="4"/>
      <c r="AV96" s="4"/>
      <c r="AW96" s="23" t="e">
        <f>VLOOKUP(K96,#REF!,8,FALSE)</f>
        <v>#REF!</v>
      </c>
      <c r="AX96" s="23" t="e">
        <f>VLOOKUP(K96,#REF!,8,FALSE)</f>
        <v>#REF!</v>
      </c>
      <c r="AY96" s="23" t="e">
        <f>VLOOKUP(K96,#REF!,8,FALSE)</f>
        <v>#REF!</v>
      </c>
      <c r="AZ96" s="4"/>
      <c r="BA96" s="272"/>
      <c r="BB96" s="318">
        <f t="shared" si="63"/>
        <v>0</v>
      </c>
      <c r="BC96" s="269">
        <f t="shared" si="53"/>
        <v>8183.0999999999985</v>
      </c>
      <c r="BD96" t="str">
        <f t="shared" si="78"/>
        <v/>
      </c>
      <c r="BP96" s="166">
        <f t="shared" si="74"/>
        <v>8183.0999999999985</v>
      </c>
      <c r="BS96" s="165"/>
      <c r="BX96" s="495">
        <f t="shared" si="75"/>
        <v>8183.0999999999985</v>
      </c>
      <c r="BZ96" s="636">
        <f t="shared" si="59"/>
        <v>0</v>
      </c>
      <c r="CA96" s="633">
        <f t="shared" si="60"/>
        <v>0</v>
      </c>
    </row>
    <row r="97" spans="1:80" x14ac:dyDescent="0.2">
      <c r="A97" s="4">
        <v>1</v>
      </c>
      <c r="B97" s="4">
        <v>1</v>
      </c>
      <c r="C97" s="5">
        <f t="shared" si="77"/>
        <v>41201</v>
      </c>
      <c r="D97" s="6">
        <v>41201</v>
      </c>
      <c r="E97" s="6">
        <v>43011</v>
      </c>
      <c r="F97" s="6" t="s">
        <v>1606</v>
      </c>
      <c r="G97" s="7"/>
      <c r="H97" s="7"/>
      <c r="I97" s="33" t="s">
        <v>157</v>
      </c>
      <c r="J97" s="33"/>
      <c r="K97" s="29">
        <v>402367</v>
      </c>
      <c r="L97" s="10" t="s">
        <v>239</v>
      </c>
      <c r="M97" s="10" t="s">
        <v>279</v>
      </c>
      <c r="N97" s="10" t="s">
        <v>280</v>
      </c>
      <c r="O97" s="11" t="s">
        <v>281</v>
      </c>
      <c r="P97" s="12">
        <v>39084</v>
      </c>
      <c r="Q97" s="13">
        <f t="shared" ca="1" si="65"/>
        <v>18.721423682409309</v>
      </c>
      <c r="R97" s="14">
        <v>11</v>
      </c>
      <c r="S97" s="15">
        <v>872</v>
      </c>
      <c r="T97" s="8">
        <v>872</v>
      </c>
      <c r="U97" s="16">
        <v>45017</v>
      </c>
      <c r="V97" s="17">
        <v>1</v>
      </c>
      <c r="W97" s="16">
        <v>45128</v>
      </c>
      <c r="X97" s="14">
        <v>63</v>
      </c>
      <c r="Y97" s="18">
        <f t="shared" si="66"/>
        <v>63</v>
      </c>
      <c r="Z97" s="18">
        <f t="shared" si="79"/>
        <v>0.328125</v>
      </c>
      <c r="AA97" s="16" t="s">
        <v>166</v>
      </c>
      <c r="AB97" s="26">
        <v>25</v>
      </c>
      <c r="AC97" s="26"/>
      <c r="AD97" s="26"/>
      <c r="AE97" s="147" t="str">
        <f t="shared" si="67"/>
        <v>1</v>
      </c>
      <c r="AF97" s="147" t="str">
        <f t="shared" si="68"/>
        <v>0</v>
      </c>
      <c r="AG97" s="147" t="str">
        <f t="shared" si="69"/>
        <v>0</v>
      </c>
      <c r="AH97" s="147" t="str">
        <f t="shared" si="70"/>
        <v>NO</v>
      </c>
      <c r="AI97" s="147" t="str">
        <f t="shared" si="71"/>
        <v>NO</v>
      </c>
      <c r="AJ97" s="147" t="str">
        <f t="shared" si="72"/>
        <v>NO</v>
      </c>
      <c r="AK97" s="147" t="str">
        <f t="shared" si="73"/>
        <v>NO</v>
      </c>
      <c r="AL97" s="21"/>
      <c r="AM97" s="21">
        <f t="shared" si="80"/>
        <v>5819.25</v>
      </c>
      <c r="AN97" s="27" t="s">
        <v>43</v>
      </c>
      <c r="AO97" s="21">
        <v>1</v>
      </c>
      <c r="AP97" s="21">
        <f t="shared" si="62"/>
        <v>0.328125</v>
      </c>
      <c r="AQ97" s="149">
        <f t="shared" si="61"/>
        <v>1909.44140625</v>
      </c>
      <c r="AR97" s="21">
        <v>1909.44140625</v>
      </c>
      <c r="AS97" s="610">
        <v>1909.44140625</v>
      </c>
      <c r="AT97" s="112">
        <v>1909.44140625</v>
      </c>
      <c r="AU97" s="4"/>
      <c r="AV97" s="4"/>
      <c r="AW97" s="23" t="e">
        <f>VLOOKUP(K97,#REF!,8,FALSE)</f>
        <v>#REF!</v>
      </c>
      <c r="AX97" s="23" t="e">
        <f>VLOOKUP(K97,#REF!,8,FALSE)</f>
        <v>#REF!</v>
      </c>
      <c r="AY97" s="266" t="s">
        <v>2233</v>
      </c>
      <c r="AZ97" s="268" t="s">
        <v>75</v>
      </c>
      <c r="BA97" s="274">
        <f>AM97/3*2</f>
        <v>3879.5</v>
      </c>
      <c r="BB97" s="318">
        <f t="shared" si="63"/>
        <v>0</v>
      </c>
      <c r="BC97" s="269">
        <f t="shared" si="53"/>
        <v>1909.44140625</v>
      </c>
      <c r="BD97" t="e">
        <f t="shared" si="78"/>
        <v>#REF!</v>
      </c>
      <c r="BE97" t="s">
        <v>2351</v>
      </c>
      <c r="BI97" t="e">
        <f>VLOOKUP(K97,#REF!,8,FALSE)</f>
        <v>#REF!</v>
      </c>
      <c r="BK97" s="269"/>
      <c r="BN97" s="353" t="s">
        <v>75</v>
      </c>
      <c r="BO97" s="106"/>
      <c r="BP97" s="166">
        <f t="shared" si="74"/>
        <v>1909.44140625</v>
      </c>
      <c r="BQ97" t="s">
        <v>2351</v>
      </c>
      <c r="BS97" s="165"/>
      <c r="BX97" s="495">
        <f t="shared" si="75"/>
        <v>1909.44140625</v>
      </c>
      <c r="BZ97" s="636">
        <f t="shared" si="59"/>
        <v>0</v>
      </c>
      <c r="CA97" s="633">
        <f t="shared" si="60"/>
        <v>0</v>
      </c>
    </row>
    <row r="98" spans="1:80" x14ac:dyDescent="0.2">
      <c r="A98" s="4">
        <v>1</v>
      </c>
      <c r="B98" s="4">
        <v>1</v>
      </c>
      <c r="C98" s="5">
        <f t="shared" si="77"/>
        <v>41201</v>
      </c>
      <c r="D98" s="6">
        <v>41201</v>
      </c>
      <c r="E98" s="6">
        <v>43011</v>
      </c>
      <c r="F98" s="6" t="s">
        <v>1606</v>
      </c>
      <c r="G98" s="7"/>
      <c r="H98" s="7"/>
      <c r="I98" s="33" t="s">
        <v>157</v>
      </c>
      <c r="J98" s="33"/>
      <c r="K98" s="29">
        <v>389496</v>
      </c>
      <c r="L98" s="10" t="s">
        <v>239</v>
      </c>
      <c r="M98" s="10" t="s">
        <v>282</v>
      </c>
      <c r="N98" s="10" t="s">
        <v>283</v>
      </c>
      <c r="O98" s="11" t="s">
        <v>284</v>
      </c>
      <c r="P98" s="12">
        <v>40125</v>
      </c>
      <c r="Q98" s="13">
        <f t="shared" ca="1" si="65"/>
        <v>15.871321013004792</v>
      </c>
      <c r="R98" s="14">
        <v>8</v>
      </c>
      <c r="S98" s="15">
        <v>872</v>
      </c>
      <c r="T98" s="8">
        <v>872</v>
      </c>
      <c r="U98" s="16">
        <v>45017</v>
      </c>
      <c r="V98" s="17">
        <v>1</v>
      </c>
      <c r="W98" s="16">
        <v>45382</v>
      </c>
      <c r="X98" s="14">
        <v>192</v>
      </c>
      <c r="Y98" s="18">
        <f t="shared" si="66"/>
        <v>192</v>
      </c>
      <c r="Z98" s="18">
        <f t="shared" si="79"/>
        <v>1</v>
      </c>
      <c r="AA98" s="16" t="s">
        <v>36</v>
      </c>
      <c r="AB98" s="26">
        <v>30</v>
      </c>
      <c r="AC98" s="26"/>
      <c r="AD98" s="26"/>
      <c r="AE98" s="147" t="str">
        <f t="shared" si="67"/>
        <v>0</v>
      </c>
      <c r="AF98" s="147" t="str">
        <f t="shared" si="68"/>
        <v>1</v>
      </c>
      <c r="AG98" s="147" t="str">
        <f t="shared" si="69"/>
        <v>0</v>
      </c>
      <c r="AH98" s="147" t="str">
        <f t="shared" si="70"/>
        <v>NO</v>
      </c>
      <c r="AI98" s="147" t="str">
        <f t="shared" si="71"/>
        <v>NO</v>
      </c>
      <c r="AJ98" s="147" t="str">
        <f t="shared" si="72"/>
        <v>NO</v>
      </c>
      <c r="AK98" s="147" t="str">
        <f t="shared" si="73"/>
        <v>NO</v>
      </c>
      <c r="AL98" s="21"/>
      <c r="AM98" s="21">
        <f t="shared" si="80"/>
        <v>8183.0999999999985</v>
      </c>
      <c r="AN98" s="27" t="s">
        <v>66</v>
      </c>
      <c r="AO98" s="21">
        <v>1</v>
      </c>
      <c r="AP98" s="21">
        <f t="shared" si="62"/>
        <v>1</v>
      </c>
      <c r="AQ98" s="149">
        <f t="shared" si="61"/>
        <v>8183.0999999999985</v>
      </c>
      <c r="AR98" s="21">
        <v>8183.0999999999985</v>
      </c>
      <c r="AS98" s="610">
        <v>0</v>
      </c>
      <c r="AT98" s="112">
        <v>8183.0999999999985</v>
      </c>
      <c r="AU98" s="4"/>
      <c r="AV98" s="4"/>
      <c r="AW98" s="23" t="e">
        <f>VLOOKUP(K98,#REF!,8,FALSE)</f>
        <v>#REF!</v>
      </c>
      <c r="AX98" s="23" t="e">
        <f>VLOOKUP(K98,#REF!,8,FALSE)</f>
        <v>#REF!</v>
      </c>
      <c r="AY98" s="23" t="e">
        <f>VLOOKUP(K98,#REF!,8,FALSE)</f>
        <v>#REF!</v>
      </c>
      <c r="AZ98" s="4"/>
      <c r="BA98" s="272"/>
      <c r="BB98" s="318">
        <f t="shared" si="63"/>
        <v>0</v>
      </c>
      <c r="BC98" s="269">
        <f t="shared" si="53"/>
        <v>8183.0999999999985</v>
      </c>
      <c r="BD98" t="str">
        <f t="shared" si="78"/>
        <v/>
      </c>
      <c r="BP98" s="166">
        <f t="shared" si="74"/>
        <v>8183.0999999999985</v>
      </c>
      <c r="BS98" s="165"/>
      <c r="BX98" s="495">
        <f t="shared" si="75"/>
        <v>8183.0999999999985</v>
      </c>
      <c r="BZ98" s="636">
        <f t="shared" si="59"/>
        <v>0</v>
      </c>
      <c r="CA98" s="633">
        <f t="shared" si="60"/>
        <v>8183.0999999999985</v>
      </c>
    </row>
    <row r="99" spans="1:80" x14ac:dyDescent="0.2">
      <c r="A99" s="4">
        <v>1</v>
      </c>
      <c r="B99" s="4">
        <v>1</v>
      </c>
      <c r="C99" s="5">
        <f t="shared" si="77"/>
        <v>41201</v>
      </c>
      <c r="D99" s="6">
        <v>41201</v>
      </c>
      <c r="E99" s="6">
        <v>43011</v>
      </c>
      <c r="F99" s="6" t="s">
        <v>1606</v>
      </c>
      <c r="G99" s="7"/>
      <c r="H99" s="7"/>
      <c r="I99" s="33" t="s">
        <v>157</v>
      </c>
      <c r="J99" s="33"/>
      <c r="K99" s="29">
        <v>382950</v>
      </c>
      <c r="L99" s="10" t="s">
        <v>239</v>
      </c>
      <c r="M99" s="10" t="s">
        <v>285</v>
      </c>
      <c r="N99" s="10" t="s">
        <v>286</v>
      </c>
      <c r="O99" s="11" t="s">
        <v>287</v>
      </c>
      <c r="P99" s="12">
        <v>40000</v>
      </c>
      <c r="Q99" s="13">
        <f t="shared" ca="1" si="65"/>
        <v>16.213552361396303</v>
      </c>
      <c r="R99" s="14">
        <v>9</v>
      </c>
      <c r="S99" s="15">
        <v>872</v>
      </c>
      <c r="T99" s="8">
        <v>872</v>
      </c>
      <c r="U99" s="16">
        <v>45017</v>
      </c>
      <c r="V99" s="17">
        <v>1</v>
      </c>
      <c r="W99" s="16">
        <v>45382</v>
      </c>
      <c r="X99" s="14">
        <v>192</v>
      </c>
      <c r="Y99" s="18">
        <f t="shared" si="66"/>
        <v>192</v>
      </c>
      <c r="Z99" s="18">
        <f t="shared" si="79"/>
        <v>1</v>
      </c>
      <c r="AA99" s="18" t="s">
        <v>36</v>
      </c>
      <c r="AB99" s="26">
        <v>30</v>
      </c>
      <c r="AC99" s="26"/>
      <c r="AD99" s="26"/>
      <c r="AE99" s="147" t="str">
        <f t="shared" si="67"/>
        <v>0</v>
      </c>
      <c r="AF99" s="147" t="str">
        <f t="shared" si="68"/>
        <v>1</v>
      </c>
      <c r="AG99" s="147" t="str">
        <f t="shared" si="69"/>
        <v>0</v>
      </c>
      <c r="AH99" s="147" t="str">
        <f t="shared" si="70"/>
        <v>NO</v>
      </c>
      <c r="AI99" s="147" t="str">
        <f t="shared" si="71"/>
        <v>NO</v>
      </c>
      <c r="AJ99" s="147" t="str">
        <f t="shared" si="72"/>
        <v>NO</v>
      </c>
      <c r="AK99" s="147" t="str">
        <f t="shared" si="73"/>
        <v>NO</v>
      </c>
      <c r="AL99" s="21"/>
      <c r="AM99" s="21">
        <f t="shared" si="80"/>
        <v>8183.0999999999985</v>
      </c>
      <c r="AN99" s="27" t="s">
        <v>56</v>
      </c>
      <c r="AO99" s="21">
        <v>1</v>
      </c>
      <c r="AP99" s="21">
        <f t="shared" si="62"/>
        <v>1</v>
      </c>
      <c r="AQ99" s="149">
        <f t="shared" si="61"/>
        <v>8183.0999999999985</v>
      </c>
      <c r="AR99" s="21">
        <v>8183.0999999999985</v>
      </c>
      <c r="AS99" s="610">
        <v>8183.0999999999985</v>
      </c>
      <c r="AT99" s="112">
        <v>8183.0999999999985</v>
      </c>
      <c r="AU99" s="4"/>
      <c r="AV99" s="4"/>
      <c r="AW99" s="23" t="e">
        <f>VLOOKUP(K99,#REF!,8,FALSE)</f>
        <v>#REF!</v>
      </c>
      <c r="AX99" s="23" t="e">
        <f>VLOOKUP(K99,#REF!,8,FALSE)</f>
        <v>#REF!</v>
      </c>
      <c r="AY99" s="23" t="e">
        <f>VLOOKUP(K99,#REF!,8,FALSE)</f>
        <v>#REF!</v>
      </c>
      <c r="AZ99" s="4"/>
      <c r="BA99" s="272"/>
      <c r="BB99" s="318">
        <f t="shared" si="63"/>
        <v>0</v>
      </c>
      <c r="BC99" s="269">
        <f t="shared" si="53"/>
        <v>8183.0999999999985</v>
      </c>
      <c r="BD99" t="str">
        <f t="shared" si="78"/>
        <v/>
      </c>
      <c r="BP99" s="166">
        <f t="shared" si="74"/>
        <v>8183.0999999999985</v>
      </c>
      <c r="BS99" s="165"/>
      <c r="BX99" s="495">
        <f t="shared" si="75"/>
        <v>8183.0999999999985</v>
      </c>
      <c r="BZ99" s="636">
        <f t="shared" si="59"/>
        <v>0</v>
      </c>
      <c r="CA99" s="633">
        <f t="shared" si="60"/>
        <v>0</v>
      </c>
    </row>
    <row r="100" spans="1:80" x14ac:dyDescent="0.2">
      <c r="A100" s="4">
        <v>1</v>
      </c>
      <c r="B100" s="4">
        <v>1</v>
      </c>
      <c r="C100" s="5">
        <f t="shared" si="77"/>
        <v>41201</v>
      </c>
      <c r="D100" s="6">
        <v>41201</v>
      </c>
      <c r="E100" s="6">
        <v>43011</v>
      </c>
      <c r="F100" s="6" t="s">
        <v>1606</v>
      </c>
      <c r="G100" s="7"/>
      <c r="H100" s="7"/>
      <c r="I100" s="33" t="s">
        <v>157</v>
      </c>
      <c r="J100" s="33"/>
      <c r="K100" s="29">
        <v>368411</v>
      </c>
      <c r="L100" s="10" t="s">
        <v>239</v>
      </c>
      <c r="M100" s="10" t="s">
        <v>217</v>
      </c>
      <c r="N100" s="10" t="s">
        <v>288</v>
      </c>
      <c r="O100" s="11" t="s">
        <v>289</v>
      </c>
      <c r="P100" s="12">
        <v>39122</v>
      </c>
      <c r="Q100" s="13">
        <f t="shared" ca="1" si="65"/>
        <v>18.617385352498289</v>
      </c>
      <c r="R100" s="14">
        <v>11</v>
      </c>
      <c r="S100" s="15">
        <v>872</v>
      </c>
      <c r="T100" s="8">
        <v>872</v>
      </c>
      <c r="U100" s="16">
        <v>45017</v>
      </c>
      <c r="V100" s="17">
        <v>1</v>
      </c>
      <c r="W100" s="16">
        <v>45128</v>
      </c>
      <c r="X100" s="14">
        <v>63</v>
      </c>
      <c r="Y100" s="18">
        <f t="shared" si="66"/>
        <v>63</v>
      </c>
      <c r="Z100" s="18">
        <f t="shared" si="79"/>
        <v>0.328125</v>
      </c>
      <c r="AA100" s="16" t="s">
        <v>166</v>
      </c>
      <c r="AB100" s="26">
        <v>22</v>
      </c>
      <c r="AC100" s="26"/>
      <c r="AD100" s="26"/>
      <c r="AE100" s="147" t="str">
        <f t="shared" si="67"/>
        <v>1</v>
      </c>
      <c r="AF100" s="147" t="str">
        <f t="shared" si="68"/>
        <v>0</v>
      </c>
      <c r="AG100" s="147" t="str">
        <f t="shared" si="69"/>
        <v>0</v>
      </c>
      <c r="AH100" s="147" t="str">
        <f t="shared" si="70"/>
        <v>NO</v>
      </c>
      <c r="AI100" s="147" t="str">
        <f t="shared" si="71"/>
        <v>NO</v>
      </c>
      <c r="AJ100" s="147" t="str">
        <f t="shared" si="72"/>
        <v>NO</v>
      </c>
      <c r="AK100" s="147" t="str">
        <f t="shared" si="73"/>
        <v>NO</v>
      </c>
      <c r="AL100" s="21"/>
      <c r="AM100" s="21">
        <f t="shared" si="80"/>
        <v>4400.9399999999987</v>
      </c>
      <c r="AN100" s="27" t="s">
        <v>43</v>
      </c>
      <c r="AO100" s="21">
        <v>1</v>
      </c>
      <c r="AP100" s="21">
        <f t="shared" si="62"/>
        <v>0.328125</v>
      </c>
      <c r="AQ100" s="149">
        <f t="shared" si="61"/>
        <v>1444.0584374999996</v>
      </c>
      <c r="AR100" s="21">
        <v>1444.0584374999996</v>
      </c>
      <c r="AS100" s="610">
        <v>1444.0584374999996</v>
      </c>
      <c r="AT100" s="112">
        <v>1444.0584374999996</v>
      </c>
      <c r="AU100" s="4"/>
      <c r="AV100" s="4"/>
      <c r="AW100" s="23" t="e">
        <f>VLOOKUP(K100,#REF!,8,FALSE)</f>
        <v>#REF!</v>
      </c>
      <c r="AX100" s="23" t="e">
        <f>VLOOKUP(K100,#REF!,8,FALSE)</f>
        <v>#REF!</v>
      </c>
      <c r="AY100" s="266" t="s">
        <v>2233</v>
      </c>
      <c r="AZ100" s="268" t="s">
        <v>75</v>
      </c>
      <c r="BA100" s="274">
        <f>AM100/3*2</f>
        <v>2933.9599999999991</v>
      </c>
      <c r="BB100" s="318">
        <f t="shared" si="63"/>
        <v>0</v>
      </c>
      <c r="BC100" s="269">
        <f t="shared" si="53"/>
        <v>1444.0584374999996</v>
      </c>
      <c r="BD100" t="e">
        <f t="shared" si="78"/>
        <v>#REF!</v>
      </c>
      <c r="BE100" t="s">
        <v>2351</v>
      </c>
      <c r="BI100" t="e">
        <f>VLOOKUP(K100,#REF!,8,FALSE)</f>
        <v>#REF!</v>
      </c>
      <c r="BK100" s="269"/>
      <c r="BN100" s="353" t="s">
        <v>75</v>
      </c>
      <c r="BO100" s="106"/>
      <c r="BP100" s="166">
        <f t="shared" si="74"/>
        <v>1444.0584374999996</v>
      </c>
      <c r="BQ100" t="s">
        <v>2351</v>
      </c>
      <c r="BS100" s="165"/>
      <c r="BX100" s="495">
        <f t="shared" si="75"/>
        <v>1444.0584374999996</v>
      </c>
      <c r="BZ100" s="636">
        <f t="shared" si="59"/>
        <v>0</v>
      </c>
      <c r="CA100" s="633">
        <f t="shared" si="60"/>
        <v>0</v>
      </c>
    </row>
    <row r="101" spans="1:80" x14ac:dyDescent="0.2">
      <c r="A101" s="4">
        <v>1</v>
      </c>
      <c r="B101" s="4">
        <v>1</v>
      </c>
      <c r="C101" s="5">
        <f t="shared" si="77"/>
        <v>41201</v>
      </c>
      <c r="D101" s="6">
        <v>41201</v>
      </c>
      <c r="E101" s="6">
        <v>43011</v>
      </c>
      <c r="F101" s="6" t="s">
        <v>1606</v>
      </c>
      <c r="G101" s="7"/>
      <c r="H101" s="7"/>
      <c r="I101" s="33" t="s">
        <v>157</v>
      </c>
      <c r="J101" s="33"/>
      <c r="K101" s="29">
        <v>390751</v>
      </c>
      <c r="L101" s="10" t="s">
        <v>239</v>
      </c>
      <c r="M101" s="10" t="s">
        <v>290</v>
      </c>
      <c r="N101" s="10" t="s">
        <v>291</v>
      </c>
      <c r="O101" s="11" t="s">
        <v>292</v>
      </c>
      <c r="P101" s="12">
        <v>40393</v>
      </c>
      <c r="Q101" s="13">
        <f t="shared" ca="1" si="65"/>
        <v>15.137577002053389</v>
      </c>
      <c r="R101" s="329">
        <v>9</v>
      </c>
      <c r="S101" s="15">
        <v>872</v>
      </c>
      <c r="T101" s="8">
        <v>872</v>
      </c>
      <c r="U101" s="16">
        <v>45017</v>
      </c>
      <c r="V101" s="17">
        <v>1</v>
      </c>
      <c r="W101" s="16">
        <v>45382</v>
      </c>
      <c r="X101" s="14">
        <v>192</v>
      </c>
      <c r="Y101" s="18">
        <f t="shared" si="66"/>
        <v>192</v>
      </c>
      <c r="Z101" s="18">
        <f t="shared" si="79"/>
        <v>1</v>
      </c>
      <c r="AA101" s="16" t="s">
        <v>36</v>
      </c>
      <c r="AB101" s="26">
        <v>30</v>
      </c>
      <c r="AC101" s="26"/>
      <c r="AD101" s="26"/>
      <c r="AE101" s="147" t="str">
        <f t="shared" si="67"/>
        <v>0</v>
      </c>
      <c r="AF101" s="147" t="str">
        <f t="shared" si="68"/>
        <v>1</v>
      </c>
      <c r="AG101" s="147" t="str">
        <f t="shared" si="69"/>
        <v>0</v>
      </c>
      <c r="AH101" s="147" t="str">
        <f t="shared" si="70"/>
        <v>NO</v>
      </c>
      <c r="AI101" s="147" t="str">
        <f t="shared" si="71"/>
        <v>NO</v>
      </c>
      <c r="AJ101" s="147" t="str">
        <f t="shared" si="72"/>
        <v>NO</v>
      </c>
      <c r="AK101" s="147" t="str">
        <f t="shared" si="73"/>
        <v>NO</v>
      </c>
      <c r="AL101" s="21"/>
      <c r="AM101" s="21">
        <f t="shared" si="80"/>
        <v>8183.0999999999985</v>
      </c>
      <c r="AN101" s="27" t="s">
        <v>43</v>
      </c>
      <c r="AO101" s="21">
        <v>1</v>
      </c>
      <c r="AP101" s="21">
        <f t="shared" si="62"/>
        <v>1</v>
      </c>
      <c r="AQ101" s="149">
        <f t="shared" si="61"/>
        <v>8183.0999999999985</v>
      </c>
      <c r="AR101" s="21">
        <v>8183.0999999999985</v>
      </c>
      <c r="AS101" s="610">
        <v>0</v>
      </c>
      <c r="AT101" s="112">
        <v>8183.0999999999985</v>
      </c>
      <c r="AU101" s="4"/>
      <c r="AV101" s="4"/>
      <c r="AW101" s="23" t="e">
        <f>VLOOKUP(K101,#REF!,8,FALSE)</f>
        <v>#REF!</v>
      </c>
      <c r="AX101" s="23" t="e">
        <f>VLOOKUP(K101,#REF!,8,FALSE)</f>
        <v>#REF!</v>
      </c>
      <c r="AY101" s="23" t="e">
        <f>VLOOKUP(K101,#REF!,8,FALSE)</f>
        <v>#REF!</v>
      </c>
      <c r="AZ101" s="4"/>
      <c r="BA101" s="272"/>
      <c r="BB101" s="318">
        <f t="shared" si="63"/>
        <v>0</v>
      </c>
      <c r="BC101" s="269">
        <f t="shared" si="53"/>
        <v>8183.0999999999985</v>
      </c>
      <c r="BD101" t="str">
        <f t="shared" si="78"/>
        <v/>
      </c>
      <c r="BP101" s="166">
        <f t="shared" si="74"/>
        <v>8183.0999999999985</v>
      </c>
      <c r="BS101" s="165"/>
      <c r="BX101" s="495">
        <f t="shared" si="75"/>
        <v>8183.0999999999985</v>
      </c>
      <c r="BZ101" s="636">
        <f t="shared" si="59"/>
        <v>0</v>
      </c>
      <c r="CA101" s="633">
        <f t="shared" si="60"/>
        <v>8183.0999999999985</v>
      </c>
    </row>
    <row r="102" spans="1:80" x14ac:dyDescent="0.2">
      <c r="A102" s="4">
        <v>1</v>
      </c>
      <c r="B102" s="4">
        <v>1</v>
      </c>
      <c r="C102" s="5">
        <f t="shared" si="77"/>
        <v>41201</v>
      </c>
      <c r="D102" s="6">
        <v>41201</v>
      </c>
      <c r="E102" s="6">
        <v>43011</v>
      </c>
      <c r="F102" s="6" t="s">
        <v>1606</v>
      </c>
      <c r="G102" s="7"/>
      <c r="H102" s="7"/>
      <c r="I102" s="33" t="s">
        <v>157</v>
      </c>
      <c r="J102" s="33"/>
      <c r="K102" s="29">
        <v>391738</v>
      </c>
      <c r="L102" s="10" t="s">
        <v>239</v>
      </c>
      <c r="M102" s="10" t="s">
        <v>293</v>
      </c>
      <c r="N102" s="10" t="s">
        <v>294</v>
      </c>
      <c r="O102" s="11" t="s">
        <v>295</v>
      </c>
      <c r="P102" s="12">
        <v>40509</v>
      </c>
      <c r="Q102" s="13">
        <f t="shared" ca="1" si="65"/>
        <v>14.819986310746064</v>
      </c>
      <c r="R102" s="14">
        <v>7</v>
      </c>
      <c r="S102" s="15">
        <v>872</v>
      </c>
      <c r="T102" s="8">
        <v>872</v>
      </c>
      <c r="U102" s="16">
        <v>45017</v>
      </c>
      <c r="V102" s="17">
        <v>1</v>
      </c>
      <c r="W102" s="16">
        <v>45382</v>
      </c>
      <c r="X102" s="14">
        <v>192</v>
      </c>
      <c r="Y102" s="18">
        <f t="shared" si="66"/>
        <v>192</v>
      </c>
      <c r="Z102" s="18">
        <f t="shared" si="79"/>
        <v>1</v>
      </c>
      <c r="AA102" s="18" t="s">
        <v>36</v>
      </c>
      <c r="AB102" s="26">
        <v>22</v>
      </c>
      <c r="AC102" s="26"/>
      <c r="AD102" s="26"/>
      <c r="AE102" s="147" t="str">
        <f t="shared" si="67"/>
        <v>1</v>
      </c>
      <c r="AF102" s="147" t="str">
        <f t="shared" si="68"/>
        <v>0</v>
      </c>
      <c r="AG102" s="147" t="str">
        <f t="shared" si="69"/>
        <v>0</v>
      </c>
      <c r="AH102" s="147" t="str">
        <f t="shared" si="70"/>
        <v>NO</v>
      </c>
      <c r="AI102" s="147" t="str">
        <f t="shared" si="71"/>
        <v>NO</v>
      </c>
      <c r="AJ102" s="147" t="str">
        <f t="shared" si="72"/>
        <v>NO</v>
      </c>
      <c r="AK102" s="147" t="str">
        <f t="shared" si="73"/>
        <v>NO</v>
      </c>
      <c r="AL102" s="21"/>
      <c r="AM102" s="21">
        <f t="shared" si="80"/>
        <v>4400.9399999999987</v>
      </c>
      <c r="AN102" s="27" t="s">
        <v>37</v>
      </c>
      <c r="AO102" s="21">
        <v>1</v>
      </c>
      <c r="AP102" s="21">
        <f t="shared" si="62"/>
        <v>1</v>
      </c>
      <c r="AQ102" s="149">
        <f t="shared" si="61"/>
        <v>4400.9399999999987</v>
      </c>
      <c r="AR102" s="21">
        <v>4400.9399999999987</v>
      </c>
      <c r="AS102" s="610">
        <v>4400.9399999999987</v>
      </c>
      <c r="AT102" s="112">
        <v>4400.9399999999987</v>
      </c>
      <c r="AU102" s="4"/>
      <c r="AV102" s="4"/>
      <c r="AW102" s="23" t="e">
        <f>VLOOKUP(K102,#REF!,8,FALSE)</f>
        <v>#REF!</v>
      </c>
      <c r="AX102" s="23" t="e">
        <f>VLOOKUP(K102,#REF!,8,FALSE)</f>
        <v>#REF!</v>
      </c>
      <c r="AY102" s="23" t="e">
        <f>VLOOKUP(K102,#REF!,8,FALSE)</f>
        <v>#REF!</v>
      </c>
      <c r="AZ102" s="4"/>
      <c r="BA102" s="272"/>
      <c r="BB102" s="318">
        <f t="shared" si="63"/>
        <v>0</v>
      </c>
      <c r="BC102" s="269">
        <f t="shared" si="53"/>
        <v>4400.9399999999987</v>
      </c>
      <c r="BD102" t="str">
        <f t="shared" si="78"/>
        <v/>
      </c>
      <c r="BP102" s="166">
        <f t="shared" si="74"/>
        <v>4400.9399999999987</v>
      </c>
      <c r="BS102" s="165"/>
      <c r="BX102" s="495">
        <f t="shared" si="75"/>
        <v>4400.9399999999987</v>
      </c>
      <c r="BZ102" s="636">
        <f t="shared" si="59"/>
        <v>0</v>
      </c>
      <c r="CA102" s="633">
        <f t="shared" si="60"/>
        <v>0</v>
      </c>
    </row>
    <row r="103" spans="1:80" x14ac:dyDescent="0.2">
      <c r="A103" s="4">
        <v>1</v>
      </c>
      <c r="B103" s="4">
        <v>1</v>
      </c>
      <c r="C103" s="5">
        <f t="shared" si="77"/>
        <v>41201</v>
      </c>
      <c r="D103" s="6">
        <v>41201</v>
      </c>
      <c r="E103" s="6">
        <v>43011</v>
      </c>
      <c r="F103" s="6" t="s">
        <v>1606</v>
      </c>
      <c r="G103" s="7"/>
      <c r="H103" s="7"/>
      <c r="I103" s="33" t="s">
        <v>157</v>
      </c>
      <c r="J103" s="33"/>
      <c r="K103" s="29">
        <v>374635</v>
      </c>
      <c r="L103" s="10" t="s">
        <v>239</v>
      </c>
      <c r="M103" s="10" t="s">
        <v>293</v>
      </c>
      <c r="N103" s="10" t="s">
        <v>296</v>
      </c>
      <c r="O103" s="11" t="s">
        <v>297</v>
      </c>
      <c r="P103" s="12">
        <v>39627</v>
      </c>
      <c r="Q103" s="13">
        <f t="shared" ca="1" si="65"/>
        <v>17.234770704996578</v>
      </c>
      <c r="R103" s="14">
        <v>10</v>
      </c>
      <c r="S103" s="15">
        <v>872</v>
      </c>
      <c r="T103" s="8">
        <v>872</v>
      </c>
      <c r="U103" s="16">
        <v>45017</v>
      </c>
      <c r="V103" s="17">
        <v>1</v>
      </c>
      <c r="W103" s="16">
        <v>45382</v>
      </c>
      <c r="X103" s="14">
        <v>192</v>
      </c>
      <c r="Y103" s="18">
        <f t="shared" si="66"/>
        <v>192</v>
      </c>
      <c r="Z103" s="18">
        <f t="shared" si="79"/>
        <v>1</v>
      </c>
      <c r="AA103" s="18" t="s">
        <v>36</v>
      </c>
      <c r="AB103" s="26">
        <v>30</v>
      </c>
      <c r="AC103" s="26"/>
      <c r="AD103" s="26"/>
      <c r="AE103" s="147" t="str">
        <f t="shared" si="67"/>
        <v>0</v>
      </c>
      <c r="AF103" s="147" t="str">
        <f t="shared" si="68"/>
        <v>1</v>
      </c>
      <c r="AG103" s="147" t="str">
        <f t="shared" si="69"/>
        <v>0</v>
      </c>
      <c r="AH103" s="147" t="str">
        <f t="shared" si="70"/>
        <v>NO</v>
      </c>
      <c r="AI103" s="147" t="str">
        <f t="shared" si="71"/>
        <v>NO</v>
      </c>
      <c r="AJ103" s="147" t="str">
        <f t="shared" si="72"/>
        <v>NO</v>
      </c>
      <c r="AK103" s="147" t="str">
        <f t="shared" si="73"/>
        <v>NO</v>
      </c>
      <c r="AL103" s="21"/>
      <c r="AM103" s="21">
        <f t="shared" si="80"/>
        <v>8183.0999999999985</v>
      </c>
      <c r="AN103" s="27" t="s">
        <v>56</v>
      </c>
      <c r="AO103" s="21">
        <v>1</v>
      </c>
      <c r="AP103" s="21">
        <f t="shared" si="62"/>
        <v>1</v>
      </c>
      <c r="AQ103" s="149">
        <f t="shared" si="61"/>
        <v>8183.0999999999985</v>
      </c>
      <c r="AR103" s="21">
        <v>8183.0999999999985</v>
      </c>
      <c r="AS103" s="610">
        <v>8183.0999999999985</v>
      </c>
      <c r="AT103" s="112">
        <v>8183.0999999999985</v>
      </c>
      <c r="AU103" s="4"/>
      <c r="AV103" s="4"/>
      <c r="AW103" s="23" t="e">
        <f>VLOOKUP(K103,#REF!,8,FALSE)</f>
        <v>#REF!</v>
      </c>
      <c r="AX103" s="23" t="e">
        <f>VLOOKUP(K103,#REF!,8,FALSE)</f>
        <v>#REF!</v>
      </c>
      <c r="AY103" s="23" t="e">
        <f>VLOOKUP(K103,#REF!,8,FALSE)</f>
        <v>#REF!</v>
      </c>
      <c r="AZ103" s="4"/>
      <c r="BA103" s="272"/>
      <c r="BB103" s="318">
        <f t="shared" si="63"/>
        <v>0</v>
      </c>
      <c r="BC103" s="269">
        <f t="shared" si="53"/>
        <v>8183.0999999999985</v>
      </c>
      <c r="BD103" t="str">
        <f t="shared" si="78"/>
        <v/>
      </c>
      <c r="BP103" s="166">
        <f t="shared" si="74"/>
        <v>8183.0999999999985</v>
      </c>
      <c r="BS103" s="165"/>
      <c r="BX103" s="495">
        <f t="shared" si="75"/>
        <v>8183.0999999999985</v>
      </c>
      <c r="BZ103" s="636">
        <f t="shared" si="59"/>
        <v>0</v>
      </c>
      <c r="CA103" s="633">
        <f t="shared" si="60"/>
        <v>0</v>
      </c>
    </row>
    <row r="104" spans="1:80" x14ac:dyDescent="0.2">
      <c r="A104" s="4">
        <v>1</v>
      </c>
      <c r="B104" s="4">
        <v>1</v>
      </c>
      <c r="C104" s="5">
        <f t="shared" si="77"/>
        <v>41201</v>
      </c>
      <c r="D104" s="6">
        <v>41201</v>
      </c>
      <c r="E104" s="6">
        <v>43011</v>
      </c>
      <c r="F104" s="6" t="s">
        <v>1606</v>
      </c>
      <c r="G104" s="7"/>
      <c r="H104" s="7"/>
      <c r="I104" s="33" t="s">
        <v>157</v>
      </c>
      <c r="J104" s="33"/>
      <c r="K104" s="29">
        <v>440269</v>
      </c>
      <c r="L104" s="10" t="s">
        <v>239</v>
      </c>
      <c r="M104" s="10" t="s">
        <v>298</v>
      </c>
      <c r="N104" s="10" t="s">
        <v>299</v>
      </c>
      <c r="O104" s="11" t="s">
        <v>300</v>
      </c>
      <c r="P104" s="12">
        <v>39309</v>
      </c>
      <c r="Q104" s="13">
        <f t="shared" ca="1" si="65"/>
        <v>18.105407255304584</v>
      </c>
      <c r="R104" s="14">
        <v>11</v>
      </c>
      <c r="S104" s="15">
        <v>872</v>
      </c>
      <c r="T104" s="8">
        <v>872</v>
      </c>
      <c r="U104" s="16">
        <v>45017</v>
      </c>
      <c r="V104" s="17">
        <v>1</v>
      </c>
      <c r="W104" s="16">
        <v>45128</v>
      </c>
      <c r="X104" s="14">
        <v>63</v>
      </c>
      <c r="Y104" s="18">
        <f t="shared" si="66"/>
        <v>63</v>
      </c>
      <c r="Z104" s="18">
        <f t="shared" si="79"/>
        <v>0.328125</v>
      </c>
      <c r="AA104" s="16" t="s">
        <v>166</v>
      </c>
      <c r="AB104" s="26">
        <v>25</v>
      </c>
      <c r="AC104" s="26"/>
      <c r="AD104" s="26"/>
      <c r="AE104" s="147" t="str">
        <f t="shared" si="67"/>
        <v>1</v>
      </c>
      <c r="AF104" s="147" t="str">
        <f t="shared" si="68"/>
        <v>0</v>
      </c>
      <c r="AG104" s="147" t="str">
        <f t="shared" si="69"/>
        <v>0</v>
      </c>
      <c r="AH104" s="147" t="str">
        <f t="shared" si="70"/>
        <v>NO</v>
      </c>
      <c r="AI104" s="147" t="str">
        <f t="shared" si="71"/>
        <v>NO</v>
      </c>
      <c r="AJ104" s="147" t="str">
        <f t="shared" si="72"/>
        <v>NO</v>
      </c>
      <c r="AK104" s="147" t="str">
        <f t="shared" si="73"/>
        <v>NO</v>
      </c>
      <c r="AL104" s="21"/>
      <c r="AM104" s="21">
        <f t="shared" si="80"/>
        <v>5819.25</v>
      </c>
      <c r="AN104" s="27" t="s">
        <v>185</v>
      </c>
      <c r="AO104" s="21">
        <v>1</v>
      </c>
      <c r="AP104" s="21">
        <f t="shared" si="62"/>
        <v>0.328125</v>
      </c>
      <c r="AQ104" s="149">
        <f t="shared" si="61"/>
        <v>1909.44140625</v>
      </c>
      <c r="AR104" s="21">
        <v>1909.44140625</v>
      </c>
      <c r="AS104" s="610">
        <v>1909.44140625</v>
      </c>
      <c r="AT104" s="112">
        <v>1909.44140625</v>
      </c>
      <c r="AU104" s="4"/>
      <c r="AV104" s="4"/>
      <c r="AW104" s="23" t="e">
        <f>VLOOKUP(K104,#REF!,8,FALSE)</f>
        <v>#REF!</v>
      </c>
      <c r="AX104" s="23" t="e">
        <f>VLOOKUP(K104,#REF!,8,FALSE)</f>
        <v>#REF!</v>
      </c>
      <c r="AY104" s="266" t="s">
        <v>2235</v>
      </c>
      <c r="AZ104" s="268" t="s">
        <v>75</v>
      </c>
      <c r="BA104" s="274">
        <f>AM104/3*2</f>
        <v>3879.5</v>
      </c>
      <c r="BB104" s="318">
        <f t="shared" si="63"/>
        <v>0</v>
      </c>
      <c r="BC104" s="269">
        <f t="shared" si="53"/>
        <v>1909.44140625</v>
      </c>
      <c r="BD104" t="e">
        <f t="shared" si="78"/>
        <v>#REF!</v>
      </c>
      <c r="BE104" t="s">
        <v>2351</v>
      </c>
      <c r="BI104" t="e">
        <f>VLOOKUP(K104,#REF!,8,FALSE)</f>
        <v>#REF!</v>
      </c>
      <c r="BK104" s="269"/>
      <c r="BN104" s="353" t="s">
        <v>75</v>
      </c>
      <c r="BO104" s="106"/>
      <c r="BP104" s="166">
        <f t="shared" si="74"/>
        <v>1909.44140625</v>
      </c>
      <c r="BQ104" t="s">
        <v>2351</v>
      </c>
      <c r="BS104" s="165"/>
      <c r="BX104" s="495">
        <f t="shared" si="75"/>
        <v>1909.44140625</v>
      </c>
      <c r="BZ104" s="636">
        <f t="shared" si="59"/>
        <v>0</v>
      </c>
      <c r="CA104" s="633">
        <f t="shared" si="60"/>
        <v>0</v>
      </c>
    </row>
    <row r="105" spans="1:80" x14ac:dyDescent="0.2">
      <c r="A105" s="4">
        <v>1</v>
      </c>
      <c r="B105" s="4">
        <v>1</v>
      </c>
      <c r="C105" s="5">
        <f t="shared" si="77"/>
        <v>41201</v>
      </c>
      <c r="D105" s="6">
        <v>41201</v>
      </c>
      <c r="E105" s="6">
        <v>43011</v>
      </c>
      <c r="F105" s="6" t="s">
        <v>1606</v>
      </c>
      <c r="G105" s="7"/>
      <c r="H105" s="7"/>
      <c r="I105" s="33" t="s">
        <v>157</v>
      </c>
      <c r="J105" s="33"/>
      <c r="K105" s="29">
        <v>377433</v>
      </c>
      <c r="L105" s="10" t="s">
        <v>239</v>
      </c>
      <c r="M105" s="10" t="s">
        <v>1880</v>
      </c>
      <c r="N105" s="10" t="s">
        <v>1881</v>
      </c>
      <c r="O105" s="11" t="s">
        <v>2289</v>
      </c>
      <c r="P105" s="12">
        <v>39583</v>
      </c>
      <c r="Q105" s="13">
        <f t="shared" ca="1" si="65"/>
        <v>17.355236139630389</v>
      </c>
      <c r="R105" s="14">
        <v>10</v>
      </c>
      <c r="S105" s="15">
        <v>872</v>
      </c>
      <c r="T105" s="8">
        <v>872</v>
      </c>
      <c r="U105" s="16">
        <v>45017</v>
      </c>
      <c r="V105" s="17">
        <v>1</v>
      </c>
      <c r="W105" s="16">
        <v>45382</v>
      </c>
      <c r="X105" s="14">
        <v>192</v>
      </c>
      <c r="Y105" s="18">
        <f t="shared" si="66"/>
        <v>192</v>
      </c>
      <c r="Z105" s="18">
        <f t="shared" si="79"/>
        <v>1</v>
      </c>
      <c r="AA105" s="18" t="s">
        <v>36</v>
      </c>
      <c r="AB105" s="26">
        <v>3260</v>
      </c>
      <c r="AC105" s="26"/>
      <c r="AD105" s="26"/>
      <c r="AE105" s="147" t="str">
        <f t="shared" si="67"/>
        <v>0</v>
      </c>
      <c r="AF105" s="147" t="str">
        <f t="shared" si="68"/>
        <v>0</v>
      </c>
      <c r="AG105" s="147" t="str">
        <f t="shared" si="69"/>
        <v>1</v>
      </c>
      <c r="AH105" s="147" t="str">
        <f t="shared" si="70"/>
        <v>NO</v>
      </c>
      <c r="AI105" s="147" t="str">
        <f t="shared" si="71"/>
        <v>NO</v>
      </c>
      <c r="AJ105" s="147" t="str">
        <f t="shared" si="72"/>
        <v>NO</v>
      </c>
      <c r="AK105" s="147" t="str">
        <f t="shared" si="73"/>
        <v>NO</v>
      </c>
      <c r="AL105" s="21"/>
      <c r="AM105" s="21">
        <f>AB105</f>
        <v>3260</v>
      </c>
      <c r="AN105" s="27" t="s">
        <v>43</v>
      </c>
      <c r="AO105" s="21">
        <v>1</v>
      </c>
      <c r="AP105" s="21">
        <f t="shared" si="62"/>
        <v>1</v>
      </c>
      <c r="AQ105" s="149">
        <f t="shared" si="61"/>
        <v>3260</v>
      </c>
      <c r="AR105" s="21">
        <v>3260</v>
      </c>
      <c r="AS105" s="610">
        <v>0</v>
      </c>
      <c r="AT105" s="112">
        <v>0</v>
      </c>
      <c r="AU105" s="4"/>
      <c r="AV105" s="4"/>
      <c r="AW105" s="23"/>
      <c r="AX105" s="23"/>
      <c r="AY105" s="266"/>
      <c r="AZ105" s="268"/>
      <c r="BA105" s="274"/>
      <c r="BB105" s="318">
        <f t="shared" si="63"/>
        <v>3260</v>
      </c>
      <c r="BC105" s="269">
        <f t="shared" si="53"/>
        <v>3260</v>
      </c>
      <c r="BD105" t="str">
        <f t="shared" si="78"/>
        <v/>
      </c>
      <c r="BP105" s="166">
        <f t="shared" si="74"/>
        <v>3260</v>
      </c>
      <c r="BS105" s="165"/>
      <c r="BX105" s="495">
        <f t="shared" si="75"/>
        <v>3260</v>
      </c>
      <c r="BZ105" s="636">
        <f t="shared" si="59"/>
        <v>0</v>
      </c>
      <c r="CA105" s="633">
        <f t="shared" si="60"/>
        <v>3260</v>
      </c>
    </row>
    <row r="106" spans="1:80" x14ac:dyDescent="0.2">
      <c r="A106" s="4">
        <v>1</v>
      </c>
      <c r="B106" s="4">
        <v>1</v>
      </c>
      <c r="C106" s="5">
        <f t="shared" si="77"/>
        <v>41201</v>
      </c>
      <c r="D106" s="6">
        <v>41201</v>
      </c>
      <c r="E106" s="6">
        <v>43011</v>
      </c>
      <c r="F106" s="6" t="s">
        <v>1606</v>
      </c>
      <c r="G106" s="7"/>
      <c r="H106" s="7"/>
      <c r="I106" s="33" t="s">
        <v>157</v>
      </c>
      <c r="J106" s="33"/>
      <c r="K106" s="29">
        <v>369723</v>
      </c>
      <c r="L106" s="10" t="s">
        <v>239</v>
      </c>
      <c r="M106" s="10" t="s">
        <v>301</v>
      </c>
      <c r="N106" s="10" t="s">
        <v>302</v>
      </c>
      <c r="O106" s="11" t="s">
        <v>303</v>
      </c>
      <c r="P106" s="12">
        <v>39534</v>
      </c>
      <c r="Q106" s="13">
        <f t="shared" ca="1" si="65"/>
        <v>17.489390828199863</v>
      </c>
      <c r="R106" s="14">
        <v>10</v>
      </c>
      <c r="S106" s="15">
        <v>872</v>
      </c>
      <c r="T106" s="8">
        <v>872</v>
      </c>
      <c r="U106" s="16">
        <v>45017</v>
      </c>
      <c r="V106" s="17">
        <v>1</v>
      </c>
      <c r="W106" s="16">
        <v>45382</v>
      </c>
      <c r="X106" s="14">
        <v>192</v>
      </c>
      <c r="Y106" s="18">
        <f t="shared" si="66"/>
        <v>192</v>
      </c>
      <c r="Z106" s="18">
        <f t="shared" si="79"/>
        <v>1</v>
      </c>
      <c r="AA106" s="18" t="s">
        <v>36</v>
      </c>
      <c r="AB106" s="26">
        <v>25</v>
      </c>
      <c r="AC106" s="26"/>
      <c r="AD106" s="26"/>
      <c r="AE106" s="147" t="str">
        <f t="shared" si="67"/>
        <v>1</v>
      </c>
      <c r="AF106" s="147" t="str">
        <f t="shared" si="68"/>
        <v>0</v>
      </c>
      <c r="AG106" s="147" t="str">
        <f t="shared" si="69"/>
        <v>0</v>
      </c>
      <c r="AH106" s="147" t="str">
        <f t="shared" si="70"/>
        <v>NO</v>
      </c>
      <c r="AI106" s="147" t="str">
        <f t="shared" si="71"/>
        <v>NO</v>
      </c>
      <c r="AJ106" s="147" t="str">
        <f t="shared" si="72"/>
        <v>NO</v>
      </c>
      <c r="AK106" s="147" t="str">
        <f t="shared" si="73"/>
        <v>NO</v>
      </c>
      <c r="AL106" s="21"/>
      <c r="AM106" s="21">
        <f>IF(H106="Y",AL106,((AB106*$O$902)-6000))</f>
        <v>5819.25</v>
      </c>
      <c r="AN106" s="27" t="s">
        <v>43</v>
      </c>
      <c r="AO106" s="21">
        <v>1</v>
      </c>
      <c r="AP106" s="21">
        <f t="shared" si="62"/>
        <v>1</v>
      </c>
      <c r="AQ106" s="149">
        <f t="shared" ref="AQ106:AQ130" si="81">AP106*AM106</f>
        <v>5819.25</v>
      </c>
      <c r="AR106" s="21">
        <v>5819.25</v>
      </c>
      <c r="AS106" s="610">
        <v>5819.25</v>
      </c>
      <c r="AT106" s="112">
        <v>5819.25</v>
      </c>
      <c r="AU106" s="4"/>
      <c r="AV106" s="4"/>
      <c r="AW106" s="23" t="e">
        <f>VLOOKUP(K106,#REF!,8,FALSE)</f>
        <v>#REF!</v>
      </c>
      <c r="AX106" s="23" t="e">
        <f>VLOOKUP(K106,#REF!,8,FALSE)</f>
        <v>#REF!</v>
      </c>
      <c r="AY106" s="23" t="e">
        <f>VLOOKUP(K106,#REF!,8,FALSE)</f>
        <v>#REF!</v>
      </c>
      <c r="AZ106" s="4"/>
      <c r="BA106" s="272"/>
      <c r="BB106" s="318">
        <f t="shared" si="63"/>
        <v>0</v>
      </c>
      <c r="BC106" s="269">
        <f t="shared" si="53"/>
        <v>5819.25</v>
      </c>
      <c r="BD106" t="str">
        <f t="shared" si="78"/>
        <v/>
      </c>
      <c r="BP106" s="166">
        <f t="shared" si="74"/>
        <v>5819.25</v>
      </c>
      <c r="BS106" s="165"/>
      <c r="BX106" s="495">
        <f t="shared" si="75"/>
        <v>5819.25</v>
      </c>
      <c r="BZ106" s="636">
        <f t="shared" si="59"/>
        <v>0</v>
      </c>
      <c r="CA106" s="633">
        <f t="shared" si="60"/>
        <v>0</v>
      </c>
    </row>
    <row r="107" spans="1:80" x14ac:dyDescent="0.2">
      <c r="A107" s="4">
        <v>0</v>
      </c>
      <c r="B107" s="4">
        <v>1</v>
      </c>
      <c r="C107" s="5">
        <f t="shared" si="77"/>
        <v>41201</v>
      </c>
      <c r="D107" s="6">
        <v>41201</v>
      </c>
      <c r="E107" s="6">
        <v>43011</v>
      </c>
      <c r="F107" s="6" t="s">
        <v>1606</v>
      </c>
      <c r="G107" s="7"/>
      <c r="H107" s="7"/>
      <c r="I107" s="33" t="s">
        <v>157</v>
      </c>
      <c r="J107" s="33" t="s">
        <v>142</v>
      </c>
      <c r="K107" s="29">
        <v>369723</v>
      </c>
      <c r="L107" s="10" t="s">
        <v>239</v>
      </c>
      <c r="M107" s="10" t="s">
        <v>301</v>
      </c>
      <c r="N107" s="10" t="s">
        <v>302</v>
      </c>
      <c r="O107" s="11" t="s">
        <v>303</v>
      </c>
      <c r="P107" s="12">
        <v>39534</v>
      </c>
      <c r="Q107" s="13">
        <f t="shared" ca="1" si="65"/>
        <v>17.489390828199863</v>
      </c>
      <c r="R107" s="14">
        <v>11</v>
      </c>
      <c r="S107" s="15">
        <v>872</v>
      </c>
      <c r="T107" s="8">
        <v>872</v>
      </c>
      <c r="U107" s="16">
        <v>45017</v>
      </c>
      <c r="V107" s="17">
        <v>1</v>
      </c>
      <c r="W107" s="16">
        <v>45138</v>
      </c>
      <c r="X107" s="14">
        <v>63</v>
      </c>
      <c r="Y107" s="18">
        <f t="shared" si="66"/>
        <v>63</v>
      </c>
      <c r="Z107" s="18">
        <f t="shared" si="79"/>
        <v>0.328125</v>
      </c>
      <c r="AA107" s="16">
        <v>45138</v>
      </c>
      <c r="AB107" s="26">
        <v>18551.16</v>
      </c>
      <c r="AC107" s="26"/>
      <c r="AD107" s="26"/>
      <c r="AE107" s="147" t="str">
        <f t="shared" si="67"/>
        <v>0</v>
      </c>
      <c r="AF107" s="147" t="str">
        <f t="shared" si="68"/>
        <v>0</v>
      </c>
      <c r="AG107" s="147" t="str">
        <f t="shared" si="69"/>
        <v>1</v>
      </c>
      <c r="AH107" s="147" t="str">
        <f t="shared" si="70"/>
        <v>NO</v>
      </c>
      <c r="AI107" s="147" t="str">
        <f t="shared" si="71"/>
        <v>NO</v>
      </c>
      <c r="AJ107" s="147" t="str">
        <f t="shared" si="72"/>
        <v>NO</v>
      </c>
      <c r="AK107" s="147" t="str">
        <f t="shared" si="73"/>
        <v>NO</v>
      </c>
      <c r="AL107" s="21"/>
      <c r="AM107" s="21">
        <v>18551.16</v>
      </c>
      <c r="AN107" s="27" t="s">
        <v>66</v>
      </c>
      <c r="AO107" s="21">
        <v>1</v>
      </c>
      <c r="AP107" s="21">
        <f t="shared" si="62"/>
        <v>0.328125</v>
      </c>
      <c r="AQ107" s="149">
        <f t="shared" si="81"/>
        <v>6087.0993749999998</v>
      </c>
      <c r="AR107" s="21">
        <v>6087.0993749999998</v>
      </c>
      <c r="AS107" s="610">
        <v>6087.0993749999998</v>
      </c>
      <c r="AT107" s="112">
        <v>6087.0993749999998</v>
      </c>
      <c r="AU107" s="4"/>
      <c r="AV107" s="4"/>
      <c r="AW107" s="23" t="e">
        <f>VLOOKUP(K107,#REF!,8,FALSE)</f>
        <v>#REF!</v>
      </c>
      <c r="AX107" s="23" t="e">
        <f>VLOOKUP(K107,#REF!,8,FALSE)</f>
        <v>#REF!</v>
      </c>
      <c r="AY107" s="23" t="e">
        <f>VLOOKUP(K107,#REF!,8,FALSE)</f>
        <v>#REF!</v>
      </c>
      <c r="AZ107" s="4"/>
      <c r="BA107" s="272"/>
      <c r="BB107" s="318">
        <f t="shared" si="63"/>
        <v>0</v>
      </c>
      <c r="BC107" s="269">
        <f t="shared" si="53"/>
        <v>6087.0993749999998</v>
      </c>
      <c r="BD107" s="110" t="s">
        <v>2405</v>
      </c>
      <c r="BJ107">
        <f>AB107</f>
        <v>18551.16</v>
      </c>
      <c r="BK107" s="269">
        <f>AM107</f>
        <v>18551.16</v>
      </c>
      <c r="BO107" s="106">
        <f>BK107/192*127</f>
        <v>12270.819375000001</v>
      </c>
      <c r="BP107" s="166">
        <f t="shared" si="74"/>
        <v>18357.918750000001</v>
      </c>
      <c r="BS107" s="165"/>
      <c r="BX107" s="495">
        <f t="shared" si="75"/>
        <v>18357.918750000001</v>
      </c>
      <c r="BZ107" s="636">
        <f t="shared" si="59"/>
        <v>0</v>
      </c>
      <c r="CA107" s="633">
        <f t="shared" si="60"/>
        <v>12270.819375000001</v>
      </c>
    </row>
    <row r="108" spans="1:80" x14ac:dyDescent="0.2">
      <c r="A108" s="4">
        <v>1</v>
      </c>
      <c r="B108" s="4">
        <v>1</v>
      </c>
      <c r="C108" s="5">
        <f t="shared" si="77"/>
        <v>41105</v>
      </c>
      <c r="D108" s="6">
        <v>41105</v>
      </c>
      <c r="E108" s="6">
        <v>43011</v>
      </c>
      <c r="F108" s="6" t="s">
        <v>1606</v>
      </c>
      <c r="G108" s="7"/>
      <c r="H108" s="7"/>
      <c r="I108" s="7" t="s">
        <v>32</v>
      </c>
      <c r="J108" s="7"/>
      <c r="K108" s="29">
        <v>410539</v>
      </c>
      <c r="L108" s="10" t="s">
        <v>304</v>
      </c>
      <c r="M108" s="10" t="s">
        <v>305</v>
      </c>
      <c r="N108" s="10" t="s">
        <v>306</v>
      </c>
      <c r="O108" s="11" t="str">
        <f>M108&amp;N108</f>
        <v>AmoghKalasenavaru</v>
      </c>
      <c r="P108" s="12">
        <v>41410</v>
      </c>
      <c r="Q108" s="13">
        <f t="shared" ca="1" si="65"/>
        <v>12.353182751540041</v>
      </c>
      <c r="R108" s="14">
        <v>5</v>
      </c>
      <c r="S108" s="15">
        <v>872</v>
      </c>
      <c r="T108" s="8">
        <v>872</v>
      </c>
      <c r="U108" s="16">
        <v>45017</v>
      </c>
      <c r="V108" s="17">
        <v>1</v>
      </c>
      <c r="W108" s="102">
        <v>45128</v>
      </c>
      <c r="X108" s="14">
        <v>63</v>
      </c>
      <c r="Y108" s="18">
        <f t="shared" si="66"/>
        <v>63</v>
      </c>
      <c r="Z108" s="18">
        <f t="shared" si="79"/>
        <v>0.328125</v>
      </c>
      <c r="AA108" s="18" t="s">
        <v>36</v>
      </c>
      <c r="AB108" s="26">
        <v>43419</v>
      </c>
      <c r="AC108" s="26"/>
      <c r="AD108" s="26"/>
      <c r="AE108" s="147" t="str">
        <f t="shared" si="67"/>
        <v>0</v>
      </c>
      <c r="AF108" s="147" t="str">
        <f t="shared" si="68"/>
        <v>0</v>
      </c>
      <c r="AG108" s="147" t="str">
        <f t="shared" si="69"/>
        <v>1</v>
      </c>
      <c r="AH108" s="147" t="str">
        <f t="shared" si="70"/>
        <v>NO</v>
      </c>
      <c r="AI108" s="147" t="str">
        <f t="shared" si="71"/>
        <v>NO</v>
      </c>
      <c r="AJ108" s="147" t="str">
        <f t="shared" si="72"/>
        <v>NO</v>
      </c>
      <c r="AK108" s="147" t="str">
        <f t="shared" si="73"/>
        <v>NO</v>
      </c>
      <c r="AL108" s="21"/>
      <c r="AM108" s="21">
        <v>43419</v>
      </c>
      <c r="AN108" s="27" t="s">
        <v>56</v>
      </c>
      <c r="AO108" s="21">
        <v>1</v>
      </c>
      <c r="AP108" s="21">
        <f t="shared" ref="AP108:AP139" si="82">AO108*Z108</f>
        <v>0.328125</v>
      </c>
      <c r="AQ108" s="149">
        <f t="shared" si="81"/>
        <v>14246.859375</v>
      </c>
      <c r="AR108" s="21">
        <v>43419</v>
      </c>
      <c r="AS108" s="610">
        <v>43419</v>
      </c>
      <c r="AT108" s="112">
        <v>43419</v>
      </c>
      <c r="AU108" s="4"/>
      <c r="AV108" s="4"/>
      <c r="AW108" s="23" t="e">
        <f>VLOOKUP(K108,#REF!,8,FALSE)</f>
        <v>#REF!</v>
      </c>
      <c r="AX108" s="23" t="e">
        <f>VLOOKUP(K108,#REF!,8,FALSE)</f>
        <v>#REF!</v>
      </c>
      <c r="AY108" s="23" t="e">
        <f>VLOOKUP(K108,#REF!,8,FALSE)</f>
        <v>#REF!</v>
      </c>
      <c r="AZ108" s="4"/>
      <c r="BA108" s="272"/>
      <c r="BB108" s="313">
        <f t="shared" ref="BB108:BB130" si="83">BC108-AT108</f>
        <v>0</v>
      </c>
      <c r="BC108" s="269">
        <f t="shared" ref="BC108:BC171" si="84">AR108</f>
        <v>43419</v>
      </c>
      <c r="BD108" t="str">
        <f t="shared" ref="BD108:BD113" si="85">BG108&amp;BH108&amp;BI108</f>
        <v/>
      </c>
      <c r="BP108" s="166">
        <f t="shared" si="74"/>
        <v>43419</v>
      </c>
      <c r="BS108" s="165" t="s">
        <v>2426</v>
      </c>
      <c r="BT108" t="s">
        <v>2561</v>
      </c>
      <c r="BV108" s="110" t="s">
        <v>2570</v>
      </c>
      <c r="BX108" s="495">
        <f t="shared" si="75"/>
        <v>14246.859375</v>
      </c>
      <c r="BZ108" s="636">
        <f t="shared" si="59"/>
        <v>-29172.140625</v>
      </c>
      <c r="CA108" s="633">
        <f t="shared" si="60"/>
        <v>-29172.140625</v>
      </c>
      <c r="CB108" s="110" t="s">
        <v>2562</v>
      </c>
    </row>
    <row r="109" spans="1:80" x14ac:dyDescent="0.2">
      <c r="A109" s="4">
        <v>1</v>
      </c>
      <c r="B109" s="4">
        <v>1</v>
      </c>
      <c r="C109" s="5">
        <f t="shared" si="77"/>
        <v>41105</v>
      </c>
      <c r="D109" s="6">
        <v>41105</v>
      </c>
      <c r="E109" s="6">
        <v>43011</v>
      </c>
      <c r="F109" s="6" t="s">
        <v>1606</v>
      </c>
      <c r="G109" s="7"/>
      <c r="H109" s="7"/>
      <c r="I109" s="7" t="s">
        <v>32</v>
      </c>
      <c r="J109" s="7"/>
      <c r="K109" s="29">
        <v>416910</v>
      </c>
      <c r="L109" s="10" t="s">
        <v>304</v>
      </c>
      <c r="M109" s="10" t="s">
        <v>307</v>
      </c>
      <c r="N109" s="10" t="s">
        <v>308</v>
      </c>
      <c r="O109" s="11" t="s">
        <v>309</v>
      </c>
      <c r="P109" s="12">
        <v>41773</v>
      </c>
      <c r="Q109" s="13">
        <f t="shared" ca="1" si="65"/>
        <v>11.359342915811089</v>
      </c>
      <c r="R109" s="14">
        <v>4</v>
      </c>
      <c r="S109" s="15">
        <v>872</v>
      </c>
      <c r="T109" s="8">
        <v>872</v>
      </c>
      <c r="U109" s="16">
        <v>45017</v>
      </c>
      <c r="V109" s="17">
        <v>1</v>
      </c>
      <c r="W109" s="16">
        <v>45382</v>
      </c>
      <c r="X109" s="14">
        <v>192</v>
      </c>
      <c r="Y109" s="18">
        <f t="shared" si="66"/>
        <v>192</v>
      </c>
      <c r="Z109" s="18">
        <f t="shared" si="79"/>
        <v>1</v>
      </c>
      <c r="AA109" s="18" t="s">
        <v>36</v>
      </c>
      <c r="AB109" s="26">
        <v>32</v>
      </c>
      <c r="AC109" s="26"/>
      <c r="AD109" s="26"/>
      <c r="AE109" s="147" t="str">
        <f t="shared" si="67"/>
        <v>0</v>
      </c>
      <c r="AF109" s="147" t="str">
        <f t="shared" si="68"/>
        <v>0</v>
      </c>
      <c r="AG109" s="147" t="str">
        <f t="shared" si="69"/>
        <v>1</v>
      </c>
      <c r="AH109" s="147" t="str">
        <f t="shared" si="70"/>
        <v>NO</v>
      </c>
      <c r="AI109" s="147" t="str">
        <f t="shared" si="71"/>
        <v>NO</v>
      </c>
      <c r="AJ109" s="147" t="str">
        <f t="shared" si="72"/>
        <v>NO</v>
      </c>
      <c r="AK109" s="147" t="str">
        <f t="shared" si="73"/>
        <v>NO</v>
      </c>
      <c r="AL109" s="21"/>
      <c r="AM109" s="21">
        <f>IF(H109="Y",AL109,((AB109*$O$902)-6000))</f>
        <v>9128.64</v>
      </c>
      <c r="AN109" s="27" t="s">
        <v>56</v>
      </c>
      <c r="AO109" s="21">
        <v>1</v>
      </c>
      <c r="AP109" s="21">
        <f t="shared" si="82"/>
        <v>1</v>
      </c>
      <c r="AQ109" s="149">
        <f t="shared" si="81"/>
        <v>9128.64</v>
      </c>
      <c r="AR109" s="21">
        <v>9128.64</v>
      </c>
      <c r="AS109" s="610">
        <v>9128.64</v>
      </c>
      <c r="AT109" s="112">
        <v>9128.64</v>
      </c>
      <c r="AU109" s="4"/>
      <c r="AV109" s="4"/>
      <c r="AW109" s="23" t="e">
        <f>VLOOKUP(K109,#REF!,8,FALSE)</f>
        <v>#REF!</v>
      </c>
      <c r="AX109" s="23" t="e">
        <f>VLOOKUP(K109,#REF!,8,FALSE)</f>
        <v>#REF!</v>
      </c>
      <c r="AY109" s="23" t="e">
        <f>VLOOKUP(K109,#REF!,8,FALSE)</f>
        <v>#REF!</v>
      </c>
      <c r="AZ109" s="4"/>
      <c r="BA109" s="272"/>
      <c r="BB109" s="313">
        <f t="shared" si="83"/>
        <v>0</v>
      </c>
      <c r="BC109" s="269">
        <f t="shared" si="84"/>
        <v>9128.64</v>
      </c>
      <c r="BD109" t="str">
        <f t="shared" si="85"/>
        <v/>
      </c>
      <c r="BP109" s="166">
        <f t="shared" si="74"/>
        <v>9128.64</v>
      </c>
      <c r="BS109" s="165"/>
      <c r="BX109" s="495">
        <f t="shared" si="75"/>
        <v>9128.64</v>
      </c>
      <c r="BZ109" s="636">
        <f t="shared" si="59"/>
        <v>0</v>
      </c>
      <c r="CA109" s="633">
        <f t="shared" si="60"/>
        <v>0</v>
      </c>
    </row>
    <row r="110" spans="1:80" x14ac:dyDescent="0.2">
      <c r="A110" s="4">
        <v>0</v>
      </c>
      <c r="B110" s="4">
        <v>1</v>
      </c>
      <c r="C110" s="5">
        <f t="shared" si="77"/>
        <v>41105</v>
      </c>
      <c r="D110" s="6">
        <v>41105</v>
      </c>
      <c r="E110" s="6">
        <v>43011</v>
      </c>
      <c r="F110" s="6" t="s">
        <v>1606</v>
      </c>
      <c r="G110" s="7"/>
      <c r="H110" s="7"/>
      <c r="I110" s="7" t="s">
        <v>32</v>
      </c>
      <c r="J110" s="33" t="s">
        <v>142</v>
      </c>
      <c r="K110" s="29">
        <v>416910</v>
      </c>
      <c r="L110" s="10" t="s">
        <v>304</v>
      </c>
      <c r="M110" s="10" t="s">
        <v>307</v>
      </c>
      <c r="N110" s="10" t="s">
        <v>308</v>
      </c>
      <c r="O110" s="11" t="s">
        <v>309</v>
      </c>
      <c r="P110" s="12">
        <v>41773</v>
      </c>
      <c r="Q110" s="13">
        <f t="shared" ca="1" si="65"/>
        <v>11.359342915811089</v>
      </c>
      <c r="R110" s="14">
        <v>4</v>
      </c>
      <c r="S110" s="15">
        <v>872</v>
      </c>
      <c r="T110" s="8">
        <v>872</v>
      </c>
      <c r="U110" s="16">
        <v>45033</v>
      </c>
      <c r="V110" s="17">
        <v>2</v>
      </c>
      <c r="W110" s="16">
        <v>45072</v>
      </c>
      <c r="X110" s="14">
        <v>28</v>
      </c>
      <c r="Y110" s="18">
        <f t="shared" si="66"/>
        <v>27</v>
      </c>
      <c r="Z110" s="18">
        <v>1</v>
      </c>
      <c r="AA110" s="16">
        <v>45072</v>
      </c>
      <c r="AB110" s="26">
        <v>1185</v>
      </c>
      <c r="AC110" s="26"/>
      <c r="AD110" s="26"/>
      <c r="AE110" s="147" t="str">
        <f t="shared" si="67"/>
        <v>0</v>
      </c>
      <c r="AF110" s="147" t="str">
        <f t="shared" si="68"/>
        <v>0</v>
      </c>
      <c r="AG110" s="147" t="str">
        <f t="shared" si="69"/>
        <v>1</v>
      </c>
      <c r="AH110" s="147" t="str">
        <f t="shared" si="70"/>
        <v>NO</v>
      </c>
      <c r="AI110" s="147" t="str">
        <f t="shared" si="71"/>
        <v>NO</v>
      </c>
      <c r="AJ110" s="147" t="str">
        <f t="shared" si="72"/>
        <v>NO</v>
      </c>
      <c r="AK110" s="147" t="str">
        <f t="shared" si="73"/>
        <v>NO</v>
      </c>
      <c r="AL110" s="21"/>
      <c r="AM110" s="21">
        <v>1185</v>
      </c>
      <c r="AN110" s="27" t="s">
        <v>56</v>
      </c>
      <c r="AO110" s="21">
        <v>1</v>
      </c>
      <c r="AP110" s="21">
        <f t="shared" si="82"/>
        <v>1</v>
      </c>
      <c r="AQ110" s="149">
        <f t="shared" si="81"/>
        <v>1185</v>
      </c>
      <c r="AR110" s="21">
        <v>1185</v>
      </c>
      <c r="AS110" s="610">
        <v>0</v>
      </c>
      <c r="AT110" s="112">
        <v>1185</v>
      </c>
      <c r="AU110" s="4"/>
      <c r="AV110" s="4"/>
      <c r="AW110" s="23" t="e">
        <f>VLOOKUP(K110,#REF!,8,FALSE)</f>
        <v>#REF!</v>
      </c>
      <c r="AX110" s="23" t="e">
        <f>VLOOKUP(K110,#REF!,8,FALSE)</f>
        <v>#REF!</v>
      </c>
      <c r="AY110" s="23" t="e">
        <f>VLOOKUP(K110,#REF!,8,FALSE)</f>
        <v>#REF!</v>
      </c>
      <c r="AZ110" s="4"/>
      <c r="BA110" s="272"/>
      <c r="BB110" s="313">
        <f t="shared" si="83"/>
        <v>0</v>
      </c>
      <c r="BC110" s="269">
        <f t="shared" si="84"/>
        <v>1185</v>
      </c>
      <c r="BD110" t="str">
        <f t="shared" si="85"/>
        <v/>
      </c>
      <c r="BP110" s="166">
        <f t="shared" si="74"/>
        <v>1185</v>
      </c>
      <c r="BS110" s="165"/>
      <c r="BX110" s="495">
        <f t="shared" si="75"/>
        <v>1185</v>
      </c>
      <c r="BZ110" s="636">
        <f t="shared" si="59"/>
        <v>0</v>
      </c>
      <c r="CA110" s="633">
        <f t="shared" si="60"/>
        <v>1185</v>
      </c>
    </row>
    <row r="111" spans="1:80" x14ac:dyDescent="0.2">
      <c r="A111" s="4">
        <v>1</v>
      </c>
      <c r="B111" s="4">
        <v>1</v>
      </c>
      <c r="C111" s="5">
        <f t="shared" si="77"/>
        <v>41105</v>
      </c>
      <c r="D111" s="6">
        <v>41105</v>
      </c>
      <c r="E111" s="6">
        <v>43011</v>
      </c>
      <c r="F111" s="6" t="s">
        <v>1606</v>
      </c>
      <c r="G111" s="7"/>
      <c r="H111" s="7"/>
      <c r="I111" s="7" t="s">
        <v>32</v>
      </c>
      <c r="J111" s="7"/>
      <c r="K111" s="29">
        <v>428769</v>
      </c>
      <c r="L111" s="10" t="s">
        <v>304</v>
      </c>
      <c r="M111" s="10" t="s">
        <v>310</v>
      </c>
      <c r="N111" s="10" t="s">
        <v>311</v>
      </c>
      <c r="O111" s="11" t="s">
        <v>312</v>
      </c>
      <c r="P111" s="12">
        <v>42543</v>
      </c>
      <c r="Q111" s="13">
        <f t="shared" ca="1" si="65"/>
        <v>9.2511978097193701</v>
      </c>
      <c r="R111" s="14">
        <v>1</v>
      </c>
      <c r="S111" s="15">
        <v>872</v>
      </c>
      <c r="T111" s="8">
        <v>872</v>
      </c>
      <c r="U111" s="16">
        <v>45017</v>
      </c>
      <c r="V111" s="17">
        <v>1</v>
      </c>
      <c r="W111" s="16">
        <v>45382</v>
      </c>
      <c r="X111" s="14">
        <v>192</v>
      </c>
      <c r="Y111" s="18">
        <f t="shared" si="66"/>
        <v>192</v>
      </c>
      <c r="Z111" s="18">
        <f t="shared" ref="Z111:Z120" si="86">Y111/192</f>
        <v>1</v>
      </c>
      <c r="AA111" s="18" t="s">
        <v>36</v>
      </c>
      <c r="AB111" s="26">
        <v>32</v>
      </c>
      <c r="AC111" s="26"/>
      <c r="AD111" s="26"/>
      <c r="AE111" s="147" t="str">
        <f t="shared" si="67"/>
        <v>0</v>
      </c>
      <c r="AF111" s="147" t="str">
        <f t="shared" si="68"/>
        <v>0</v>
      </c>
      <c r="AG111" s="147" t="str">
        <f t="shared" si="69"/>
        <v>1</v>
      </c>
      <c r="AH111" s="147" t="str">
        <f t="shared" si="70"/>
        <v>NO</v>
      </c>
      <c r="AI111" s="147" t="str">
        <f t="shared" si="71"/>
        <v>NO</v>
      </c>
      <c r="AJ111" s="147" t="str">
        <f t="shared" si="72"/>
        <v>NO</v>
      </c>
      <c r="AK111" s="147" t="str">
        <f t="shared" si="73"/>
        <v>NO</v>
      </c>
      <c r="AL111" s="21"/>
      <c r="AM111" s="21">
        <f t="shared" ref="AM111:AM120" si="87">IF(H111="Y",AL111,((AB111*$O$902)-6000))</f>
        <v>9128.64</v>
      </c>
      <c r="AN111" s="27" t="s">
        <v>37</v>
      </c>
      <c r="AO111" s="21">
        <v>1</v>
      </c>
      <c r="AP111" s="21">
        <f t="shared" si="82"/>
        <v>1</v>
      </c>
      <c r="AQ111" s="149">
        <f t="shared" si="81"/>
        <v>9128.64</v>
      </c>
      <c r="AR111" s="21">
        <v>9128.64</v>
      </c>
      <c r="AS111" s="610">
        <v>9128.64</v>
      </c>
      <c r="AT111" s="112">
        <v>9128.64</v>
      </c>
      <c r="AU111" s="4"/>
      <c r="AV111" s="4"/>
      <c r="AW111" s="23" t="e">
        <f>VLOOKUP(K111,#REF!,8,FALSE)</f>
        <v>#REF!</v>
      </c>
      <c r="AX111" s="23" t="e">
        <f>VLOOKUP(K111,#REF!,8,FALSE)</f>
        <v>#REF!</v>
      </c>
      <c r="AY111" s="23" t="e">
        <f>VLOOKUP(K111,#REF!,8,FALSE)</f>
        <v>#REF!</v>
      </c>
      <c r="AZ111" s="4"/>
      <c r="BA111" s="272"/>
      <c r="BB111" s="313">
        <f t="shared" si="83"/>
        <v>0</v>
      </c>
      <c r="BC111" s="269">
        <f t="shared" si="84"/>
        <v>9128.64</v>
      </c>
      <c r="BD111" t="str">
        <f t="shared" si="85"/>
        <v/>
      </c>
      <c r="BP111" s="166">
        <f t="shared" si="74"/>
        <v>9128.64</v>
      </c>
      <c r="BS111" s="165"/>
      <c r="BX111" s="495">
        <f t="shared" si="75"/>
        <v>9128.64</v>
      </c>
      <c r="BZ111" s="636">
        <f t="shared" si="59"/>
        <v>0</v>
      </c>
      <c r="CA111" s="633">
        <f t="shared" si="60"/>
        <v>0</v>
      </c>
    </row>
    <row r="112" spans="1:80" x14ac:dyDescent="0.2">
      <c r="A112" s="4">
        <v>1</v>
      </c>
      <c r="B112" s="4">
        <v>1</v>
      </c>
      <c r="C112" s="5">
        <f t="shared" si="77"/>
        <v>41105</v>
      </c>
      <c r="D112" s="6">
        <v>41105</v>
      </c>
      <c r="E112" s="6">
        <v>43011</v>
      </c>
      <c r="F112" s="6" t="s">
        <v>1606</v>
      </c>
      <c r="G112" s="7"/>
      <c r="H112" s="7"/>
      <c r="I112" s="7" t="s">
        <v>32</v>
      </c>
      <c r="J112" s="7"/>
      <c r="K112" s="29">
        <v>403652</v>
      </c>
      <c r="L112" s="10" t="s">
        <v>304</v>
      </c>
      <c r="M112" s="10" t="s">
        <v>313</v>
      </c>
      <c r="N112" s="10" t="s">
        <v>314</v>
      </c>
      <c r="O112" s="11" t="s">
        <v>315</v>
      </c>
      <c r="P112" s="12">
        <v>41160</v>
      </c>
      <c r="Q112" s="13">
        <f t="shared" ca="1" si="65"/>
        <v>13.037645448323067</v>
      </c>
      <c r="R112" s="14">
        <v>5</v>
      </c>
      <c r="S112" s="15">
        <v>872</v>
      </c>
      <c r="T112" s="8">
        <v>872</v>
      </c>
      <c r="U112" s="16">
        <v>45017</v>
      </c>
      <c r="V112" s="17">
        <v>1</v>
      </c>
      <c r="W112" s="16">
        <v>45382</v>
      </c>
      <c r="X112" s="14">
        <v>192</v>
      </c>
      <c r="Y112" s="18">
        <f t="shared" si="66"/>
        <v>192</v>
      </c>
      <c r="Z112" s="18">
        <f t="shared" si="86"/>
        <v>1</v>
      </c>
      <c r="AA112" s="18" t="s">
        <v>36</v>
      </c>
      <c r="AB112" s="26">
        <v>24</v>
      </c>
      <c r="AC112" s="26"/>
      <c r="AD112" s="26"/>
      <c r="AE112" s="147" t="str">
        <f t="shared" si="67"/>
        <v>1</v>
      </c>
      <c r="AF112" s="147" t="str">
        <f t="shared" si="68"/>
        <v>0</v>
      </c>
      <c r="AG112" s="147" t="str">
        <f t="shared" si="69"/>
        <v>0</v>
      </c>
      <c r="AH112" s="147" t="str">
        <f t="shared" si="70"/>
        <v>NO</v>
      </c>
      <c r="AI112" s="147" t="str">
        <f t="shared" si="71"/>
        <v>NO</v>
      </c>
      <c r="AJ112" s="147" t="str">
        <f t="shared" si="72"/>
        <v>NO</v>
      </c>
      <c r="AK112" s="147" t="str">
        <f t="shared" si="73"/>
        <v>NO</v>
      </c>
      <c r="AL112" s="21"/>
      <c r="AM112" s="21">
        <f t="shared" si="87"/>
        <v>5346.48</v>
      </c>
      <c r="AN112" s="27" t="s">
        <v>81</v>
      </c>
      <c r="AO112" s="21">
        <v>1</v>
      </c>
      <c r="AP112" s="21">
        <f t="shared" si="82"/>
        <v>1</v>
      </c>
      <c r="AQ112" s="149">
        <f t="shared" si="81"/>
        <v>5346.48</v>
      </c>
      <c r="AR112" s="21">
        <v>5346.48</v>
      </c>
      <c r="AS112" s="610">
        <v>5346.48</v>
      </c>
      <c r="AT112" s="112">
        <v>5346.48</v>
      </c>
      <c r="AU112" s="4"/>
      <c r="AV112" s="4"/>
      <c r="AW112" s="23" t="e">
        <f>VLOOKUP(K112,#REF!,8,FALSE)</f>
        <v>#REF!</v>
      </c>
      <c r="AX112" s="23" t="e">
        <f>VLOOKUP(K112,#REF!,8,FALSE)</f>
        <v>#REF!</v>
      </c>
      <c r="AY112" s="23" t="e">
        <f>VLOOKUP(K112,#REF!,8,FALSE)</f>
        <v>#REF!</v>
      </c>
      <c r="AZ112" s="4"/>
      <c r="BA112" s="272"/>
      <c r="BB112" s="313">
        <f t="shared" si="83"/>
        <v>0</v>
      </c>
      <c r="BC112" s="269">
        <f t="shared" si="84"/>
        <v>5346.48</v>
      </c>
      <c r="BD112" t="str">
        <f t="shared" si="85"/>
        <v/>
      </c>
      <c r="BP112" s="166">
        <f t="shared" si="74"/>
        <v>5346.48</v>
      </c>
      <c r="BS112" s="165"/>
      <c r="BX112" s="495">
        <f t="shared" si="75"/>
        <v>5346.48</v>
      </c>
      <c r="BZ112" s="636">
        <f t="shared" si="59"/>
        <v>0</v>
      </c>
      <c r="CA112" s="633">
        <f t="shared" si="60"/>
        <v>0</v>
      </c>
    </row>
    <row r="113" spans="1:79" x14ac:dyDescent="0.2">
      <c r="A113" s="4">
        <v>1</v>
      </c>
      <c r="B113" s="4">
        <v>1</v>
      </c>
      <c r="C113" s="5">
        <f t="shared" si="77"/>
        <v>41105</v>
      </c>
      <c r="D113" s="6">
        <v>41105</v>
      </c>
      <c r="E113" s="6">
        <v>43011</v>
      </c>
      <c r="F113" s="6" t="s">
        <v>1606</v>
      </c>
      <c r="G113" s="7"/>
      <c r="H113" s="7"/>
      <c r="I113" s="7" t="s">
        <v>32</v>
      </c>
      <c r="J113" s="7"/>
      <c r="K113" s="29">
        <v>395715</v>
      </c>
      <c r="L113" s="10" t="s">
        <v>304</v>
      </c>
      <c r="M113" s="10" t="s">
        <v>316</v>
      </c>
      <c r="N113" s="10" t="s">
        <v>317</v>
      </c>
      <c r="O113" s="11" t="s">
        <v>318</v>
      </c>
      <c r="P113" s="12">
        <v>40876</v>
      </c>
      <c r="Q113" s="13">
        <f t="shared" ca="1" si="65"/>
        <v>13.815195071868583</v>
      </c>
      <c r="R113" s="14">
        <v>6</v>
      </c>
      <c r="S113" s="15">
        <v>872</v>
      </c>
      <c r="T113" s="8">
        <v>872</v>
      </c>
      <c r="U113" s="16">
        <v>45017</v>
      </c>
      <c r="V113" s="17">
        <v>1</v>
      </c>
      <c r="W113" s="16">
        <v>45128</v>
      </c>
      <c r="X113" s="14">
        <v>63</v>
      </c>
      <c r="Y113" s="18">
        <f t="shared" si="66"/>
        <v>63</v>
      </c>
      <c r="Z113" s="18">
        <f t="shared" si="86"/>
        <v>0.328125</v>
      </c>
      <c r="AA113" s="18" t="s">
        <v>48</v>
      </c>
      <c r="AB113" s="26">
        <v>25</v>
      </c>
      <c r="AC113" s="26"/>
      <c r="AD113" s="26"/>
      <c r="AE113" s="147" t="str">
        <f t="shared" si="67"/>
        <v>1</v>
      </c>
      <c r="AF113" s="147" t="str">
        <f t="shared" si="68"/>
        <v>0</v>
      </c>
      <c r="AG113" s="147" t="str">
        <f t="shared" si="69"/>
        <v>0</v>
      </c>
      <c r="AH113" s="147" t="str">
        <f t="shared" si="70"/>
        <v>NO</v>
      </c>
      <c r="AI113" s="147" t="str">
        <f t="shared" si="71"/>
        <v>NO</v>
      </c>
      <c r="AJ113" s="147" t="str">
        <f t="shared" si="72"/>
        <v>NO</v>
      </c>
      <c r="AK113" s="147" t="str">
        <f t="shared" si="73"/>
        <v>NO</v>
      </c>
      <c r="AL113" s="21"/>
      <c r="AM113" s="21">
        <f t="shared" si="87"/>
        <v>5819.25</v>
      </c>
      <c r="AN113" s="27" t="s">
        <v>66</v>
      </c>
      <c r="AO113" s="21">
        <v>1</v>
      </c>
      <c r="AP113" s="21">
        <f t="shared" si="82"/>
        <v>0.328125</v>
      </c>
      <c r="AQ113" s="149">
        <f t="shared" si="81"/>
        <v>1909.44140625</v>
      </c>
      <c r="AR113" s="21">
        <v>1909.44140625</v>
      </c>
      <c r="AS113" s="610">
        <v>1909.44140625</v>
      </c>
      <c r="AT113" s="112">
        <v>1909.44140625</v>
      </c>
      <c r="AU113" s="4"/>
      <c r="AV113" s="4"/>
      <c r="AW113" s="23" t="e">
        <f>VLOOKUP(K113,#REF!,8,FALSE)</f>
        <v>#REF!</v>
      </c>
      <c r="AX113" s="262" t="s">
        <v>2247</v>
      </c>
      <c r="AY113" s="23" t="e">
        <f>VLOOKUP(K113,#REF!,8,FALSE)</f>
        <v>#REF!</v>
      </c>
      <c r="AZ113" s="4"/>
      <c r="BA113" s="272"/>
      <c r="BB113" s="313">
        <f t="shared" si="83"/>
        <v>0</v>
      </c>
      <c r="BC113" s="269">
        <f t="shared" si="84"/>
        <v>1909.44140625</v>
      </c>
      <c r="BD113" t="e">
        <f t="shared" si="85"/>
        <v>#REF!</v>
      </c>
      <c r="BE113" s="110" t="s">
        <v>2403</v>
      </c>
      <c r="BF113" s="110">
        <v>43013</v>
      </c>
      <c r="BH113" t="e">
        <f>VLOOKUP(K113,#REF!,8,FALSE)</f>
        <v>#REF!</v>
      </c>
      <c r="BJ113">
        <f>AB113</f>
        <v>25</v>
      </c>
      <c r="BK113" s="269">
        <f>AM113</f>
        <v>5819.25</v>
      </c>
      <c r="BL113" s="353"/>
      <c r="BM113" s="353" t="s">
        <v>75</v>
      </c>
      <c r="BN113" s="353"/>
      <c r="BO113" s="106">
        <f>BK113/192*127</f>
        <v>3849.19140625</v>
      </c>
      <c r="BP113" s="166">
        <f t="shared" si="74"/>
        <v>5758.6328125</v>
      </c>
      <c r="BQ113" s="106">
        <v>3849.19140625</v>
      </c>
      <c r="BR113" t="s">
        <v>2446</v>
      </c>
      <c r="BS113" s="165"/>
      <c r="BX113" s="495">
        <f t="shared" si="75"/>
        <v>5758.6328125</v>
      </c>
      <c r="BZ113" s="636">
        <f t="shared" si="59"/>
        <v>0</v>
      </c>
      <c r="CA113" s="633">
        <f t="shared" si="60"/>
        <v>3849.19140625</v>
      </c>
    </row>
    <row r="114" spans="1:79" x14ac:dyDescent="0.2">
      <c r="A114" s="4">
        <v>1</v>
      </c>
      <c r="B114" s="4">
        <v>1</v>
      </c>
      <c r="C114" s="5">
        <f t="shared" si="77"/>
        <v>41105</v>
      </c>
      <c r="D114" s="6">
        <v>41105</v>
      </c>
      <c r="E114" s="6">
        <v>43011</v>
      </c>
      <c r="F114" s="6" t="s">
        <v>1606</v>
      </c>
      <c r="G114" s="7"/>
      <c r="H114" s="7"/>
      <c r="I114" s="7" t="s">
        <v>32</v>
      </c>
      <c r="J114" s="7"/>
      <c r="K114" s="29">
        <v>423447</v>
      </c>
      <c r="L114" s="10" t="s">
        <v>304</v>
      </c>
      <c r="M114" s="10" t="s">
        <v>139</v>
      </c>
      <c r="N114" s="10" t="s">
        <v>396</v>
      </c>
      <c r="O114" s="11" t="s">
        <v>2488</v>
      </c>
      <c r="P114" s="12">
        <v>42243</v>
      </c>
      <c r="Q114" s="13">
        <f t="shared" ca="1" si="65"/>
        <v>10.072553045859001</v>
      </c>
      <c r="R114" s="14">
        <v>2</v>
      </c>
      <c r="S114" s="15">
        <v>872</v>
      </c>
      <c r="T114" s="8">
        <v>872</v>
      </c>
      <c r="U114" s="16">
        <v>45107</v>
      </c>
      <c r="V114" s="17">
        <v>48</v>
      </c>
      <c r="W114" s="16">
        <v>45382</v>
      </c>
      <c r="X114" s="14">
        <v>192</v>
      </c>
      <c r="Y114" s="18">
        <f t="shared" si="66"/>
        <v>145</v>
      </c>
      <c r="Z114" s="18">
        <f t="shared" si="86"/>
        <v>0.75520833333333337</v>
      </c>
      <c r="AA114" s="18" t="s">
        <v>36</v>
      </c>
      <c r="AB114" s="26">
        <v>25</v>
      </c>
      <c r="AC114" s="26"/>
      <c r="AD114" s="26"/>
      <c r="AE114" s="147" t="str">
        <f t="shared" si="67"/>
        <v>1</v>
      </c>
      <c r="AF114" s="147" t="str">
        <f t="shared" si="68"/>
        <v>0</v>
      </c>
      <c r="AG114" s="147" t="str">
        <f t="shared" si="69"/>
        <v>0</v>
      </c>
      <c r="AH114" s="147" t="str">
        <f t="shared" si="70"/>
        <v>NO</v>
      </c>
      <c r="AI114" s="147" t="str">
        <f t="shared" si="71"/>
        <v>NO</v>
      </c>
      <c r="AJ114" s="147" t="str">
        <f t="shared" si="72"/>
        <v>NO</v>
      </c>
      <c r="AK114" s="147" t="str">
        <f t="shared" si="73"/>
        <v>NO</v>
      </c>
      <c r="AL114" s="21"/>
      <c r="AM114" s="21">
        <f t="shared" si="87"/>
        <v>5819.25</v>
      </c>
      <c r="AN114" s="27" t="s">
        <v>37</v>
      </c>
      <c r="AO114" s="21">
        <v>1</v>
      </c>
      <c r="AP114" s="21">
        <f t="shared" si="82"/>
        <v>0.75520833333333337</v>
      </c>
      <c r="AQ114" s="149">
        <f t="shared" si="81"/>
        <v>4394.74609375</v>
      </c>
      <c r="AR114" s="21">
        <v>0</v>
      </c>
      <c r="AS114" s="610">
        <v>0</v>
      </c>
      <c r="AT114" s="112">
        <v>0</v>
      </c>
      <c r="AU114" s="4"/>
      <c r="AV114" s="4"/>
      <c r="AW114" s="23" t="e">
        <f>VLOOKUP(K114,#REF!,8,FALSE)</f>
        <v>#REF!</v>
      </c>
      <c r="AX114" s="23" t="e">
        <f>VLOOKUP(K114,#REF!,8,FALSE)</f>
        <v>#REF!</v>
      </c>
      <c r="AY114" s="23" t="e">
        <f>VLOOKUP(K114,#REF!,8,FALSE)</f>
        <v>#REF!</v>
      </c>
      <c r="AZ114" s="4"/>
      <c r="BA114" s="272"/>
      <c r="BB114" s="313">
        <f t="shared" si="83"/>
        <v>0</v>
      </c>
      <c r="BC114" s="269">
        <f t="shared" si="84"/>
        <v>0</v>
      </c>
      <c r="BE114" s="110"/>
      <c r="BF114" s="110"/>
      <c r="BK114" s="269"/>
      <c r="BL114" s="353"/>
      <c r="BM114" s="353"/>
      <c r="BN114" s="353"/>
      <c r="BO114" s="106"/>
      <c r="BP114" s="166">
        <f t="shared" si="74"/>
        <v>0</v>
      </c>
      <c r="BQ114" s="106"/>
      <c r="BS114" s="165"/>
      <c r="BX114" s="495">
        <f t="shared" si="75"/>
        <v>4394.74609375</v>
      </c>
      <c r="BY114" t="s">
        <v>2471</v>
      </c>
      <c r="BZ114" s="636">
        <f t="shared" si="59"/>
        <v>4394.74609375</v>
      </c>
      <c r="CA114" s="633">
        <f t="shared" si="60"/>
        <v>4394.74609375</v>
      </c>
    </row>
    <row r="115" spans="1:79" x14ac:dyDescent="0.2">
      <c r="A115" s="4">
        <v>1</v>
      </c>
      <c r="B115" s="4">
        <v>1</v>
      </c>
      <c r="C115" s="5">
        <f t="shared" si="77"/>
        <v>41105</v>
      </c>
      <c r="D115" s="6">
        <v>41105</v>
      </c>
      <c r="E115" s="6">
        <v>43011</v>
      </c>
      <c r="F115" s="6" t="s">
        <v>1606</v>
      </c>
      <c r="G115" s="7"/>
      <c r="H115" s="7"/>
      <c r="I115" s="7" t="s">
        <v>32</v>
      </c>
      <c r="J115" s="7"/>
      <c r="K115" s="29">
        <v>406023</v>
      </c>
      <c r="L115" s="10" t="s">
        <v>304</v>
      </c>
      <c r="M115" s="10" t="s">
        <v>319</v>
      </c>
      <c r="N115" s="10" t="s">
        <v>320</v>
      </c>
      <c r="O115" s="11" t="s">
        <v>321</v>
      </c>
      <c r="P115" s="12">
        <v>41621</v>
      </c>
      <c r="Q115" s="13">
        <f t="shared" ca="1" si="65"/>
        <v>11.775496235455167</v>
      </c>
      <c r="R115" s="14">
        <v>4</v>
      </c>
      <c r="S115" s="15">
        <v>872</v>
      </c>
      <c r="T115" s="8">
        <v>872</v>
      </c>
      <c r="U115" s="16">
        <v>45017</v>
      </c>
      <c r="V115" s="17">
        <v>1</v>
      </c>
      <c r="W115" s="16">
        <v>45382</v>
      </c>
      <c r="X115" s="14">
        <v>192</v>
      </c>
      <c r="Y115" s="18">
        <f t="shared" ref="Y115:Y130" si="88">X115-V115+1</f>
        <v>192</v>
      </c>
      <c r="Z115" s="18">
        <f t="shared" si="86"/>
        <v>1</v>
      </c>
      <c r="AA115" s="18" t="s">
        <v>36</v>
      </c>
      <c r="AB115" s="26">
        <v>30</v>
      </c>
      <c r="AC115" s="26"/>
      <c r="AD115" s="26"/>
      <c r="AE115" s="147" t="str">
        <f t="shared" si="67"/>
        <v>0</v>
      </c>
      <c r="AF115" s="147" t="str">
        <f t="shared" si="68"/>
        <v>1</v>
      </c>
      <c r="AG115" s="147" t="str">
        <f t="shared" si="69"/>
        <v>0</v>
      </c>
      <c r="AH115" s="147" t="str">
        <f t="shared" si="70"/>
        <v>NO</v>
      </c>
      <c r="AI115" s="147" t="str">
        <f t="shared" si="71"/>
        <v>NO</v>
      </c>
      <c r="AJ115" s="147" t="str">
        <f t="shared" si="72"/>
        <v>NO</v>
      </c>
      <c r="AK115" s="147" t="str">
        <f t="shared" si="73"/>
        <v>NO</v>
      </c>
      <c r="AL115" s="21"/>
      <c r="AM115" s="21">
        <f t="shared" si="87"/>
        <v>8183.0999999999985</v>
      </c>
      <c r="AN115" s="27" t="s">
        <v>56</v>
      </c>
      <c r="AO115" s="21">
        <v>1</v>
      </c>
      <c r="AP115" s="21">
        <f t="shared" si="82"/>
        <v>1</v>
      </c>
      <c r="AQ115" s="149">
        <f t="shared" si="81"/>
        <v>8183.0999999999985</v>
      </c>
      <c r="AR115" s="21">
        <v>8183.0999999999985</v>
      </c>
      <c r="AS115" s="610">
        <v>8183.0999999999985</v>
      </c>
      <c r="AT115" s="112">
        <v>8183.0999999999985</v>
      </c>
      <c r="AU115" s="4"/>
      <c r="AV115" s="4"/>
      <c r="AW115" s="23" t="e">
        <f>VLOOKUP(K115,#REF!,8,FALSE)</f>
        <v>#REF!</v>
      </c>
      <c r="AX115" s="23" t="e">
        <f>VLOOKUP(K115,#REF!,8,FALSE)</f>
        <v>#REF!</v>
      </c>
      <c r="AY115" s="23" t="e">
        <f>VLOOKUP(K115,#REF!,8,FALSE)</f>
        <v>#REF!</v>
      </c>
      <c r="AZ115" s="4"/>
      <c r="BA115" s="272"/>
      <c r="BB115" s="313">
        <f t="shared" si="83"/>
        <v>0</v>
      </c>
      <c r="BC115" s="269">
        <f t="shared" si="84"/>
        <v>8183.0999999999985</v>
      </c>
      <c r="BD115" t="str">
        <f t="shared" ref="BD115:BD128" si="89">BG115&amp;BH115&amp;BI115</f>
        <v/>
      </c>
      <c r="BP115" s="166">
        <f t="shared" si="74"/>
        <v>8183.0999999999985</v>
      </c>
      <c r="BS115" s="165"/>
      <c r="BX115" s="495">
        <f t="shared" si="75"/>
        <v>8183.0999999999985</v>
      </c>
      <c r="BZ115" s="636">
        <f t="shared" si="59"/>
        <v>0</v>
      </c>
      <c r="CA115" s="633">
        <f t="shared" si="60"/>
        <v>0</v>
      </c>
    </row>
    <row r="116" spans="1:79" x14ac:dyDescent="0.2">
      <c r="A116" s="4">
        <v>1</v>
      </c>
      <c r="B116" s="4">
        <v>1</v>
      </c>
      <c r="C116" s="5">
        <f t="shared" si="77"/>
        <v>41105</v>
      </c>
      <c r="D116" s="6">
        <v>41105</v>
      </c>
      <c r="E116" s="6">
        <v>43011</v>
      </c>
      <c r="F116" s="6" t="s">
        <v>1606</v>
      </c>
      <c r="G116" s="7"/>
      <c r="H116" s="7"/>
      <c r="I116" s="7" t="s">
        <v>32</v>
      </c>
      <c r="J116" s="7"/>
      <c r="K116" s="29">
        <v>397379</v>
      </c>
      <c r="L116" s="10" t="s">
        <v>304</v>
      </c>
      <c r="M116" s="10" t="s">
        <v>322</v>
      </c>
      <c r="N116" s="10" t="s">
        <v>323</v>
      </c>
      <c r="O116" s="11" t="s">
        <v>324</v>
      </c>
      <c r="P116" s="12">
        <v>41018</v>
      </c>
      <c r="Q116" s="13">
        <f t="shared" ca="1" si="65"/>
        <v>13.426420260095824</v>
      </c>
      <c r="R116" s="14">
        <v>6</v>
      </c>
      <c r="S116" s="15">
        <v>872</v>
      </c>
      <c r="T116" s="8">
        <v>872</v>
      </c>
      <c r="U116" s="16">
        <v>45017</v>
      </c>
      <c r="V116" s="17">
        <v>1</v>
      </c>
      <c r="W116" s="16">
        <v>45128</v>
      </c>
      <c r="X116" s="14">
        <v>63</v>
      </c>
      <c r="Y116" s="18">
        <f t="shared" si="88"/>
        <v>63</v>
      </c>
      <c r="Z116" s="18">
        <f t="shared" si="86"/>
        <v>0.328125</v>
      </c>
      <c r="AA116" s="18" t="s">
        <v>48</v>
      </c>
      <c r="AB116" s="26">
        <v>30</v>
      </c>
      <c r="AC116" s="26"/>
      <c r="AD116" s="26"/>
      <c r="AE116" s="147" t="str">
        <f t="shared" si="67"/>
        <v>0</v>
      </c>
      <c r="AF116" s="147" t="str">
        <f t="shared" si="68"/>
        <v>1</v>
      </c>
      <c r="AG116" s="147" t="str">
        <f t="shared" si="69"/>
        <v>0</v>
      </c>
      <c r="AH116" s="147" t="str">
        <f t="shared" si="70"/>
        <v>NO</v>
      </c>
      <c r="AI116" s="147" t="str">
        <f t="shared" si="71"/>
        <v>NO</v>
      </c>
      <c r="AJ116" s="147" t="str">
        <f t="shared" si="72"/>
        <v>NO</v>
      </c>
      <c r="AK116" s="147" t="str">
        <f t="shared" si="73"/>
        <v>NO</v>
      </c>
      <c r="AL116" s="21"/>
      <c r="AM116" s="21">
        <f t="shared" si="87"/>
        <v>8183.0999999999985</v>
      </c>
      <c r="AN116" s="27" t="s">
        <v>43</v>
      </c>
      <c r="AO116" s="21">
        <v>1</v>
      </c>
      <c r="AP116" s="21">
        <f t="shared" si="82"/>
        <v>0.328125</v>
      </c>
      <c r="AQ116" s="149">
        <f t="shared" si="81"/>
        <v>2685.0796874999996</v>
      </c>
      <c r="AR116" s="21">
        <v>2685.0796874999996</v>
      </c>
      <c r="AS116" s="610">
        <v>2685.0796874999996</v>
      </c>
      <c r="AT116" s="112">
        <v>2685.0796874999996</v>
      </c>
      <c r="AU116" s="4"/>
      <c r="AV116" s="4"/>
      <c r="AW116" s="23" t="e">
        <f>VLOOKUP(K116,#REF!,8,FALSE)</f>
        <v>#REF!</v>
      </c>
      <c r="AX116" s="264" t="s">
        <v>2262</v>
      </c>
      <c r="AY116" s="23" t="e">
        <f>VLOOKUP(K116,#REF!,8,FALSE)</f>
        <v>#REF!</v>
      </c>
      <c r="AZ116" s="23" t="s">
        <v>75</v>
      </c>
      <c r="BA116" s="273">
        <f>AM116/3*2</f>
        <v>5455.3999999999987</v>
      </c>
      <c r="BB116" s="313">
        <f t="shared" si="83"/>
        <v>0</v>
      </c>
      <c r="BC116" s="269">
        <f t="shared" si="84"/>
        <v>2685.0796874999996</v>
      </c>
      <c r="BD116" t="e">
        <f t="shared" si="89"/>
        <v>#REF!</v>
      </c>
      <c r="BE116" t="s">
        <v>2396</v>
      </c>
      <c r="BH116" t="e">
        <f>VLOOKUP(K116,#REF!,8,FALSE)</f>
        <v>#REF!</v>
      </c>
      <c r="BJ116">
        <f>AB116</f>
        <v>30</v>
      </c>
      <c r="BK116" s="269">
        <f>AM116</f>
        <v>8183.0999999999985</v>
      </c>
      <c r="BL116" s="353"/>
      <c r="BM116" s="353" t="s">
        <v>75</v>
      </c>
      <c r="BN116" s="353"/>
      <c r="BO116" s="106">
        <f>BK116/192*127</f>
        <v>5412.7796874999985</v>
      </c>
      <c r="BP116" s="166">
        <f t="shared" si="74"/>
        <v>8097.8593749999982</v>
      </c>
      <c r="BQ116" s="106">
        <v>5412.7796874999985</v>
      </c>
      <c r="BR116" t="s">
        <v>2446</v>
      </c>
      <c r="BS116" s="165"/>
      <c r="BX116" s="495">
        <f t="shared" si="75"/>
        <v>8097.8593749999982</v>
      </c>
      <c r="BZ116" s="636">
        <f t="shared" si="59"/>
        <v>0</v>
      </c>
      <c r="CA116" s="633">
        <f t="shared" si="60"/>
        <v>5412.7796874999985</v>
      </c>
    </row>
    <row r="117" spans="1:79" x14ac:dyDescent="0.2">
      <c r="A117" s="4">
        <v>1</v>
      </c>
      <c r="B117" s="4">
        <v>1</v>
      </c>
      <c r="C117" s="5">
        <f t="shared" si="77"/>
        <v>41105</v>
      </c>
      <c r="D117" s="6">
        <v>41105</v>
      </c>
      <c r="E117" s="6">
        <v>43011</v>
      </c>
      <c r="F117" s="6" t="s">
        <v>1606</v>
      </c>
      <c r="G117" s="7"/>
      <c r="H117" s="7"/>
      <c r="I117" s="7" t="s">
        <v>32</v>
      </c>
      <c r="J117" s="7"/>
      <c r="K117" s="29">
        <v>429757</v>
      </c>
      <c r="L117" s="10" t="s">
        <v>304</v>
      </c>
      <c r="M117" s="10" t="s">
        <v>325</v>
      </c>
      <c r="N117" s="10" t="s">
        <v>326</v>
      </c>
      <c r="O117" s="11" t="s">
        <v>327</v>
      </c>
      <c r="P117" s="12">
        <v>41463</v>
      </c>
      <c r="Q117" s="13">
        <f t="shared" ca="1" si="65"/>
        <v>12.208076659822039</v>
      </c>
      <c r="R117" s="14">
        <v>5</v>
      </c>
      <c r="S117" s="15">
        <v>872</v>
      </c>
      <c r="T117" s="8">
        <v>872</v>
      </c>
      <c r="U117" s="16">
        <v>45017</v>
      </c>
      <c r="V117" s="17">
        <v>1</v>
      </c>
      <c r="W117" s="16">
        <v>45382</v>
      </c>
      <c r="X117" s="14">
        <v>192</v>
      </c>
      <c r="Y117" s="18">
        <f t="shared" si="88"/>
        <v>192</v>
      </c>
      <c r="Z117" s="18">
        <f t="shared" si="86"/>
        <v>1</v>
      </c>
      <c r="AA117" s="18" t="s">
        <v>36</v>
      </c>
      <c r="AB117" s="26">
        <v>25</v>
      </c>
      <c r="AC117" s="26"/>
      <c r="AD117" s="26"/>
      <c r="AE117" s="147" t="str">
        <f t="shared" si="67"/>
        <v>1</v>
      </c>
      <c r="AF117" s="147" t="str">
        <f t="shared" si="68"/>
        <v>0</v>
      </c>
      <c r="AG117" s="147" t="str">
        <f t="shared" si="69"/>
        <v>0</v>
      </c>
      <c r="AH117" s="147" t="str">
        <f t="shared" si="70"/>
        <v>NO</v>
      </c>
      <c r="AI117" s="147" t="str">
        <f t="shared" si="71"/>
        <v>NO</v>
      </c>
      <c r="AJ117" s="147" t="str">
        <f t="shared" si="72"/>
        <v>NO</v>
      </c>
      <c r="AK117" s="147" t="str">
        <f t="shared" si="73"/>
        <v>NO</v>
      </c>
      <c r="AL117" s="21"/>
      <c r="AM117" s="21">
        <f t="shared" si="87"/>
        <v>5819.25</v>
      </c>
      <c r="AN117" s="27" t="s">
        <v>43</v>
      </c>
      <c r="AO117" s="21">
        <v>1</v>
      </c>
      <c r="AP117" s="21">
        <f t="shared" si="82"/>
        <v>1</v>
      </c>
      <c r="AQ117" s="149">
        <f t="shared" si="81"/>
        <v>5819.25</v>
      </c>
      <c r="AR117" s="21">
        <v>5819.25</v>
      </c>
      <c r="AS117" s="610">
        <v>5819.25</v>
      </c>
      <c r="AT117" s="112">
        <v>5819.25</v>
      </c>
      <c r="AU117" s="4"/>
      <c r="AV117" s="4"/>
      <c r="AW117" s="23" t="e">
        <f>VLOOKUP(K117,#REF!,8,FALSE)</f>
        <v>#REF!</v>
      </c>
      <c r="AX117" s="23" t="e">
        <f>VLOOKUP(K117,#REF!,8,FALSE)</f>
        <v>#REF!</v>
      </c>
      <c r="AY117" s="23" t="e">
        <f>VLOOKUP(K117,#REF!,8,FALSE)</f>
        <v>#REF!</v>
      </c>
      <c r="AZ117" s="4"/>
      <c r="BA117" s="272"/>
      <c r="BB117" s="313">
        <f t="shared" si="83"/>
        <v>0</v>
      </c>
      <c r="BC117" s="269">
        <f t="shared" si="84"/>
        <v>5819.25</v>
      </c>
      <c r="BD117" t="str">
        <f t="shared" si="89"/>
        <v/>
      </c>
      <c r="BP117" s="166">
        <f t="shared" si="74"/>
        <v>5819.25</v>
      </c>
      <c r="BS117" s="165"/>
      <c r="BX117" s="495">
        <f t="shared" si="75"/>
        <v>5819.25</v>
      </c>
      <c r="BZ117" s="636">
        <f t="shared" si="59"/>
        <v>0</v>
      </c>
      <c r="CA117" s="633">
        <f t="shared" si="60"/>
        <v>0</v>
      </c>
    </row>
    <row r="118" spans="1:79" x14ac:dyDescent="0.2">
      <c r="A118" s="4">
        <v>1</v>
      </c>
      <c r="B118" s="4">
        <v>1</v>
      </c>
      <c r="C118" s="5">
        <f t="shared" si="77"/>
        <v>41105</v>
      </c>
      <c r="D118" s="6">
        <v>41105</v>
      </c>
      <c r="E118" s="6">
        <v>43011</v>
      </c>
      <c r="F118" s="6" t="s">
        <v>1606</v>
      </c>
      <c r="G118" s="7"/>
      <c r="H118" s="7"/>
      <c r="I118" s="7" t="s">
        <v>32</v>
      </c>
      <c r="J118" s="7"/>
      <c r="K118" s="29">
        <v>421770</v>
      </c>
      <c r="L118" s="10" t="s">
        <v>304</v>
      </c>
      <c r="M118" s="10" t="s">
        <v>328</v>
      </c>
      <c r="N118" s="10" t="s">
        <v>329</v>
      </c>
      <c r="O118" s="11" t="s">
        <v>330</v>
      </c>
      <c r="P118" s="12">
        <v>42252</v>
      </c>
      <c r="Q118" s="13">
        <f t="shared" ca="1" si="65"/>
        <v>10.047912388774812</v>
      </c>
      <c r="R118" s="14">
        <v>2</v>
      </c>
      <c r="S118" s="15">
        <v>872</v>
      </c>
      <c r="T118" s="8">
        <v>872</v>
      </c>
      <c r="U118" s="16">
        <v>45017</v>
      </c>
      <c r="V118" s="17">
        <v>1</v>
      </c>
      <c r="W118" s="16">
        <v>45382</v>
      </c>
      <c r="X118" s="14">
        <v>192</v>
      </c>
      <c r="Y118" s="18">
        <f t="shared" si="88"/>
        <v>192</v>
      </c>
      <c r="Z118" s="18">
        <f t="shared" si="86"/>
        <v>1</v>
      </c>
      <c r="AA118" s="18" t="s">
        <v>36</v>
      </c>
      <c r="AB118" s="26">
        <v>30</v>
      </c>
      <c r="AC118" s="26"/>
      <c r="AD118" s="26"/>
      <c r="AE118" s="147" t="str">
        <f t="shared" si="67"/>
        <v>0</v>
      </c>
      <c r="AF118" s="147" t="str">
        <f t="shared" si="68"/>
        <v>1</v>
      </c>
      <c r="AG118" s="147" t="str">
        <f t="shared" si="69"/>
        <v>0</v>
      </c>
      <c r="AH118" s="147" t="str">
        <f t="shared" si="70"/>
        <v>NO</v>
      </c>
      <c r="AI118" s="147" t="str">
        <f t="shared" si="71"/>
        <v>NO</v>
      </c>
      <c r="AJ118" s="147" t="str">
        <f t="shared" si="72"/>
        <v>NO</v>
      </c>
      <c r="AK118" s="147" t="str">
        <f t="shared" si="73"/>
        <v>NO</v>
      </c>
      <c r="AL118" s="21"/>
      <c r="AM118" s="21">
        <f t="shared" si="87"/>
        <v>8183.0999999999985</v>
      </c>
      <c r="AN118" s="27" t="s">
        <v>37</v>
      </c>
      <c r="AO118" s="21">
        <v>1</v>
      </c>
      <c r="AP118" s="21">
        <f t="shared" si="82"/>
        <v>1</v>
      </c>
      <c r="AQ118" s="149">
        <f t="shared" si="81"/>
        <v>8183.0999999999985</v>
      </c>
      <c r="AR118" s="21">
        <v>8183.0999999999985</v>
      </c>
      <c r="AS118" s="610">
        <v>8183.0999999999985</v>
      </c>
      <c r="AT118" s="112">
        <v>8183.0999999999985</v>
      </c>
      <c r="AU118" s="4"/>
      <c r="AV118" s="4"/>
      <c r="AW118" s="23" t="e">
        <f>VLOOKUP(K118,#REF!,8,FALSE)</f>
        <v>#REF!</v>
      </c>
      <c r="AX118" s="23" t="e">
        <f>VLOOKUP(K118,#REF!,8,FALSE)</f>
        <v>#REF!</v>
      </c>
      <c r="AY118" s="23" t="e">
        <f>VLOOKUP(K118,#REF!,8,FALSE)</f>
        <v>#REF!</v>
      </c>
      <c r="AZ118" s="4"/>
      <c r="BA118" s="272"/>
      <c r="BB118" s="313">
        <f t="shared" si="83"/>
        <v>0</v>
      </c>
      <c r="BC118" s="269">
        <f t="shared" si="84"/>
        <v>8183.0999999999985</v>
      </c>
      <c r="BD118" t="str">
        <f t="shared" si="89"/>
        <v/>
      </c>
      <c r="BP118" s="166">
        <f t="shared" si="74"/>
        <v>8183.0999999999985</v>
      </c>
      <c r="BS118" s="165"/>
      <c r="BX118" s="495">
        <f t="shared" si="75"/>
        <v>8183.0999999999985</v>
      </c>
      <c r="BZ118" s="636">
        <f t="shared" si="59"/>
        <v>0</v>
      </c>
      <c r="CA118" s="633">
        <f t="shared" si="60"/>
        <v>0</v>
      </c>
    </row>
    <row r="119" spans="1:79" x14ac:dyDescent="0.2">
      <c r="A119" s="4">
        <v>1</v>
      </c>
      <c r="B119" s="4">
        <v>1</v>
      </c>
      <c r="C119" s="5">
        <f t="shared" si="77"/>
        <v>41155</v>
      </c>
      <c r="D119" s="6">
        <v>41155</v>
      </c>
      <c r="E119" s="121">
        <v>43012</v>
      </c>
      <c r="F119" s="6" t="s">
        <v>1606</v>
      </c>
      <c r="G119" s="7" t="s">
        <v>75</v>
      </c>
      <c r="H119" s="7"/>
      <c r="I119" s="7" t="s">
        <v>32</v>
      </c>
      <c r="J119" s="7"/>
      <c r="K119" s="29">
        <v>403855</v>
      </c>
      <c r="L119" s="10" t="s">
        <v>331</v>
      </c>
      <c r="M119" s="10" t="s">
        <v>332</v>
      </c>
      <c r="N119" s="10" t="s">
        <v>333</v>
      </c>
      <c r="O119" s="11" t="s">
        <v>334</v>
      </c>
      <c r="P119" s="12">
        <v>41471</v>
      </c>
      <c r="Q119" s="13">
        <f t="shared" ca="1" si="65"/>
        <v>12.186173853524982</v>
      </c>
      <c r="R119" s="14">
        <v>5</v>
      </c>
      <c r="S119" s="15">
        <v>872</v>
      </c>
      <c r="T119" s="8">
        <v>872</v>
      </c>
      <c r="U119" s="16">
        <v>45017</v>
      </c>
      <c r="V119" s="17">
        <v>1</v>
      </c>
      <c r="W119" s="16">
        <v>45382</v>
      </c>
      <c r="X119" s="14">
        <v>192</v>
      </c>
      <c r="Y119" s="18">
        <f t="shared" si="88"/>
        <v>192</v>
      </c>
      <c r="Z119" s="18">
        <f t="shared" si="86"/>
        <v>1</v>
      </c>
      <c r="AA119" s="18" t="s">
        <v>36</v>
      </c>
      <c r="AB119" s="26">
        <v>30</v>
      </c>
      <c r="AC119" s="26"/>
      <c r="AD119" s="26"/>
      <c r="AE119" s="147" t="str">
        <f t="shared" si="67"/>
        <v>0</v>
      </c>
      <c r="AF119" s="147" t="str">
        <f t="shared" si="68"/>
        <v>1</v>
      </c>
      <c r="AG119" s="147" t="str">
        <f t="shared" si="69"/>
        <v>0</v>
      </c>
      <c r="AH119" s="147" t="str">
        <f t="shared" si="70"/>
        <v>NO</v>
      </c>
      <c r="AI119" s="147" t="str">
        <f t="shared" si="71"/>
        <v>NO</v>
      </c>
      <c r="AJ119" s="147" t="str">
        <f t="shared" si="72"/>
        <v>NO</v>
      </c>
      <c r="AK119" s="147" t="str">
        <f t="shared" si="73"/>
        <v>NO</v>
      </c>
      <c r="AL119" s="21"/>
      <c r="AM119" s="21">
        <f t="shared" si="87"/>
        <v>8183.0999999999985</v>
      </c>
      <c r="AN119" s="27" t="s">
        <v>43</v>
      </c>
      <c r="AO119" s="21">
        <v>1</v>
      </c>
      <c r="AP119" s="21">
        <f t="shared" si="82"/>
        <v>1</v>
      </c>
      <c r="AQ119" s="149">
        <f t="shared" si="81"/>
        <v>8183.0999999999985</v>
      </c>
      <c r="AR119" s="21">
        <v>8183.0999999999985</v>
      </c>
      <c r="AS119" s="610">
        <v>8183.0999999999985</v>
      </c>
      <c r="AT119" s="112">
        <v>8183.0999999999985</v>
      </c>
      <c r="AU119" s="4"/>
      <c r="AV119" s="4"/>
      <c r="AW119" s="23" t="e">
        <f>VLOOKUP(K119,#REF!,8,FALSE)</f>
        <v>#REF!</v>
      </c>
      <c r="AX119" s="23" t="e">
        <f>VLOOKUP(K119,#REF!,8,FALSE)</f>
        <v>#REF!</v>
      </c>
      <c r="AY119" s="23" t="e">
        <f>VLOOKUP(K119,#REF!,8,FALSE)</f>
        <v>#REF!</v>
      </c>
      <c r="AZ119" s="4"/>
      <c r="BA119" s="272"/>
      <c r="BB119" s="313">
        <f t="shared" si="83"/>
        <v>0</v>
      </c>
      <c r="BC119" s="269">
        <f t="shared" si="84"/>
        <v>8183.0999999999985</v>
      </c>
      <c r="BD119" t="str">
        <f t="shared" si="89"/>
        <v/>
      </c>
      <c r="BP119" s="166">
        <f t="shared" si="74"/>
        <v>8183.0999999999985</v>
      </c>
      <c r="BS119" s="165"/>
      <c r="BX119" s="495">
        <f t="shared" si="75"/>
        <v>8183.0999999999985</v>
      </c>
      <c r="BZ119" s="636">
        <f t="shared" si="59"/>
        <v>0</v>
      </c>
      <c r="CA119" s="633">
        <f t="shared" si="60"/>
        <v>0</v>
      </c>
    </row>
    <row r="120" spans="1:79" x14ac:dyDescent="0.2">
      <c r="A120" s="4">
        <v>1</v>
      </c>
      <c r="B120" s="4">
        <v>1</v>
      </c>
      <c r="C120" s="5">
        <f t="shared" si="77"/>
        <v>41155</v>
      </c>
      <c r="D120" s="6">
        <v>41155</v>
      </c>
      <c r="E120" s="121">
        <v>43012</v>
      </c>
      <c r="F120" s="6" t="s">
        <v>1606</v>
      </c>
      <c r="G120" s="7" t="s">
        <v>75</v>
      </c>
      <c r="H120" s="7"/>
      <c r="I120" s="7" t="s">
        <v>32</v>
      </c>
      <c r="J120" s="7"/>
      <c r="K120" s="29">
        <v>431731</v>
      </c>
      <c r="L120" s="10" t="s">
        <v>331</v>
      </c>
      <c r="M120" s="10" t="s">
        <v>335</v>
      </c>
      <c r="N120" s="10" t="s">
        <v>336</v>
      </c>
      <c r="O120" s="11" t="s">
        <v>337</v>
      </c>
      <c r="P120" s="12">
        <v>43073</v>
      </c>
      <c r="Q120" s="13">
        <f t="shared" ca="1" si="65"/>
        <v>7.8001368925393564</v>
      </c>
      <c r="R120" s="14">
        <v>0</v>
      </c>
      <c r="S120" s="15">
        <v>872</v>
      </c>
      <c r="T120" s="8">
        <v>872</v>
      </c>
      <c r="U120" s="16">
        <v>45017</v>
      </c>
      <c r="V120" s="17">
        <v>1</v>
      </c>
      <c r="W120" s="16">
        <v>45382</v>
      </c>
      <c r="X120" s="14">
        <v>192</v>
      </c>
      <c r="Y120" s="18">
        <f t="shared" si="88"/>
        <v>192</v>
      </c>
      <c r="Z120" s="18">
        <f t="shared" si="86"/>
        <v>1</v>
      </c>
      <c r="AA120" s="18" t="s">
        <v>36</v>
      </c>
      <c r="AB120" s="26">
        <v>30</v>
      </c>
      <c r="AC120" s="26"/>
      <c r="AD120" s="26"/>
      <c r="AE120" s="147" t="str">
        <f t="shared" si="67"/>
        <v>0</v>
      </c>
      <c r="AF120" s="147" t="str">
        <f t="shared" si="68"/>
        <v>1</v>
      </c>
      <c r="AG120" s="147" t="str">
        <f t="shared" si="69"/>
        <v>0</v>
      </c>
      <c r="AH120" s="147" t="str">
        <f t="shared" si="70"/>
        <v>NO</v>
      </c>
      <c r="AI120" s="147" t="str">
        <f t="shared" si="71"/>
        <v>NO</v>
      </c>
      <c r="AJ120" s="147" t="str">
        <f t="shared" si="72"/>
        <v>NO</v>
      </c>
      <c r="AK120" s="147" t="str">
        <f t="shared" si="73"/>
        <v>NO</v>
      </c>
      <c r="AL120" s="21"/>
      <c r="AM120" s="21">
        <f t="shared" si="87"/>
        <v>8183.0999999999985</v>
      </c>
      <c r="AN120" s="27"/>
      <c r="AO120" s="21">
        <v>1</v>
      </c>
      <c r="AP120" s="21">
        <f t="shared" si="82"/>
        <v>1</v>
      </c>
      <c r="AQ120" s="149">
        <f t="shared" si="81"/>
        <v>8183.0999999999985</v>
      </c>
      <c r="AR120" s="21">
        <v>8183.0999999999985</v>
      </c>
      <c r="AS120" s="610">
        <v>8183.0999999999985</v>
      </c>
      <c r="AT120" s="112">
        <v>8183.0999999999985</v>
      </c>
      <c r="AU120" s="4"/>
      <c r="AV120" s="4"/>
      <c r="AW120" s="23" t="e">
        <f>VLOOKUP(K120,#REF!,8,FALSE)</f>
        <v>#REF!</v>
      </c>
      <c r="AX120" s="23" t="e">
        <f>VLOOKUP(K120,#REF!,8,FALSE)</f>
        <v>#REF!</v>
      </c>
      <c r="AY120" s="23" t="e">
        <f>VLOOKUP(K120,#REF!,8,FALSE)</f>
        <v>#REF!</v>
      </c>
      <c r="AZ120" s="4"/>
      <c r="BA120" s="272"/>
      <c r="BB120" s="313">
        <f t="shared" si="83"/>
        <v>0</v>
      </c>
      <c r="BC120" s="269">
        <f t="shared" si="84"/>
        <v>8183.0999999999985</v>
      </c>
      <c r="BD120" t="str">
        <f t="shared" si="89"/>
        <v/>
      </c>
      <c r="BP120" s="166">
        <f t="shared" si="74"/>
        <v>8183.0999999999985</v>
      </c>
      <c r="BS120" s="165"/>
      <c r="BX120" s="495">
        <f t="shared" si="75"/>
        <v>8183.0999999999985</v>
      </c>
      <c r="BZ120" s="636">
        <f t="shared" si="59"/>
        <v>0</v>
      </c>
      <c r="CA120" s="633">
        <f t="shared" si="60"/>
        <v>0</v>
      </c>
    </row>
    <row r="121" spans="1:79" x14ac:dyDescent="0.2">
      <c r="A121" s="4">
        <v>0</v>
      </c>
      <c r="B121" s="4">
        <v>1</v>
      </c>
      <c r="C121" s="5">
        <f t="shared" si="77"/>
        <v>41155</v>
      </c>
      <c r="D121" s="6">
        <v>41155</v>
      </c>
      <c r="E121" s="121">
        <v>43012</v>
      </c>
      <c r="F121" s="6" t="s">
        <v>1606</v>
      </c>
      <c r="G121" s="7" t="s">
        <v>75</v>
      </c>
      <c r="H121" s="7"/>
      <c r="I121" s="7" t="s">
        <v>32</v>
      </c>
      <c r="J121" s="7" t="s">
        <v>192</v>
      </c>
      <c r="K121" s="29">
        <v>431731</v>
      </c>
      <c r="L121" s="10" t="s">
        <v>331</v>
      </c>
      <c r="M121" s="10" t="s">
        <v>335</v>
      </c>
      <c r="N121" s="10" t="s">
        <v>336</v>
      </c>
      <c r="O121" s="11" t="s">
        <v>337</v>
      </c>
      <c r="P121" s="12">
        <v>43073</v>
      </c>
      <c r="Q121" s="13">
        <f t="shared" ca="1" si="65"/>
        <v>7.8001368925393564</v>
      </c>
      <c r="R121" s="14">
        <v>0</v>
      </c>
      <c r="S121" s="15">
        <v>872</v>
      </c>
      <c r="T121" s="8">
        <v>872</v>
      </c>
      <c r="U121" s="16">
        <v>45033</v>
      </c>
      <c r="V121" s="17">
        <v>2</v>
      </c>
      <c r="W121" s="16">
        <v>45128</v>
      </c>
      <c r="X121" s="14">
        <v>63</v>
      </c>
      <c r="Y121" s="18">
        <f t="shared" si="88"/>
        <v>62</v>
      </c>
      <c r="Z121" s="18">
        <v>1</v>
      </c>
      <c r="AA121" s="16">
        <v>45128</v>
      </c>
      <c r="AB121" s="26">
        <v>19500</v>
      </c>
      <c r="AC121" s="26"/>
      <c r="AD121" s="26"/>
      <c r="AE121" s="147" t="str">
        <f t="shared" si="67"/>
        <v>0</v>
      </c>
      <c r="AF121" s="147" t="str">
        <f t="shared" si="68"/>
        <v>0</v>
      </c>
      <c r="AG121" s="147" t="str">
        <f t="shared" si="69"/>
        <v>1</v>
      </c>
      <c r="AH121" s="147" t="str">
        <f t="shared" si="70"/>
        <v>NO</v>
      </c>
      <c r="AI121" s="147" t="str">
        <f t="shared" si="71"/>
        <v>NO</v>
      </c>
      <c r="AJ121" s="147" t="str">
        <f t="shared" si="72"/>
        <v>NO</v>
      </c>
      <c r="AK121" s="147" t="str">
        <f t="shared" si="73"/>
        <v>NO</v>
      </c>
      <c r="AL121" s="21"/>
      <c r="AM121" s="21">
        <v>19500</v>
      </c>
      <c r="AN121" s="27"/>
      <c r="AO121" s="21">
        <v>1</v>
      </c>
      <c r="AP121" s="21">
        <f t="shared" si="82"/>
        <v>1</v>
      </c>
      <c r="AQ121" s="149">
        <f t="shared" si="81"/>
        <v>19500</v>
      </c>
      <c r="AR121" s="21">
        <v>19500</v>
      </c>
      <c r="AS121" s="610">
        <v>0</v>
      </c>
      <c r="AT121" s="112">
        <v>19500</v>
      </c>
      <c r="AU121" s="4"/>
      <c r="AV121" s="4"/>
      <c r="AW121" s="23" t="e">
        <f>VLOOKUP(K121,#REF!,8,FALSE)</f>
        <v>#REF!</v>
      </c>
      <c r="AX121" s="23" t="e">
        <f>VLOOKUP(K121,#REF!,8,FALSE)</f>
        <v>#REF!</v>
      </c>
      <c r="AY121" s="23" t="e">
        <f>VLOOKUP(K121,#REF!,8,FALSE)</f>
        <v>#REF!</v>
      </c>
      <c r="AZ121" s="4"/>
      <c r="BA121" s="272"/>
      <c r="BB121" s="313">
        <f t="shared" si="83"/>
        <v>0</v>
      </c>
      <c r="BC121" s="269">
        <f t="shared" si="84"/>
        <v>19500</v>
      </c>
      <c r="BD121" t="str">
        <f t="shared" si="89"/>
        <v/>
      </c>
      <c r="BJ121">
        <f>AB121</f>
        <v>19500</v>
      </c>
      <c r="BK121" s="269">
        <f>AM121</f>
        <v>19500</v>
      </c>
      <c r="BO121" s="106">
        <f>BK121/192*127</f>
        <v>12898.4375</v>
      </c>
      <c r="BP121" s="166">
        <f t="shared" si="74"/>
        <v>32398.4375</v>
      </c>
      <c r="BS121" s="165"/>
      <c r="BX121" s="495">
        <f t="shared" si="75"/>
        <v>32398.4375</v>
      </c>
      <c r="BZ121" s="636">
        <f t="shared" si="59"/>
        <v>0</v>
      </c>
      <c r="CA121" s="633">
        <f t="shared" si="60"/>
        <v>32398.4375</v>
      </c>
    </row>
    <row r="122" spans="1:79" x14ac:dyDescent="0.2">
      <c r="A122" s="4">
        <v>1</v>
      </c>
      <c r="B122" s="4">
        <v>1</v>
      </c>
      <c r="C122" s="5">
        <f t="shared" si="77"/>
        <v>41155</v>
      </c>
      <c r="D122" s="6">
        <v>41155</v>
      </c>
      <c r="E122" s="121">
        <v>43012</v>
      </c>
      <c r="F122" s="6" t="s">
        <v>1606</v>
      </c>
      <c r="G122" s="7" t="s">
        <v>75</v>
      </c>
      <c r="H122" s="7"/>
      <c r="I122" s="7" t="s">
        <v>32</v>
      </c>
      <c r="J122" s="7"/>
      <c r="K122" s="29">
        <v>399898</v>
      </c>
      <c r="L122" s="10" t="s">
        <v>331</v>
      </c>
      <c r="M122" s="10" t="s">
        <v>338</v>
      </c>
      <c r="N122" s="10" t="s">
        <v>339</v>
      </c>
      <c r="O122" s="11" t="s">
        <v>340</v>
      </c>
      <c r="P122" s="12">
        <v>41260</v>
      </c>
      <c r="Q122" s="13">
        <f t="shared" ca="1" si="65"/>
        <v>12.763860369609857</v>
      </c>
      <c r="R122" s="14">
        <v>5</v>
      </c>
      <c r="S122" s="15">
        <v>872</v>
      </c>
      <c r="T122" s="8">
        <v>872</v>
      </c>
      <c r="U122" s="16">
        <v>45017</v>
      </c>
      <c r="V122" s="17">
        <v>1</v>
      </c>
      <c r="W122" s="16">
        <v>45382</v>
      </c>
      <c r="X122" s="14">
        <v>192</v>
      </c>
      <c r="Y122" s="18">
        <f t="shared" si="88"/>
        <v>192</v>
      </c>
      <c r="Z122" s="18">
        <f t="shared" ref="Z122:Z137" si="90">Y122/192</f>
        <v>1</v>
      </c>
      <c r="AA122" s="18" t="s">
        <v>36</v>
      </c>
      <c r="AB122" s="26">
        <v>36</v>
      </c>
      <c r="AC122" s="26"/>
      <c r="AD122" s="26"/>
      <c r="AE122" s="147" t="str">
        <f t="shared" si="67"/>
        <v>0</v>
      </c>
      <c r="AF122" s="147" t="str">
        <f t="shared" si="68"/>
        <v>0</v>
      </c>
      <c r="AG122" s="147" t="str">
        <f t="shared" si="69"/>
        <v>1</v>
      </c>
      <c r="AH122" s="147" t="str">
        <f t="shared" si="70"/>
        <v>NO</v>
      </c>
      <c r="AI122" s="147" t="str">
        <f t="shared" si="71"/>
        <v>NO</v>
      </c>
      <c r="AJ122" s="147" t="str">
        <f t="shared" si="72"/>
        <v>NO</v>
      </c>
      <c r="AK122" s="147" t="str">
        <f t="shared" si="73"/>
        <v>NO</v>
      </c>
      <c r="AL122" s="21"/>
      <c r="AM122" s="21">
        <f>IF(H122="Y",AL122,((AB122*$O$902)-6000))</f>
        <v>11019.720000000001</v>
      </c>
      <c r="AN122" s="27" t="s">
        <v>56</v>
      </c>
      <c r="AO122" s="21">
        <v>1</v>
      </c>
      <c r="AP122" s="21">
        <f t="shared" si="82"/>
        <v>1</v>
      </c>
      <c r="AQ122" s="149">
        <f t="shared" si="81"/>
        <v>11019.720000000001</v>
      </c>
      <c r="AR122" s="21">
        <v>11019.720000000001</v>
      </c>
      <c r="AS122" s="610">
        <v>11019.720000000001</v>
      </c>
      <c r="AT122" s="112">
        <v>11019.720000000001</v>
      </c>
      <c r="AU122" s="4"/>
      <c r="AV122" s="4"/>
      <c r="AW122" s="23" t="e">
        <f>VLOOKUP(K122,#REF!,8,FALSE)</f>
        <v>#REF!</v>
      </c>
      <c r="AX122" s="23" t="e">
        <f>VLOOKUP(K122,#REF!,8,FALSE)</f>
        <v>#REF!</v>
      </c>
      <c r="AY122" s="23" t="e">
        <f>VLOOKUP(K122,#REF!,8,FALSE)</f>
        <v>#REF!</v>
      </c>
      <c r="AZ122" s="4"/>
      <c r="BA122" s="272"/>
      <c r="BB122" s="313">
        <f t="shared" si="83"/>
        <v>0</v>
      </c>
      <c r="BC122" s="269">
        <f t="shared" si="84"/>
        <v>11019.720000000001</v>
      </c>
      <c r="BD122" t="str">
        <f t="shared" si="89"/>
        <v/>
      </c>
      <c r="BP122" s="166">
        <f t="shared" si="74"/>
        <v>11019.720000000001</v>
      </c>
      <c r="BS122" s="165"/>
      <c r="BX122" s="495">
        <f t="shared" si="75"/>
        <v>11019.720000000001</v>
      </c>
      <c r="BZ122" s="636">
        <f t="shared" si="59"/>
        <v>0</v>
      </c>
      <c r="CA122" s="633">
        <f t="shared" si="60"/>
        <v>0</v>
      </c>
    </row>
    <row r="123" spans="1:79" x14ac:dyDescent="0.2">
      <c r="A123" s="4">
        <v>0</v>
      </c>
      <c r="B123" s="4">
        <v>1</v>
      </c>
      <c r="C123" s="5">
        <f t="shared" si="77"/>
        <v>41155</v>
      </c>
      <c r="D123" s="6">
        <v>41155</v>
      </c>
      <c r="E123" s="121">
        <v>43012</v>
      </c>
      <c r="F123" s="6" t="s">
        <v>1606</v>
      </c>
      <c r="G123" s="7" t="s">
        <v>75</v>
      </c>
      <c r="H123" s="7"/>
      <c r="I123" s="7" t="s">
        <v>32</v>
      </c>
      <c r="J123" s="7" t="s">
        <v>142</v>
      </c>
      <c r="K123" s="29">
        <v>399898</v>
      </c>
      <c r="L123" s="10" t="s">
        <v>331</v>
      </c>
      <c r="M123" s="10" t="s">
        <v>338</v>
      </c>
      <c r="N123" s="10" t="s">
        <v>339</v>
      </c>
      <c r="O123" s="11" t="s">
        <v>340</v>
      </c>
      <c r="P123" s="12">
        <v>41260</v>
      </c>
      <c r="Q123" s="13">
        <f t="shared" ca="1" si="65"/>
        <v>12.763860369609857</v>
      </c>
      <c r="R123" s="14">
        <v>5</v>
      </c>
      <c r="S123" s="15">
        <v>872</v>
      </c>
      <c r="T123" s="8">
        <v>872</v>
      </c>
      <c r="U123" s="16">
        <v>45017</v>
      </c>
      <c r="V123" s="17">
        <v>1</v>
      </c>
      <c r="W123" s="16">
        <v>45382</v>
      </c>
      <c r="X123" s="14">
        <v>192</v>
      </c>
      <c r="Y123" s="18">
        <f t="shared" si="88"/>
        <v>192</v>
      </c>
      <c r="Z123" s="18">
        <f t="shared" si="90"/>
        <v>1</v>
      </c>
      <c r="AA123" s="18" t="s">
        <v>36</v>
      </c>
      <c r="AB123" s="26">
        <v>3465.72</v>
      </c>
      <c r="AC123" s="26"/>
      <c r="AD123" s="26"/>
      <c r="AE123" s="147" t="str">
        <f t="shared" si="67"/>
        <v>0</v>
      </c>
      <c r="AF123" s="147" t="str">
        <f t="shared" si="68"/>
        <v>0</v>
      </c>
      <c r="AG123" s="147" t="str">
        <f t="shared" si="69"/>
        <v>1</v>
      </c>
      <c r="AH123" s="147" t="str">
        <f t="shared" si="70"/>
        <v>NO</v>
      </c>
      <c r="AI123" s="147" t="str">
        <f t="shared" si="71"/>
        <v>NO</v>
      </c>
      <c r="AJ123" s="147" t="str">
        <f t="shared" si="72"/>
        <v>NO</v>
      </c>
      <c r="AK123" s="147" t="str">
        <f t="shared" si="73"/>
        <v>NO</v>
      </c>
      <c r="AL123" s="21"/>
      <c r="AM123" s="21">
        <f>AB123</f>
        <v>3465.72</v>
      </c>
      <c r="AN123" s="27" t="s">
        <v>56</v>
      </c>
      <c r="AO123" s="21">
        <v>1</v>
      </c>
      <c r="AP123" s="21">
        <f t="shared" si="82"/>
        <v>1</v>
      </c>
      <c r="AQ123" s="149">
        <f t="shared" si="81"/>
        <v>3465.72</v>
      </c>
      <c r="AR123" s="21">
        <v>3465.72</v>
      </c>
      <c r="AS123" s="610">
        <v>0</v>
      </c>
      <c r="AT123" s="112">
        <v>3465.72</v>
      </c>
      <c r="AU123" s="4"/>
      <c r="AV123" s="4"/>
      <c r="AW123" s="23" t="e">
        <f>VLOOKUP(K123,#REF!,8,FALSE)</f>
        <v>#REF!</v>
      </c>
      <c r="AX123" s="23" t="e">
        <f>VLOOKUP(K123,#REF!,8,FALSE)</f>
        <v>#REF!</v>
      </c>
      <c r="AY123" s="23" t="e">
        <f>VLOOKUP(K123,#REF!,8,FALSE)</f>
        <v>#REF!</v>
      </c>
      <c r="AZ123" s="4"/>
      <c r="BA123" s="272"/>
      <c r="BB123" s="313">
        <f t="shared" si="83"/>
        <v>0</v>
      </c>
      <c r="BC123" s="269">
        <f t="shared" si="84"/>
        <v>3465.72</v>
      </c>
      <c r="BD123" t="str">
        <f t="shared" si="89"/>
        <v/>
      </c>
      <c r="BP123" s="166">
        <f t="shared" si="74"/>
        <v>3465.72</v>
      </c>
      <c r="BS123" s="165"/>
      <c r="BX123" s="495">
        <f t="shared" si="75"/>
        <v>3465.72</v>
      </c>
      <c r="BZ123" s="636">
        <f t="shared" si="59"/>
        <v>0</v>
      </c>
      <c r="CA123" s="633">
        <f t="shared" si="60"/>
        <v>3465.72</v>
      </c>
    </row>
    <row r="124" spans="1:79" x14ac:dyDescent="0.2">
      <c r="A124" s="4">
        <v>1</v>
      </c>
      <c r="B124" s="4">
        <v>1</v>
      </c>
      <c r="C124" s="5">
        <f t="shared" si="77"/>
        <v>41155</v>
      </c>
      <c r="D124" s="6">
        <v>41155</v>
      </c>
      <c r="E124" s="121">
        <v>43012</v>
      </c>
      <c r="F124" s="6" t="s">
        <v>1606</v>
      </c>
      <c r="G124" s="7" t="s">
        <v>75</v>
      </c>
      <c r="H124" s="7"/>
      <c r="I124" s="7" t="s">
        <v>32</v>
      </c>
      <c r="J124" s="7"/>
      <c r="K124" s="29">
        <v>402405</v>
      </c>
      <c r="L124" s="10" t="s">
        <v>331</v>
      </c>
      <c r="M124" s="10" t="s">
        <v>341</v>
      </c>
      <c r="N124" s="10" t="s">
        <v>180</v>
      </c>
      <c r="O124" s="11" t="s">
        <v>342</v>
      </c>
      <c r="P124" s="12">
        <v>41003</v>
      </c>
      <c r="Q124" s="13">
        <f t="shared" ca="1" si="65"/>
        <v>13.467488021902806</v>
      </c>
      <c r="R124" s="14">
        <v>6</v>
      </c>
      <c r="S124" s="15">
        <v>872</v>
      </c>
      <c r="T124" s="8">
        <v>872</v>
      </c>
      <c r="U124" s="16">
        <v>45017</v>
      </c>
      <c r="V124" s="17">
        <v>1</v>
      </c>
      <c r="W124" s="16">
        <v>45128</v>
      </c>
      <c r="X124" s="14">
        <v>63</v>
      </c>
      <c r="Y124" s="18">
        <f t="shared" si="88"/>
        <v>63</v>
      </c>
      <c r="Z124" s="18">
        <f t="shared" si="90"/>
        <v>0.328125</v>
      </c>
      <c r="AA124" s="18" t="s">
        <v>48</v>
      </c>
      <c r="AB124" s="26">
        <v>30</v>
      </c>
      <c r="AC124" s="26"/>
      <c r="AD124" s="26"/>
      <c r="AE124" s="147" t="str">
        <f t="shared" si="67"/>
        <v>0</v>
      </c>
      <c r="AF124" s="147" t="str">
        <f t="shared" si="68"/>
        <v>1</v>
      </c>
      <c r="AG124" s="147" t="str">
        <f t="shared" si="69"/>
        <v>0</v>
      </c>
      <c r="AH124" s="147" t="str">
        <f t="shared" si="70"/>
        <v>NO</v>
      </c>
      <c r="AI124" s="147" t="str">
        <f t="shared" si="71"/>
        <v>NO</v>
      </c>
      <c r="AJ124" s="147" t="str">
        <f t="shared" si="72"/>
        <v>NO</v>
      </c>
      <c r="AK124" s="147" t="str">
        <f t="shared" si="73"/>
        <v>NO</v>
      </c>
      <c r="AL124" s="21"/>
      <c r="AM124" s="21">
        <f>IF(H124="Y",AL124,((AB124*$O$902)-6000))</f>
        <v>8183.0999999999985</v>
      </c>
      <c r="AN124" s="27" t="s">
        <v>56</v>
      </c>
      <c r="AO124" s="21">
        <v>1</v>
      </c>
      <c r="AP124" s="21">
        <f t="shared" si="82"/>
        <v>0.328125</v>
      </c>
      <c r="AQ124" s="149">
        <f t="shared" si="81"/>
        <v>2685.0796874999996</v>
      </c>
      <c r="AR124" s="21">
        <v>2685.0796874999996</v>
      </c>
      <c r="AS124" s="610">
        <v>2685.0796874999996</v>
      </c>
      <c r="AT124" s="112">
        <v>2685.0796874999996</v>
      </c>
      <c r="AU124" s="4"/>
      <c r="AV124" s="4"/>
      <c r="AW124" s="23" t="e">
        <f>VLOOKUP(K124,#REF!,8,FALSE)</f>
        <v>#REF!</v>
      </c>
      <c r="AX124" s="264" t="s">
        <v>2208</v>
      </c>
      <c r="AY124" s="23" t="e">
        <f>VLOOKUP(K124,#REF!,8,FALSE)</f>
        <v>#REF!</v>
      </c>
      <c r="AZ124" s="23" t="s">
        <v>75</v>
      </c>
      <c r="BA124" s="273">
        <f>AM124/3*2</f>
        <v>5455.3999999999987</v>
      </c>
      <c r="BB124" s="313">
        <f t="shared" si="83"/>
        <v>0</v>
      </c>
      <c r="BC124" s="269">
        <f t="shared" si="84"/>
        <v>2685.0796874999996</v>
      </c>
      <c r="BD124" t="e">
        <f t="shared" si="89"/>
        <v>#REF!</v>
      </c>
      <c r="BE124" t="s">
        <v>2396</v>
      </c>
      <c r="BH124" t="e">
        <f>VLOOKUP(K124,#REF!,8,FALSE)</f>
        <v>#REF!</v>
      </c>
      <c r="BJ124">
        <f>AB124</f>
        <v>30</v>
      </c>
      <c r="BK124" s="269">
        <f>AM124</f>
        <v>8183.0999999999985</v>
      </c>
      <c r="BL124" s="353"/>
      <c r="BM124" s="353" t="s">
        <v>75</v>
      </c>
      <c r="BN124" s="353"/>
      <c r="BO124" s="106">
        <v>5412.7796874999985</v>
      </c>
      <c r="BP124" s="166">
        <f t="shared" si="74"/>
        <v>8097.8593749999982</v>
      </c>
      <c r="BQ124" s="106">
        <v>5412.7796874999985</v>
      </c>
      <c r="BR124" t="s">
        <v>2446</v>
      </c>
      <c r="BS124" s="165"/>
      <c r="BX124" s="495">
        <f t="shared" si="75"/>
        <v>8097.8593749999982</v>
      </c>
      <c r="BZ124" s="636">
        <f t="shared" si="59"/>
        <v>0</v>
      </c>
      <c r="CA124" s="633">
        <f t="shared" si="60"/>
        <v>5412.7796874999985</v>
      </c>
    </row>
    <row r="125" spans="1:79" x14ac:dyDescent="0.2">
      <c r="A125" s="4">
        <v>1</v>
      </c>
      <c r="B125" s="4">
        <v>1</v>
      </c>
      <c r="C125" s="5">
        <f t="shared" si="77"/>
        <v>41155</v>
      </c>
      <c r="D125" s="6">
        <v>41155</v>
      </c>
      <c r="E125" s="121">
        <v>43012</v>
      </c>
      <c r="F125" s="6" t="s">
        <v>1606</v>
      </c>
      <c r="G125" s="7" t="s">
        <v>75</v>
      </c>
      <c r="H125" s="7"/>
      <c r="I125" s="7" t="s">
        <v>32</v>
      </c>
      <c r="J125" s="7"/>
      <c r="K125" s="29">
        <v>422640</v>
      </c>
      <c r="L125" s="10" t="s">
        <v>331</v>
      </c>
      <c r="M125" s="10" t="s">
        <v>343</v>
      </c>
      <c r="N125" s="10" t="s">
        <v>344</v>
      </c>
      <c r="O125" s="11" t="s">
        <v>345</v>
      </c>
      <c r="P125" s="12">
        <v>41311</v>
      </c>
      <c r="Q125" s="13">
        <f t="shared" ca="1" si="65"/>
        <v>12.624229979466119</v>
      </c>
      <c r="R125" s="14">
        <v>5</v>
      </c>
      <c r="S125" s="15">
        <v>872</v>
      </c>
      <c r="T125" s="8">
        <v>872</v>
      </c>
      <c r="U125" s="16">
        <v>45017</v>
      </c>
      <c r="V125" s="17">
        <v>1</v>
      </c>
      <c r="W125" s="39">
        <v>45382</v>
      </c>
      <c r="X125" s="14">
        <v>192</v>
      </c>
      <c r="Y125" s="18">
        <f t="shared" si="88"/>
        <v>192</v>
      </c>
      <c r="Z125" s="18">
        <f t="shared" si="90"/>
        <v>1</v>
      </c>
      <c r="AA125" s="39" t="s">
        <v>36</v>
      </c>
      <c r="AB125" s="26">
        <v>925.9</v>
      </c>
      <c r="AC125" s="26"/>
      <c r="AD125" s="26"/>
      <c r="AE125" s="147" t="str">
        <f t="shared" si="67"/>
        <v>0</v>
      </c>
      <c r="AF125" s="147" t="str">
        <f t="shared" si="68"/>
        <v>0</v>
      </c>
      <c r="AG125" s="147" t="str">
        <f t="shared" si="69"/>
        <v>1</v>
      </c>
      <c r="AH125" s="147" t="str">
        <f t="shared" si="70"/>
        <v>NO</v>
      </c>
      <c r="AI125" s="147" t="str">
        <f t="shared" si="71"/>
        <v>NO</v>
      </c>
      <c r="AJ125" s="147" t="str">
        <f t="shared" si="72"/>
        <v>NO</v>
      </c>
      <c r="AK125" s="147" t="str">
        <f t="shared" si="73"/>
        <v>NO</v>
      </c>
      <c r="AL125" s="21"/>
      <c r="AM125" s="21">
        <v>925.9</v>
      </c>
      <c r="AN125" s="27" t="s">
        <v>66</v>
      </c>
      <c r="AO125" s="21">
        <v>1</v>
      </c>
      <c r="AP125" s="21">
        <f t="shared" si="82"/>
        <v>1</v>
      </c>
      <c r="AQ125" s="149">
        <f t="shared" si="81"/>
        <v>925.9</v>
      </c>
      <c r="AR125" s="21">
        <v>925.9</v>
      </c>
      <c r="AS125" s="610">
        <v>0</v>
      </c>
      <c r="AT125" s="112">
        <v>925.9</v>
      </c>
      <c r="AU125" s="4"/>
      <c r="AV125" s="4"/>
      <c r="AW125" s="23" t="e">
        <f>VLOOKUP(K125,#REF!,8,FALSE)</f>
        <v>#REF!</v>
      </c>
      <c r="AX125" s="23" t="e">
        <f>VLOOKUP(K125,#REF!,8,FALSE)</f>
        <v>#REF!</v>
      </c>
      <c r="AY125" s="23" t="e">
        <f>VLOOKUP(K125,#REF!,8,FALSE)</f>
        <v>#REF!</v>
      </c>
      <c r="AZ125" s="4"/>
      <c r="BA125" s="272"/>
      <c r="BB125" s="313">
        <f t="shared" si="83"/>
        <v>0</v>
      </c>
      <c r="BC125" s="269">
        <f t="shared" si="84"/>
        <v>925.9</v>
      </c>
      <c r="BD125" t="str">
        <f t="shared" si="89"/>
        <v/>
      </c>
      <c r="BP125" s="166">
        <f t="shared" si="74"/>
        <v>925.9</v>
      </c>
      <c r="BS125" s="165"/>
      <c r="BX125" s="495">
        <f t="shared" si="75"/>
        <v>925.9</v>
      </c>
      <c r="BZ125" s="636">
        <f t="shared" si="59"/>
        <v>0</v>
      </c>
      <c r="CA125" s="633">
        <f t="shared" si="60"/>
        <v>925.9</v>
      </c>
    </row>
    <row r="126" spans="1:79" x14ac:dyDescent="0.2">
      <c r="A126" s="4">
        <v>1</v>
      </c>
      <c r="B126" s="4">
        <v>1</v>
      </c>
      <c r="C126" s="5">
        <f t="shared" si="77"/>
        <v>41155</v>
      </c>
      <c r="D126" s="6">
        <v>41155</v>
      </c>
      <c r="E126" s="121">
        <v>43012</v>
      </c>
      <c r="F126" s="6" t="s">
        <v>1606</v>
      </c>
      <c r="G126" s="7" t="s">
        <v>75</v>
      </c>
      <c r="H126" s="7"/>
      <c r="I126" s="7" t="s">
        <v>32</v>
      </c>
      <c r="J126" s="7"/>
      <c r="K126" s="29">
        <v>402799</v>
      </c>
      <c r="L126" s="10" t="s">
        <v>331</v>
      </c>
      <c r="M126" s="10" t="s">
        <v>346</v>
      </c>
      <c r="N126" s="10" t="s">
        <v>347</v>
      </c>
      <c r="O126" s="11" t="s">
        <v>348</v>
      </c>
      <c r="P126" s="12">
        <v>41437</v>
      </c>
      <c r="Q126" s="13">
        <f t="shared" ca="1" si="65"/>
        <v>12.279260780287474</v>
      </c>
      <c r="R126" s="14">
        <v>5</v>
      </c>
      <c r="S126" s="15">
        <v>872</v>
      </c>
      <c r="T126" s="8">
        <v>872</v>
      </c>
      <c r="U126" s="16">
        <v>45017</v>
      </c>
      <c r="V126" s="17">
        <v>1</v>
      </c>
      <c r="W126" s="39">
        <v>45382</v>
      </c>
      <c r="X126" s="14">
        <v>192</v>
      </c>
      <c r="Y126" s="18">
        <f t="shared" si="88"/>
        <v>192</v>
      </c>
      <c r="Z126" s="18">
        <f t="shared" si="90"/>
        <v>1</v>
      </c>
      <c r="AA126" s="39">
        <v>45499</v>
      </c>
      <c r="AB126" s="26">
        <v>26</v>
      </c>
      <c r="AC126" s="26"/>
      <c r="AD126" s="26"/>
      <c r="AE126" s="147" t="str">
        <f t="shared" si="67"/>
        <v>0</v>
      </c>
      <c r="AF126" s="147" t="str">
        <f t="shared" si="68"/>
        <v>1</v>
      </c>
      <c r="AG126" s="147" t="str">
        <f t="shared" si="69"/>
        <v>0</v>
      </c>
      <c r="AH126" s="147" t="str">
        <f t="shared" si="70"/>
        <v>NO</v>
      </c>
      <c r="AI126" s="147" t="str">
        <f t="shared" si="71"/>
        <v>NO</v>
      </c>
      <c r="AJ126" s="147" t="str">
        <f t="shared" si="72"/>
        <v>NO</v>
      </c>
      <c r="AK126" s="147" t="str">
        <f t="shared" si="73"/>
        <v>NO</v>
      </c>
      <c r="AL126" s="21"/>
      <c r="AM126" s="21">
        <f t="shared" ref="AM126:AM137" si="91">IF(H126="Y",AL126,((AB126*$O$902)-6000))</f>
        <v>6292.02</v>
      </c>
      <c r="AN126" s="27" t="s">
        <v>56</v>
      </c>
      <c r="AO126" s="21">
        <v>1</v>
      </c>
      <c r="AP126" s="21">
        <f t="shared" si="82"/>
        <v>1</v>
      </c>
      <c r="AQ126" s="149">
        <f t="shared" si="81"/>
        <v>6292.02</v>
      </c>
      <c r="AR126" s="21">
        <v>6292.02</v>
      </c>
      <c r="AS126" s="610">
        <v>6292.02</v>
      </c>
      <c r="AT126" s="112">
        <v>6292.02</v>
      </c>
      <c r="AU126" s="4"/>
      <c r="AV126" s="4"/>
      <c r="AW126" s="23" t="e">
        <f>VLOOKUP(K126,#REF!,8,FALSE)</f>
        <v>#REF!</v>
      </c>
      <c r="AX126" s="23" t="e">
        <f>VLOOKUP(K126,#REF!,8,FALSE)</f>
        <v>#REF!</v>
      </c>
      <c r="AY126" s="23" t="e">
        <f>VLOOKUP(K126,#REF!,8,FALSE)</f>
        <v>#REF!</v>
      </c>
      <c r="AZ126" s="4"/>
      <c r="BA126" s="272"/>
      <c r="BB126" s="313">
        <f t="shared" si="83"/>
        <v>0</v>
      </c>
      <c r="BC126" s="269">
        <f t="shared" si="84"/>
        <v>6292.02</v>
      </c>
      <c r="BD126" t="str">
        <f t="shared" si="89"/>
        <v/>
      </c>
      <c r="BP126" s="166">
        <f t="shared" si="74"/>
        <v>6292.02</v>
      </c>
      <c r="BS126" s="165"/>
      <c r="BX126" s="495">
        <f t="shared" si="75"/>
        <v>6292.02</v>
      </c>
      <c r="BZ126" s="636">
        <f t="shared" si="59"/>
        <v>0</v>
      </c>
      <c r="CA126" s="633">
        <f t="shared" si="60"/>
        <v>0</v>
      </c>
    </row>
    <row r="127" spans="1:79" x14ac:dyDescent="0.2">
      <c r="A127" s="4">
        <v>1</v>
      </c>
      <c r="B127" s="4">
        <v>1</v>
      </c>
      <c r="C127" s="5">
        <f t="shared" si="77"/>
        <v>41155</v>
      </c>
      <c r="D127" s="6">
        <v>41155</v>
      </c>
      <c r="E127" s="121">
        <v>43012</v>
      </c>
      <c r="F127" s="6" t="s">
        <v>1606</v>
      </c>
      <c r="G127" s="7" t="s">
        <v>75</v>
      </c>
      <c r="H127" s="7"/>
      <c r="I127" s="7" t="s">
        <v>32</v>
      </c>
      <c r="J127" s="7"/>
      <c r="K127" s="40">
        <v>422822</v>
      </c>
      <c r="L127" s="10" t="s">
        <v>331</v>
      </c>
      <c r="M127" s="10" t="s">
        <v>349</v>
      </c>
      <c r="N127" s="10" t="s">
        <v>350</v>
      </c>
      <c r="O127" s="11" t="s">
        <v>351</v>
      </c>
      <c r="P127" s="12">
        <v>42246</v>
      </c>
      <c r="Q127" s="13">
        <f t="shared" ca="1" si="65"/>
        <v>10.064339493497604</v>
      </c>
      <c r="R127" s="14">
        <v>3</v>
      </c>
      <c r="S127" s="15">
        <v>872</v>
      </c>
      <c r="T127" s="8">
        <v>872</v>
      </c>
      <c r="U127" s="16">
        <v>45017</v>
      </c>
      <c r="V127" s="17">
        <v>1</v>
      </c>
      <c r="W127" s="16">
        <v>45382</v>
      </c>
      <c r="X127" s="14">
        <v>192</v>
      </c>
      <c r="Y127" s="18">
        <f t="shared" si="88"/>
        <v>192</v>
      </c>
      <c r="Z127" s="18">
        <f t="shared" si="90"/>
        <v>1</v>
      </c>
      <c r="AA127" s="18" t="s">
        <v>36</v>
      </c>
      <c r="AB127" s="26">
        <v>30</v>
      </c>
      <c r="AC127" s="26"/>
      <c r="AD127" s="26"/>
      <c r="AE127" s="147" t="str">
        <f t="shared" si="67"/>
        <v>0</v>
      </c>
      <c r="AF127" s="147" t="str">
        <f t="shared" si="68"/>
        <v>1</v>
      </c>
      <c r="AG127" s="147" t="str">
        <f t="shared" si="69"/>
        <v>0</v>
      </c>
      <c r="AH127" s="147" t="str">
        <f t="shared" si="70"/>
        <v>NO</v>
      </c>
      <c r="AI127" s="147" t="str">
        <f t="shared" si="71"/>
        <v>NO</v>
      </c>
      <c r="AJ127" s="147" t="str">
        <f t="shared" si="72"/>
        <v>NO</v>
      </c>
      <c r="AK127" s="147" t="str">
        <f t="shared" si="73"/>
        <v>NO</v>
      </c>
      <c r="AL127" s="21"/>
      <c r="AM127" s="21">
        <f t="shared" si="91"/>
        <v>8183.0999999999985</v>
      </c>
      <c r="AN127" s="27" t="s">
        <v>37</v>
      </c>
      <c r="AO127" s="21">
        <v>1</v>
      </c>
      <c r="AP127" s="21">
        <f t="shared" si="82"/>
        <v>1</v>
      </c>
      <c r="AQ127" s="149">
        <f t="shared" si="81"/>
        <v>8183.0999999999985</v>
      </c>
      <c r="AR127" s="21">
        <v>8183.0999999999985</v>
      </c>
      <c r="AS127" s="610">
        <v>8183.0999999999985</v>
      </c>
      <c r="AT127" s="112">
        <v>8183.0999999999985</v>
      </c>
      <c r="AU127" s="4"/>
      <c r="AV127" s="4"/>
      <c r="AW127" s="23" t="e">
        <f>VLOOKUP(K127,#REF!,8,FALSE)</f>
        <v>#REF!</v>
      </c>
      <c r="AX127" s="23" t="e">
        <f>VLOOKUP(K127,#REF!,8,FALSE)</f>
        <v>#REF!</v>
      </c>
      <c r="AY127" s="23" t="e">
        <f>VLOOKUP(K127,#REF!,8,FALSE)</f>
        <v>#REF!</v>
      </c>
      <c r="AZ127" s="4"/>
      <c r="BA127" s="272"/>
      <c r="BB127" s="313">
        <f t="shared" si="83"/>
        <v>0</v>
      </c>
      <c r="BC127" s="269">
        <f t="shared" si="84"/>
        <v>8183.0999999999985</v>
      </c>
      <c r="BD127" t="str">
        <f t="shared" si="89"/>
        <v/>
      </c>
      <c r="BP127" s="166">
        <f t="shared" si="74"/>
        <v>8183.0999999999985</v>
      </c>
      <c r="BS127" s="165"/>
      <c r="BX127" s="495">
        <f t="shared" si="75"/>
        <v>8183.0999999999985</v>
      </c>
      <c r="BZ127" s="636">
        <f t="shared" si="59"/>
        <v>0</v>
      </c>
      <c r="CA127" s="633">
        <f t="shared" si="60"/>
        <v>0</v>
      </c>
    </row>
    <row r="128" spans="1:79" x14ac:dyDescent="0.2">
      <c r="A128" s="4">
        <v>1</v>
      </c>
      <c r="B128" s="4">
        <v>1</v>
      </c>
      <c r="C128" s="5">
        <f t="shared" si="77"/>
        <v>41155</v>
      </c>
      <c r="D128" s="6">
        <v>41155</v>
      </c>
      <c r="E128" s="121">
        <v>43012</v>
      </c>
      <c r="F128" s="6" t="s">
        <v>1606</v>
      </c>
      <c r="G128" s="7" t="s">
        <v>75</v>
      </c>
      <c r="H128" s="7"/>
      <c r="I128" s="7" t="s">
        <v>32</v>
      </c>
      <c r="J128" s="7"/>
      <c r="K128" s="29">
        <v>407161</v>
      </c>
      <c r="L128" s="10" t="s">
        <v>331</v>
      </c>
      <c r="M128" s="10" t="s">
        <v>217</v>
      </c>
      <c r="N128" s="10" t="s">
        <v>352</v>
      </c>
      <c r="O128" s="11" t="s">
        <v>353</v>
      </c>
      <c r="P128" s="12">
        <v>41324</v>
      </c>
      <c r="Q128" s="13">
        <f t="shared" ca="1" si="65"/>
        <v>12.588637919233403</v>
      </c>
      <c r="R128" s="14">
        <v>5</v>
      </c>
      <c r="S128" s="15">
        <v>872</v>
      </c>
      <c r="T128" s="8">
        <v>872</v>
      </c>
      <c r="U128" s="16">
        <v>45017</v>
      </c>
      <c r="V128" s="17">
        <v>1</v>
      </c>
      <c r="W128" s="16">
        <v>45382</v>
      </c>
      <c r="X128" s="14">
        <v>192</v>
      </c>
      <c r="Y128" s="18">
        <f t="shared" si="88"/>
        <v>192</v>
      </c>
      <c r="Z128" s="18">
        <f t="shared" si="90"/>
        <v>1</v>
      </c>
      <c r="AA128" s="18" t="s">
        <v>36</v>
      </c>
      <c r="AB128" s="26">
        <v>25</v>
      </c>
      <c r="AC128" s="26"/>
      <c r="AD128" s="26"/>
      <c r="AE128" s="147" t="str">
        <f t="shared" si="67"/>
        <v>1</v>
      </c>
      <c r="AF128" s="147" t="str">
        <f t="shared" si="68"/>
        <v>0</v>
      </c>
      <c r="AG128" s="147" t="str">
        <f t="shared" si="69"/>
        <v>0</v>
      </c>
      <c r="AH128" s="147" t="str">
        <f t="shared" si="70"/>
        <v>NO</v>
      </c>
      <c r="AI128" s="147" t="str">
        <f t="shared" si="71"/>
        <v>NO</v>
      </c>
      <c r="AJ128" s="147" t="str">
        <f t="shared" si="72"/>
        <v>NO</v>
      </c>
      <c r="AK128" s="147" t="str">
        <f t="shared" si="73"/>
        <v>NO</v>
      </c>
      <c r="AL128" s="21"/>
      <c r="AM128" s="21">
        <f t="shared" si="91"/>
        <v>5819.25</v>
      </c>
      <c r="AN128" s="27" t="s">
        <v>43</v>
      </c>
      <c r="AO128" s="21">
        <v>1</v>
      </c>
      <c r="AP128" s="21">
        <f t="shared" si="82"/>
        <v>1</v>
      </c>
      <c r="AQ128" s="149">
        <f t="shared" si="81"/>
        <v>5819.25</v>
      </c>
      <c r="AR128" s="21">
        <v>5819.25</v>
      </c>
      <c r="AS128" s="610">
        <v>5819.25</v>
      </c>
      <c r="AT128" s="112">
        <v>5819.25</v>
      </c>
      <c r="AU128" s="4"/>
      <c r="AV128" s="4"/>
      <c r="AW128" s="23" t="e">
        <f>VLOOKUP(K128,#REF!,8,FALSE)</f>
        <v>#REF!</v>
      </c>
      <c r="AX128" s="23" t="e">
        <f>VLOOKUP(K128,#REF!,8,FALSE)</f>
        <v>#REF!</v>
      </c>
      <c r="AY128" s="23" t="e">
        <f>VLOOKUP(K128,#REF!,8,FALSE)</f>
        <v>#REF!</v>
      </c>
      <c r="AZ128" s="4"/>
      <c r="BA128" s="272"/>
      <c r="BB128" s="313">
        <f t="shared" si="83"/>
        <v>0</v>
      </c>
      <c r="BC128" s="269">
        <f t="shared" si="84"/>
        <v>5819.25</v>
      </c>
      <c r="BD128" t="str">
        <f t="shared" si="89"/>
        <v/>
      </c>
      <c r="BP128" s="166">
        <f t="shared" si="74"/>
        <v>5819.25</v>
      </c>
      <c r="BS128" s="165"/>
      <c r="BX128" s="495">
        <f t="shared" si="75"/>
        <v>5819.25</v>
      </c>
      <c r="BZ128" s="636">
        <f t="shared" si="59"/>
        <v>0</v>
      </c>
      <c r="CA128" s="633">
        <f t="shared" si="60"/>
        <v>0</v>
      </c>
    </row>
    <row r="129" spans="1:79" x14ac:dyDescent="0.2">
      <c r="A129" s="4">
        <v>1</v>
      </c>
      <c r="B129" s="4">
        <v>1</v>
      </c>
      <c r="C129" s="5">
        <f t="shared" si="77"/>
        <v>41155</v>
      </c>
      <c r="D129" s="6">
        <v>41155</v>
      </c>
      <c r="E129" s="121">
        <v>43012</v>
      </c>
      <c r="F129" s="6" t="s">
        <v>1606</v>
      </c>
      <c r="G129" s="7" t="s">
        <v>75</v>
      </c>
      <c r="H129" s="7"/>
      <c r="I129" s="7" t="s">
        <v>32</v>
      </c>
      <c r="J129" s="7"/>
      <c r="K129" s="29">
        <v>395368</v>
      </c>
      <c r="L129" s="10" t="s">
        <v>331</v>
      </c>
      <c r="M129" s="10" t="s">
        <v>354</v>
      </c>
      <c r="N129" s="10" t="s">
        <v>339</v>
      </c>
      <c r="O129" s="11" t="s">
        <v>355</v>
      </c>
      <c r="P129" s="12">
        <v>40934</v>
      </c>
      <c r="Q129" s="13">
        <f t="shared" ca="1" si="65"/>
        <v>13.656399726214921</v>
      </c>
      <c r="R129" s="14">
        <v>6</v>
      </c>
      <c r="S129" s="15">
        <v>872</v>
      </c>
      <c r="T129" s="8">
        <v>872</v>
      </c>
      <c r="U129" s="16">
        <v>45017</v>
      </c>
      <c r="V129" s="17">
        <v>1</v>
      </c>
      <c r="W129" s="16">
        <v>45128</v>
      </c>
      <c r="X129" s="14">
        <v>63</v>
      </c>
      <c r="Y129" s="18">
        <f t="shared" si="88"/>
        <v>63</v>
      </c>
      <c r="Z129" s="18">
        <f t="shared" si="90"/>
        <v>0.328125</v>
      </c>
      <c r="AA129" s="18" t="s">
        <v>48</v>
      </c>
      <c r="AB129" s="26">
        <v>26</v>
      </c>
      <c r="AC129" s="26"/>
      <c r="AD129" s="26"/>
      <c r="AE129" s="147" t="str">
        <f t="shared" si="67"/>
        <v>0</v>
      </c>
      <c r="AF129" s="147" t="str">
        <f t="shared" si="68"/>
        <v>1</v>
      </c>
      <c r="AG129" s="147" t="str">
        <f t="shared" si="69"/>
        <v>0</v>
      </c>
      <c r="AH129" s="147" t="str">
        <f t="shared" si="70"/>
        <v>NO</v>
      </c>
      <c r="AI129" s="147" t="str">
        <f t="shared" si="71"/>
        <v>NO</v>
      </c>
      <c r="AJ129" s="147" t="str">
        <f t="shared" si="72"/>
        <v>NO</v>
      </c>
      <c r="AK129" s="147" t="str">
        <f t="shared" si="73"/>
        <v>NO</v>
      </c>
      <c r="AL129" s="21"/>
      <c r="AM129" s="21">
        <f t="shared" si="91"/>
        <v>6292.02</v>
      </c>
      <c r="AN129" s="27" t="s">
        <v>43</v>
      </c>
      <c r="AO129" s="21">
        <v>1</v>
      </c>
      <c r="AP129" s="21">
        <f t="shared" si="82"/>
        <v>0.328125</v>
      </c>
      <c r="AQ129" s="149">
        <f t="shared" si="81"/>
        <v>2064.5690625000002</v>
      </c>
      <c r="AR129" s="21">
        <v>2064.5690625000002</v>
      </c>
      <c r="AS129" s="610">
        <v>0</v>
      </c>
      <c r="AT129" s="112">
        <v>2064.5690625000002</v>
      </c>
      <c r="AU129" s="4"/>
      <c r="AV129" s="4"/>
      <c r="AW129" s="23" t="e">
        <f>VLOOKUP(K129,#REF!,8,FALSE)</f>
        <v>#REF!</v>
      </c>
      <c r="AX129" s="23" t="e">
        <f>VLOOKUP(K129,#REF!,8,FALSE)</f>
        <v>#REF!</v>
      </c>
      <c r="AY129" s="23" t="e">
        <f>VLOOKUP(K129,#REF!,8,FALSE)</f>
        <v>#REF!</v>
      </c>
      <c r="AZ129" s="4"/>
      <c r="BA129" s="272"/>
      <c r="BB129" s="313">
        <f t="shared" si="83"/>
        <v>0</v>
      </c>
      <c r="BC129" s="269">
        <f t="shared" si="84"/>
        <v>2064.5690625000002</v>
      </c>
      <c r="BD129" s="110" t="s">
        <v>2405</v>
      </c>
      <c r="BJ129">
        <f>AB129</f>
        <v>26</v>
      </c>
      <c r="BK129" s="269">
        <f>AM129</f>
        <v>6292.02</v>
      </c>
      <c r="BO129" s="106">
        <f>BK129/192*127</f>
        <v>4161.9090624999999</v>
      </c>
      <c r="BP129" s="166">
        <f t="shared" si="74"/>
        <v>6226.4781249999996</v>
      </c>
      <c r="BS129" s="165" t="s">
        <v>1495</v>
      </c>
      <c r="BT129" t="s">
        <v>1495</v>
      </c>
      <c r="BX129" s="495">
        <f t="shared" si="75"/>
        <v>6226.4781249999996</v>
      </c>
      <c r="BZ129" s="636">
        <f t="shared" si="59"/>
        <v>0</v>
      </c>
      <c r="CA129" s="633">
        <f t="shared" si="60"/>
        <v>6226.4781249999996</v>
      </c>
    </row>
    <row r="130" spans="1:79" x14ac:dyDescent="0.2">
      <c r="A130" s="4">
        <v>0</v>
      </c>
      <c r="B130" s="4">
        <v>1</v>
      </c>
      <c r="C130" s="5">
        <f t="shared" si="77"/>
        <v>41155</v>
      </c>
      <c r="D130" s="6">
        <v>41155</v>
      </c>
      <c r="E130" s="121">
        <v>43012</v>
      </c>
      <c r="F130" s="6" t="s">
        <v>1606</v>
      </c>
      <c r="G130" s="7" t="s">
        <v>75</v>
      </c>
      <c r="H130" s="7"/>
      <c r="I130" s="7" t="s">
        <v>32</v>
      </c>
      <c r="J130" s="7"/>
      <c r="K130" s="29">
        <v>422097</v>
      </c>
      <c r="L130" s="10" t="s">
        <v>331</v>
      </c>
      <c r="M130" s="10" t="s">
        <v>356</v>
      </c>
      <c r="N130" s="10" t="s">
        <v>231</v>
      </c>
      <c r="O130" s="11" t="s">
        <v>357</v>
      </c>
      <c r="P130" s="12">
        <v>42245</v>
      </c>
      <c r="Q130" s="13">
        <f t="shared" ca="1" si="65"/>
        <v>10.067077344284737</v>
      </c>
      <c r="R130" s="14">
        <v>3</v>
      </c>
      <c r="S130" s="15">
        <v>872</v>
      </c>
      <c r="T130" s="8">
        <v>872</v>
      </c>
      <c r="U130" s="16">
        <v>45017</v>
      </c>
      <c r="V130" s="17">
        <v>1</v>
      </c>
      <c r="W130" s="39">
        <v>45039</v>
      </c>
      <c r="X130" s="14">
        <v>5</v>
      </c>
      <c r="Y130" s="18">
        <f t="shared" si="88"/>
        <v>5</v>
      </c>
      <c r="Z130" s="18">
        <f t="shared" si="90"/>
        <v>2.6041666666666668E-2</v>
      </c>
      <c r="AA130" s="39">
        <v>45039</v>
      </c>
      <c r="AB130" s="26">
        <v>25</v>
      </c>
      <c r="AC130" s="26"/>
      <c r="AD130" s="26"/>
      <c r="AE130" s="147" t="str">
        <f t="shared" si="67"/>
        <v>1</v>
      </c>
      <c r="AF130" s="147" t="str">
        <f t="shared" si="68"/>
        <v>0</v>
      </c>
      <c r="AG130" s="147" t="str">
        <f t="shared" si="69"/>
        <v>0</v>
      </c>
      <c r="AH130" s="147" t="str">
        <f t="shared" si="70"/>
        <v>NO</v>
      </c>
      <c r="AI130" s="147" t="str">
        <f t="shared" si="71"/>
        <v>NO</v>
      </c>
      <c r="AJ130" s="147" t="str">
        <f t="shared" si="72"/>
        <v>NO</v>
      </c>
      <c r="AK130" s="147" t="str">
        <f t="shared" si="73"/>
        <v>NO</v>
      </c>
      <c r="AL130" s="21"/>
      <c r="AM130" s="21">
        <f t="shared" si="91"/>
        <v>5819.25</v>
      </c>
      <c r="AN130" s="27" t="s">
        <v>66</v>
      </c>
      <c r="AO130" s="21">
        <v>1</v>
      </c>
      <c r="AP130" s="21">
        <f t="shared" si="82"/>
        <v>2.6041666666666668E-2</v>
      </c>
      <c r="AQ130" s="149">
        <f t="shared" si="81"/>
        <v>151.54296875</v>
      </c>
      <c r="AR130" s="21">
        <v>151.54296875</v>
      </c>
      <c r="AS130" s="610">
        <v>151.54296875</v>
      </c>
      <c r="AT130" s="112">
        <v>151.54296875</v>
      </c>
      <c r="AU130" s="4" t="s">
        <v>2195</v>
      </c>
      <c r="AV130" s="4"/>
      <c r="AW130" s="23" t="e">
        <f>VLOOKUP(K130,#REF!,8,FALSE)</f>
        <v>#REF!</v>
      </c>
      <c r="AX130" s="23" t="e">
        <f>VLOOKUP(K130,#REF!,8,FALSE)</f>
        <v>#REF!</v>
      </c>
      <c r="AY130" s="23" t="e">
        <f>VLOOKUP(K130,#REF!,8,FALSE)</f>
        <v>#REF!</v>
      </c>
      <c r="AZ130" s="4"/>
      <c r="BA130" s="272"/>
      <c r="BB130" s="313">
        <f t="shared" si="83"/>
        <v>0</v>
      </c>
      <c r="BC130" s="269">
        <f t="shared" si="84"/>
        <v>151.54296875</v>
      </c>
      <c r="BD130" t="str">
        <f t="shared" ref="BD130:BD138" si="92">BG130&amp;BH130&amp;BI130</f>
        <v/>
      </c>
      <c r="BP130" s="166">
        <f t="shared" si="74"/>
        <v>151.54296875</v>
      </c>
      <c r="BS130" s="165"/>
      <c r="BX130" s="495">
        <f t="shared" si="75"/>
        <v>151.54296875</v>
      </c>
      <c r="BZ130" s="636">
        <f t="shared" si="59"/>
        <v>0</v>
      </c>
      <c r="CA130" s="633">
        <f t="shared" si="60"/>
        <v>0</v>
      </c>
    </row>
    <row r="131" spans="1:79" x14ac:dyDescent="0.2">
      <c r="A131" s="4">
        <v>1</v>
      </c>
      <c r="B131" s="4">
        <v>1</v>
      </c>
      <c r="C131" s="5">
        <f t="shared" si="77"/>
        <v>41155</v>
      </c>
      <c r="D131" s="6">
        <v>41155</v>
      </c>
      <c r="E131" s="121">
        <v>43012</v>
      </c>
      <c r="F131" s="6" t="s">
        <v>1606</v>
      </c>
      <c r="G131" s="7" t="s">
        <v>75</v>
      </c>
      <c r="H131" s="7"/>
      <c r="I131" s="7" t="s">
        <v>32</v>
      </c>
      <c r="J131" s="7" t="s">
        <v>142</v>
      </c>
      <c r="K131" s="29">
        <v>422097</v>
      </c>
      <c r="L131" s="10" t="s">
        <v>331</v>
      </c>
      <c r="M131" s="10" t="s">
        <v>356</v>
      </c>
      <c r="N131" s="10" t="s">
        <v>231</v>
      </c>
      <c r="O131" s="11" t="s">
        <v>357</v>
      </c>
      <c r="P131" s="12">
        <v>42245</v>
      </c>
      <c r="Q131" s="13">
        <f t="shared" ca="1" si="65"/>
        <v>10.067077344284737</v>
      </c>
      <c r="R131" s="14">
        <v>3</v>
      </c>
      <c r="S131" s="15">
        <v>872</v>
      </c>
      <c r="T131" s="8">
        <v>872</v>
      </c>
      <c r="U131" s="16">
        <v>45040</v>
      </c>
      <c r="V131" s="17">
        <v>6</v>
      </c>
      <c r="W131" s="39">
        <v>45040</v>
      </c>
      <c r="X131" s="14">
        <v>6</v>
      </c>
      <c r="Y131" s="18">
        <f>X131-V131</f>
        <v>0</v>
      </c>
      <c r="Z131" s="18">
        <f t="shared" si="90"/>
        <v>0</v>
      </c>
      <c r="AA131" s="39" t="s">
        <v>36</v>
      </c>
      <c r="AB131" s="26">
        <v>35</v>
      </c>
      <c r="AC131" s="26"/>
      <c r="AD131" s="26"/>
      <c r="AE131" s="147" t="str">
        <f t="shared" si="67"/>
        <v>0</v>
      </c>
      <c r="AF131" s="147" t="str">
        <f t="shared" si="68"/>
        <v>0</v>
      </c>
      <c r="AG131" s="147" t="str">
        <f t="shared" si="69"/>
        <v>1</v>
      </c>
      <c r="AH131" s="147" t="str">
        <f t="shared" si="70"/>
        <v>NO</v>
      </c>
      <c r="AI131" s="147" t="str">
        <f t="shared" si="71"/>
        <v>NO</v>
      </c>
      <c r="AJ131" s="147" t="str">
        <f t="shared" si="72"/>
        <v>NO</v>
      </c>
      <c r="AK131" s="147" t="str">
        <f t="shared" si="73"/>
        <v>NO</v>
      </c>
      <c r="AL131" s="21"/>
      <c r="AM131" s="21">
        <f t="shared" si="91"/>
        <v>10546.95</v>
      </c>
      <c r="AN131" s="27" t="s">
        <v>66</v>
      </c>
      <c r="AO131" s="21">
        <v>1</v>
      </c>
      <c r="AP131" s="21">
        <f t="shared" si="82"/>
        <v>0</v>
      </c>
      <c r="AQ131" s="149">
        <v>-10217.36</v>
      </c>
      <c r="AR131" s="21">
        <v>10217.3578125</v>
      </c>
      <c r="AS131" s="610">
        <v>0</v>
      </c>
      <c r="AT131" s="112">
        <v>10217.3578125</v>
      </c>
      <c r="AU131" s="4"/>
      <c r="AV131" s="4"/>
      <c r="AW131" s="23" t="e">
        <f>VLOOKUP(K131,#REF!,8,FALSE)</f>
        <v>#REF!</v>
      </c>
      <c r="AX131" s="23" t="e">
        <f>VLOOKUP(K131,#REF!,8,FALSE)</f>
        <v>#REF!</v>
      </c>
      <c r="AY131" s="23" t="e">
        <f>VLOOKUP(K131,#REF!,8,FALSE)</f>
        <v>#REF!</v>
      </c>
      <c r="AZ131" s="4"/>
      <c r="BA131" s="272"/>
      <c r="BB131" s="313">
        <f>-BB136</f>
        <v>0</v>
      </c>
      <c r="BC131" s="269">
        <f t="shared" si="84"/>
        <v>10217.3578125</v>
      </c>
      <c r="BD131" t="str">
        <f t="shared" si="92"/>
        <v/>
      </c>
      <c r="BP131" s="166">
        <f t="shared" si="74"/>
        <v>10217.3578125</v>
      </c>
      <c r="BS131" s="165"/>
      <c r="BX131" s="495">
        <f t="shared" si="75"/>
        <v>-10217.36</v>
      </c>
      <c r="BY131" t="s">
        <v>2489</v>
      </c>
      <c r="BZ131" s="636">
        <f t="shared" ref="BZ131:BZ194" si="93">BX131-BP131</f>
        <v>-20434.717812499999</v>
      </c>
      <c r="CA131" s="633">
        <f t="shared" ref="CA131:CA194" si="94">BX131-AS131</f>
        <v>-10217.36</v>
      </c>
    </row>
    <row r="132" spans="1:79" x14ac:dyDescent="0.2">
      <c r="A132" s="4">
        <v>1</v>
      </c>
      <c r="B132" s="4">
        <v>1</v>
      </c>
      <c r="C132" s="5">
        <f t="shared" si="77"/>
        <v>41107</v>
      </c>
      <c r="D132" s="6">
        <v>41107</v>
      </c>
      <c r="E132" s="121">
        <v>43012</v>
      </c>
      <c r="F132" s="6" t="s">
        <v>1606</v>
      </c>
      <c r="G132" s="7" t="s">
        <v>75</v>
      </c>
      <c r="H132" s="7"/>
      <c r="I132" s="7" t="s">
        <v>32</v>
      </c>
      <c r="J132" s="7"/>
      <c r="K132" s="29">
        <v>424831</v>
      </c>
      <c r="L132" s="10" t="s">
        <v>358</v>
      </c>
      <c r="M132" s="10" t="s">
        <v>343</v>
      </c>
      <c r="N132" s="10" t="s">
        <v>359</v>
      </c>
      <c r="O132" s="11" t="s">
        <v>360</v>
      </c>
      <c r="P132" s="12">
        <v>42345</v>
      </c>
      <c r="Q132" s="13">
        <f t="shared" ca="1" si="65"/>
        <v>9.7932922655715267</v>
      </c>
      <c r="R132" s="14">
        <v>2</v>
      </c>
      <c r="S132" s="15">
        <v>872</v>
      </c>
      <c r="T132" s="8">
        <v>872</v>
      </c>
      <c r="U132" s="16">
        <v>45017</v>
      </c>
      <c r="V132" s="17">
        <v>1</v>
      </c>
      <c r="W132" s="16">
        <v>45382</v>
      </c>
      <c r="X132" s="14">
        <v>192</v>
      </c>
      <c r="Y132" s="18">
        <f t="shared" ref="Y132:Y195" si="95">X132-V132+1</f>
        <v>192</v>
      </c>
      <c r="Z132" s="18">
        <f t="shared" si="90"/>
        <v>1</v>
      </c>
      <c r="AA132" s="18" t="s">
        <v>36</v>
      </c>
      <c r="AB132" s="26">
        <v>35</v>
      </c>
      <c r="AC132" s="26"/>
      <c r="AD132" s="26"/>
      <c r="AE132" s="147" t="str">
        <f t="shared" si="67"/>
        <v>0</v>
      </c>
      <c r="AF132" s="147" t="str">
        <f t="shared" si="68"/>
        <v>0</v>
      </c>
      <c r="AG132" s="147" t="str">
        <f t="shared" si="69"/>
        <v>1</v>
      </c>
      <c r="AH132" s="147" t="str">
        <f t="shared" si="70"/>
        <v>NO</v>
      </c>
      <c r="AI132" s="147" t="str">
        <f t="shared" si="71"/>
        <v>NO</v>
      </c>
      <c r="AJ132" s="147" t="str">
        <f t="shared" si="72"/>
        <v>NO</v>
      </c>
      <c r="AK132" s="147" t="str">
        <f t="shared" si="73"/>
        <v>NO</v>
      </c>
      <c r="AL132" s="21"/>
      <c r="AM132" s="21">
        <f t="shared" si="91"/>
        <v>10546.95</v>
      </c>
      <c r="AN132" s="27" t="s">
        <v>37</v>
      </c>
      <c r="AO132" s="21">
        <v>1</v>
      </c>
      <c r="AP132" s="21">
        <f t="shared" si="82"/>
        <v>1</v>
      </c>
      <c r="AQ132" s="149">
        <f t="shared" ref="AQ132:AQ163" si="96">AP132*AM132</f>
        <v>10546.95</v>
      </c>
      <c r="AR132" s="21">
        <v>10546.95</v>
      </c>
      <c r="AS132" s="610">
        <v>10546.95</v>
      </c>
      <c r="AT132" s="112">
        <v>10546.95</v>
      </c>
      <c r="AU132" s="4"/>
      <c r="AV132" s="4"/>
      <c r="AW132" s="23" t="e">
        <f>VLOOKUP(K132,#REF!,8,FALSE)</f>
        <v>#REF!</v>
      </c>
      <c r="AX132" s="23" t="e">
        <f>VLOOKUP(K132,#REF!,8,FALSE)</f>
        <v>#REF!</v>
      </c>
      <c r="AY132" s="23" t="e">
        <f>VLOOKUP(K132,#REF!,8,FALSE)</f>
        <v>#REF!</v>
      </c>
      <c r="AZ132" s="4"/>
      <c r="BA132" s="272"/>
      <c r="BB132" s="313">
        <f t="shared" ref="BB132:BB163" si="97">BC132-AT132</f>
        <v>0</v>
      </c>
      <c r="BC132" s="269">
        <f t="shared" si="84"/>
        <v>10546.95</v>
      </c>
      <c r="BD132" t="str">
        <f t="shared" si="92"/>
        <v/>
      </c>
      <c r="BP132" s="166">
        <f t="shared" si="74"/>
        <v>10546.95</v>
      </c>
      <c r="BS132" s="165"/>
      <c r="BX132" s="495">
        <f t="shared" si="75"/>
        <v>10546.95</v>
      </c>
      <c r="BZ132" s="636">
        <f t="shared" si="93"/>
        <v>0</v>
      </c>
      <c r="CA132" s="633">
        <f t="shared" si="94"/>
        <v>0</v>
      </c>
    </row>
    <row r="133" spans="1:79" x14ac:dyDescent="0.2">
      <c r="A133" s="4">
        <v>1</v>
      </c>
      <c r="B133" s="4">
        <v>1</v>
      </c>
      <c r="C133" s="5">
        <f t="shared" si="77"/>
        <v>41107</v>
      </c>
      <c r="D133" s="6">
        <v>41107</v>
      </c>
      <c r="E133" s="121">
        <v>43012</v>
      </c>
      <c r="F133" s="6" t="s">
        <v>1606</v>
      </c>
      <c r="G133" s="7" t="s">
        <v>75</v>
      </c>
      <c r="H133" s="7"/>
      <c r="I133" s="7" t="s">
        <v>32</v>
      </c>
      <c r="J133" s="7"/>
      <c r="K133" s="29">
        <v>410330</v>
      </c>
      <c r="L133" s="10" t="s">
        <v>358</v>
      </c>
      <c r="M133" s="10" t="s">
        <v>361</v>
      </c>
      <c r="N133" s="10" t="s">
        <v>362</v>
      </c>
      <c r="O133" s="11" t="s">
        <v>363</v>
      </c>
      <c r="P133" s="12">
        <v>41457</v>
      </c>
      <c r="Q133" s="13">
        <f t="shared" ca="1" si="65"/>
        <v>12.224503764544833</v>
      </c>
      <c r="R133" s="14">
        <v>5</v>
      </c>
      <c r="S133" s="15">
        <v>872</v>
      </c>
      <c r="T133" s="8">
        <v>872</v>
      </c>
      <c r="U133" s="16">
        <v>45017</v>
      </c>
      <c r="V133" s="17">
        <v>1</v>
      </c>
      <c r="W133" s="16">
        <v>45382</v>
      </c>
      <c r="X133" s="14">
        <v>192</v>
      </c>
      <c r="Y133" s="18">
        <f t="shared" si="95"/>
        <v>192</v>
      </c>
      <c r="Z133" s="18">
        <f t="shared" si="90"/>
        <v>1</v>
      </c>
      <c r="AA133" s="18" t="s">
        <v>36</v>
      </c>
      <c r="AB133" s="26">
        <v>27</v>
      </c>
      <c r="AC133" s="26"/>
      <c r="AD133" s="26"/>
      <c r="AE133" s="147" t="str">
        <f t="shared" si="67"/>
        <v>0</v>
      </c>
      <c r="AF133" s="147" t="str">
        <f t="shared" si="68"/>
        <v>1</v>
      </c>
      <c r="AG133" s="147" t="str">
        <f t="shared" si="69"/>
        <v>0</v>
      </c>
      <c r="AH133" s="147" t="str">
        <f t="shared" si="70"/>
        <v>NO</v>
      </c>
      <c r="AI133" s="147" t="str">
        <f t="shared" si="71"/>
        <v>NO</v>
      </c>
      <c r="AJ133" s="147" t="str">
        <f t="shared" si="72"/>
        <v>NO</v>
      </c>
      <c r="AK133" s="147" t="str">
        <f t="shared" si="73"/>
        <v>NO</v>
      </c>
      <c r="AL133" s="21"/>
      <c r="AM133" s="21">
        <f t="shared" si="91"/>
        <v>6764.7899999999991</v>
      </c>
      <c r="AN133" s="27"/>
      <c r="AO133" s="21">
        <v>1</v>
      </c>
      <c r="AP133" s="21">
        <f t="shared" si="82"/>
        <v>1</v>
      </c>
      <c r="AQ133" s="149">
        <f t="shared" si="96"/>
        <v>6764.7899999999991</v>
      </c>
      <c r="AR133" s="21">
        <v>6764.7899999999991</v>
      </c>
      <c r="AS133" s="610">
        <v>6764.7899999999991</v>
      </c>
      <c r="AT133" s="112">
        <v>6764.7899999999991</v>
      </c>
      <c r="AU133" s="4"/>
      <c r="AV133" s="4"/>
      <c r="AW133" s="23" t="e">
        <f>VLOOKUP(K133,#REF!,8,FALSE)</f>
        <v>#REF!</v>
      </c>
      <c r="AX133" s="23" t="e">
        <f>VLOOKUP(K133,#REF!,8,FALSE)</f>
        <v>#REF!</v>
      </c>
      <c r="AY133" s="23" t="e">
        <f>VLOOKUP(K133,#REF!,8,FALSE)</f>
        <v>#REF!</v>
      </c>
      <c r="AZ133" s="4"/>
      <c r="BA133" s="272"/>
      <c r="BB133" s="313">
        <f t="shared" si="97"/>
        <v>0</v>
      </c>
      <c r="BC133" s="269">
        <f t="shared" si="84"/>
        <v>6764.7899999999991</v>
      </c>
      <c r="BD133" t="str">
        <f t="shared" si="92"/>
        <v/>
      </c>
      <c r="BP133" s="166">
        <f t="shared" si="74"/>
        <v>6764.7899999999991</v>
      </c>
      <c r="BS133" s="165"/>
      <c r="BX133" s="495">
        <f t="shared" si="75"/>
        <v>6764.7899999999991</v>
      </c>
      <c r="BZ133" s="636">
        <f t="shared" si="93"/>
        <v>0</v>
      </c>
      <c r="CA133" s="633">
        <f t="shared" si="94"/>
        <v>0</v>
      </c>
    </row>
    <row r="134" spans="1:79" x14ac:dyDescent="0.2">
      <c r="A134" s="4">
        <v>1</v>
      </c>
      <c r="B134" s="4">
        <v>1</v>
      </c>
      <c r="C134" s="5">
        <f t="shared" si="77"/>
        <v>41107</v>
      </c>
      <c r="D134" s="6">
        <v>41107</v>
      </c>
      <c r="E134" s="121">
        <v>43012</v>
      </c>
      <c r="F134" s="6" t="s">
        <v>1606</v>
      </c>
      <c r="G134" s="7" t="s">
        <v>75</v>
      </c>
      <c r="H134" s="7"/>
      <c r="I134" s="7" t="s">
        <v>32</v>
      </c>
      <c r="J134" s="7"/>
      <c r="K134" s="29">
        <v>397796</v>
      </c>
      <c r="L134" s="10" t="s">
        <v>358</v>
      </c>
      <c r="M134" s="10" t="s">
        <v>364</v>
      </c>
      <c r="N134" s="10" t="s">
        <v>365</v>
      </c>
      <c r="O134" s="11" t="s">
        <v>366</v>
      </c>
      <c r="P134" s="12">
        <v>40756</v>
      </c>
      <c r="Q134" s="13">
        <f t="shared" ca="1" si="65"/>
        <v>14.143737166324435</v>
      </c>
      <c r="R134" s="14">
        <v>6</v>
      </c>
      <c r="S134" s="15">
        <v>872</v>
      </c>
      <c r="T134" s="8">
        <v>872</v>
      </c>
      <c r="U134" s="16">
        <v>45017</v>
      </c>
      <c r="V134" s="17">
        <v>1</v>
      </c>
      <c r="W134" s="16">
        <v>45128</v>
      </c>
      <c r="X134" s="14">
        <v>63</v>
      </c>
      <c r="Y134" s="18">
        <f t="shared" si="95"/>
        <v>63</v>
      </c>
      <c r="Z134" s="18">
        <f t="shared" si="90"/>
        <v>0.328125</v>
      </c>
      <c r="AA134" s="18" t="s">
        <v>48</v>
      </c>
      <c r="AB134" s="26">
        <v>22</v>
      </c>
      <c r="AC134" s="26"/>
      <c r="AD134" s="26"/>
      <c r="AE134" s="147" t="str">
        <f t="shared" si="67"/>
        <v>1</v>
      </c>
      <c r="AF134" s="147" t="str">
        <f t="shared" si="68"/>
        <v>0</v>
      </c>
      <c r="AG134" s="147" t="str">
        <f t="shared" si="69"/>
        <v>0</v>
      </c>
      <c r="AH134" s="147" t="str">
        <f t="shared" si="70"/>
        <v>NO</v>
      </c>
      <c r="AI134" s="147" t="str">
        <f t="shared" si="71"/>
        <v>NO</v>
      </c>
      <c r="AJ134" s="147" t="str">
        <f t="shared" si="72"/>
        <v>NO</v>
      </c>
      <c r="AK134" s="147" t="str">
        <f t="shared" si="73"/>
        <v>NO</v>
      </c>
      <c r="AL134" s="21"/>
      <c r="AM134" s="21">
        <f t="shared" si="91"/>
        <v>4400.9399999999987</v>
      </c>
      <c r="AN134" s="27" t="s">
        <v>66</v>
      </c>
      <c r="AO134" s="21">
        <v>1</v>
      </c>
      <c r="AP134" s="21">
        <f t="shared" si="82"/>
        <v>0.328125</v>
      </c>
      <c r="AQ134" s="149">
        <f t="shared" si="96"/>
        <v>1444.0584374999996</v>
      </c>
      <c r="AR134" s="21">
        <v>1444.0584374999996</v>
      </c>
      <c r="AS134" s="610">
        <v>1444.0584374999996</v>
      </c>
      <c r="AT134" s="112">
        <v>1444.0584374999996</v>
      </c>
      <c r="AU134" s="4"/>
      <c r="AV134" s="4"/>
      <c r="AW134" s="23" t="e">
        <f>VLOOKUP(K134,#REF!,8,FALSE)</f>
        <v>#REF!</v>
      </c>
      <c r="AX134" s="262" t="s">
        <v>2247</v>
      </c>
      <c r="AY134" s="23" t="e">
        <f>VLOOKUP(K134,#REF!,8,FALSE)</f>
        <v>#REF!</v>
      </c>
      <c r="AZ134" s="4"/>
      <c r="BA134" s="272"/>
      <c r="BB134" s="313">
        <f t="shared" si="97"/>
        <v>0</v>
      </c>
      <c r="BC134" s="269">
        <f t="shared" si="84"/>
        <v>1444.0584374999996</v>
      </c>
      <c r="BD134" t="e">
        <f t="shared" si="92"/>
        <v>#REF!</v>
      </c>
      <c r="BE134" s="110" t="s">
        <v>2403</v>
      </c>
      <c r="BF134" s="110">
        <v>43013</v>
      </c>
      <c r="BH134" t="e">
        <f>VLOOKUP(K134,#REF!,8,FALSE)</f>
        <v>#REF!</v>
      </c>
      <c r="BJ134">
        <f>AB134</f>
        <v>22</v>
      </c>
      <c r="BK134" s="269">
        <f>AM134</f>
        <v>4400.9399999999987</v>
      </c>
      <c r="BL134" s="353"/>
      <c r="BM134" s="353" t="s">
        <v>75</v>
      </c>
      <c r="BN134" s="353"/>
      <c r="BO134" s="106">
        <f>BK134/192*127</f>
        <v>2911.038437499999</v>
      </c>
      <c r="BP134" s="166">
        <f t="shared" si="74"/>
        <v>4355.0968749999984</v>
      </c>
      <c r="BQ134" s="106">
        <v>2911.038437499999</v>
      </c>
      <c r="BR134" t="s">
        <v>2446</v>
      </c>
      <c r="BS134" s="165"/>
      <c r="BX134" s="495">
        <f t="shared" si="75"/>
        <v>4355.0968749999984</v>
      </c>
      <c r="BZ134" s="636">
        <f t="shared" si="93"/>
        <v>0</v>
      </c>
      <c r="CA134" s="633">
        <f t="shared" si="94"/>
        <v>2911.0384374999985</v>
      </c>
    </row>
    <row r="135" spans="1:79" x14ac:dyDescent="0.2">
      <c r="A135" s="4">
        <v>1</v>
      </c>
      <c r="B135" s="4">
        <v>1</v>
      </c>
      <c r="C135" s="5">
        <f t="shared" si="77"/>
        <v>41108</v>
      </c>
      <c r="D135" s="6">
        <v>41108</v>
      </c>
      <c r="E135" s="121">
        <v>43012</v>
      </c>
      <c r="F135" s="6" t="s">
        <v>1606</v>
      </c>
      <c r="G135" s="7" t="s">
        <v>75</v>
      </c>
      <c r="H135" s="7"/>
      <c r="I135" s="7" t="s">
        <v>32</v>
      </c>
      <c r="J135" s="7"/>
      <c r="K135" s="29">
        <v>434432</v>
      </c>
      <c r="L135" s="10" t="s">
        <v>367</v>
      </c>
      <c r="M135" s="10" t="s">
        <v>368</v>
      </c>
      <c r="N135" s="10" t="s">
        <v>369</v>
      </c>
      <c r="O135" s="11" t="s">
        <v>370</v>
      </c>
      <c r="P135" s="12">
        <v>42365</v>
      </c>
      <c r="Q135" s="13">
        <f t="shared" ca="1" si="65"/>
        <v>9.7385352498288835</v>
      </c>
      <c r="R135" s="14">
        <v>2</v>
      </c>
      <c r="S135" s="15">
        <v>872</v>
      </c>
      <c r="T135" s="8">
        <v>872</v>
      </c>
      <c r="U135" s="16">
        <v>45017</v>
      </c>
      <c r="V135" s="17">
        <v>1</v>
      </c>
      <c r="W135" s="16">
        <v>45382</v>
      </c>
      <c r="X135" s="14">
        <v>192</v>
      </c>
      <c r="Y135" s="18">
        <f t="shared" si="95"/>
        <v>192</v>
      </c>
      <c r="Z135" s="18">
        <f t="shared" si="90"/>
        <v>1</v>
      </c>
      <c r="AA135" s="18" t="s">
        <v>36</v>
      </c>
      <c r="AB135" s="26">
        <v>24</v>
      </c>
      <c r="AC135" s="26"/>
      <c r="AD135" s="26"/>
      <c r="AE135" s="147" t="str">
        <f t="shared" si="67"/>
        <v>1</v>
      </c>
      <c r="AF135" s="147" t="str">
        <f t="shared" si="68"/>
        <v>0</v>
      </c>
      <c r="AG135" s="147" t="str">
        <f t="shared" si="69"/>
        <v>0</v>
      </c>
      <c r="AH135" s="147" t="str">
        <f t="shared" si="70"/>
        <v>NO</v>
      </c>
      <c r="AI135" s="147" t="str">
        <f t="shared" si="71"/>
        <v>NO</v>
      </c>
      <c r="AJ135" s="147" t="str">
        <f t="shared" si="72"/>
        <v>NO</v>
      </c>
      <c r="AK135" s="147" t="str">
        <f t="shared" si="73"/>
        <v>NO</v>
      </c>
      <c r="AL135" s="21"/>
      <c r="AM135" s="21">
        <f t="shared" si="91"/>
        <v>5346.48</v>
      </c>
      <c r="AN135" s="27" t="s">
        <v>37</v>
      </c>
      <c r="AO135" s="21">
        <v>1</v>
      </c>
      <c r="AP135" s="21">
        <f t="shared" si="82"/>
        <v>1</v>
      </c>
      <c r="AQ135" s="149">
        <f t="shared" si="96"/>
        <v>5346.48</v>
      </c>
      <c r="AR135" s="21">
        <v>5346.48</v>
      </c>
      <c r="AS135" s="610">
        <v>5346.48</v>
      </c>
      <c r="AT135" s="112">
        <v>5346.48</v>
      </c>
      <c r="AU135" s="4"/>
      <c r="AV135" s="4"/>
      <c r="AW135" s="23" t="e">
        <f>VLOOKUP(K135,#REF!,8,FALSE)</f>
        <v>#REF!</v>
      </c>
      <c r="AX135" s="23" t="e">
        <f>VLOOKUP(K135,#REF!,8,FALSE)</f>
        <v>#REF!</v>
      </c>
      <c r="AY135" s="23" t="e">
        <f>VLOOKUP(K135,#REF!,8,FALSE)</f>
        <v>#REF!</v>
      </c>
      <c r="AZ135" s="4"/>
      <c r="BA135" s="272"/>
      <c r="BB135" s="313">
        <f t="shared" si="97"/>
        <v>0</v>
      </c>
      <c r="BC135" s="269">
        <f t="shared" si="84"/>
        <v>5346.48</v>
      </c>
      <c r="BD135" t="str">
        <f t="shared" si="92"/>
        <v/>
      </c>
      <c r="BP135" s="166">
        <f t="shared" si="74"/>
        <v>5346.48</v>
      </c>
      <c r="BS135" s="165"/>
      <c r="BX135" s="495">
        <f t="shared" si="75"/>
        <v>5346.48</v>
      </c>
      <c r="BZ135" s="636">
        <f t="shared" si="93"/>
        <v>0</v>
      </c>
      <c r="CA135" s="633">
        <f t="shared" si="94"/>
        <v>0</v>
      </c>
    </row>
    <row r="136" spans="1:79" x14ac:dyDescent="0.2">
      <c r="A136" s="4">
        <v>1</v>
      </c>
      <c r="B136" s="4">
        <v>1</v>
      </c>
      <c r="C136" s="5">
        <f t="shared" si="77"/>
        <v>41108</v>
      </c>
      <c r="D136" s="6">
        <v>41108</v>
      </c>
      <c r="E136" s="121">
        <v>43012</v>
      </c>
      <c r="F136" s="6" t="s">
        <v>1606</v>
      </c>
      <c r="G136" s="7" t="s">
        <v>75</v>
      </c>
      <c r="H136" s="7"/>
      <c r="I136" s="7" t="s">
        <v>32</v>
      </c>
      <c r="J136" s="7"/>
      <c r="K136" s="29">
        <v>424211</v>
      </c>
      <c r="L136" s="10" t="s">
        <v>367</v>
      </c>
      <c r="M136" s="10" t="s">
        <v>371</v>
      </c>
      <c r="N136" s="10" t="s">
        <v>372</v>
      </c>
      <c r="O136" s="11" t="s">
        <v>373</v>
      </c>
      <c r="P136" s="12">
        <v>41966</v>
      </c>
      <c r="Q136" s="13">
        <f t="shared" ca="1" si="65"/>
        <v>10.830937713894592</v>
      </c>
      <c r="R136" s="14">
        <v>3</v>
      </c>
      <c r="S136" s="15">
        <v>872</v>
      </c>
      <c r="T136" s="8">
        <v>872</v>
      </c>
      <c r="U136" s="16">
        <v>45037</v>
      </c>
      <c r="V136" s="17">
        <v>6</v>
      </c>
      <c r="W136" s="39">
        <v>45382</v>
      </c>
      <c r="X136" s="14">
        <v>192</v>
      </c>
      <c r="Y136" s="18">
        <f t="shared" si="95"/>
        <v>187</v>
      </c>
      <c r="Z136" s="18">
        <f t="shared" si="90"/>
        <v>0.97395833333333337</v>
      </c>
      <c r="AA136" s="18" t="s">
        <v>36</v>
      </c>
      <c r="AB136" s="26">
        <v>30</v>
      </c>
      <c r="AC136" s="26"/>
      <c r="AD136" s="26"/>
      <c r="AE136" s="147" t="str">
        <f t="shared" si="67"/>
        <v>0</v>
      </c>
      <c r="AF136" s="147" t="str">
        <f t="shared" si="68"/>
        <v>1</v>
      </c>
      <c r="AG136" s="147" t="str">
        <f t="shared" si="69"/>
        <v>0</v>
      </c>
      <c r="AH136" s="147" t="str">
        <f t="shared" si="70"/>
        <v>NO</v>
      </c>
      <c r="AI136" s="147" t="str">
        <f t="shared" si="71"/>
        <v>NO</v>
      </c>
      <c r="AJ136" s="147" t="str">
        <f t="shared" si="72"/>
        <v>NO</v>
      </c>
      <c r="AK136" s="147" t="str">
        <f t="shared" si="73"/>
        <v>NO</v>
      </c>
      <c r="AL136" s="21"/>
      <c r="AM136" s="21">
        <f t="shared" si="91"/>
        <v>8183.0999999999985</v>
      </c>
      <c r="AN136" s="27" t="s">
        <v>43</v>
      </c>
      <c r="AO136" s="21">
        <v>1</v>
      </c>
      <c r="AP136" s="21">
        <f t="shared" si="82"/>
        <v>0.97395833333333337</v>
      </c>
      <c r="AQ136" s="149">
        <f t="shared" si="96"/>
        <v>7969.9984374999985</v>
      </c>
      <c r="AR136" s="21">
        <v>7969.9984374999985</v>
      </c>
      <c r="AS136" s="610">
        <v>0</v>
      </c>
      <c r="AT136" s="112">
        <v>7969.9984374999985</v>
      </c>
      <c r="AU136" s="4"/>
      <c r="AV136" s="4"/>
      <c r="AW136" s="23" t="e">
        <f>VLOOKUP(K136,#REF!,8,FALSE)</f>
        <v>#REF!</v>
      </c>
      <c r="AX136" s="23" t="e">
        <f>VLOOKUP(K136,#REF!,8,FALSE)</f>
        <v>#REF!</v>
      </c>
      <c r="AY136" s="23" t="e">
        <f>VLOOKUP(K136,#REF!,8,FALSE)</f>
        <v>#REF!</v>
      </c>
      <c r="AZ136" s="4"/>
      <c r="BA136" s="272"/>
      <c r="BB136" s="313">
        <f t="shared" si="97"/>
        <v>0</v>
      </c>
      <c r="BC136" s="269">
        <f t="shared" si="84"/>
        <v>7969.9984374999985</v>
      </c>
      <c r="BD136" t="str">
        <f t="shared" si="92"/>
        <v/>
      </c>
      <c r="BP136" s="166">
        <f t="shared" si="74"/>
        <v>7969.9984374999985</v>
      </c>
      <c r="BS136" s="165"/>
      <c r="BX136" s="495">
        <f t="shared" si="75"/>
        <v>7969.9984374999985</v>
      </c>
      <c r="BZ136" s="636">
        <f t="shared" si="93"/>
        <v>0</v>
      </c>
      <c r="CA136" s="633">
        <f t="shared" si="94"/>
        <v>7969.9984374999985</v>
      </c>
    </row>
    <row r="137" spans="1:79" x14ac:dyDescent="0.2">
      <c r="A137" s="4">
        <v>1</v>
      </c>
      <c r="B137" s="4">
        <v>1</v>
      </c>
      <c r="C137" s="5">
        <f t="shared" si="77"/>
        <v>41108</v>
      </c>
      <c r="D137" s="6">
        <v>41108</v>
      </c>
      <c r="E137" s="121">
        <v>43012</v>
      </c>
      <c r="F137" s="6" t="s">
        <v>1606</v>
      </c>
      <c r="G137" s="7" t="s">
        <v>75</v>
      </c>
      <c r="H137" s="7"/>
      <c r="I137" s="7" t="s">
        <v>32</v>
      </c>
      <c r="J137" s="7"/>
      <c r="K137" s="29">
        <v>429318</v>
      </c>
      <c r="L137" s="10" t="s">
        <v>367</v>
      </c>
      <c r="M137" s="10" t="s">
        <v>374</v>
      </c>
      <c r="N137" s="10" t="s">
        <v>375</v>
      </c>
      <c r="O137" s="11" t="s">
        <v>376</v>
      </c>
      <c r="P137" s="12">
        <v>42856</v>
      </c>
      <c r="Q137" s="13">
        <f t="shared" ca="1" si="65"/>
        <v>8.3942505133470231</v>
      </c>
      <c r="R137" s="14">
        <v>1</v>
      </c>
      <c r="S137" s="15">
        <v>872</v>
      </c>
      <c r="T137" s="8">
        <v>872</v>
      </c>
      <c r="U137" s="16">
        <v>45017</v>
      </c>
      <c r="V137" s="17">
        <v>1</v>
      </c>
      <c r="W137" s="16">
        <v>45382</v>
      </c>
      <c r="X137" s="14">
        <v>192</v>
      </c>
      <c r="Y137" s="18">
        <f t="shared" si="95"/>
        <v>192</v>
      </c>
      <c r="Z137" s="18">
        <f t="shared" si="90"/>
        <v>1</v>
      </c>
      <c r="AA137" s="18" t="s">
        <v>36</v>
      </c>
      <c r="AB137" s="26">
        <v>30</v>
      </c>
      <c r="AC137" s="26"/>
      <c r="AD137" s="26"/>
      <c r="AE137" s="147" t="str">
        <f t="shared" si="67"/>
        <v>0</v>
      </c>
      <c r="AF137" s="147" t="str">
        <f t="shared" si="68"/>
        <v>1</v>
      </c>
      <c r="AG137" s="147" t="str">
        <f t="shared" si="69"/>
        <v>0</v>
      </c>
      <c r="AH137" s="147" t="str">
        <f t="shared" si="70"/>
        <v>NO</v>
      </c>
      <c r="AI137" s="147" t="str">
        <f t="shared" si="71"/>
        <v>NO</v>
      </c>
      <c r="AJ137" s="147" t="str">
        <f t="shared" si="72"/>
        <v>NO</v>
      </c>
      <c r="AK137" s="147" t="str">
        <f t="shared" si="73"/>
        <v>NO</v>
      </c>
      <c r="AL137" s="21"/>
      <c r="AM137" s="21">
        <f t="shared" si="91"/>
        <v>8183.0999999999985</v>
      </c>
      <c r="AN137" s="27" t="s">
        <v>56</v>
      </c>
      <c r="AO137" s="21">
        <v>1</v>
      </c>
      <c r="AP137" s="21">
        <f t="shared" si="82"/>
        <v>1</v>
      </c>
      <c r="AQ137" s="149">
        <f t="shared" si="96"/>
        <v>8183.0999999999985</v>
      </c>
      <c r="AR137" s="21">
        <v>8183.0999999999985</v>
      </c>
      <c r="AS137" s="610">
        <v>8183.0999999999985</v>
      </c>
      <c r="AT137" s="112">
        <v>8183.0999999999985</v>
      </c>
      <c r="AU137" s="4"/>
      <c r="AV137" s="4"/>
      <c r="AW137" s="23" t="e">
        <f>VLOOKUP(K137,#REF!,8,FALSE)</f>
        <v>#REF!</v>
      </c>
      <c r="AX137" s="23" t="e">
        <f>VLOOKUP(K137,#REF!,8,FALSE)</f>
        <v>#REF!</v>
      </c>
      <c r="AY137" s="23" t="e">
        <f>VLOOKUP(K137,#REF!,8,FALSE)</f>
        <v>#REF!</v>
      </c>
      <c r="AZ137" s="4"/>
      <c r="BA137" s="272"/>
      <c r="BB137" s="313">
        <f t="shared" si="97"/>
        <v>0</v>
      </c>
      <c r="BC137" s="269">
        <f t="shared" si="84"/>
        <v>8183.0999999999985</v>
      </c>
      <c r="BD137" t="str">
        <f t="shared" si="92"/>
        <v/>
      </c>
      <c r="BP137" s="166">
        <f t="shared" si="74"/>
        <v>8183.0999999999985</v>
      </c>
      <c r="BS137" s="165"/>
      <c r="BX137" s="495">
        <f t="shared" si="75"/>
        <v>8183.0999999999985</v>
      </c>
      <c r="BZ137" s="636">
        <f t="shared" si="93"/>
        <v>0</v>
      </c>
      <c r="CA137" s="633">
        <f t="shared" si="94"/>
        <v>0</v>
      </c>
    </row>
    <row r="138" spans="1:79" x14ac:dyDescent="0.2">
      <c r="A138" s="4">
        <v>0</v>
      </c>
      <c r="B138" s="4">
        <v>1</v>
      </c>
      <c r="C138" s="5">
        <f t="shared" si="77"/>
        <v>41108</v>
      </c>
      <c r="D138" s="6">
        <v>41108</v>
      </c>
      <c r="E138" s="121">
        <v>43012</v>
      </c>
      <c r="F138" s="6" t="s">
        <v>1606</v>
      </c>
      <c r="G138" s="7" t="s">
        <v>75</v>
      </c>
      <c r="H138" s="7"/>
      <c r="I138" s="7" t="s">
        <v>32</v>
      </c>
      <c r="J138" s="7" t="s">
        <v>142</v>
      </c>
      <c r="K138" s="7">
        <v>429318</v>
      </c>
      <c r="L138" s="10" t="s">
        <v>367</v>
      </c>
      <c r="M138" s="10" t="s">
        <v>374</v>
      </c>
      <c r="N138" s="10" t="s">
        <v>375</v>
      </c>
      <c r="O138" s="11" t="s">
        <v>376</v>
      </c>
      <c r="P138" s="12">
        <v>42856</v>
      </c>
      <c r="Q138" s="13">
        <f t="shared" ca="1" si="65"/>
        <v>8.3942505133470231</v>
      </c>
      <c r="R138" s="14">
        <v>1</v>
      </c>
      <c r="S138" s="15">
        <v>872</v>
      </c>
      <c r="T138" s="8">
        <v>872</v>
      </c>
      <c r="U138" s="16">
        <v>45033</v>
      </c>
      <c r="V138" s="17">
        <v>2</v>
      </c>
      <c r="W138" s="16">
        <v>45128</v>
      </c>
      <c r="X138" s="14">
        <v>63</v>
      </c>
      <c r="Y138" s="18">
        <f t="shared" si="95"/>
        <v>62</v>
      </c>
      <c r="Z138" s="18">
        <v>1</v>
      </c>
      <c r="AA138" s="18" t="s">
        <v>36</v>
      </c>
      <c r="AB138" s="26">
        <v>10500</v>
      </c>
      <c r="AC138" s="26"/>
      <c r="AD138" s="26"/>
      <c r="AE138" s="147" t="str">
        <f t="shared" si="67"/>
        <v>0</v>
      </c>
      <c r="AF138" s="147" t="str">
        <f t="shared" si="68"/>
        <v>0</v>
      </c>
      <c r="AG138" s="147" t="str">
        <f t="shared" si="69"/>
        <v>1</v>
      </c>
      <c r="AH138" s="147" t="str">
        <f t="shared" si="70"/>
        <v>NO</v>
      </c>
      <c r="AI138" s="147" t="str">
        <f t="shared" si="71"/>
        <v>NO</v>
      </c>
      <c r="AJ138" s="147" t="str">
        <f t="shared" si="72"/>
        <v>NO</v>
      </c>
      <c r="AK138" s="147" t="str">
        <f t="shared" si="73"/>
        <v>NO</v>
      </c>
      <c r="AL138" s="21"/>
      <c r="AM138" s="21">
        <v>10500</v>
      </c>
      <c r="AN138" s="27" t="s">
        <v>56</v>
      </c>
      <c r="AO138" s="21">
        <v>1</v>
      </c>
      <c r="AP138" s="21">
        <f t="shared" si="82"/>
        <v>1</v>
      </c>
      <c r="AQ138" s="149">
        <f t="shared" si="96"/>
        <v>10500</v>
      </c>
      <c r="AR138" s="21">
        <v>10500</v>
      </c>
      <c r="AS138" s="610">
        <v>0</v>
      </c>
      <c r="AT138" s="112">
        <v>10500</v>
      </c>
      <c r="AU138" s="4"/>
      <c r="AV138" s="4"/>
      <c r="AW138" s="23" t="e">
        <f>VLOOKUP(K138,#REF!,8,FALSE)</f>
        <v>#REF!</v>
      </c>
      <c r="AX138" s="23" t="e">
        <f>VLOOKUP(K138,#REF!,8,FALSE)</f>
        <v>#REF!</v>
      </c>
      <c r="AY138" s="23" t="e">
        <f>VLOOKUP(K138,#REF!,8,FALSE)</f>
        <v>#REF!</v>
      </c>
      <c r="AZ138" s="4"/>
      <c r="BA138" s="272"/>
      <c r="BB138" s="313">
        <f t="shared" si="97"/>
        <v>0</v>
      </c>
      <c r="BC138" s="269">
        <f t="shared" si="84"/>
        <v>10500</v>
      </c>
      <c r="BD138" t="str">
        <f t="shared" si="92"/>
        <v/>
      </c>
      <c r="BJ138">
        <f>AB138</f>
        <v>10500</v>
      </c>
      <c r="BK138" s="269">
        <f>AM138</f>
        <v>10500</v>
      </c>
      <c r="BO138" s="106">
        <f>BK138/192*127</f>
        <v>6945.3125</v>
      </c>
      <c r="BP138" s="166">
        <f t="shared" si="74"/>
        <v>17445.3125</v>
      </c>
      <c r="BS138" s="165"/>
      <c r="BX138" s="495">
        <f t="shared" si="75"/>
        <v>17445.3125</v>
      </c>
      <c r="BZ138" s="636">
        <f t="shared" si="93"/>
        <v>0</v>
      </c>
      <c r="CA138" s="633">
        <f t="shared" si="94"/>
        <v>17445.3125</v>
      </c>
    </row>
    <row r="139" spans="1:79" x14ac:dyDescent="0.2">
      <c r="A139" s="4">
        <v>1</v>
      </c>
      <c r="B139" s="4">
        <v>1</v>
      </c>
      <c r="C139" s="5">
        <f t="shared" si="77"/>
        <v>41108</v>
      </c>
      <c r="D139" s="6">
        <v>41108</v>
      </c>
      <c r="E139" s="121">
        <v>43012</v>
      </c>
      <c r="F139" s="6" t="s">
        <v>1606</v>
      </c>
      <c r="G139" s="7" t="s">
        <v>75</v>
      </c>
      <c r="H139" s="7"/>
      <c r="I139" s="7" t="s">
        <v>32</v>
      </c>
      <c r="J139" s="7"/>
      <c r="K139" s="7">
        <v>433937</v>
      </c>
      <c r="L139" s="10" t="s">
        <v>367</v>
      </c>
      <c r="M139" s="10" t="s">
        <v>1102</v>
      </c>
      <c r="N139" s="10" t="s">
        <v>2490</v>
      </c>
      <c r="O139" s="11" t="s">
        <v>2491</v>
      </c>
      <c r="P139" s="12">
        <v>42957</v>
      </c>
      <c r="Q139" s="13">
        <f t="shared" ca="1" si="65"/>
        <v>8.1177275838466798</v>
      </c>
      <c r="R139" s="14">
        <v>1</v>
      </c>
      <c r="S139" s="15">
        <v>872</v>
      </c>
      <c r="T139" s="8">
        <v>872</v>
      </c>
      <c r="U139" s="16">
        <v>45103</v>
      </c>
      <c r="V139" s="17">
        <v>44</v>
      </c>
      <c r="W139" s="16">
        <v>45382</v>
      </c>
      <c r="X139" s="14">
        <v>192</v>
      </c>
      <c r="Y139" s="18">
        <f t="shared" si="95"/>
        <v>149</v>
      </c>
      <c r="Z139" s="18">
        <f t="shared" ref="Z139:Z158" si="98">Y139/192</f>
        <v>0.77604166666666663</v>
      </c>
      <c r="AA139" s="18" t="s">
        <v>36</v>
      </c>
      <c r="AB139" s="26">
        <v>23</v>
      </c>
      <c r="AC139" s="26"/>
      <c r="AD139" s="26"/>
      <c r="AE139" s="147" t="str">
        <f t="shared" si="67"/>
        <v>1</v>
      </c>
      <c r="AF139" s="147" t="str">
        <f t="shared" si="68"/>
        <v>0</v>
      </c>
      <c r="AG139" s="147" t="str">
        <f t="shared" si="69"/>
        <v>0</v>
      </c>
      <c r="AH139" s="147" t="str">
        <f t="shared" si="70"/>
        <v>NO</v>
      </c>
      <c r="AI139" s="147" t="str">
        <f t="shared" si="71"/>
        <v>NO</v>
      </c>
      <c r="AJ139" s="147" t="str">
        <f t="shared" si="72"/>
        <v>NO</v>
      </c>
      <c r="AK139" s="147" t="str">
        <f t="shared" si="73"/>
        <v>NO</v>
      </c>
      <c r="AL139" s="21"/>
      <c r="AM139" s="21">
        <f t="shared" ref="AM139:AM155" si="99">IF(H139="Y",AL139,((AB139*$O$902)-6000))</f>
        <v>4873.7099999999991</v>
      </c>
      <c r="AN139" s="27" t="s">
        <v>37</v>
      </c>
      <c r="AO139" s="21">
        <v>1</v>
      </c>
      <c r="AP139" s="21">
        <f t="shared" si="82"/>
        <v>0.77604166666666663</v>
      </c>
      <c r="AQ139" s="149">
        <f t="shared" si="96"/>
        <v>3782.202031249999</v>
      </c>
      <c r="AR139" s="21">
        <v>0</v>
      </c>
      <c r="AS139" s="610">
        <v>0</v>
      </c>
      <c r="AT139" s="112">
        <v>0</v>
      </c>
      <c r="AU139" s="4"/>
      <c r="AV139" s="4"/>
      <c r="AW139" s="23" t="e">
        <f>VLOOKUP(K139,#REF!,8,FALSE)</f>
        <v>#REF!</v>
      </c>
      <c r="AX139" s="23" t="e">
        <f>VLOOKUP(K139,#REF!,8,FALSE)</f>
        <v>#REF!</v>
      </c>
      <c r="AY139" s="23" t="e">
        <f>VLOOKUP(K139,#REF!,8,FALSE)</f>
        <v>#REF!</v>
      </c>
      <c r="AZ139" s="4"/>
      <c r="BA139" s="272"/>
      <c r="BB139" s="313">
        <f t="shared" si="97"/>
        <v>0</v>
      </c>
      <c r="BC139" s="269">
        <f t="shared" si="84"/>
        <v>0</v>
      </c>
      <c r="BK139" s="269"/>
      <c r="BO139" s="106"/>
      <c r="BP139" s="166">
        <f t="shared" si="74"/>
        <v>0</v>
      </c>
      <c r="BS139" s="165"/>
      <c r="BX139" s="495">
        <f t="shared" si="75"/>
        <v>3782.202031249999</v>
      </c>
      <c r="BY139" t="s">
        <v>2471</v>
      </c>
      <c r="BZ139" s="636">
        <f t="shared" si="93"/>
        <v>3782.202031249999</v>
      </c>
      <c r="CA139" s="633">
        <f t="shared" si="94"/>
        <v>3782.202031249999</v>
      </c>
    </row>
    <row r="140" spans="1:79" x14ac:dyDescent="0.2">
      <c r="A140" s="4">
        <v>1</v>
      </c>
      <c r="B140" s="4">
        <v>1</v>
      </c>
      <c r="C140" s="5">
        <f t="shared" si="77"/>
        <v>41108</v>
      </c>
      <c r="D140" s="6">
        <v>41108</v>
      </c>
      <c r="E140" s="121">
        <v>43012</v>
      </c>
      <c r="F140" s="6" t="s">
        <v>1606</v>
      </c>
      <c r="G140" s="7" t="s">
        <v>75</v>
      </c>
      <c r="H140" s="7"/>
      <c r="I140" s="7" t="s">
        <v>32</v>
      </c>
      <c r="J140" s="7"/>
      <c r="K140" s="29">
        <v>428144</v>
      </c>
      <c r="L140" s="10" t="s">
        <v>367</v>
      </c>
      <c r="M140" s="10" t="s">
        <v>217</v>
      </c>
      <c r="N140" s="10" t="s">
        <v>231</v>
      </c>
      <c r="O140" s="11" t="s">
        <v>377</v>
      </c>
      <c r="P140" s="12">
        <v>42280</v>
      </c>
      <c r="Q140" s="13">
        <f t="shared" ca="1" si="65"/>
        <v>9.9712525667351137</v>
      </c>
      <c r="R140" s="14">
        <v>2</v>
      </c>
      <c r="S140" s="15">
        <v>872</v>
      </c>
      <c r="T140" s="8">
        <v>872</v>
      </c>
      <c r="U140" s="16">
        <v>45017</v>
      </c>
      <c r="V140" s="17">
        <v>1</v>
      </c>
      <c r="W140" s="16">
        <v>45382</v>
      </c>
      <c r="X140" s="14">
        <v>192</v>
      </c>
      <c r="Y140" s="18">
        <f t="shared" si="95"/>
        <v>192</v>
      </c>
      <c r="Z140" s="18">
        <f t="shared" si="98"/>
        <v>1</v>
      </c>
      <c r="AA140" s="18" t="s">
        <v>36</v>
      </c>
      <c r="AB140" s="26">
        <v>30</v>
      </c>
      <c r="AC140" s="26"/>
      <c r="AD140" s="26"/>
      <c r="AE140" s="147" t="str">
        <f t="shared" si="67"/>
        <v>0</v>
      </c>
      <c r="AF140" s="147" t="str">
        <f t="shared" si="68"/>
        <v>1</v>
      </c>
      <c r="AG140" s="147" t="str">
        <f t="shared" si="69"/>
        <v>0</v>
      </c>
      <c r="AH140" s="147" t="str">
        <f t="shared" si="70"/>
        <v>NO</v>
      </c>
      <c r="AI140" s="147" t="str">
        <f t="shared" si="71"/>
        <v>NO</v>
      </c>
      <c r="AJ140" s="147" t="str">
        <f t="shared" si="72"/>
        <v>NO</v>
      </c>
      <c r="AK140" s="147" t="str">
        <f t="shared" si="73"/>
        <v>NO</v>
      </c>
      <c r="AL140" s="21"/>
      <c r="AM140" s="21">
        <f t="shared" si="99"/>
        <v>8183.0999999999985</v>
      </c>
      <c r="AN140" s="27" t="s">
        <v>37</v>
      </c>
      <c r="AO140" s="21">
        <v>1</v>
      </c>
      <c r="AP140" s="21">
        <f t="shared" ref="AP140:AP171" si="100">AO140*Z140</f>
        <v>1</v>
      </c>
      <c r="AQ140" s="149">
        <f t="shared" si="96"/>
        <v>8183.0999999999985</v>
      </c>
      <c r="AR140" s="21">
        <v>8183.0999999999985</v>
      </c>
      <c r="AS140" s="610">
        <v>8183.0999999999985</v>
      </c>
      <c r="AT140" s="112">
        <v>8183.0999999999985</v>
      </c>
      <c r="AU140" s="4"/>
      <c r="AV140" s="4"/>
      <c r="AW140" s="23" t="e">
        <f>VLOOKUP(K140,#REF!,8,FALSE)</f>
        <v>#REF!</v>
      </c>
      <c r="AX140" s="23" t="e">
        <f>VLOOKUP(K140,#REF!,8,FALSE)</f>
        <v>#REF!</v>
      </c>
      <c r="AY140" s="23" t="e">
        <f>VLOOKUP(K140,#REF!,8,FALSE)</f>
        <v>#REF!</v>
      </c>
      <c r="AZ140" s="4"/>
      <c r="BA140" s="272"/>
      <c r="BB140" s="313">
        <f t="shared" si="97"/>
        <v>0</v>
      </c>
      <c r="BC140" s="269">
        <f t="shared" si="84"/>
        <v>8183.0999999999985</v>
      </c>
      <c r="BD140" t="str">
        <f t="shared" ref="BD140:BD177" si="101">BG140&amp;BH140&amp;BI140</f>
        <v/>
      </c>
      <c r="BP140" s="166">
        <f t="shared" si="74"/>
        <v>8183.0999999999985</v>
      </c>
      <c r="BS140" s="165"/>
      <c r="BX140" s="495">
        <f t="shared" si="75"/>
        <v>8183.0999999999985</v>
      </c>
      <c r="BZ140" s="636">
        <f t="shared" si="93"/>
        <v>0</v>
      </c>
      <c r="CA140" s="633">
        <f t="shared" si="94"/>
        <v>0</v>
      </c>
    </row>
    <row r="141" spans="1:79" x14ac:dyDescent="0.2">
      <c r="A141" s="4">
        <v>1</v>
      </c>
      <c r="B141" s="4">
        <v>1</v>
      </c>
      <c r="C141" s="5">
        <f t="shared" si="77"/>
        <v>41108</v>
      </c>
      <c r="D141" s="6">
        <v>41108</v>
      </c>
      <c r="E141" s="121">
        <v>43012</v>
      </c>
      <c r="F141" s="6" t="s">
        <v>1606</v>
      </c>
      <c r="G141" s="7" t="s">
        <v>75</v>
      </c>
      <c r="H141" s="7"/>
      <c r="I141" s="7" t="s">
        <v>32</v>
      </c>
      <c r="J141" s="7"/>
      <c r="K141" s="29">
        <v>403656</v>
      </c>
      <c r="L141" s="10" t="s">
        <v>367</v>
      </c>
      <c r="M141" s="10" t="s">
        <v>378</v>
      </c>
      <c r="N141" s="10" t="s">
        <v>379</v>
      </c>
      <c r="O141" s="11" t="s">
        <v>380</v>
      </c>
      <c r="P141" s="12">
        <v>41164</v>
      </c>
      <c r="Q141" s="13">
        <f t="shared" ca="1" si="65"/>
        <v>13.026694045174539</v>
      </c>
      <c r="R141" s="14">
        <v>5</v>
      </c>
      <c r="S141" s="15">
        <v>872</v>
      </c>
      <c r="T141" s="8">
        <v>872</v>
      </c>
      <c r="U141" s="16">
        <v>45017</v>
      </c>
      <c r="V141" s="17">
        <v>1</v>
      </c>
      <c r="W141" s="16">
        <v>45382</v>
      </c>
      <c r="X141" s="14">
        <v>192</v>
      </c>
      <c r="Y141" s="18">
        <f t="shared" si="95"/>
        <v>192</v>
      </c>
      <c r="Z141" s="18">
        <f t="shared" si="98"/>
        <v>1</v>
      </c>
      <c r="AA141" s="18" t="s">
        <v>36</v>
      </c>
      <c r="AB141" s="26">
        <v>26</v>
      </c>
      <c r="AC141" s="26"/>
      <c r="AD141" s="26"/>
      <c r="AE141" s="147" t="str">
        <f t="shared" si="67"/>
        <v>0</v>
      </c>
      <c r="AF141" s="147" t="str">
        <f t="shared" si="68"/>
        <v>1</v>
      </c>
      <c r="AG141" s="147" t="str">
        <f t="shared" si="69"/>
        <v>0</v>
      </c>
      <c r="AH141" s="147" t="str">
        <f t="shared" si="70"/>
        <v>NO</v>
      </c>
      <c r="AI141" s="147" t="str">
        <f t="shared" si="71"/>
        <v>NO</v>
      </c>
      <c r="AJ141" s="147" t="str">
        <f t="shared" si="72"/>
        <v>NO</v>
      </c>
      <c r="AK141" s="147" t="str">
        <f t="shared" si="73"/>
        <v>NO</v>
      </c>
      <c r="AL141" s="21"/>
      <c r="AM141" s="21">
        <f t="shared" si="99"/>
        <v>6292.02</v>
      </c>
      <c r="AN141" s="27" t="s">
        <v>37</v>
      </c>
      <c r="AO141" s="21">
        <v>1</v>
      </c>
      <c r="AP141" s="21">
        <f t="shared" si="100"/>
        <v>1</v>
      </c>
      <c r="AQ141" s="149">
        <f t="shared" si="96"/>
        <v>6292.02</v>
      </c>
      <c r="AR141" s="21">
        <v>6292.02</v>
      </c>
      <c r="AS141" s="610">
        <v>6292.02</v>
      </c>
      <c r="AT141" s="112">
        <v>6292.02</v>
      </c>
      <c r="AU141" s="4"/>
      <c r="AV141" s="4"/>
      <c r="AW141" s="23" t="e">
        <f>VLOOKUP(K141,#REF!,8,FALSE)</f>
        <v>#REF!</v>
      </c>
      <c r="AX141" s="23" t="e">
        <f>VLOOKUP(K141,#REF!,8,FALSE)</f>
        <v>#REF!</v>
      </c>
      <c r="AY141" s="23" t="e">
        <f>VLOOKUP(K141,#REF!,8,FALSE)</f>
        <v>#REF!</v>
      </c>
      <c r="AZ141" s="4"/>
      <c r="BA141" s="272"/>
      <c r="BB141" s="313">
        <f t="shared" si="97"/>
        <v>0</v>
      </c>
      <c r="BC141" s="269">
        <f t="shared" si="84"/>
        <v>6292.02</v>
      </c>
      <c r="BD141" t="str">
        <f t="shared" si="101"/>
        <v/>
      </c>
      <c r="BP141" s="166">
        <f t="shared" si="74"/>
        <v>6292.02</v>
      </c>
      <c r="BS141" s="165"/>
      <c r="BX141" s="495">
        <f t="shared" si="75"/>
        <v>6292.02</v>
      </c>
      <c r="BZ141" s="636">
        <f t="shared" si="93"/>
        <v>0</v>
      </c>
      <c r="CA141" s="633">
        <f t="shared" si="94"/>
        <v>0</v>
      </c>
    </row>
    <row r="142" spans="1:79" x14ac:dyDescent="0.2">
      <c r="A142" s="4">
        <v>1</v>
      </c>
      <c r="B142" s="4">
        <v>1</v>
      </c>
      <c r="C142" s="5">
        <f t="shared" si="77"/>
        <v>41108</v>
      </c>
      <c r="D142" s="6">
        <v>41108</v>
      </c>
      <c r="E142" s="121">
        <v>43012</v>
      </c>
      <c r="F142" s="6" t="s">
        <v>1606</v>
      </c>
      <c r="G142" s="7" t="s">
        <v>75</v>
      </c>
      <c r="H142" s="7"/>
      <c r="I142" s="7" t="s">
        <v>32</v>
      </c>
      <c r="J142" s="7"/>
      <c r="K142" s="29">
        <v>399920</v>
      </c>
      <c r="L142" s="10" t="s">
        <v>367</v>
      </c>
      <c r="M142" s="10" t="s">
        <v>381</v>
      </c>
      <c r="N142" s="10" t="s">
        <v>382</v>
      </c>
      <c r="O142" s="11" t="s">
        <v>383</v>
      </c>
      <c r="P142" s="12">
        <v>41194</v>
      </c>
      <c r="Q142" s="13">
        <f t="shared" ca="1" si="65"/>
        <v>12.944558521560575</v>
      </c>
      <c r="R142" s="14">
        <v>5</v>
      </c>
      <c r="S142" s="15">
        <v>872</v>
      </c>
      <c r="T142" s="8">
        <v>872</v>
      </c>
      <c r="U142" s="16">
        <v>45017</v>
      </c>
      <c r="V142" s="17">
        <v>1</v>
      </c>
      <c r="W142" s="16">
        <v>45382</v>
      </c>
      <c r="X142" s="14">
        <v>192</v>
      </c>
      <c r="Y142" s="18">
        <f t="shared" si="95"/>
        <v>192</v>
      </c>
      <c r="Z142" s="18">
        <f t="shared" si="98"/>
        <v>1</v>
      </c>
      <c r="AA142" s="18" t="s">
        <v>36</v>
      </c>
      <c r="AB142" s="26">
        <v>28</v>
      </c>
      <c r="AC142" s="26"/>
      <c r="AD142" s="26"/>
      <c r="AE142" s="147" t="str">
        <f t="shared" si="67"/>
        <v>0</v>
      </c>
      <c r="AF142" s="147" t="str">
        <f t="shared" si="68"/>
        <v>1</v>
      </c>
      <c r="AG142" s="147" t="str">
        <f t="shared" si="69"/>
        <v>0</v>
      </c>
      <c r="AH142" s="147" t="str">
        <f t="shared" si="70"/>
        <v>NO</v>
      </c>
      <c r="AI142" s="147" t="str">
        <f t="shared" si="71"/>
        <v>NO</v>
      </c>
      <c r="AJ142" s="147" t="str">
        <f t="shared" si="72"/>
        <v>NO</v>
      </c>
      <c r="AK142" s="147" t="str">
        <f t="shared" si="73"/>
        <v>NO</v>
      </c>
      <c r="AL142" s="21"/>
      <c r="AM142" s="21">
        <f t="shared" si="99"/>
        <v>7237.5599999999995</v>
      </c>
      <c r="AN142" s="27" t="s">
        <v>384</v>
      </c>
      <c r="AO142" s="21">
        <v>1</v>
      </c>
      <c r="AP142" s="21">
        <f t="shared" si="100"/>
        <v>1</v>
      </c>
      <c r="AQ142" s="149">
        <f t="shared" si="96"/>
        <v>7237.5599999999995</v>
      </c>
      <c r="AR142" s="21">
        <v>7237.5599999999995</v>
      </c>
      <c r="AS142" s="610">
        <v>7237.5599999999995</v>
      </c>
      <c r="AT142" s="112">
        <v>7237.5599999999995</v>
      </c>
      <c r="AU142" s="4"/>
      <c r="AV142" s="4"/>
      <c r="AW142" s="23" t="e">
        <f>VLOOKUP(K142,#REF!,8,FALSE)</f>
        <v>#REF!</v>
      </c>
      <c r="AX142" s="23" t="e">
        <f>VLOOKUP(K142,#REF!,8,FALSE)</f>
        <v>#REF!</v>
      </c>
      <c r="AY142" s="23" t="e">
        <f>VLOOKUP(K142,#REF!,8,FALSE)</f>
        <v>#REF!</v>
      </c>
      <c r="AZ142" s="4"/>
      <c r="BA142" s="272"/>
      <c r="BB142" s="313">
        <f t="shared" si="97"/>
        <v>0</v>
      </c>
      <c r="BC142" s="269">
        <f t="shared" si="84"/>
        <v>7237.5599999999995</v>
      </c>
      <c r="BD142" t="str">
        <f t="shared" si="101"/>
        <v/>
      </c>
      <c r="BP142" s="166">
        <f t="shared" si="74"/>
        <v>7237.5599999999995</v>
      </c>
      <c r="BS142" s="165"/>
      <c r="BX142" s="495">
        <f t="shared" si="75"/>
        <v>7237.5599999999995</v>
      </c>
      <c r="BZ142" s="636">
        <f t="shared" si="93"/>
        <v>0</v>
      </c>
      <c r="CA142" s="633">
        <f t="shared" si="94"/>
        <v>0</v>
      </c>
    </row>
    <row r="143" spans="1:79" x14ac:dyDescent="0.2">
      <c r="A143" s="4">
        <v>1</v>
      </c>
      <c r="B143" s="4">
        <v>1</v>
      </c>
      <c r="C143" s="5">
        <f t="shared" si="77"/>
        <v>41108</v>
      </c>
      <c r="D143" s="6">
        <v>41108</v>
      </c>
      <c r="E143" s="121">
        <v>43012</v>
      </c>
      <c r="F143" s="6" t="s">
        <v>1606</v>
      </c>
      <c r="G143" s="7" t="s">
        <v>75</v>
      </c>
      <c r="H143" s="7"/>
      <c r="I143" s="7" t="s">
        <v>32</v>
      </c>
      <c r="J143" s="7"/>
      <c r="K143" s="29">
        <v>403532</v>
      </c>
      <c r="L143" s="10" t="s">
        <v>367</v>
      </c>
      <c r="M143" s="10" t="s">
        <v>385</v>
      </c>
      <c r="N143" s="10" t="s">
        <v>386</v>
      </c>
      <c r="O143" s="11" t="s">
        <v>387</v>
      </c>
      <c r="P143" s="12">
        <v>40950</v>
      </c>
      <c r="Q143" s="13">
        <f t="shared" ca="1" si="65"/>
        <v>13.612594113620808</v>
      </c>
      <c r="R143" s="14">
        <v>6</v>
      </c>
      <c r="S143" s="15">
        <v>872</v>
      </c>
      <c r="T143" s="8">
        <v>872</v>
      </c>
      <c r="U143" s="16">
        <v>45017</v>
      </c>
      <c r="V143" s="17">
        <v>1</v>
      </c>
      <c r="W143" s="16">
        <v>45128</v>
      </c>
      <c r="X143" s="14">
        <v>63</v>
      </c>
      <c r="Y143" s="18">
        <f t="shared" si="95"/>
        <v>63</v>
      </c>
      <c r="Z143" s="18">
        <f t="shared" si="98"/>
        <v>0.328125</v>
      </c>
      <c r="AA143" s="18" t="s">
        <v>48</v>
      </c>
      <c r="AB143" s="26">
        <v>21</v>
      </c>
      <c r="AC143" s="26"/>
      <c r="AD143" s="26"/>
      <c r="AE143" s="147" t="str">
        <f t="shared" si="67"/>
        <v>1</v>
      </c>
      <c r="AF143" s="147" t="str">
        <f t="shared" si="68"/>
        <v>0</v>
      </c>
      <c r="AG143" s="147" t="str">
        <f t="shared" si="69"/>
        <v>0</v>
      </c>
      <c r="AH143" s="147" t="str">
        <f t="shared" si="70"/>
        <v>NO</v>
      </c>
      <c r="AI143" s="147" t="str">
        <f t="shared" si="71"/>
        <v>NO</v>
      </c>
      <c r="AJ143" s="147" t="str">
        <f t="shared" si="72"/>
        <v>NO</v>
      </c>
      <c r="AK143" s="147" t="str">
        <f t="shared" si="73"/>
        <v>NO</v>
      </c>
      <c r="AL143" s="21"/>
      <c r="AM143" s="21">
        <f t="shared" si="99"/>
        <v>3928.17</v>
      </c>
      <c r="AN143" s="27" t="s">
        <v>66</v>
      </c>
      <c r="AO143" s="21">
        <v>1</v>
      </c>
      <c r="AP143" s="21">
        <f t="shared" si="100"/>
        <v>0.328125</v>
      </c>
      <c r="AQ143" s="149">
        <f t="shared" si="96"/>
        <v>1288.9307812500001</v>
      </c>
      <c r="AR143" s="21">
        <v>1288.9307812500001</v>
      </c>
      <c r="AS143" s="610">
        <v>1288.9307812500001</v>
      </c>
      <c r="AT143" s="112">
        <v>1288.9307812500001</v>
      </c>
      <c r="AU143" s="4"/>
      <c r="AV143" s="4"/>
      <c r="AW143" s="23" t="e">
        <f>VLOOKUP(K143,#REF!,8,FALSE)</f>
        <v>#REF!</v>
      </c>
      <c r="AX143" s="23" t="s">
        <v>884</v>
      </c>
      <c r="AY143" s="23" t="e">
        <f>VLOOKUP(K143,#REF!,8,FALSE)</f>
        <v>#REF!</v>
      </c>
      <c r="AZ143" s="4"/>
      <c r="BA143" s="272"/>
      <c r="BB143" s="313">
        <f t="shared" si="97"/>
        <v>0</v>
      </c>
      <c r="BC143" s="269">
        <f t="shared" si="84"/>
        <v>1288.9307812500001</v>
      </c>
      <c r="BD143" t="e">
        <f t="shared" si="101"/>
        <v>#REF!</v>
      </c>
      <c r="BE143" t="s">
        <v>2394</v>
      </c>
      <c r="BF143">
        <v>43012</v>
      </c>
      <c r="BH143" t="e">
        <f>VLOOKUP(K143,#REF!,8,FALSE)</f>
        <v>#REF!</v>
      </c>
      <c r="BJ143">
        <f>AB143</f>
        <v>21</v>
      </c>
      <c r="BK143" s="269">
        <f>AM143</f>
        <v>3928.17</v>
      </c>
      <c r="BL143" s="353"/>
      <c r="BM143" s="353" t="s">
        <v>75</v>
      </c>
      <c r="BN143" s="353"/>
      <c r="BO143" s="106">
        <f>BK143/192*127</f>
        <v>2598.32078125</v>
      </c>
      <c r="BP143" s="166">
        <f t="shared" si="74"/>
        <v>3887.2515625000001</v>
      </c>
      <c r="BS143" s="165"/>
      <c r="BX143" s="495">
        <f t="shared" si="75"/>
        <v>3887.2515625000001</v>
      </c>
      <c r="BZ143" s="636">
        <f t="shared" si="93"/>
        <v>0</v>
      </c>
      <c r="CA143" s="633">
        <f t="shared" si="94"/>
        <v>2598.32078125</v>
      </c>
    </row>
    <row r="144" spans="1:79" x14ac:dyDescent="0.2">
      <c r="A144" s="4">
        <v>1</v>
      </c>
      <c r="B144" s="4">
        <v>1</v>
      </c>
      <c r="C144" s="5">
        <f t="shared" si="77"/>
        <v>41108</v>
      </c>
      <c r="D144" s="6">
        <v>41108</v>
      </c>
      <c r="E144" s="121">
        <v>43012</v>
      </c>
      <c r="F144" s="6" t="s">
        <v>1606</v>
      </c>
      <c r="G144" s="7" t="s">
        <v>75</v>
      </c>
      <c r="H144" s="7"/>
      <c r="I144" s="7" t="s">
        <v>32</v>
      </c>
      <c r="J144" s="7"/>
      <c r="K144" s="29">
        <v>440802</v>
      </c>
      <c r="L144" s="10" t="s">
        <v>367</v>
      </c>
      <c r="M144" s="10" t="s">
        <v>388</v>
      </c>
      <c r="N144" s="10" t="s">
        <v>389</v>
      </c>
      <c r="O144" s="11" t="s">
        <v>390</v>
      </c>
      <c r="P144" s="12">
        <v>43245</v>
      </c>
      <c r="Q144" s="13">
        <f t="shared" ca="1" si="65"/>
        <v>7.3292265571526354</v>
      </c>
      <c r="R144" s="14">
        <v>0</v>
      </c>
      <c r="S144" s="15">
        <v>872</v>
      </c>
      <c r="T144" s="8">
        <v>872</v>
      </c>
      <c r="U144" s="16">
        <v>45017</v>
      </c>
      <c r="V144" s="17">
        <v>1</v>
      </c>
      <c r="W144" s="16">
        <v>45382</v>
      </c>
      <c r="X144" s="14">
        <v>192</v>
      </c>
      <c r="Y144" s="18">
        <f t="shared" si="95"/>
        <v>192</v>
      </c>
      <c r="Z144" s="18">
        <f t="shared" si="98"/>
        <v>1</v>
      </c>
      <c r="AA144" s="18" t="s">
        <v>36</v>
      </c>
      <c r="AB144" s="26">
        <v>30</v>
      </c>
      <c r="AC144" s="26"/>
      <c r="AD144" s="26"/>
      <c r="AE144" s="147" t="str">
        <f t="shared" si="67"/>
        <v>0</v>
      </c>
      <c r="AF144" s="147" t="str">
        <f t="shared" si="68"/>
        <v>1</v>
      </c>
      <c r="AG144" s="147" t="str">
        <f t="shared" si="69"/>
        <v>0</v>
      </c>
      <c r="AH144" s="147" t="str">
        <f t="shared" si="70"/>
        <v>NO</v>
      </c>
      <c r="AI144" s="147" t="str">
        <f t="shared" si="71"/>
        <v>NO</v>
      </c>
      <c r="AJ144" s="147" t="str">
        <f t="shared" si="72"/>
        <v>NO</v>
      </c>
      <c r="AK144" s="147" t="str">
        <f t="shared" si="73"/>
        <v>NO</v>
      </c>
      <c r="AL144" s="21"/>
      <c r="AM144" s="21">
        <f t="shared" si="99"/>
        <v>8183.0999999999985</v>
      </c>
      <c r="AN144" s="27"/>
      <c r="AO144" s="21">
        <v>1</v>
      </c>
      <c r="AP144" s="21">
        <f t="shared" si="100"/>
        <v>1</v>
      </c>
      <c r="AQ144" s="149">
        <f t="shared" si="96"/>
        <v>8183.0999999999985</v>
      </c>
      <c r="AR144" s="21">
        <v>8183.0999999999985</v>
      </c>
      <c r="AS144" s="610">
        <v>8183.0999999999985</v>
      </c>
      <c r="AT144" s="112">
        <v>8183.0999999999985</v>
      </c>
      <c r="AU144" s="4"/>
      <c r="AV144" s="4"/>
      <c r="AW144" s="23" t="e">
        <f>VLOOKUP(K144,#REF!,8,FALSE)</f>
        <v>#REF!</v>
      </c>
      <c r="AX144" s="23" t="e">
        <f>VLOOKUP(K144,#REF!,8,FALSE)</f>
        <v>#REF!</v>
      </c>
      <c r="AY144" s="23" t="e">
        <f>VLOOKUP(K144,#REF!,8,FALSE)</f>
        <v>#REF!</v>
      </c>
      <c r="AZ144" s="4"/>
      <c r="BA144" s="272"/>
      <c r="BB144" s="313">
        <f t="shared" si="97"/>
        <v>0</v>
      </c>
      <c r="BC144" s="269">
        <f t="shared" si="84"/>
        <v>8183.0999999999985</v>
      </c>
      <c r="BD144" t="str">
        <f t="shared" si="101"/>
        <v/>
      </c>
      <c r="BP144" s="166">
        <f t="shared" si="74"/>
        <v>8183.0999999999985</v>
      </c>
      <c r="BS144" s="165"/>
      <c r="BX144" s="495">
        <f t="shared" si="75"/>
        <v>8183.0999999999985</v>
      </c>
      <c r="BZ144" s="636">
        <f t="shared" si="93"/>
        <v>0</v>
      </c>
      <c r="CA144" s="633">
        <f t="shared" si="94"/>
        <v>0</v>
      </c>
    </row>
    <row r="145" spans="1:79" s="249" customFormat="1" x14ac:dyDescent="0.2">
      <c r="A145" s="529">
        <v>1</v>
      </c>
      <c r="B145" s="529">
        <v>1</v>
      </c>
      <c r="C145" s="530">
        <f t="shared" si="77"/>
        <v>41509</v>
      </c>
      <c r="D145" s="531">
        <v>41509</v>
      </c>
      <c r="E145" s="531">
        <v>43014</v>
      </c>
      <c r="F145" s="531" t="s">
        <v>1606</v>
      </c>
      <c r="G145" s="532"/>
      <c r="H145" s="532" t="s">
        <v>75</v>
      </c>
      <c r="I145" s="532" t="s">
        <v>32</v>
      </c>
      <c r="J145" s="532"/>
      <c r="K145" s="533">
        <v>407193</v>
      </c>
      <c r="L145" s="534" t="s">
        <v>391</v>
      </c>
      <c r="M145" s="534" t="s">
        <v>392</v>
      </c>
      <c r="N145" s="534" t="s">
        <v>286</v>
      </c>
      <c r="O145" s="535" t="s">
        <v>393</v>
      </c>
      <c r="P145" s="536">
        <v>41597</v>
      </c>
      <c r="Q145" s="537">
        <f t="shared" ca="1" si="65"/>
        <v>11.841204654346338</v>
      </c>
      <c r="R145" s="538">
        <v>4</v>
      </c>
      <c r="S145" s="539">
        <v>872</v>
      </c>
      <c r="T145" s="540">
        <v>872</v>
      </c>
      <c r="U145" s="541">
        <v>45017</v>
      </c>
      <c r="V145" s="542">
        <v>1</v>
      </c>
      <c r="W145" s="541">
        <v>45107</v>
      </c>
      <c r="X145" s="538">
        <v>48</v>
      </c>
      <c r="Y145" s="543">
        <f t="shared" si="95"/>
        <v>48</v>
      </c>
      <c r="Z145" s="543">
        <f t="shared" si="98"/>
        <v>0.25</v>
      </c>
      <c r="AA145" s="543" t="s">
        <v>36</v>
      </c>
      <c r="AB145" s="544" t="s">
        <v>394</v>
      </c>
      <c r="AC145" s="544" t="s">
        <v>394</v>
      </c>
      <c r="AD145" s="544" t="s">
        <v>1895</v>
      </c>
      <c r="AE145" s="545" t="str">
        <f t="shared" si="67"/>
        <v>0</v>
      </c>
      <c r="AF145" s="545" t="str">
        <f t="shared" si="68"/>
        <v>0</v>
      </c>
      <c r="AG145" s="545" t="str">
        <f t="shared" si="69"/>
        <v>1</v>
      </c>
      <c r="AH145" s="545" t="str">
        <f t="shared" si="70"/>
        <v>NO</v>
      </c>
      <c r="AI145" s="545" t="str">
        <f t="shared" si="71"/>
        <v>NO</v>
      </c>
      <c r="AJ145" s="545" t="str">
        <f t="shared" si="72"/>
        <v>NO</v>
      </c>
      <c r="AK145" s="545" t="str">
        <f t="shared" si="73"/>
        <v>YES</v>
      </c>
      <c r="AL145" s="546">
        <v>31337.324999999997</v>
      </c>
      <c r="AM145" s="547">
        <f t="shared" si="99"/>
        <v>31337.324999999997</v>
      </c>
      <c r="AN145" s="548" t="s">
        <v>128</v>
      </c>
      <c r="AO145" s="547">
        <v>1</v>
      </c>
      <c r="AP145" s="547">
        <f t="shared" si="100"/>
        <v>0.25</v>
      </c>
      <c r="AQ145" s="549">
        <f t="shared" si="96"/>
        <v>7834.3312499999993</v>
      </c>
      <c r="AR145" s="547">
        <v>31337.324999999997</v>
      </c>
      <c r="AS145" s="610">
        <v>37487.324999999997</v>
      </c>
      <c r="AT145" s="550">
        <v>31337.324999999997</v>
      </c>
      <c r="AU145" s="529"/>
      <c r="AV145" s="529"/>
      <c r="AW145" s="551" t="e">
        <f>VLOOKUP(K145,#REF!,8,FALSE)</f>
        <v>#REF!</v>
      </c>
      <c r="AX145" s="551" t="e">
        <f>VLOOKUP(K145,#REF!,8,FALSE)</f>
        <v>#REF!</v>
      </c>
      <c r="AY145" s="551" t="e">
        <f>VLOOKUP(K145,#REF!,8,FALSE)</f>
        <v>#REF!</v>
      </c>
      <c r="AZ145" s="529"/>
      <c r="BA145" s="552"/>
      <c r="BB145" s="553">
        <f t="shared" si="97"/>
        <v>0</v>
      </c>
      <c r="BC145" s="484">
        <f t="shared" si="84"/>
        <v>31337.324999999997</v>
      </c>
      <c r="BD145" s="249" t="str">
        <f t="shared" si="101"/>
        <v/>
      </c>
      <c r="BL145" s="554"/>
      <c r="BM145" s="554"/>
      <c r="BN145" s="554"/>
      <c r="BP145" s="555">
        <f t="shared" si="74"/>
        <v>31337.324999999997</v>
      </c>
      <c r="BS145" s="556"/>
      <c r="BX145" s="557">
        <f t="shared" si="75"/>
        <v>7834.3312499999993</v>
      </c>
      <c r="BY145" s="249" t="s">
        <v>2492</v>
      </c>
      <c r="BZ145" s="636">
        <f t="shared" si="93"/>
        <v>-23502.993749999998</v>
      </c>
      <c r="CA145" s="633">
        <f t="shared" si="94"/>
        <v>-29652.993749999998</v>
      </c>
    </row>
    <row r="146" spans="1:79" s="249" customFormat="1" x14ac:dyDescent="0.2">
      <c r="A146" s="529">
        <v>1</v>
      </c>
      <c r="B146" s="529">
        <v>1</v>
      </c>
      <c r="C146" s="530">
        <f t="shared" si="77"/>
        <v>41509</v>
      </c>
      <c r="D146" s="531">
        <v>41509</v>
      </c>
      <c r="E146" s="531">
        <v>43014</v>
      </c>
      <c r="F146" s="531" t="s">
        <v>1606</v>
      </c>
      <c r="G146" s="532"/>
      <c r="H146" s="532" t="s">
        <v>75</v>
      </c>
      <c r="I146" s="532" t="s">
        <v>32</v>
      </c>
      <c r="J146" s="532"/>
      <c r="K146" s="533">
        <v>424710</v>
      </c>
      <c r="L146" s="534" t="s">
        <v>391</v>
      </c>
      <c r="M146" s="534" t="s">
        <v>395</v>
      </c>
      <c r="N146" s="534" t="s">
        <v>396</v>
      </c>
      <c r="O146" s="535" t="s">
        <v>397</v>
      </c>
      <c r="P146" s="536">
        <v>42679</v>
      </c>
      <c r="Q146" s="537">
        <f t="shared" ca="1" si="65"/>
        <v>8.8788501026694053</v>
      </c>
      <c r="R146" s="538">
        <v>1</v>
      </c>
      <c r="S146" s="539">
        <v>872</v>
      </c>
      <c r="T146" s="540">
        <v>872</v>
      </c>
      <c r="U146" s="541">
        <v>45017</v>
      </c>
      <c r="V146" s="542">
        <v>1</v>
      </c>
      <c r="W146" s="541">
        <v>45107</v>
      </c>
      <c r="X146" s="538">
        <v>48</v>
      </c>
      <c r="Y146" s="543">
        <f t="shared" si="95"/>
        <v>48</v>
      </c>
      <c r="Z146" s="543">
        <f t="shared" si="98"/>
        <v>0.25</v>
      </c>
      <c r="AA146" s="543" t="s">
        <v>36</v>
      </c>
      <c r="AB146" s="544" t="s">
        <v>394</v>
      </c>
      <c r="AC146" s="544" t="s">
        <v>394</v>
      </c>
      <c r="AD146" s="544" t="s">
        <v>1895</v>
      </c>
      <c r="AE146" s="545" t="str">
        <f t="shared" si="67"/>
        <v>0</v>
      </c>
      <c r="AF146" s="545" t="str">
        <f t="shared" si="68"/>
        <v>0</v>
      </c>
      <c r="AG146" s="545" t="str">
        <f t="shared" si="69"/>
        <v>1</v>
      </c>
      <c r="AH146" s="545" t="str">
        <f t="shared" si="70"/>
        <v>NO</v>
      </c>
      <c r="AI146" s="545" t="str">
        <f t="shared" si="71"/>
        <v>NO</v>
      </c>
      <c r="AJ146" s="545" t="str">
        <f t="shared" si="72"/>
        <v>NO</v>
      </c>
      <c r="AK146" s="545" t="str">
        <f t="shared" si="73"/>
        <v>YES</v>
      </c>
      <c r="AL146" s="546">
        <v>34691.125</v>
      </c>
      <c r="AM146" s="547">
        <f t="shared" si="99"/>
        <v>34691.125</v>
      </c>
      <c r="AN146" s="548" t="s">
        <v>128</v>
      </c>
      <c r="AO146" s="547">
        <v>1</v>
      </c>
      <c r="AP146" s="547">
        <f t="shared" si="100"/>
        <v>0.25</v>
      </c>
      <c r="AQ146" s="549">
        <f t="shared" si="96"/>
        <v>8672.78125</v>
      </c>
      <c r="AR146" s="547">
        <v>34691.125</v>
      </c>
      <c r="AS146" s="610">
        <v>40841.125</v>
      </c>
      <c r="AT146" s="550">
        <v>34691.125</v>
      </c>
      <c r="AU146" s="529"/>
      <c r="AV146" s="529"/>
      <c r="AW146" s="551" t="e">
        <f>VLOOKUP(K146,#REF!,8,FALSE)</f>
        <v>#REF!</v>
      </c>
      <c r="AX146" s="551" t="e">
        <f>VLOOKUP(K146,#REF!,8,FALSE)</f>
        <v>#REF!</v>
      </c>
      <c r="AY146" s="551" t="e">
        <f>VLOOKUP(K146,#REF!,8,FALSE)</f>
        <v>#REF!</v>
      </c>
      <c r="AZ146" s="529"/>
      <c r="BA146" s="552"/>
      <c r="BB146" s="553">
        <f t="shared" si="97"/>
        <v>0</v>
      </c>
      <c r="BC146" s="484">
        <f t="shared" si="84"/>
        <v>34691.125</v>
      </c>
      <c r="BD146" s="249" t="str">
        <f t="shared" si="101"/>
        <v/>
      </c>
      <c r="BL146" s="554"/>
      <c r="BM146" s="554"/>
      <c r="BN146" s="554"/>
      <c r="BP146" s="555">
        <f t="shared" si="74"/>
        <v>34691.125</v>
      </c>
      <c r="BS146" s="556"/>
      <c r="BX146" s="557">
        <f t="shared" si="75"/>
        <v>8672.78125</v>
      </c>
      <c r="BY146" s="249" t="s">
        <v>2492</v>
      </c>
      <c r="BZ146" s="636">
        <f t="shared" si="93"/>
        <v>-26018.34375</v>
      </c>
      <c r="CA146" s="633">
        <f t="shared" si="94"/>
        <v>-32168.34375</v>
      </c>
    </row>
    <row r="147" spans="1:79" s="249" customFormat="1" x14ac:dyDescent="0.2">
      <c r="A147" s="529">
        <v>1</v>
      </c>
      <c r="B147" s="529">
        <v>1</v>
      </c>
      <c r="C147" s="530">
        <f t="shared" si="77"/>
        <v>41509</v>
      </c>
      <c r="D147" s="531">
        <v>41509</v>
      </c>
      <c r="E147" s="531">
        <v>43014</v>
      </c>
      <c r="F147" s="531" t="s">
        <v>1606</v>
      </c>
      <c r="G147" s="532"/>
      <c r="H147" s="532" t="s">
        <v>75</v>
      </c>
      <c r="I147" s="532" t="s">
        <v>32</v>
      </c>
      <c r="J147" s="532"/>
      <c r="K147" s="533">
        <v>441340</v>
      </c>
      <c r="L147" s="534" t="s">
        <v>391</v>
      </c>
      <c r="M147" s="534" t="s">
        <v>398</v>
      </c>
      <c r="N147" s="534" t="s">
        <v>399</v>
      </c>
      <c r="O147" s="535" t="s">
        <v>400</v>
      </c>
      <c r="P147" s="536">
        <v>41857</v>
      </c>
      <c r="Q147" s="537">
        <f t="shared" ref="Q147:Q210" ca="1" si="102">(TODAY()-P147)/365.25</f>
        <v>11.129363449691992</v>
      </c>
      <c r="R147" s="538">
        <v>4</v>
      </c>
      <c r="S147" s="539">
        <v>872</v>
      </c>
      <c r="T147" s="540">
        <v>872</v>
      </c>
      <c r="U147" s="541">
        <v>45017</v>
      </c>
      <c r="V147" s="542">
        <v>1</v>
      </c>
      <c r="W147" s="541">
        <v>45107</v>
      </c>
      <c r="X147" s="538">
        <v>48</v>
      </c>
      <c r="Y147" s="543">
        <f t="shared" si="95"/>
        <v>48</v>
      </c>
      <c r="Z147" s="543">
        <f t="shared" si="98"/>
        <v>0.25</v>
      </c>
      <c r="AA147" s="543" t="s">
        <v>36</v>
      </c>
      <c r="AB147" s="544" t="s">
        <v>394</v>
      </c>
      <c r="AC147" s="544" t="s">
        <v>394</v>
      </c>
      <c r="AD147" s="544" t="s">
        <v>1895</v>
      </c>
      <c r="AE147" s="545" t="str">
        <f t="shared" ref="AE147:AE210" si="103">IF(AND(AB147&lt;=25,AB147&gt;=20),"1","0")</f>
        <v>0</v>
      </c>
      <c r="AF147" s="545" t="str">
        <f t="shared" ref="AF147:AF210" si="104">IF(AND(AB147&lt;=30,AB147&gt;=26),"1","0")</f>
        <v>0</v>
      </c>
      <c r="AG147" s="545" t="str">
        <f t="shared" ref="AG147:AG210" si="105">IF(AB147&gt;=31,"1","0")</f>
        <v>1</v>
      </c>
      <c r="AH147" s="545" t="str">
        <f t="shared" ref="AH147:AH210" si="106">IF(AD147="BAND3","YES","NO")</f>
        <v>NO</v>
      </c>
      <c r="AI147" s="545" t="str">
        <f t="shared" ref="AI147:AI210" si="107">IF(AD147="BAND4","YES","NO")</f>
        <v>NO</v>
      </c>
      <c r="AJ147" s="545" t="str">
        <f t="shared" ref="AJ147:AJ210" si="108">IF(AD147="BAND5","YES","NO")</f>
        <v>NO</v>
      </c>
      <c r="AK147" s="545" t="str">
        <f t="shared" ref="AK147:AK210" si="109">IF(AD147="BAND6","YES","NO")</f>
        <v>YES</v>
      </c>
      <c r="AL147" s="546">
        <v>31337.324999999997</v>
      </c>
      <c r="AM147" s="547">
        <f t="shared" si="99"/>
        <v>31337.324999999997</v>
      </c>
      <c r="AN147" s="548" t="s">
        <v>128</v>
      </c>
      <c r="AO147" s="547">
        <v>1</v>
      </c>
      <c r="AP147" s="547">
        <f t="shared" si="100"/>
        <v>0.25</v>
      </c>
      <c r="AQ147" s="549">
        <f t="shared" si="96"/>
        <v>7834.3312499999993</v>
      </c>
      <c r="AR147" s="547">
        <v>31337.324999999997</v>
      </c>
      <c r="AS147" s="610">
        <v>37487.324999999997</v>
      </c>
      <c r="AT147" s="550">
        <v>31337.324999999997</v>
      </c>
      <c r="AU147" s="529"/>
      <c r="AV147" s="529"/>
      <c r="AW147" s="551" t="e">
        <f>VLOOKUP(K147,#REF!,8,FALSE)</f>
        <v>#REF!</v>
      </c>
      <c r="AX147" s="551" t="e">
        <f>VLOOKUP(K147,#REF!,8,FALSE)</f>
        <v>#REF!</v>
      </c>
      <c r="AY147" s="551" t="e">
        <f>VLOOKUP(K147,#REF!,8,FALSE)</f>
        <v>#REF!</v>
      </c>
      <c r="AZ147" s="529"/>
      <c r="BA147" s="552"/>
      <c r="BB147" s="553">
        <f t="shared" si="97"/>
        <v>0</v>
      </c>
      <c r="BC147" s="484">
        <f t="shared" si="84"/>
        <v>31337.324999999997</v>
      </c>
      <c r="BD147" s="249" t="str">
        <f t="shared" si="101"/>
        <v/>
      </c>
      <c r="BL147" s="554"/>
      <c r="BM147" s="554"/>
      <c r="BN147" s="554"/>
      <c r="BP147" s="555">
        <f t="shared" ref="BP147:BP210" si="110">BC147+BO147</f>
        <v>31337.324999999997</v>
      </c>
      <c r="BS147" s="556"/>
      <c r="BX147" s="557">
        <f t="shared" ref="BX147:BX210" si="111">AQ147+BO147+BU147</f>
        <v>7834.3312499999993</v>
      </c>
      <c r="BY147" s="249" t="s">
        <v>2492</v>
      </c>
      <c r="BZ147" s="636">
        <f t="shared" si="93"/>
        <v>-23502.993749999998</v>
      </c>
      <c r="CA147" s="633">
        <f t="shared" si="94"/>
        <v>-29652.993749999998</v>
      </c>
    </row>
    <row r="148" spans="1:79" s="316" customFormat="1" x14ac:dyDescent="0.2">
      <c r="A148" s="499">
        <v>1</v>
      </c>
      <c r="B148" s="499">
        <v>1</v>
      </c>
      <c r="C148" s="500">
        <f t="shared" si="77"/>
        <v>41509</v>
      </c>
      <c r="D148" s="314">
        <v>41509</v>
      </c>
      <c r="E148" s="314">
        <v>43014</v>
      </c>
      <c r="F148" s="314" t="s">
        <v>1606</v>
      </c>
      <c r="G148" s="501" t="s">
        <v>75</v>
      </c>
      <c r="H148" s="501" t="s">
        <v>75</v>
      </c>
      <c r="I148" s="501" t="s">
        <v>32</v>
      </c>
      <c r="J148" s="501"/>
      <c r="K148" s="260">
        <v>407193</v>
      </c>
      <c r="L148" s="261" t="s">
        <v>391</v>
      </c>
      <c r="M148" s="261" t="s">
        <v>392</v>
      </c>
      <c r="N148" s="261" t="s">
        <v>286</v>
      </c>
      <c r="O148" s="503" t="s">
        <v>393</v>
      </c>
      <c r="P148" s="504">
        <v>41597</v>
      </c>
      <c r="Q148" s="505">
        <f t="shared" ca="1" si="102"/>
        <v>11.841204654346338</v>
      </c>
      <c r="R148" s="315">
        <v>4</v>
      </c>
      <c r="S148" s="506">
        <v>872</v>
      </c>
      <c r="T148" s="502">
        <v>872</v>
      </c>
      <c r="U148" s="507">
        <v>45108</v>
      </c>
      <c r="V148" s="508">
        <v>49</v>
      </c>
      <c r="W148" s="507">
        <v>45382</v>
      </c>
      <c r="X148" s="315">
        <v>192</v>
      </c>
      <c r="Y148" s="509">
        <f t="shared" si="95"/>
        <v>144</v>
      </c>
      <c r="Z148" s="509">
        <f t="shared" si="98"/>
        <v>0.75</v>
      </c>
      <c r="AA148" s="509" t="s">
        <v>36</v>
      </c>
      <c r="AB148" s="510" t="s">
        <v>394</v>
      </c>
      <c r="AC148" s="510" t="s">
        <v>394</v>
      </c>
      <c r="AD148" s="510" t="s">
        <v>1895</v>
      </c>
      <c r="AE148" s="511" t="str">
        <f t="shared" si="103"/>
        <v>0</v>
      </c>
      <c r="AF148" s="511" t="str">
        <f t="shared" si="104"/>
        <v>0</v>
      </c>
      <c r="AG148" s="511" t="str">
        <f t="shared" si="105"/>
        <v>1</v>
      </c>
      <c r="AH148" s="511" t="str">
        <f t="shared" si="106"/>
        <v>NO</v>
      </c>
      <c r="AI148" s="511" t="str">
        <f t="shared" si="107"/>
        <v>NO</v>
      </c>
      <c r="AJ148" s="511" t="str">
        <f t="shared" si="108"/>
        <v>NO</v>
      </c>
      <c r="AK148" s="511" t="str">
        <f t="shared" si="109"/>
        <v>YES</v>
      </c>
      <c r="AL148" s="558">
        <v>31337.324999999997</v>
      </c>
      <c r="AM148" s="512">
        <f t="shared" si="99"/>
        <v>31337.324999999997</v>
      </c>
      <c r="AN148" s="559" t="s">
        <v>128</v>
      </c>
      <c r="AO148" s="512">
        <v>1</v>
      </c>
      <c r="AP148" s="512">
        <f t="shared" si="100"/>
        <v>0.75</v>
      </c>
      <c r="AQ148" s="514">
        <f t="shared" si="96"/>
        <v>23502.993749999998</v>
      </c>
      <c r="AR148" s="512">
        <v>0</v>
      </c>
      <c r="AS148" s="610">
        <v>0</v>
      </c>
      <c r="AT148" s="515">
        <v>0</v>
      </c>
      <c r="AU148" s="499"/>
      <c r="AV148" s="499"/>
      <c r="AW148" s="516" t="e">
        <f>VLOOKUP(K148,#REF!,8,FALSE)</f>
        <v>#REF!</v>
      </c>
      <c r="AX148" s="516" t="e">
        <f>VLOOKUP(K148,#REF!,8,FALSE)</f>
        <v>#REF!</v>
      </c>
      <c r="AY148" s="516" t="e">
        <f>VLOOKUP(K148,#REF!,8,FALSE)</f>
        <v>#REF!</v>
      </c>
      <c r="AZ148" s="499"/>
      <c r="BA148" s="521"/>
      <c r="BB148" s="517">
        <f t="shared" si="97"/>
        <v>0</v>
      </c>
      <c r="BC148" s="518">
        <f t="shared" si="84"/>
        <v>0</v>
      </c>
      <c r="BD148" s="316" t="str">
        <f t="shared" si="101"/>
        <v/>
      </c>
      <c r="BL148" s="560"/>
      <c r="BM148" s="560"/>
      <c r="BN148" s="560"/>
      <c r="BP148" s="356">
        <f t="shared" si="110"/>
        <v>0</v>
      </c>
      <c r="BS148" s="561"/>
      <c r="BX148" s="520">
        <f t="shared" si="111"/>
        <v>23502.993749999998</v>
      </c>
      <c r="BY148" s="316" t="s">
        <v>2492</v>
      </c>
      <c r="BZ148" s="636">
        <f t="shared" si="93"/>
        <v>23502.993749999998</v>
      </c>
      <c r="CA148" s="633">
        <f t="shared" si="94"/>
        <v>23502.993749999998</v>
      </c>
    </row>
    <row r="149" spans="1:79" s="316" customFormat="1" x14ac:dyDescent="0.2">
      <c r="A149" s="499">
        <v>1</v>
      </c>
      <c r="B149" s="499">
        <v>1</v>
      </c>
      <c r="C149" s="500">
        <f t="shared" si="77"/>
        <v>41509</v>
      </c>
      <c r="D149" s="314">
        <v>41509</v>
      </c>
      <c r="E149" s="314">
        <v>43014</v>
      </c>
      <c r="F149" s="314" t="s">
        <v>1606</v>
      </c>
      <c r="G149" s="501" t="s">
        <v>75</v>
      </c>
      <c r="H149" s="501" t="s">
        <v>75</v>
      </c>
      <c r="I149" s="501" t="s">
        <v>32</v>
      </c>
      <c r="J149" s="501"/>
      <c r="K149" s="260">
        <v>424710</v>
      </c>
      <c r="L149" s="261" t="s">
        <v>391</v>
      </c>
      <c r="M149" s="261" t="s">
        <v>395</v>
      </c>
      <c r="N149" s="261" t="s">
        <v>396</v>
      </c>
      <c r="O149" s="503" t="s">
        <v>397</v>
      </c>
      <c r="P149" s="504">
        <v>42679</v>
      </c>
      <c r="Q149" s="505">
        <f t="shared" ca="1" si="102"/>
        <v>8.8788501026694053</v>
      </c>
      <c r="R149" s="315">
        <v>1</v>
      </c>
      <c r="S149" s="506">
        <v>872</v>
      </c>
      <c r="T149" s="502">
        <v>872</v>
      </c>
      <c r="U149" s="507">
        <v>45108</v>
      </c>
      <c r="V149" s="508">
        <v>49</v>
      </c>
      <c r="W149" s="507">
        <v>45382</v>
      </c>
      <c r="X149" s="315">
        <v>192</v>
      </c>
      <c r="Y149" s="509">
        <f t="shared" si="95"/>
        <v>144</v>
      </c>
      <c r="Z149" s="509">
        <f t="shared" si="98"/>
        <v>0.75</v>
      </c>
      <c r="AA149" s="509" t="s">
        <v>36</v>
      </c>
      <c r="AB149" s="510" t="s">
        <v>394</v>
      </c>
      <c r="AC149" s="510" t="s">
        <v>394</v>
      </c>
      <c r="AD149" s="510" t="s">
        <v>1895</v>
      </c>
      <c r="AE149" s="511" t="str">
        <f t="shared" si="103"/>
        <v>0</v>
      </c>
      <c r="AF149" s="511" t="str">
        <f t="shared" si="104"/>
        <v>0</v>
      </c>
      <c r="AG149" s="511" t="str">
        <f t="shared" si="105"/>
        <v>1</v>
      </c>
      <c r="AH149" s="511" t="str">
        <f t="shared" si="106"/>
        <v>NO</v>
      </c>
      <c r="AI149" s="511" t="str">
        <f t="shared" si="107"/>
        <v>NO</v>
      </c>
      <c r="AJ149" s="511" t="str">
        <f t="shared" si="108"/>
        <v>NO</v>
      </c>
      <c r="AK149" s="511" t="str">
        <f t="shared" si="109"/>
        <v>YES</v>
      </c>
      <c r="AL149" s="558">
        <v>34691.125</v>
      </c>
      <c r="AM149" s="512">
        <f t="shared" si="99"/>
        <v>34691.125</v>
      </c>
      <c r="AN149" s="559" t="s">
        <v>128</v>
      </c>
      <c r="AO149" s="512">
        <v>1</v>
      </c>
      <c r="AP149" s="512">
        <f t="shared" si="100"/>
        <v>0.75</v>
      </c>
      <c r="AQ149" s="514">
        <f t="shared" si="96"/>
        <v>26018.34375</v>
      </c>
      <c r="AR149" s="512">
        <v>0</v>
      </c>
      <c r="AS149" s="610">
        <v>0</v>
      </c>
      <c r="AT149" s="515">
        <v>0</v>
      </c>
      <c r="AU149" s="499"/>
      <c r="AV149" s="499"/>
      <c r="AW149" s="516" t="e">
        <f>VLOOKUP(K149,#REF!,8,FALSE)</f>
        <v>#REF!</v>
      </c>
      <c r="AX149" s="516" t="e">
        <f>VLOOKUP(K149,#REF!,8,FALSE)</f>
        <v>#REF!</v>
      </c>
      <c r="AY149" s="516" t="e">
        <f>VLOOKUP(K149,#REF!,8,FALSE)</f>
        <v>#REF!</v>
      </c>
      <c r="AZ149" s="499"/>
      <c r="BA149" s="521"/>
      <c r="BB149" s="517">
        <f t="shared" si="97"/>
        <v>0</v>
      </c>
      <c r="BC149" s="518">
        <f t="shared" si="84"/>
        <v>0</v>
      </c>
      <c r="BD149" s="316" t="str">
        <f t="shared" si="101"/>
        <v/>
      </c>
      <c r="BL149" s="560"/>
      <c r="BM149" s="560"/>
      <c r="BN149" s="560"/>
      <c r="BP149" s="356">
        <f t="shared" si="110"/>
        <v>0</v>
      </c>
      <c r="BS149" s="561"/>
      <c r="BX149" s="520">
        <f t="shared" si="111"/>
        <v>26018.34375</v>
      </c>
      <c r="BY149" s="316" t="s">
        <v>2492</v>
      </c>
      <c r="BZ149" s="636">
        <f t="shared" si="93"/>
        <v>26018.34375</v>
      </c>
      <c r="CA149" s="633">
        <f t="shared" si="94"/>
        <v>26018.34375</v>
      </c>
    </row>
    <row r="150" spans="1:79" s="316" customFormat="1" x14ac:dyDescent="0.2">
      <c r="A150" s="499">
        <v>1</v>
      </c>
      <c r="B150" s="499">
        <v>1</v>
      </c>
      <c r="C150" s="500">
        <f t="shared" si="77"/>
        <v>41509</v>
      </c>
      <c r="D150" s="314">
        <v>41509</v>
      </c>
      <c r="E150" s="314">
        <v>43014</v>
      </c>
      <c r="F150" s="314" t="s">
        <v>1606</v>
      </c>
      <c r="G150" s="501" t="s">
        <v>75</v>
      </c>
      <c r="H150" s="501" t="s">
        <v>75</v>
      </c>
      <c r="I150" s="501" t="s">
        <v>32</v>
      </c>
      <c r="J150" s="501"/>
      <c r="K150" s="260">
        <v>441340</v>
      </c>
      <c r="L150" s="261" t="s">
        <v>391</v>
      </c>
      <c r="M150" s="261" t="s">
        <v>398</v>
      </c>
      <c r="N150" s="261" t="s">
        <v>399</v>
      </c>
      <c r="O150" s="503" t="s">
        <v>400</v>
      </c>
      <c r="P150" s="504">
        <v>41857</v>
      </c>
      <c r="Q150" s="505">
        <f t="shared" ca="1" si="102"/>
        <v>11.129363449691992</v>
      </c>
      <c r="R150" s="315">
        <v>4</v>
      </c>
      <c r="S150" s="506">
        <v>872</v>
      </c>
      <c r="T150" s="502">
        <v>872</v>
      </c>
      <c r="U150" s="507">
        <v>45108</v>
      </c>
      <c r="V150" s="508">
        <v>49</v>
      </c>
      <c r="W150" s="507">
        <v>45382</v>
      </c>
      <c r="X150" s="315">
        <v>192</v>
      </c>
      <c r="Y150" s="509">
        <f t="shared" si="95"/>
        <v>144</v>
      </c>
      <c r="Z150" s="509">
        <f t="shared" si="98"/>
        <v>0.75</v>
      </c>
      <c r="AA150" s="509" t="s">
        <v>36</v>
      </c>
      <c r="AB150" s="510" t="s">
        <v>394</v>
      </c>
      <c r="AC150" s="510" t="s">
        <v>394</v>
      </c>
      <c r="AD150" s="510" t="s">
        <v>1895</v>
      </c>
      <c r="AE150" s="511" t="str">
        <f t="shared" si="103"/>
        <v>0</v>
      </c>
      <c r="AF150" s="511" t="str">
        <f t="shared" si="104"/>
        <v>0</v>
      </c>
      <c r="AG150" s="511" t="str">
        <f t="shared" si="105"/>
        <v>1</v>
      </c>
      <c r="AH150" s="511" t="str">
        <f t="shared" si="106"/>
        <v>NO</v>
      </c>
      <c r="AI150" s="511" t="str">
        <f t="shared" si="107"/>
        <v>NO</v>
      </c>
      <c r="AJ150" s="511" t="str">
        <f t="shared" si="108"/>
        <v>NO</v>
      </c>
      <c r="AK150" s="511" t="str">
        <f t="shared" si="109"/>
        <v>YES</v>
      </c>
      <c r="AL150" s="558">
        <v>31337.324999999997</v>
      </c>
      <c r="AM150" s="512">
        <f t="shared" si="99"/>
        <v>31337.324999999997</v>
      </c>
      <c r="AN150" s="559" t="s">
        <v>128</v>
      </c>
      <c r="AO150" s="512">
        <v>1</v>
      </c>
      <c r="AP150" s="512">
        <f t="shared" si="100"/>
        <v>0.75</v>
      </c>
      <c r="AQ150" s="514">
        <f t="shared" si="96"/>
        <v>23502.993749999998</v>
      </c>
      <c r="AR150" s="512">
        <v>0</v>
      </c>
      <c r="AS150" s="610">
        <v>0</v>
      </c>
      <c r="AT150" s="515">
        <v>0</v>
      </c>
      <c r="AU150" s="499"/>
      <c r="AV150" s="499"/>
      <c r="AW150" s="516" t="e">
        <f>VLOOKUP(K150,#REF!,8,FALSE)</f>
        <v>#REF!</v>
      </c>
      <c r="AX150" s="516" t="e">
        <f>VLOOKUP(K150,#REF!,8,FALSE)</f>
        <v>#REF!</v>
      </c>
      <c r="AY150" s="516" t="e">
        <f>VLOOKUP(K150,#REF!,8,FALSE)</f>
        <v>#REF!</v>
      </c>
      <c r="AZ150" s="499"/>
      <c r="BA150" s="521"/>
      <c r="BB150" s="517">
        <f t="shared" si="97"/>
        <v>0</v>
      </c>
      <c r="BC150" s="518">
        <f t="shared" si="84"/>
        <v>0</v>
      </c>
      <c r="BD150" s="316" t="str">
        <f t="shared" si="101"/>
        <v/>
      </c>
      <c r="BL150" s="560"/>
      <c r="BM150" s="560"/>
      <c r="BN150" s="560"/>
      <c r="BP150" s="356">
        <f t="shared" si="110"/>
        <v>0</v>
      </c>
      <c r="BS150" s="561"/>
      <c r="BX150" s="520">
        <f t="shared" si="111"/>
        <v>23502.993749999998</v>
      </c>
      <c r="BY150" s="316" t="s">
        <v>2492</v>
      </c>
      <c r="BZ150" s="636">
        <f t="shared" si="93"/>
        <v>23502.993749999998</v>
      </c>
      <c r="CA150" s="633">
        <f t="shared" si="94"/>
        <v>23502.993749999998</v>
      </c>
    </row>
    <row r="151" spans="1:79" s="249" customFormat="1" x14ac:dyDescent="0.2">
      <c r="A151" s="529">
        <v>0</v>
      </c>
      <c r="B151" s="529">
        <v>0</v>
      </c>
      <c r="C151" s="530">
        <f t="shared" si="77"/>
        <v>41109</v>
      </c>
      <c r="D151" s="531">
        <v>41109</v>
      </c>
      <c r="E151" s="531">
        <v>43011</v>
      </c>
      <c r="F151" s="531" t="s">
        <v>1876</v>
      </c>
      <c r="G151" s="532"/>
      <c r="H151" s="532"/>
      <c r="I151" s="532" t="s">
        <v>32</v>
      </c>
      <c r="J151" s="532"/>
      <c r="K151" s="533">
        <v>428626</v>
      </c>
      <c r="L151" s="534" t="s">
        <v>401</v>
      </c>
      <c r="M151" s="534" t="s">
        <v>402</v>
      </c>
      <c r="N151" s="534" t="s">
        <v>403</v>
      </c>
      <c r="O151" s="535" t="s">
        <v>404</v>
      </c>
      <c r="P151" s="536">
        <v>42574</v>
      </c>
      <c r="Q151" s="537">
        <f t="shared" ca="1" si="102"/>
        <v>9.1663244353182751</v>
      </c>
      <c r="R151" s="538">
        <v>2</v>
      </c>
      <c r="S151" s="539" t="s">
        <v>98</v>
      </c>
      <c r="T151" s="540" t="s">
        <v>98</v>
      </c>
      <c r="U151" s="541">
        <v>45017</v>
      </c>
      <c r="V151" s="542">
        <v>1</v>
      </c>
      <c r="W151" s="541">
        <v>45107</v>
      </c>
      <c r="X151" s="538">
        <v>48</v>
      </c>
      <c r="Y151" s="543">
        <f t="shared" si="95"/>
        <v>48</v>
      </c>
      <c r="Z151" s="543">
        <f t="shared" si="98"/>
        <v>0.25</v>
      </c>
      <c r="AA151" s="541" t="s">
        <v>405</v>
      </c>
      <c r="AB151" s="544">
        <v>30</v>
      </c>
      <c r="AC151" s="544"/>
      <c r="AD151" s="544"/>
      <c r="AE151" s="545" t="str">
        <f t="shared" si="103"/>
        <v>0</v>
      </c>
      <c r="AF151" s="545" t="str">
        <f t="shared" si="104"/>
        <v>1</v>
      </c>
      <c r="AG151" s="545" t="str">
        <f t="shared" si="105"/>
        <v>0</v>
      </c>
      <c r="AH151" s="545" t="str">
        <f t="shared" si="106"/>
        <v>NO</v>
      </c>
      <c r="AI151" s="545" t="str">
        <f t="shared" si="107"/>
        <v>NO</v>
      </c>
      <c r="AJ151" s="545" t="str">
        <f t="shared" si="108"/>
        <v>NO</v>
      </c>
      <c r="AK151" s="545" t="str">
        <f t="shared" si="109"/>
        <v>NO</v>
      </c>
      <c r="AL151" s="547"/>
      <c r="AM151" s="547">
        <f t="shared" si="99"/>
        <v>8183.0999999999985</v>
      </c>
      <c r="AN151" s="562" t="s">
        <v>37</v>
      </c>
      <c r="AO151" s="547">
        <v>1</v>
      </c>
      <c r="AP151" s="547">
        <f t="shared" si="100"/>
        <v>0.25</v>
      </c>
      <c r="AQ151" s="549">
        <f t="shared" si="96"/>
        <v>2045.7749999999996</v>
      </c>
      <c r="AR151" s="547">
        <v>2685.0796874999996</v>
      </c>
      <c r="AS151" s="610">
        <v>2685.0796874999996</v>
      </c>
      <c r="AT151" s="550">
        <v>2685.0796874999996</v>
      </c>
      <c r="AU151" s="529"/>
      <c r="AV151" s="529" t="s">
        <v>2269</v>
      </c>
      <c r="AW151" s="563" t="s">
        <v>2202</v>
      </c>
      <c r="AX151" s="551" t="e">
        <f>VLOOKUP(K151,#REF!,8,FALSE)</f>
        <v>#REF!</v>
      </c>
      <c r="AY151" s="551" t="e">
        <f>VLOOKUP(K151,#REF!,8,FALSE)</f>
        <v>#REF!</v>
      </c>
      <c r="AZ151" s="529"/>
      <c r="BA151" s="552"/>
      <c r="BB151" s="553">
        <f t="shared" si="97"/>
        <v>0</v>
      </c>
      <c r="BC151" s="484">
        <f t="shared" si="84"/>
        <v>2685.0796874999996</v>
      </c>
      <c r="BD151" s="249" t="e">
        <f t="shared" si="101"/>
        <v>#REF!</v>
      </c>
      <c r="BE151" s="249" t="s">
        <v>2396</v>
      </c>
      <c r="BG151" s="249" t="e">
        <f>VLOOKUP(K151,#REF!,9,FALSE)</f>
        <v>#REF!</v>
      </c>
      <c r="BJ151" s="249">
        <f>AB151</f>
        <v>30</v>
      </c>
      <c r="BK151" s="484">
        <f>AM151</f>
        <v>8183.0999999999985</v>
      </c>
      <c r="BL151" s="554" t="s">
        <v>75</v>
      </c>
      <c r="BM151" s="554"/>
      <c r="BN151" s="554"/>
      <c r="BO151" s="564">
        <f>BK151/192*127</f>
        <v>5412.7796874999985</v>
      </c>
      <c r="BP151" s="555">
        <f t="shared" si="110"/>
        <v>8097.8593749999982</v>
      </c>
      <c r="BS151" s="556"/>
      <c r="BX151" s="557">
        <f t="shared" si="111"/>
        <v>7458.5546874999982</v>
      </c>
      <c r="BZ151" s="636">
        <f t="shared" si="93"/>
        <v>-639.3046875</v>
      </c>
      <c r="CA151" s="633">
        <f t="shared" si="94"/>
        <v>4773.4749999999985</v>
      </c>
    </row>
    <row r="152" spans="1:79" s="249" customFormat="1" x14ac:dyDescent="0.2">
      <c r="A152" s="529">
        <v>0</v>
      </c>
      <c r="B152" s="529">
        <v>0</v>
      </c>
      <c r="C152" s="530">
        <f t="shared" si="77"/>
        <v>41109</v>
      </c>
      <c r="D152" s="531">
        <v>41109</v>
      </c>
      <c r="E152" s="531">
        <v>43011</v>
      </c>
      <c r="F152" s="531" t="s">
        <v>1876</v>
      </c>
      <c r="G152" s="532"/>
      <c r="H152" s="532"/>
      <c r="I152" s="532" t="s">
        <v>32</v>
      </c>
      <c r="J152" s="532"/>
      <c r="K152" s="533">
        <v>437285</v>
      </c>
      <c r="L152" s="534" t="s">
        <v>401</v>
      </c>
      <c r="M152" s="534" t="s">
        <v>406</v>
      </c>
      <c r="N152" s="534" t="s">
        <v>407</v>
      </c>
      <c r="O152" s="535" t="s">
        <v>408</v>
      </c>
      <c r="P152" s="536">
        <v>43028</v>
      </c>
      <c r="Q152" s="537">
        <f t="shared" ca="1" si="102"/>
        <v>7.9233401779603012</v>
      </c>
      <c r="R152" s="538">
        <v>0</v>
      </c>
      <c r="S152" s="539" t="s">
        <v>98</v>
      </c>
      <c r="T152" s="540" t="s">
        <v>98</v>
      </c>
      <c r="U152" s="541">
        <v>45017</v>
      </c>
      <c r="V152" s="542">
        <v>1</v>
      </c>
      <c r="W152" s="541">
        <v>45107</v>
      </c>
      <c r="X152" s="538">
        <v>48</v>
      </c>
      <c r="Y152" s="543">
        <f t="shared" si="95"/>
        <v>48</v>
      </c>
      <c r="Z152" s="543">
        <f t="shared" si="98"/>
        <v>0.25</v>
      </c>
      <c r="AA152" s="543" t="s">
        <v>36</v>
      </c>
      <c r="AB152" s="544">
        <v>28</v>
      </c>
      <c r="AC152" s="544"/>
      <c r="AD152" s="544"/>
      <c r="AE152" s="545" t="str">
        <f t="shared" si="103"/>
        <v>0</v>
      </c>
      <c r="AF152" s="545" t="str">
        <f t="shared" si="104"/>
        <v>1</v>
      </c>
      <c r="AG152" s="545" t="str">
        <f t="shared" si="105"/>
        <v>0</v>
      </c>
      <c r="AH152" s="545" t="str">
        <f t="shared" si="106"/>
        <v>NO</v>
      </c>
      <c r="AI152" s="545" t="str">
        <f t="shared" si="107"/>
        <v>NO</v>
      </c>
      <c r="AJ152" s="545" t="str">
        <f t="shared" si="108"/>
        <v>NO</v>
      </c>
      <c r="AK152" s="545" t="str">
        <f t="shared" si="109"/>
        <v>NO</v>
      </c>
      <c r="AL152" s="547"/>
      <c r="AM152" s="547">
        <f t="shared" si="99"/>
        <v>7237.5599999999995</v>
      </c>
      <c r="AN152" s="562"/>
      <c r="AO152" s="547">
        <v>1</v>
      </c>
      <c r="AP152" s="547">
        <f t="shared" si="100"/>
        <v>0.25</v>
      </c>
      <c r="AQ152" s="549">
        <f t="shared" si="96"/>
        <v>1809.3899999999999</v>
      </c>
      <c r="AR152" s="547">
        <v>7237.5599999999995</v>
      </c>
      <c r="AS152" s="610">
        <v>7237.5599999999995</v>
      </c>
      <c r="AT152" s="550">
        <v>7237.5599999999995</v>
      </c>
      <c r="AU152" s="529"/>
      <c r="AV152" s="529"/>
      <c r="AW152" s="551" t="e">
        <f>VLOOKUP(K152,#REF!,8,FALSE)</f>
        <v>#REF!</v>
      </c>
      <c r="AX152" s="551" t="e">
        <f>VLOOKUP(K152,#REF!,8,FALSE)</f>
        <v>#REF!</v>
      </c>
      <c r="AY152" s="551" t="e">
        <f>VLOOKUP(K152,#REF!,8,FALSE)</f>
        <v>#REF!</v>
      </c>
      <c r="AZ152" s="529"/>
      <c r="BA152" s="552"/>
      <c r="BB152" s="553">
        <f t="shared" si="97"/>
        <v>0</v>
      </c>
      <c r="BC152" s="484">
        <f t="shared" si="84"/>
        <v>7237.5599999999995</v>
      </c>
      <c r="BD152" s="249" t="str">
        <f t="shared" si="101"/>
        <v/>
      </c>
      <c r="BL152" s="554"/>
      <c r="BM152" s="554"/>
      <c r="BN152" s="554"/>
      <c r="BP152" s="555">
        <f t="shared" si="110"/>
        <v>7237.5599999999995</v>
      </c>
      <c r="BS152" s="556"/>
      <c r="BX152" s="557">
        <f t="shared" si="111"/>
        <v>1809.3899999999999</v>
      </c>
      <c r="BZ152" s="636">
        <f t="shared" si="93"/>
        <v>-5428.17</v>
      </c>
      <c r="CA152" s="633">
        <f t="shared" si="94"/>
        <v>-5428.17</v>
      </c>
    </row>
    <row r="153" spans="1:79" s="249" customFormat="1" x14ac:dyDescent="0.2">
      <c r="A153" s="529">
        <v>0</v>
      </c>
      <c r="B153" s="529">
        <v>0</v>
      </c>
      <c r="C153" s="530">
        <f t="shared" si="77"/>
        <v>41109</v>
      </c>
      <c r="D153" s="531">
        <v>41109</v>
      </c>
      <c r="E153" s="531">
        <v>43011</v>
      </c>
      <c r="F153" s="531" t="s">
        <v>1876</v>
      </c>
      <c r="G153" s="532"/>
      <c r="H153" s="532"/>
      <c r="I153" s="532" t="s">
        <v>32</v>
      </c>
      <c r="J153" s="532"/>
      <c r="K153" s="533">
        <v>441288</v>
      </c>
      <c r="L153" s="534" t="s">
        <v>401</v>
      </c>
      <c r="M153" s="534" t="s">
        <v>409</v>
      </c>
      <c r="N153" s="529" t="s">
        <v>410</v>
      </c>
      <c r="O153" s="535" t="s">
        <v>411</v>
      </c>
      <c r="P153" s="536">
        <v>43335</v>
      </c>
      <c r="Q153" s="537">
        <f t="shared" ca="1" si="102"/>
        <v>7.0828199863107457</v>
      </c>
      <c r="R153" s="538">
        <v>0</v>
      </c>
      <c r="S153" s="539">
        <v>872</v>
      </c>
      <c r="T153" s="540">
        <v>872</v>
      </c>
      <c r="U153" s="541">
        <v>45017</v>
      </c>
      <c r="V153" s="542">
        <v>1</v>
      </c>
      <c r="W153" s="541">
        <v>45107</v>
      </c>
      <c r="X153" s="538">
        <v>48</v>
      </c>
      <c r="Y153" s="543">
        <f t="shared" si="95"/>
        <v>48</v>
      </c>
      <c r="Z153" s="543">
        <f t="shared" si="98"/>
        <v>0.25</v>
      </c>
      <c r="AA153" s="543" t="s">
        <v>36</v>
      </c>
      <c r="AB153" s="544">
        <v>30</v>
      </c>
      <c r="AC153" s="544"/>
      <c r="AD153" s="544"/>
      <c r="AE153" s="545" t="str">
        <f t="shared" si="103"/>
        <v>0</v>
      </c>
      <c r="AF153" s="545" t="str">
        <f t="shared" si="104"/>
        <v>1</v>
      </c>
      <c r="AG153" s="545" t="str">
        <f t="shared" si="105"/>
        <v>0</v>
      </c>
      <c r="AH153" s="545" t="str">
        <f t="shared" si="106"/>
        <v>NO</v>
      </c>
      <c r="AI153" s="545" t="str">
        <f t="shared" si="107"/>
        <v>NO</v>
      </c>
      <c r="AJ153" s="545" t="str">
        <f t="shared" si="108"/>
        <v>NO</v>
      </c>
      <c r="AK153" s="545" t="str">
        <f t="shared" si="109"/>
        <v>NO</v>
      </c>
      <c r="AL153" s="547"/>
      <c r="AM153" s="547">
        <f t="shared" si="99"/>
        <v>8183.0999999999985</v>
      </c>
      <c r="AN153" s="562" t="s">
        <v>37</v>
      </c>
      <c r="AO153" s="547">
        <v>1</v>
      </c>
      <c r="AP153" s="547">
        <f t="shared" si="100"/>
        <v>0.25</v>
      </c>
      <c r="AQ153" s="549">
        <f t="shared" si="96"/>
        <v>2045.7749999999996</v>
      </c>
      <c r="AR153" s="547">
        <v>8183.0999999999985</v>
      </c>
      <c r="AS153" s="610">
        <v>8183.0999999999985</v>
      </c>
      <c r="AT153" s="550">
        <v>8183.0999999999985</v>
      </c>
      <c r="AU153" s="529"/>
      <c r="AV153" s="529"/>
      <c r="AW153" s="551" t="e">
        <f>VLOOKUP(K153,#REF!,8,FALSE)</f>
        <v>#REF!</v>
      </c>
      <c r="AX153" s="551" t="e">
        <f>VLOOKUP(K153,#REF!,8,FALSE)</f>
        <v>#REF!</v>
      </c>
      <c r="AY153" s="551" t="e">
        <f>VLOOKUP(K153,#REF!,8,FALSE)</f>
        <v>#REF!</v>
      </c>
      <c r="AZ153" s="529"/>
      <c r="BA153" s="552"/>
      <c r="BB153" s="553">
        <f t="shared" si="97"/>
        <v>0</v>
      </c>
      <c r="BC153" s="484">
        <f t="shared" si="84"/>
        <v>8183.0999999999985</v>
      </c>
      <c r="BD153" s="249" t="str">
        <f t="shared" si="101"/>
        <v/>
      </c>
      <c r="BL153" s="554"/>
      <c r="BM153" s="554"/>
      <c r="BN153" s="554"/>
      <c r="BP153" s="555">
        <f t="shared" si="110"/>
        <v>8183.0999999999985</v>
      </c>
      <c r="BS153" s="556"/>
      <c r="BX153" s="557">
        <f t="shared" si="111"/>
        <v>2045.7749999999996</v>
      </c>
      <c r="BZ153" s="636">
        <f t="shared" si="93"/>
        <v>-6137.3249999999989</v>
      </c>
      <c r="CA153" s="633">
        <f t="shared" si="94"/>
        <v>-6137.3249999999989</v>
      </c>
    </row>
    <row r="154" spans="1:79" s="249" customFormat="1" x14ac:dyDescent="0.2">
      <c r="A154" s="529">
        <v>0</v>
      </c>
      <c r="B154" s="529">
        <v>0</v>
      </c>
      <c r="C154" s="530">
        <f t="shared" si="77"/>
        <v>41109</v>
      </c>
      <c r="D154" s="531">
        <v>41109</v>
      </c>
      <c r="E154" s="531">
        <v>43011</v>
      </c>
      <c r="F154" s="531" t="s">
        <v>1876</v>
      </c>
      <c r="G154" s="532"/>
      <c r="H154" s="532"/>
      <c r="I154" s="532" t="s">
        <v>32</v>
      </c>
      <c r="J154" s="532"/>
      <c r="K154" s="533">
        <v>428633</v>
      </c>
      <c r="L154" s="534" t="s">
        <v>401</v>
      </c>
      <c r="M154" s="534" t="s">
        <v>412</v>
      </c>
      <c r="N154" s="534" t="s">
        <v>407</v>
      </c>
      <c r="O154" s="535" t="s">
        <v>413</v>
      </c>
      <c r="P154" s="536">
        <v>42498</v>
      </c>
      <c r="Q154" s="537">
        <f t="shared" ca="1" si="102"/>
        <v>9.3744010951403141</v>
      </c>
      <c r="R154" s="538">
        <v>2</v>
      </c>
      <c r="S154" s="539">
        <v>872</v>
      </c>
      <c r="T154" s="540">
        <v>872</v>
      </c>
      <c r="U154" s="541">
        <v>45017</v>
      </c>
      <c r="V154" s="542">
        <v>1</v>
      </c>
      <c r="W154" s="541">
        <v>45107</v>
      </c>
      <c r="X154" s="538">
        <v>48</v>
      </c>
      <c r="Y154" s="543">
        <f t="shared" si="95"/>
        <v>48</v>
      </c>
      <c r="Z154" s="543">
        <f t="shared" si="98"/>
        <v>0.25</v>
      </c>
      <c r="AA154" s="541" t="s">
        <v>405</v>
      </c>
      <c r="AB154" s="544">
        <v>25</v>
      </c>
      <c r="AC154" s="544"/>
      <c r="AD154" s="544"/>
      <c r="AE154" s="545" t="str">
        <f t="shared" si="103"/>
        <v>1</v>
      </c>
      <c r="AF154" s="545" t="str">
        <f t="shared" si="104"/>
        <v>0</v>
      </c>
      <c r="AG154" s="545" t="str">
        <f t="shared" si="105"/>
        <v>0</v>
      </c>
      <c r="AH154" s="545" t="str">
        <f t="shared" si="106"/>
        <v>NO</v>
      </c>
      <c r="AI154" s="545" t="str">
        <f t="shared" si="107"/>
        <v>NO</v>
      </c>
      <c r="AJ154" s="545" t="str">
        <f t="shared" si="108"/>
        <v>NO</v>
      </c>
      <c r="AK154" s="545" t="str">
        <f t="shared" si="109"/>
        <v>NO</v>
      </c>
      <c r="AL154" s="547"/>
      <c r="AM154" s="547">
        <f t="shared" si="99"/>
        <v>5819.25</v>
      </c>
      <c r="AN154" s="562" t="s">
        <v>66</v>
      </c>
      <c r="AO154" s="547">
        <v>1</v>
      </c>
      <c r="AP154" s="547">
        <f t="shared" si="100"/>
        <v>0.25</v>
      </c>
      <c r="AQ154" s="549">
        <f t="shared" si="96"/>
        <v>1454.8125</v>
      </c>
      <c r="AR154" s="547">
        <v>1909.44140625</v>
      </c>
      <c r="AS154" s="610">
        <v>1909.44140625</v>
      </c>
      <c r="AT154" s="550">
        <v>1909.44140625</v>
      </c>
      <c r="AU154" s="529"/>
      <c r="AV154" s="529"/>
      <c r="AW154" s="551" t="s">
        <v>2203</v>
      </c>
      <c r="AX154" s="551" t="e">
        <f>VLOOKUP(K154,#REF!,8,FALSE)</f>
        <v>#REF!</v>
      </c>
      <c r="AY154" s="551" t="e">
        <f>VLOOKUP(K154,#REF!,8,FALSE)</f>
        <v>#REF!</v>
      </c>
      <c r="AZ154" s="529"/>
      <c r="BA154" s="552"/>
      <c r="BB154" s="553">
        <f t="shared" si="97"/>
        <v>0</v>
      </c>
      <c r="BC154" s="484">
        <f t="shared" si="84"/>
        <v>1909.44140625</v>
      </c>
      <c r="BD154" s="249" t="e">
        <f t="shared" si="101"/>
        <v>#REF!</v>
      </c>
      <c r="BE154" s="249" t="s">
        <v>2397</v>
      </c>
      <c r="BG154" s="249" t="e">
        <f>VLOOKUP(K154,#REF!,9,FALSE)</f>
        <v>#REF!</v>
      </c>
      <c r="BJ154" s="249">
        <f>AB154</f>
        <v>25</v>
      </c>
      <c r="BK154" s="484">
        <f>AM154</f>
        <v>5819.25</v>
      </c>
      <c r="BL154" s="554" t="s">
        <v>75</v>
      </c>
      <c r="BM154" s="554"/>
      <c r="BN154" s="554"/>
      <c r="BO154" s="564">
        <f>BK154/192*127</f>
        <v>3849.19140625</v>
      </c>
      <c r="BP154" s="555">
        <f t="shared" si="110"/>
        <v>5758.6328125</v>
      </c>
      <c r="BS154" s="556"/>
      <c r="BX154" s="557">
        <f t="shared" si="111"/>
        <v>5304.00390625</v>
      </c>
      <c r="BZ154" s="636">
        <f t="shared" si="93"/>
        <v>-454.62890625</v>
      </c>
      <c r="CA154" s="633">
        <f t="shared" si="94"/>
        <v>3394.5625</v>
      </c>
    </row>
    <row r="155" spans="1:79" s="249" customFormat="1" x14ac:dyDescent="0.2">
      <c r="A155" s="529">
        <v>0</v>
      </c>
      <c r="B155" s="529">
        <v>0</v>
      </c>
      <c r="C155" s="530">
        <f t="shared" si="77"/>
        <v>41109</v>
      </c>
      <c r="D155" s="531">
        <v>41109</v>
      </c>
      <c r="E155" s="531">
        <v>43011</v>
      </c>
      <c r="F155" s="531" t="s">
        <v>1876</v>
      </c>
      <c r="G155" s="532"/>
      <c r="H155" s="532"/>
      <c r="I155" s="532" t="s">
        <v>32</v>
      </c>
      <c r="J155" s="532"/>
      <c r="K155" s="565">
        <v>437011</v>
      </c>
      <c r="L155" s="534" t="s">
        <v>401</v>
      </c>
      <c r="M155" s="534" t="s">
        <v>414</v>
      </c>
      <c r="N155" s="534" t="s">
        <v>415</v>
      </c>
      <c r="O155" s="566" t="s">
        <v>416</v>
      </c>
      <c r="P155" s="536">
        <v>42812</v>
      </c>
      <c r="Q155" s="537">
        <f t="shared" ca="1" si="102"/>
        <v>8.5147159479808359</v>
      </c>
      <c r="R155" s="538">
        <v>1</v>
      </c>
      <c r="S155" s="539">
        <v>872</v>
      </c>
      <c r="T155" s="540">
        <v>872</v>
      </c>
      <c r="U155" s="541">
        <v>45017</v>
      </c>
      <c r="V155" s="542">
        <v>1</v>
      </c>
      <c r="W155" s="541">
        <v>45107</v>
      </c>
      <c r="X155" s="538">
        <v>48</v>
      </c>
      <c r="Y155" s="543">
        <f t="shared" si="95"/>
        <v>48</v>
      </c>
      <c r="Z155" s="543">
        <f t="shared" si="98"/>
        <v>0.25</v>
      </c>
      <c r="AA155" s="543" t="s">
        <v>36</v>
      </c>
      <c r="AB155" s="567">
        <v>30</v>
      </c>
      <c r="AC155" s="567"/>
      <c r="AD155" s="567"/>
      <c r="AE155" s="545" t="str">
        <f t="shared" si="103"/>
        <v>0</v>
      </c>
      <c r="AF155" s="545" t="str">
        <f t="shared" si="104"/>
        <v>1</v>
      </c>
      <c r="AG155" s="545" t="str">
        <f t="shared" si="105"/>
        <v>0</v>
      </c>
      <c r="AH155" s="545" t="str">
        <f t="shared" si="106"/>
        <v>NO</v>
      </c>
      <c r="AI155" s="545" t="str">
        <f t="shared" si="107"/>
        <v>NO</v>
      </c>
      <c r="AJ155" s="545" t="str">
        <f t="shared" si="108"/>
        <v>NO</v>
      </c>
      <c r="AK155" s="545" t="str">
        <f t="shared" si="109"/>
        <v>NO</v>
      </c>
      <c r="AL155" s="547"/>
      <c r="AM155" s="547">
        <f t="shared" si="99"/>
        <v>8183.0999999999985</v>
      </c>
      <c r="AN155" s="562"/>
      <c r="AO155" s="547">
        <v>1</v>
      </c>
      <c r="AP155" s="547">
        <f t="shared" si="100"/>
        <v>0.25</v>
      </c>
      <c r="AQ155" s="549">
        <f t="shared" si="96"/>
        <v>2045.7749999999996</v>
      </c>
      <c r="AR155" s="547">
        <v>8183.0999999999985</v>
      </c>
      <c r="AS155" s="610">
        <v>8183.0999999999985</v>
      </c>
      <c r="AT155" s="550">
        <v>8183.0999999999985</v>
      </c>
      <c r="AU155" s="529"/>
      <c r="AV155" s="529"/>
      <c r="AW155" s="551" t="e">
        <f>VLOOKUP(K155,#REF!,8,FALSE)</f>
        <v>#REF!</v>
      </c>
      <c r="AX155" s="551" t="e">
        <f>VLOOKUP(K155,#REF!,8,FALSE)</f>
        <v>#REF!</v>
      </c>
      <c r="AY155" s="551" t="e">
        <f>VLOOKUP(K155,#REF!,8,FALSE)</f>
        <v>#REF!</v>
      </c>
      <c r="AZ155" s="529"/>
      <c r="BA155" s="552"/>
      <c r="BB155" s="553">
        <f t="shared" si="97"/>
        <v>0</v>
      </c>
      <c r="BC155" s="484">
        <f t="shared" si="84"/>
        <v>8183.0999999999985</v>
      </c>
      <c r="BD155" s="249" t="str">
        <f t="shared" si="101"/>
        <v/>
      </c>
      <c r="BL155" s="554"/>
      <c r="BM155" s="554"/>
      <c r="BN155" s="554"/>
      <c r="BP155" s="555">
        <f t="shared" si="110"/>
        <v>8183.0999999999985</v>
      </c>
      <c r="BS155" s="556"/>
      <c r="BX155" s="557">
        <f t="shared" si="111"/>
        <v>2045.7749999999996</v>
      </c>
      <c r="BZ155" s="636">
        <f t="shared" si="93"/>
        <v>-6137.3249999999989</v>
      </c>
      <c r="CA155" s="633">
        <f t="shared" si="94"/>
        <v>-6137.3249999999989</v>
      </c>
    </row>
    <row r="156" spans="1:79" s="249" customFormat="1" x14ac:dyDescent="0.2">
      <c r="A156" s="529">
        <v>0</v>
      </c>
      <c r="B156" s="529">
        <v>0</v>
      </c>
      <c r="C156" s="530">
        <f t="shared" si="77"/>
        <v>41109</v>
      </c>
      <c r="D156" s="531">
        <v>41109</v>
      </c>
      <c r="E156" s="531">
        <v>43011</v>
      </c>
      <c r="F156" s="531" t="s">
        <v>1876</v>
      </c>
      <c r="G156" s="532"/>
      <c r="H156" s="532"/>
      <c r="I156" s="532" t="s">
        <v>32</v>
      </c>
      <c r="J156" s="532" t="s">
        <v>142</v>
      </c>
      <c r="K156" s="565">
        <v>437011</v>
      </c>
      <c r="L156" s="534" t="s">
        <v>401</v>
      </c>
      <c r="M156" s="534" t="s">
        <v>414</v>
      </c>
      <c r="N156" s="534" t="s">
        <v>415</v>
      </c>
      <c r="O156" s="566" t="s">
        <v>416</v>
      </c>
      <c r="P156" s="536">
        <v>42812</v>
      </c>
      <c r="Q156" s="537">
        <f t="shared" ca="1" si="102"/>
        <v>8.5147159479808359</v>
      </c>
      <c r="R156" s="538">
        <v>1</v>
      </c>
      <c r="S156" s="539">
        <v>872</v>
      </c>
      <c r="T156" s="540">
        <v>872</v>
      </c>
      <c r="U156" s="541">
        <v>45017</v>
      </c>
      <c r="V156" s="542">
        <v>1</v>
      </c>
      <c r="W156" s="541">
        <v>45107</v>
      </c>
      <c r="X156" s="538">
        <v>48</v>
      </c>
      <c r="Y156" s="543">
        <f t="shared" si="95"/>
        <v>48</v>
      </c>
      <c r="Z156" s="543">
        <f t="shared" si="98"/>
        <v>0.25</v>
      </c>
      <c r="AA156" s="543" t="s">
        <v>36</v>
      </c>
      <c r="AB156" s="568">
        <v>7483</v>
      </c>
      <c r="AC156" s="568"/>
      <c r="AD156" s="568"/>
      <c r="AE156" s="545" t="str">
        <f t="shared" si="103"/>
        <v>0</v>
      </c>
      <c r="AF156" s="545" t="str">
        <f t="shared" si="104"/>
        <v>0</v>
      </c>
      <c r="AG156" s="545" t="str">
        <f t="shared" si="105"/>
        <v>1</v>
      </c>
      <c r="AH156" s="545" t="str">
        <f t="shared" si="106"/>
        <v>NO</v>
      </c>
      <c r="AI156" s="545" t="str">
        <f t="shared" si="107"/>
        <v>NO</v>
      </c>
      <c r="AJ156" s="545" t="str">
        <f t="shared" si="108"/>
        <v>NO</v>
      </c>
      <c r="AK156" s="545" t="str">
        <f t="shared" si="109"/>
        <v>NO</v>
      </c>
      <c r="AL156" s="547"/>
      <c r="AM156" s="568">
        <v>7483</v>
      </c>
      <c r="AN156" s="562"/>
      <c r="AO156" s="547">
        <v>1</v>
      </c>
      <c r="AP156" s="547">
        <f t="shared" si="100"/>
        <v>0.25</v>
      </c>
      <c r="AQ156" s="549">
        <f t="shared" si="96"/>
        <v>1870.75</v>
      </c>
      <c r="AR156" s="568">
        <v>7483</v>
      </c>
      <c r="AS156" s="610">
        <v>7483</v>
      </c>
      <c r="AT156" s="550">
        <v>7483</v>
      </c>
      <c r="AU156" s="529"/>
      <c r="AV156" s="529"/>
      <c r="AW156" s="551" t="e">
        <f>VLOOKUP(K156,#REF!,8,FALSE)</f>
        <v>#REF!</v>
      </c>
      <c r="AX156" s="551" t="e">
        <f>VLOOKUP(K156,#REF!,8,FALSE)</f>
        <v>#REF!</v>
      </c>
      <c r="AY156" s="551" t="e">
        <f>VLOOKUP(K156,#REF!,8,FALSE)</f>
        <v>#REF!</v>
      </c>
      <c r="AZ156" s="529"/>
      <c r="BA156" s="552"/>
      <c r="BB156" s="553">
        <f t="shared" si="97"/>
        <v>0</v>
      </c>
      <c r="BC156" s="484">
        <f t="shared" si="84"/>
        <v>7483</v>
      </c>
      <c r="BD156" s="249" t="str">
        <f t="shared" si="101"/>
        <v/>
      </c>
      <c r="BL156" s="554"/>
      <c r="BM156" s="554"/>
      <c r="BN156" s="554"/>
      <c r="BP156" s="555">
        <f t="shared" si="110"/>
        <v>7483</v>
      </c>
      <c r="BS156" s="556"/>
      <c r="BX156" s="557">
        <f t="shared" si="111"/>
        <v>1870.75</v>
      </c>
      <c r="BZ156" s="636">
        <f t="shared" si="93"/>
        <v>-5612.25</v>
      </c>
      <c r="CA156" s="633">
        <f t="shared" si="94"/>
        <v>-5612.25</v>
      </c>
    </row>
    <row r="157" spans="1:79" s="249" customFormat="1" x14ac:dyDescent="0.2">
      <c r="A157" s="529">
        <v>0</v>
      </c>
      <c r="B157" s="529">
        <v>0</v>
      </c>
      <c r="C157" s="530">
        <f t="shared" si="77"/>
        <v>41109</v>
      </c>
      <c r="D157" s="531">
        <v>41109</v>
      </c>
      <c r="E157" s="531">
        <v>43011</v>
      </c>
      <c r="F157" s="531" t="s">
        <v>1876</v>
      </c>
      <c r="G157" s="532"/>
      <c r="H157" s="532"/>
      <c r="I157" s="532" t="s">
        <v>32</v>
      </c>
      <c r="J157" s="532"/>
      <c r="K157" s="533">
        <v>432645</v>
      </c>
      <c r="L157" s="534" t="s">
        <v>401</v>
      </c>
      <c r="M157" s="534" t="s">
        <v>417</v>
      </c>
      <c r="N157" s="534" t="s">
        <v>418</v>
      </c>
      <c r="O157" s="535" t="s">
        <v>419</v>
      </c>
      <c r="P157" s="536">
        <v>43061</v>
      </c>
      <c r="Q157" s="537">
        <f t="shared" ca="1" si="102"/>
        <v>7.8329911019849421</v>
      </c>
      <c r="R157" s="538">
        <v>0</v>
      </c>
      <c r="S157" s="539">
        <v>872</v>
      </c>
      <c r="T157" s="540">
        <v>872</v>
      </c>
      <c r="U157" s="541">
        <v>45017</v>
      </c>
      <c r="V157" s="542">
        <v>1</v>
      </c>
      <c r="W157" s="541">
        <v>45107</v>
      </c>
      <c r="X157" s="538">
        <v>48</v>
      </c>
      <c r="Y157" s="543">
        <f t="shared" si="95"/>
        <v>48</v>
      </c>
      <c r="Z157" s="543">
        <f t="shared" si="98"/>
        <v>0.25</v>
      </c>
      <c r="AA157" s="541" t="s">
        <v>36</v>
      </c>
      <c r="AB157" s="544">
        <v>27</v>
      </c>
      <c r="AC157" s="544"/>
      <c r="AD157" s="544"/>
      <c r="AE157" s="545" t="str">
        <f t="shared" si="103"/>
        <v>0</v>
      </c>
      <c r="AF157" s="545" t="str">
        <f t="shared" si="104"/>
        <v>1</v>
      </c>
      <c r="AG157" s="545" t="str">
        <f t="shared" si="105"/>
        <v>0</v>
      </c>
      <c r="AH157" s="545" t="str">
        <f t="shared" si="106"/>
        <v>NO</v>
      </c>
      <c r="AI157" s="545" t="str">
        <f t="shared" si="107"/>
        <v>NO</v>
      </c>
      <c r="AJ157" s="545" t="str">
        <f t="shared" si="108"/>
        <v>NO</v>
      </c>
      <c r="AK157" s="545" t="str">
        <f t="shared" si="109"/>
        <v>NO</v>
      </c>
      <c r="AL157" s="547"/>
      <c r="AM157" s="547">
        <f>IF(H157="Y",AL157,((AB157*$O$902)-6000))</f>
        <v>6764.7899999999991</v>
      </c>
      <c r="AN157" s="562" t="s">
        <v>56</v>
      </c>
      <c r="AO157" s="547">
        <v>1</v>
      </c>
      <c r="AP157" s="547">
        <f t="shared" si="100"/>
        <v>0.25</v>
      </c>
      <c r="AQ157" s="549">
        <f t="shared" si="96"/>
        <v>1691.1974999999998</v>
      </c>
      <c r="AR157" s="547">
        <v>6764.7899999999991</v>
      </c>
      <c r="AS157" s="610">
        <v>0</v>
      </c>
      <c r="AT157" s="550">
        <v>6764.7899999999991</v>
      </c>
      <c r="AU157" s="529"/>
      <c r="AV157" s="529"/>
      <c r="AW157" s="551" t="e">
        <f>VLOOKUP(K157,#REF!,8,FALSE)</f>
        <v>#REF!</v>
      </c>
      <c r="AX157" s="551" t="e">
        <f>VLOOKUP(K157,#REF!,8,FALSE)</f>
        <v>#REF!</v>
      </c>
      <c r="AY157" s="551" t="e">
        <f>VLOOKUP(K157,#REF!,8,FALSE)</f>
        <v>#REF!</v>
      </c>
      <c r="AZ157" s="529"/>
      <c r="BA157" s="552"/>
      <c r="BB157" s="553">
        <f t="shared" si="97"/>
        <v>0</v>
      </c>
      <c r="BC157" s="484">
        <f t="shared" si="84"/>
        <v>6764.7899999999991</v>
      </c>
      <c r="BD157" s="249" t="str">
        <f t="shared" si="101"/>
        <v/>
      </c>
      <c r="BL157" s="554"/>
      <c r="BM157" s="554"/>
      <c r="BN157" s="554"/>
      <c r="BP157" s="555">
        <f t="shared" si="110"/>
        <v>6764.7899999999991</v>
      </c>
      <c r="BS157" s="556"/>
      <c r="BX157" s="557">
        <f t="shared" si="111"/>
        <v>1691.1974999999998</v>
      </c>
      <c r="BZ157" s="636">
        <f t="shared" si="93"/>
        <v>-5073.5924999999988</v>
      </c>
      <c r="CA157" s="633">
        <f t="shared" si="94"/>
        <v>1691.1974999999998</v>
      </c>
    </row>
    <row r="158" spans="1:79" s="249" customFormat="1" x14ac:dyDescent="0.2">
      <c r="A158" s="529">
        <v>0</v>
      </c>
      <c r="B158" s="529">
        <v>0</v>
      </c>
      <c r="C158" s="530">
        <f t="shared" si="77"/>
        <v>41109</v>
      </c>
      <c r="D158" s="531">
        <v>41109</v>
      </c>
      <c r="E158" s="531">
        <v>43011</v>
      </c>
      <c r="F158" s="531" t="s">
        <v>1876</v>
      </c>
      <c r="G158" s="532"/>
      <c r="H158" s="532"/>
      <c r="I158" s="532" t="s">
        <v>32</v>
      </c>
      <c r="J158" s="532"/>
      <c r="K158" s="533">
        <v>425970</v>
      </c>
      <c r="L158" s="534" t="s">
        <v>401</v>
      </c>
      <c r="M158" s="534" t="s">
        <v>420</v>
      </c>
      <c r="N158" s="534" t="s">
        <v>418</v>
      </c>
      <c r="O158" s="535" t="s">
        <v>421</v>
      </c>
      <c r="P158" s="536">
        <v>42699</v>
      </c>
      <c r="Q158" s="537">
        <f t="shared" ca="1" si="102"/>
        <v>8.8240930869267622</v>
      </c>
      <c r="R158" s="538">
        <v>1</v>
      </c>
      <c r="S158" s="539">
        <v>872</v>
      </c>
      <c r="T158" s="540">
        <v>872</v>
      </c>
      <c r="U158" s="541">
        <v>45017</v>
      </c>
      <c r="V158" s="542">
        <v>1</v>
      </c>
      <c r="W158" s="541">
        <v>45107</v>
      </c>
      <c r="X158" s="538">
        <v>48</v>
      </c>
      <c r="Y158" s="543">
        <f t="shared" si="95"/>
        <v>48</v>
      </c>
      <c r="Z158" s="543">
        <f t="shared" si="98"/>
        <v>0.25</v>
      </c>
      <c r="AA158" s="541" t="s">
        <v>36</v>
      </c>
      <c r="AB158" s="544">
        <v>32.5</v>
      </c>
      <c r="AC158" s="544"/>
      <c r="AD158" s="544"/>
      <c r="AE158" s="545" t="str">
        <f t="shared" si="103"/>
        <v>0</v>
      </c>
      <c r="AF158" s="545" t="str">
        <f t="shared" si="104"/>
        <v>0</v>
      </c>
      <c r="AG158" s="545" t="str">
        <f t="shared" si="105"/>
        <v>1</v>
      </c>
      <c r="AH158" s="545" t="str">
        <f t="shared" si="106"/>
        <v>NO</v>
      </c>
      <c r="AI158" s="545" t="str">
        <f t="shared" si="107"/>
        <v>NO</v>
      </c>
      <c r="AJ158" s="545" t="str">
        <f t="shared" si="108"/>
        <v>NO</v>
      </c>
      <c r="AK158" s="545" t="str">
        <f t="shared" si="109"/>
        <v>NO</v>
      </c>
      <c r="AL158" s="568" t="s">
        <v>91</v>
      </c>
      <c r="AM158" s="547">
        <f>IF(H158="Y",AL158,((AB158*$O$902)-6000))</f>
        <v>9365.0249999999996</v>
      </c>
      <c r="AN158" s="562" t="s">
        <v>37</v>
      </c>
      <c r="AO158" s="547">
        <v>1</v>
      </c>
      <c r="AP158" s="547">
        <f t="shared" si="100"/>
        <v>0.25</v>
      </c>
      <c r="AQ158" s="549">
        <f t="shared" si="96"/>
        <v>2341.2562499999999</v>
      </c>
      <c r="AR158" s="547">
        <v>9365.0249999999996</v>
      </c>
      <c r="AS158" s="610">
        <v>0</v>
      </c>
      <c r="AT158" s="550">
        <v>9365.0249999999996</v>
      </c>
      <c r="AU158" s="529"/>
      <c r="AV158" s="529"/>
      <c r="AW158" s="551" t="e">
        <f>VLOOKUP(K158,#REF!,8,FALSE)</f>
        <v>#REF!</v>
      </c>
      <c r="AX158" s="551" t="e">
        <f>VLOOKUP(K158,#REF!,8,FALSE)</f>
        <v>#REF!</v>
      </c>
      <c r="AY158" s="551" t="e">
        <f>VLOOKUP(K158,#REF!,8,FALSE)</f>
        <v>#REF!</v>
      </c>
      <c r="AZ158" s="529"/>
      <c r="BA158" s="552"/>
      <c r="BB158" s="553">
        <f t="shared" si="97"/>
        <v>0</v>
      </c>
      <c r="BC158" s="484">
        <f t="shared" si="84"/>
        <v>9365.0249999999996</v>
      </c>
      <c r="BD158" s="249" t="str">
        <f t="shared" si="101"/>
        <v/>
      </c>
      <c r="BL158" s="554"/>
      <c r="BM158" s="554"/>
      <c r="BN158" s="554"/>
      <c r="BP158" s="555">
        <f t="shared" si="110"/>
        <v>9365.0249999999996</v>
      </c>
      <c r="BS158" s="556"/>
      <c r="BX158" s="557">
        <f t="shared" si="111"/>
        <v>2341.2562499999999</v>
      </c>
      <c r="BZ158" s="636">
        <f t="shared" si="93"/>
        <v>-7023.7687499999993</v>
      </c>
      <c r="CA158" s="633">
        <f t="shared" si="94"/>
        <v>2341.2562499999999</v>
      </c>
    </row>
    <row r="159" spans="1:79" s="248" customFormat="1" x14ac:dyDescent="0.2">
      <c r="A159" s="572">
        <v>0</v>
      </c>
      <c r="B159" s="572">
        <v>1</v>
      </c>
      <c r="C159" s="573">
        <f t="shared" ref="C159:C222" si="112">D159*1</f>
        <v>41109</v>
      </c>
      <c r="D159" s="574">
        <v>41109</v>
      </c>
      <c r="E159" s="574">
        <v>43011</v>
      </c>
      <c r="F159" s="574" t="s">
        <v>1876</v>
      </c>
      <c r="G159" s="575"/>
      <c r="H159" s="575"/>
      <c r="I159" s="575" t="s">
        <v>32</v>
      </c>
      <c r="J159" s="575" t="s">
        <v>192</v>
      </c>
      <c r="K159" s="576">
        <v>425970</v>
      </c>
      <c r="L159" s="577" t="s">
        <v>401</v>
      </c>
      <c r="M159" s="578" t="s">
        <v>420</v>
      </c>
      <c r="N159" s="579" t="s">
        <v>418</v>
      </c>
      <c r="O159" s="579" t="str">
        <f>M159&amp;" "&amp;N159</f>
        <v>Tommy McLoughlin</v>
      </c>
      <c r="P159" s="580">
        <v>42699</v>
      </c>
      <c r="Q159" s="581">
        <f t="shared" ca="1" si="102"/>
        <v>8.8240930869267622</v>
      </c>
      <c r="R159" s="582">
        <v>1</v>
      </c>
      <c r="S159" s="583">
        <v>872</v>
      </c>
      <c r="T159" s="584">
        <v>872</v>
      </c>
      <c r="U159" s="585">
        <v>45033</v>
      </c>
      <c r="V159" s="586">
        <v>2</v>
      </c>
      <c r="W159" s="585">
        <v>45128</v>
      </c>
      <c r="X159" s="582">
        <v>63</v>
      </c>
      <c r="Y159" s="587">
        <f t="shared" si="95"/>
        <v>62</v>
      </c>
      <c r="Z159" s="587">
        <v>1</v>
      </c>
      <c r="AA159" s="585">
        <v>45128</v>
      </c>
      <c r="AB159" s="588">
        <v>7750</v>
      </c>
      <c r="AC159" s="588"/>
      <c r="AD159" s="588"/>
      <c r="AE159" s="589" t="str">
        <f t="shared" si="103"/>
        <v>0</v>
      </c>
      <c r="AF159" s="589" t="str">
        <f t="shared" si="104"/>
        <v>0</v>
      </c>
      <c r="AG159" s="589" t="str">
        <f t="shared" si="105"/>
        <v>1</v>
      </c>
      <c r="AH159" s="589" t="str">
        <f t="shared" si="106"/>
        <v>NO</v>
      </c>
      <c r="AI159" s="589" t="str">
        <f t="shared" si="107"/>
        <v>NO</v>
      </c>
      <c r="AJ159" s="589" t="str">
        <f t="shared" si="108"/>
        <v>NO</v>
      </c>
      <c r="AK159" s="589" t="str">
        <f t="shared" si="109"/>
        <v>NO</v>
      </c>
      <c r="AL159" s="590"/>
      <c r="AM159" s="590">
        <v>7750</v>
      </c>
      <c r="AN159" s="591" t="s">
        <v>37</v>
      </c>
      <c r="AO159" s="590">
        <v>1</v>
      </c>
      <c r="AP159" s="590">
        <f t="shared" si="100"/>
        <v>1</v>
      </c>
      <c r="AQ159" s="592">
        <f t="shared" si="96"/>
        <v>7750</v>
      </c>
      <c r="AR159" s="590">
        <v>7750</v>
      </c>
      <c r="AS159" s="610">
        <v>0</v>
      </c>
      <c r="AT159" s="593">
        <v>7750</v>
      </c>
      <c r="AU159" s="572"/>
      <c r="AV159" s="572"/>
      <c r="AW159" s="594" t="e">
        <f>VLOOKUP(K159,#REF!,8,FALSE)</f>
        <v>#REF!</v>
      </c>
      <c r="AX159" s="594" t="e">
        <f>VLOOKUP(K159,#REF!,8,FALSE)</f>
        <v>#REF!</v>
      </c>
      <c r="AY159" s="594" t="e">
        <f>VLOOKUP(K159,#REF!,8,FALSE)</f>
        <v>#REF!</v>
      </c>
      <c r="AZ159" s="572"/>
      <c r="BA159" s="595"/>
      <c r="BB159" s="596">
        <f t="shared" si="97"/>
        <v>0</v>
      </c>
      <c r="BC159" s="597">
        <f t="shared" si="84"/>
        <v>7750</v>
      </c>
      <c r="BD159" s="248" t="str">
        <f t="shared" si="101"/>
        <v/>
      </c>
      <c r="BJ159" s="248">
        <f>AB159</f>
        <v>7750</v>
      </c>
      <c r="BK159" s="597">
        <f>AM159</f>
        <v>7750</v>
      </c>
      <c r="BL159" s="598"/>
      <c r="BM159" s="598"/>
      <c r="BN159" s="598"/>
      <c r="BO159" s="599">
        <f>BK159/192*127</f>
        <v>5126.3020833333339</v>
      </c>
      <c r="BP159" s="600">
        <f t="shared" si="110"/>
        <v>12876.302083333334</v>
      </c>
      <c r="BS159" s="601"/>
      <c r="BX159" s="602">
        <f t="shared" si="111"/>
        <v>12876.302083333334</v>
      </c>
      <c r="BZ159" s="636">
        <f t="shared" si="93"/>
        <v>0</v>
      </c>
      <c r="CA159" s="633">
        <f t="shared" si="94"/>
        <v>12876.302083333334</v>
      </c>
    </row>
    <row r="160" spans="1:79" s="316" customFormat="1" x14ac:dyDescent="0.2">
      <c r="A160" s="499">
        <v>1</v>
      </c>
      <c r="B160" s="499">
        <v>1</v>
      </c>
      <c r="C160" s="500">
        <f t="shared" si="112"/>
        <v>41109</v>
      </c>
      <c r="D160" s="314">
        <v>41109</v>
      </c>
      <c r="E160" s="314">
        <v>43011</v>
      </c>
      <c r="F160" s="314" t="s">
        <v>1876</v>
      </c>
      <c r="G160" s="501" t="s">
        <v>75</v>
      </c>
      <c r="H160" s="501"/>
      <c r="I160" s="501" t="s">
        <v>32</v>
      </c>
      <c r="J160" s="501"/>
      <c r="K160" s="260">
        <v>428626</v>
      </c>
      <c r="L160" s="261" t="s">
        <v>401</v>
      </c>
      <c r="M160" s="569" t="s">
        <v>402</v>
      </c>
      <c r="N160" s="569" t="s">
        <v>403</v>
      </c>
      <c r="O160" s="569" t="s">
        <v>404</v>
      </c>
      <c r="P160" s="504">
        <v>42574</v>
      </c>
      <c r="Q160" s="505">
        <f t="shared" ca="1" si="102"/>
        <v>9.1663244353182751</v>
      </c>
      <c r="R160" s="315">
        <v>2</v>
      </c>
      <c r="S160" s="506" t="s">
        <v>98</v>
      </c>
      <c r="T160" s="502" t="s">
        <v>98</v>
      </c>
      <c r="U160" s="507">
        <v>45108</v>
      </c>
      <c r="V160" s="508">
        <v>49</v>
      </c>
      <c r="W160" s="507">
        <v>45128</v>
      </c>
      <c r="X160" s="315">
        <v>63</v>
      </c>
      <c r="Y160" s="509">
        <f t="shared" si="95"/>
        <v>15</v>
      </c>
      <c r="Z160" s="509">
        <f t="shared" ref="Z160:Z179" si="113">Y160/192</f>
        <v>7.8125E-2</v>
      </c>
      <c r="AA160" s="507" t="s">
        <v>405</v>
      </c>
      <c r="AB160" s="510">
        <v>30</v>
      </c>
      <c r="AC160" s="510"/>
      <c r="AD160" s="510"/>
      <c r="AE160" s="511" t="str">
        <f t="shared" si="103"/>
        <v>0</v>
      </c>
      <c r="AF160" s="511" t="str">
        <f t="shared" si="104"/>
        <v>1</v>
      </c>
      <c r="AG160" s="511" t="str">
        <f t="shared" si="105"/>
        <v>0</v>
      </c>
      <c r="AH160" s="511" t="str">
        <f t="shared" si="106"/>
        <v>NO</v>
      </c>
      <c r="AI160" s="511" t="str">
        <f t="shared" si="107"/>
        <v>NO</v>
      </c>
      <c r="AJ160" s="511" t="str">
        <f t="shared" si="108"/>
        <v>NO</v>
      </c>
      <c r="AK160" s="511" t="str">
        <f t="shared" si="109"/>
        <v>NO</v>
      </c>
      <c r="AL160" s="512"/>
      <c r="AM160" s="512">
        <f>IF(H160="Y",AL160,((AB160*$O$902)-6000))</f>
        <v>8183.0999999999985</v>
      </c>
      <c r="AN160" s="513" t="s">
        <v>37</v>
      </c>
      <c r="AO160" s="512">
        <v>1</v>
      </c>
      <c r="AP160" s="512">
        <f t="shared" si="100"/>
        <v>7.8125E-2</v>
      </c>
      <c r="AQ160" s="514">
        <f t="shared" si="96"/>
        <v>639.30468749999989</v>
      </c>
      <c r="AR160" s="512">
        <v>0</v>
      </c>
      <c r="AS160" s="610">
        <v>0</v>
      </c>
      <c r="AT160" s="515">
        <v>0</v>
      </c>
      <c r="AU160" s="499"/>
      <c r="AV160" s="499" t="s">
        <v>2269</v>
      </c>
      <c r="AW160" s="516" t="s">
        <v>2202</v>
      </c>
      <c r="AX160" s="516" t="e">
        <f>VLOOKUP(K160,#REF!,8,FALSE)</f>
        <v>#REF!</v>
      </c>
      <c r="AY160" s="516" t="e">
        <f>VLOOKUP(K160,#REF!,8,FALSE)</f>
        <v>#REF!</v>
      </c>
      <c r="AZ160" s="499"/>
      <c r="BA160" s="521"/>
      <c r="BB160" s="517">
        <f t="shared" si="97"/>
        <v>0</v>
      </c>
      <c r="BC160" s="518">
        <f t="shared" si="84"/>
        <v>0</v>
      </c>
      <c r="BD160" s="316" t="e">
        <f t="shared" si="101"/>
        <v>#REF!</v>
      </c>
      <c r="BE160" s="316" t="s">
        <v>2396</v>
      </c>
      <c r="BG160" s="316" t="e">
        <f>VLOOKUP(K160,#REF!,9,FALSE)</f>
        <v>#REF!</v>
      </c>
      <c r="BJ160" s="316">
        <f>AB160</f>
        <v>30</v>
      </c>
      <c r="BK160" s="518">
        <f>AM160</f>
        <v>8183.0999999999985</v>
      </c>
      <c r="BL160" s="560" t="s">
        <v>75</v>
      </c>
      <c r="BM160" s="560"/>
      <c r="BN160" s="560"/>
      <c r="BO160" s="519">
        <f>BK160/192*127</f>
        <v>5412.7796874999985</v>
      </c>
      <c r="BP160" s="356">
        <f t="shared" si="110"/>
        <v>5412.7796874999985</v>
      </c>
      <c r="BS160" s="561"/>
      <c r="BX160" s="520">
        <f t="shared" si="111"/>
        <v>6052.0843749999985</v>
      </c>
      <c r="BZ160" s="636">
        <f t="shared" si="93"/>
        <v>639.3046875</v>
      </c>
      <c r="CA160" s="633">
        <f t="shared" si="94"/>
        <v>6052.0843749999985</v>
      </c>
    </row>
    <row r="161" spans="1:79" s="316" customFormat="1" x14ac:dyDescent="0.2">
      <c r="A161" s="499">
        <v>1</v>
      </c>
      <c r="B161" s="499">
        <v>1</v>
      </c>
      <c r="C161" s="500">
        <f t="shared" si="112"/>
        <v>41109</v>
      </c>
      <c r="D161" s="314">
        <v>41109</v>
      </c>
      <c r="E161" s="314">
        <v>43011</v>
      </c>
      <c r="F161" s="314" t="s">
        <v>1876</v>
      </c>
      <c r="G161" s="501" t="s">
        <v>75</v>
      </c>
      <c r="H161" s="501"/>
      <c r="I161" s="501" t="s">
        <v>32</v>
      </c>
      <c r="J161" s="501"/>
      <c r="K161" s="260">
        <v>437285</v>
      </c>
      <c r="L161" s="261" t="s">
        <v>401</v>
      </c>
      <c r="M161" s="569" t="s">
        <v>406</v>
      </c>
      <c r="N161" s="569" t="s">
        <v>407</v>
      </c>
      <c r="O161" s="569" t="s">
        <v>408</v>
      </c>
      <c r="P161" s="504">
        <v>43028</v>
      </c>
      <c r="Q161" s="505">
        <f t="shared" ca="1" si="102"/>
        <v>7.9233401779603012</v>
      </c>
      <c r="R161" s="315">
        <v>0</v>
      </c>
      <c r="S161" s="506" t="s">
        <v>98</v>
      </c>
      <c r="T161" s="502" t="s">
        <v>98</v>
      </c>
      <c r="U161" s="507">
        <v>45108</v>
      </c>
      <c r="V161" s="508">
        <v>49</v>
      </c>
      <c r="W161" s="507">
        <v>45382</v>
      </c>
      <c r="X161" s="315">
        <v>192</v>
      </c>
      <c r="Y161" s="509">
        <f t="shared" si="95"/>
        <v>144</v>
      </c>
      <c r="Z161" s="509">
        <f t="shared" si="113"/>
        <v>0.75</v>
      </c>
      <c r="AA161" s="507" t="s">
        <v>36</v>
      </c>
      <c r="AB161" s="510">
        <v>28</v>
      </c>
      <c r="AC161" s="510"/>
      <c r="AD161" s="510"/>
      <c r="AE161" s="511" t="str">
        <f t="shared" si="103"/>
        <v>0</v>
      </c>
      <c r="AF161" s="511" t="str">
        <f t="shared" si="104"/>
        <v>1</v>
      </c>
      <c r="AG161" s="511" t="str">
        <f t="shared" si="105"/>
        <v>0</v>
      </c>
      <c r="AH161" s="511" t="str">
        <f t="shared" si="106"/>
        <v>NO</v>
      </c>
      <c r="AI161" s="511" t="str">
        <f t="shared" si="107"/>
        <v>NO</v>
      </c>
      <c r="AJ161" s="511" t="str">
        <f t="shared" si="108"/>
        <v>NO</v>
      </c>
      <c r="AK161" s="511" t="str">
        <f t="shared" si="109"/>
        <v>NO</v>
      </c>
      <c r="AL161" s="512"/>
      <c r="AM161" s="512">
        <f>IF(H161="Y",AL161,((AB161*$O$902)-6000))</f>
        <v>7237.5599999999995</v>
      </c>
      <c r="AN161" s="513"/>
      <c r="AO161" s="512">
        <v>1</v>
      </c>
      <c r="AP161" s="512">
        <f t="shared" si="100"/>
        <v>0.75</v>
      </c>
      <c r="AQ161" s="514">
        <f t="shared" si="96"/>
        <v>5428.17</v>
      </c>
      <c r="AR161" s="512">
        <v>0</v>
      </c>
      <c r="AS161" s="610">
        <v>0</v>
      </c>
      <c r="AT161" s="515">
        <v>0</v>
      </c>
      <c r="AU161" s="499"/>
      <c r="AV161" s="499"/>
      <c r="AW161" s="516" t="e">
        <f>VLOOKUP(K161,#REF!,8,FALSE)</f>
        <v>#REF!</v>
      </c>
      <c r="AX161" s="516" t="e">
        <f>VLOOKUP(K161,#REF!,8,FALSE)</f>
        <v>#REF!</v>
      </c>
      <c r="AY161" s="516" t="e">
        <f>VLOOKUP(K161,#REF!,8,FALSE)</f>
        <v>#REF!</v>
      </c>
      <c r="AZ161" s="499"/>
      <c r="BA161" s="521"/>
      <c r="BB161" s="517">
        <f t="shared" si="97"/>
        <v>0</v>
      </c>
      <c r="BC161" s="518">
        <f t="shared" si="84"/>
        <v>0</v>
      </c>
      <c r="BD161" s="316" t="str">
        <f t="shared" si="101"/>
        <v/>
      </c>
      <c r="BK161" s="518"/>
      <c r="BL161" s="560"/>
      <c r="BM161" s="560"/>
      <c r="BN161" s="560"/>
      <c r="BO161" s="519"/>
      <c r="BP161" s="356">
        <f t="shared" si="110"/>
        <v>0</v>
      </c>
      <c r="BS161" s="561"/>
      <c r="BX161" s="520">
        <f t="shared" si="111"/>
        <v>5428.17</v>
      </c>
      <c r="BZ161" s="636">
        <f t="shared" si="93"/>
        <v>5428.17</v>
      </c>
      <c r="CA161" s="633">
        <f t="shared" si="94"/>
        <v>5428.17</v>
      </c>
    </row>
    <row r="162" spans="1:79" s="316" customFormat="1" x14ac:dyDescent="0.2">
      <c r="A162" s="499">
        <v>1</v>
      </c>
      <c r="B162" s="499">
        <v>1</v>
      </c>
      <c r="C162" s="500">
        <f t="shared" si="112"/>
        <v>41109</v>
      </c>
      <c r="D162" s="314">
        <v>41109</v>
      </c>
      <c r="E162" s="314">
        <v>43011</v>
      </c>
      <c r="F162" s="314" t="s">
        <v>1876</v>
      </c>
      <c r="G162" s="501" t="s">
        <v>75</v>
      </c>
      <c r="H162" s="501"/>
      <c r="I162" s="501" t="s">
        <v>32</v>
      </c>
      <c r="J162" s="501"/>
      <c r="K162" s="260">
        <v>441288</v>
      </c>
      <c r="L162" s="261" t="s">
        <v>401</v>
      </c>
      <c r="M162" s="569" t="s">
        <v>409</v>
      </c>
      <c r="N162" s="569" t="s">
        <v>410</v>
      </c>
      <c r="O162" s="569" t="s">
        <v>411</v>
      </c>
      <c r="P162" s="504">
        <v>43335</v>
      </c>
      <c r="Q162" s="505">
        <f t="shared" ca="1" si="102"/>
        <v>7.0828199863107457</v>
      </c>
      <c r="R162" s="315">
        <v>0</v>
      </c>
      <c r="S162" s="506">
        <v>872</v>
      </c>
      <c r="T162" s="502">
        <v>872</v>
      </c>
      <c r="U162" s="507">
        <v>45108</v>
      </c>
      <c r="V162" s="508">
        <v>49</v>
      </c>
      <c r="W162" s="507">
        <v>45382</v>
      </c>
      <c r="X162" s="315">
        <v>192</v>
      </c>
      <c r="Y162" s="509">
        <f t="shared" si="95"/>
        <v>144</v>
      </c>
      <c r="Z162" s="509">
        <f t="shared" si="113"/>
        <v>0.75</v>
      </c>
      <c r="AA162" s="507" t="s">
        <v>36</v>
      </c>
      <c r="AB162" s="510">
        <v>30</v>
      </c>
      <c r="AC162" s="510"/>
      <c r="AD162" s="510"/>
      <c r="AE162" s="511" t="str">
        <f t="shared" si="103"/>
        <v>0</v>
      </c>
      <c r="AF162" s="511" t="str">
        <f t="shared" si="104"/>
        <v>1</v>
      </c>
      <c r="AG162" s="511" t="str">
        <f t="shared" si="105"/>
        <v>0</v>
      </c>
      <c r="AH162" s="511" t="str">
        <f t="shared" si="106"/>
        <v>NO</v>
      </c>
      <c r="AI162" s="511" t="str">
        <f t="shared" si="107"/>
        <v>NO</v>
      </c>
      <c r="AJ162" s="511" t="str">
        <f t="shared" si="108"/>
        <v>NO</v>
      </c>
      <c r="AK162" s="511" t="str">
        <f t="shared" si="109"/>
        <v>NO</v>
      </c>
      <c r="AL162" s="512"/>
      <c r="AM162" s="512">
        <f>IF(H162="Y",AL162,((AB162*$O$902)-6000))</f>
        <v>8183.0999999999985</v>
      </c>
      <c r="AN162" s="513" t="s">
        <v>37</v>
      </c>
      <c r="AO162" s="512">
        <v>1</v>
      </c>
      <c r="AP162" s="512">
        <f t="shared" si="100"/>
        <v>0.75</v>
      </c>
      <c r="AQ162" s="514">
        <f t="shared" si="96"/>
        <v>6137.3249999999989</v>
      </c>
      <c r="AR162" s="512">
        <v>0</v>
      </c>
      <c r="AS162" s="610">
        <v>0</v>
      </c>
      <c r="AT162" s="515">
        <v>0</v>
      </c>
      <c r="AU162" s="499"/>
      <c r="AV162" s="499"/>
      <c r="AW162" s="516" t="e">
        <f>VLOOKUP(K162,#REF!,8,FALSE)</f>
        <v>#REF!</v>
      </c>
      <c r="AX162" s="516" t="e">
        <f>VLOOKUP(K162,#REF!,8,FALSE)</f>
        <v>#REF!</v>
      </c>
      <c r="AY162" s="516" t="e">
        <f>VLOOKUP(K162,#REF!,8,FALSE)</f>
        <v>#REF!</v>
      </c>
      <c r="AZ162" s="499"/>
      <c r="BA162" s="521"/>
      <c r="BB162" s="517">
        <f t="shared" si="97"/>
        <v>0</v>
      </c>
      <c r="BC162" s="518">
        <f t="shared" si="84"/>
        <v>0</v>
      </c>
      <c r="BD162" s="316" t="str">
        <f t="shared" si="101"/>
        <v/>
      </c>
      <c r="BK162" s="518"/>
      <c r="BL162" s="560"/>
      <c r="BM162" s="560"/>
      <c r="BN162" s="560"/>
      <c r="BO162" s="519"/>
      <c r="BP162" s="356">
        <f t="shared" si="110"/>
        <v>0</v>
      </c>
      <c r="BS162" s="561"/>
      <c r="BX162" s="520">
        <f t="shared" si="111"/>
        <v>6137.3249999999989</v>
      </c>
      <c r="BZ162" s="636">
        <f t="shared" si="93"/>
        <v>6137.3249999999989</v>
      </c>
      <c r="CA162" s="633">
        <f t="shared" si="94"/>
        <v>6137.3249999999989</v>
      </c>
    </row>
    <row r="163" spans="1:79" s="316" customFormat="1" x14ac:dyDescent="0.2">
      <c r="A163" s="499">
        <v>1</v>
      </c>
      <c r="B163" s="499">
        <v>1</v>
      </c>
      <c r="C163" s="500">
        <f t="shared" si="112"/>
        <v>41109</v>
      </c>
      <c r="D163" s="314">
        <v>41109</v>
      </c>
      <c r="E163" s="314">
        <v>43011</v>
      </c>
      <c r="F163" s="314" t="s">
        <v>1876</v>
      </c>
      <c r="G163" s="501" t="s">
        <v>75</v>
      </c>
      <c r="H163" s="501"/>
      <c r="I163" s="501" t="s">
        <v>32</v>
      </c>
      <c r="J163" s="501"/>
      <c r="K163" s="260">
        <v>428633</v>
      </c>
      <c r="L163" s="261" t="s">
        <v>401</v>
      </c>
      <c r="M163" s="569" t="s">
        <v>412</v>
      </c>
      <c r="N163" s="569" t="s">
        <v>407</v>
      </c>
      <c r="O163" s="569" t="s">
        <v>413</v>
      </c>
      <c r="P163" s="504">
        <v>42498</v>
      </c>
      <c r="Q163" s="505">
        <f t="shared" ca="1" si="102"/>
        <v>9.3744010951403141</v>
      </c>
      <c r="R163" s="315">
        <v>2</v>
      </c>
      <c r="S163" s="506">
        <v>872</v>
      </c>
      <c r="T163" s="502">
        <v>872</v>
      </c>
      <c r="U163" s="507">
        <v>45108</v>
      </c>
      <c r="V163" s="508">
        <v>49</v>
      </c>
      <c r="W163" s="507">
        <v>45128</v>
      </c>
      <c r="X163" s="315">
        <v>63</v>
      </c>
      <c r="Y163" s="509">
        <f t="shared" si="95"/>
        <v>15</v>
      </c>
      <c r="Z163" s="509">
        <f t="shared" si="113"/>
        <v>7.8125E-2</v>
      </c>
      <c r="AA163" s="507" t="s">
        <v>405</v>
      </c>
      <c r="AB163" s="510">
        <v>25</v>
      </c>
      <c r="AC163" s="510"/>
      <c r="AD163" s="510"/>
      <c r="AE163" s="511" t="str">
        <f t="shared" si="103"/>
        <v>1</v>
      </c>
      <c r="AF163" s="511" t="str">
        <f t="shared" si="104"/>
        <v>0</v>
      </c>
      <c r="AG163" s="511" t="str">
        <f t="shared" si="105"/>
        <v>0</v>
      </c>
      <c r="AH163" s="511" t="str">
        <f t="shared" si="106"/>
        <v>NO</v>
      </c>
      <c r="AI163" s="511" t="str">
        <f t="shared" si="107"/>
        <v>NO</v>
      </c>
      <c r="AJ163" s="511" t="str">
        <f t="shared" si="108"/>
        <v>NO</v>
      </c>
      <c r="AK163" s="511" t="str">
        <f t="shared" si="109"/>
        <v>NO</v>
      </c>
      <c r="AL163" s="512"/>
      <c r="AM163" s="512">
        <f>IF(H163="Y",AL163,((AB163*$O$902)-6000))</f>
        <v>5819.25</v>
      </c>
      <c r="AN163" s="513" t="s">
        <v>66</v>
      </c>
      <c r="AO163" s="512">
        <v>1</v>
      </c>
      <c r="AP163" s="512">
        <f t="shared" si="100"/>
        <v>7.8125E-2</v>
      </c>
      <c r="AQ163" s="514">
        <f t="shared" si="96"/>
        <v>454.62890625</v>
      </c>
      <c r="AR163" s="512">
        <v>0</v>
      </c>
      <c r="AS163" s="610">
        <v>0</v>
      </c>
      <c r="AT163" s="515">
        <v>0</v>
      </c>
      <c r="AU163" s="499"/>
      <c r="AV163" s="499"/>
      <c r="AW163" s="516" t="s">
        <v>2203</v>
      </c>
      <c r="AX163" s="516" t="e">
        <f>VLOOKUP(K163,#REF!,8,FALSE)</f>
        <v>#REF!</v>
      </c>
      <c r="AY163" s="516" t="e">
        <f>VLOOKUP(K163,#REF!,8,FALSE)</f>
        <v>#REF!</v>
      </c>
      <c r="AZ163" s="499"/>
      <c r="BA163" s="521"/>
      <c r="BB163" s="517">
        <f t="shared" si="97"/>
        <v>0</v>
      </c>
      <c r="BC163" s="518">
        <f t="shared" si="84"/>
        <v>0</v>
      </c>
      <c r="BD163" s="316" t="e">
        <f t="shared" si="101"/>
        <v>#REF!</v>
      </c>
      <c r="BE163" s="316" t="s">
        <v>2397</v>
      </c>
      <c r="BG163" s="316" t="e">
        <f>VLOOKUP(K163,#REF!,9,FALSE)</f>
        <v>#REF!</v>
      </c>
      <c r="BJ163" s="316">
        <f>AB163</f>
        <v>25</v>
      </c>
      <c r="BK163" s="518">
        <f>AM163</f>
        <v>5819.25</v>
      </c>
      <c r="BL163" s="560" t="s">
        <v>75</v>
      </c>
      <c r="BM163" s="560"/>
      <c r="BN163" s="560"/>
      <c r="BO163" s="519">
        <f>BK163/192*127</f>
        <v>3849.19140625</v>
      </c>
      <c r="BP163" s="356">
        <f t="shared" si="110"/>
        <v>3849.19140625</v>
      </c>
      <c r="BS163" s="561"/>
      <c r="BX163" s="520">
        <f t="shared" si="111"/>
        <v>4303.8203125</v>
      </c>
      <c r="BZ163" s="636">
        <f t="shared" si="93"/>
        <v>454.62890625</v>
      </c>
      <c r="CA163" s="633">
        <f t="shared" si="94"/>
        <v>4303.8203125</v>
      </c>
    </row>
    <row r="164" spans="1:79" s="316" customFormat="1" x14ac:dyDescent="0.2">
      <c r="A164" s="499">
        <v>1</v>
      </c>
      <c r="B164" s="499">
        <v>1</v>
      </c>
      <c r="C164" s="500">
        <f t="shared" si="112"/>
        <v>41109</v>
      </c>
      <c r="D164" s="314">
        <v>41109</v>
      </c>
      <c r="E164" s="314">
        <v>43011</v>
      </c>
      <c r="F164" s="314" t="s">
        <v>1876</v>
      </c>
      <c r="G164" s="501" t="s">
        <v>75</v>
      </c>
      <c r="H164" s="501"/>
      <c r="I164" s="501" t="s">
        <v>32</v>
      </c>
      <c r="J164" s="501"/>
      <c r="K164" s="260">
        <v>437011</v>
      </c>
      <c r="L164" s="261" t="s">
        <v>401</v>
      </c>
      <c r="M164" s="569" t="s">
        <v>414</v>
      </c>
      <c r="N164" s="569" t="s">
        <v>415</v>
      </c>
      <c r="O164" s="569" t="s">
        <v>416</v>
      </c>
      <c r="P164" s="504">
        <v>42812</v>
      </c>
      <c r="Q164" s="505">
        <f t="shared" ca="1" si="102"/>
        <v>8.5147159479808359</v>
      </c>
      <c r="R164" s="315">
        <v>1</v>
      </c>
      <c r="S164" s="506">
        <v>872</v>
      </c>
      <c r="T164" s="502">
        <v>872</v>
      </c>
      <c r="U164" s="507">
        <v>45108</v>
      </c>
      <c r="V164" s="508">
        <v>49</v>
      </c>
      <c r="W164" s="507">
        <v>45382</v>
      </c>
      <c r="X164" s="315">
        <v>192</v>
      </c>
      <c r="Y164" s="509">
        <f t="shared" si="95"/>
        <v>144</v>
      </c>
      <c r="Z164" s="509">
        <f t="shared" si="113"/>
        <v>0.75</v>
      </c>
      <c r="AA164" s="507" t="s">
        <v>36</v>
      </c>
      <c r="AB164" s="510">
        <v>30</v>
      </c>
      <c r="AC164" s="510"/>
      <c r="AD164" s="510"/>
      <c r="AE164" s="511" t="str">
        <f t="shared" si="103"/>
        <v>0</v>
      </c>
      <c r="AF164" s="511" t="str">
        <f t="shared" si="104"/>
        <v>1</v>
      </c>
      <c r="AG164" s="511" t="str">
        <f t="shared" si="105"/>
        <v>0</v>
      </c>
      <c r="AH164" s="511" t="str">
        <f t="shared" si="106"/>
        <v>NO</v>
      </c>
      <c r="AI164" s="511" t="str">
        <f t="shared" si="107"/>
        <v>NO</v>
      </c>
      <c r="AJ164" s="511" t="str">
        <f t="shared" si="108"/>
        <v>NO</v>
      </c>
      <c r="AK164" s="511" t="str">
        <f t="shared" si="109"/>
        <v>NO</v>
      </c>
      <c r="AL164" s="512"/>
      <c r="AM164" s="512">
        <f>IF(H164="Y",AL164,((AB164*$O$902)-6000))</f>
        <v>8183.0999999999985</v>
      </c>
      <c r="AN164" s="513"/>
      <c r="AO164" s="512">
        <v>1</v>
      </c>
      <c r="AP164" s="512">
        <f t="shared" si="100"/>
        <v>0.75</v>
      </c>
      <c r="AQ164" s="514">
        <f t="shared" ref="AQ164:AQ195" si="114">AP164*AM164</f>
        <v>6137.3249999999989</v>
      </c>
      <c r="AR164" s="512">
        <v>0</v>
      </c>
      <c r="AS164" s="610">
        <v>0</v>
      </c>
      <c r="AT164" s="515">
        <v>0</v>
      </c>
      <c r="AU164" s="499"/>
      <c r="AV164" s="499"/>
      <c r="AW164" s="516" t="e">
        <f>VLOOKUP(K164,#REF!,8,FALSE)</f>
        <v>#REF!</v>
      </c>
      <c r="AX164" s="516" t="e">
        <f>VLOOKUP(K164,#REF!,8,FALSE)</f>
        <v>#REF!</v>
      </c>
      <c r="AY164" s="516" t="e">
        <f>VLOOKUP(K164,#REF!,8,FALSE)</f>
        <v>#REF!</v>
      </c>
      <c r="AZ164" s="499"/>
      <c r="BA164" s="521"/>
      <c r="BB164" s="517">
        <f t="shared" ref="BB164:BB195" si="115">BC164-AT164</f>
        <v>0</v>
      </c>
      <c r="BC164" s="518">
        <f t="shared" si="84"/>
        <v>0</v>
      </c>
      <c r="BD164" s="316" t="str">
        <f t="shared" si="101"/>
        <v/>
      </c>
      <c r="BK164" s="518"/>
      <c r="BL164" s="560"/>
      <c r="BM164" s="560"/>
      <c r="BN164" s="560"/>
      <c r="BO164" s="519"/>
      <c r="BP164" s="356">
        <f t="shared" si="110"/>
        <v>0</v>
      </c>
      <c r="BS164" s="561"/>
      <c r="BX164" s="520">
        <f t="shared" si="111"/>
        <v>6137.3249999999989</v>
      </c>
      <c r="BZ164" s="636">
        <f t="shared" si="93"/>
        <v>6137.3249999999989</v>
      </c>
      <c r="CA164" s="633">
        <f t="shared" si="94"/>
        <v>6137.3249999999989</v>
      </c>
    </row>
    <row r="165" spans="1:79" s="316" customFormat="1" x14ac:dyDescent="0.2">
      <c r="A165" s="499">
        <v>0</v>
      </c>
      <c r="B165" s="499">
        <v>1</v>
      </c>
      <c r="C165" s="500">
        <f t="shared" si="112"/>
        <v>41109</v>
      </c>
      <c r="D165" s="314">
        <v>41109</v>
      </c>
      <c r="E165" s="314">
        <v>43011</v>
      </c>
      <c r="F165" s="314" t="s">
        <v>1876</v>
      </c>
      <c r="G165" s="501" t="s">
        <v>75</v>
      </c>
      <c r="H165" s="501"/>
      <c r="I165" s="501" t="s">
        <v>32</v>
      </c>
      <c r="J165" s="501" t="s">
        <v>142</v>
      </c>
      <c r="K165" s="260">
        <v>437011</v>
      </c>
      <c r="L165" s="261" t="s">
        <v>401</v>
      </c>
      <c r="M165" s="569" t="s">
        <v>414</v>
      </c>
      <c r="N165" s="569" t="s">
        <v>415</v>
      </c>
      <c r="O165" s="569" t="s">
        <v>416</v>
      </c>
      <c r="P165" s="504">
        <v>42812</v>
      </c>
      <c r="Q165" s="505">
        <f t="shared" ca="1" si="102"/>
        <v>8.5147159479808359</v>
      </c>
      <c r="R165" s="315">
        <v>1</v>
      </c>
      <c r="S165" s="506">
        <v>872</v>
      </c>
      <c r="T165" s="502">
        <v>872</v>
      </c>
      <c r="U165" s="507">
        <v>45108</v>
      </c>
      <c r="V165" s="508">
        <v>49</v>
      </c>
      <c r="W165" s="507">
        <v>45382</v>
      </c>
      <c r="X165" s="315">
        <v>192</v>
      </c>
      <c r="Y165" s="509">
        <f t="shared" si="95"/>
        <v>144</v>
      </c>
      <c r="Z165" s="509">
        <f t="shared" si="113"/>
        <v>0.75</v>
      </c>
      <c r="AA165" s="507" t="s">
        <v>36</v>
      </c>
      <c r="AB165" s="510">
        <v>7483</v>
      </c>
      <c r="AC165" s="510"/>
      <c r="AD165" s="510"/>
      <c r="AE165" s="511" t="str">
        <f t="shared" si="103"/>
        <v>0</v>
      </c>
      <c r="AF165" s="511" t="str">
        <f t="shared" si="104"/>
        <v>0</v>
      </c>
      <c r="AG165" s="511" t="str">
        <f t="shared" si="105"/>
        <v>1</v>
      </c>
      <c r="AH165" s="511" t="str">
        <f t="shared" si="106"/>
        <v>NO</v>
      </c>
      <c r="AI165" s="511" t="str">
        <f t="shared" si="107"/>
        <v>NO</v>
      </c>
      <c r="AJ165" s="511" t="str">
        <f t="shared" si="108"/>
        <v>NO</v>
      </c>
      <c r="AK165" s="511" t="str">
        <f t="shared" si="109"/>
        <v>NO</v>
      </c>
      <c r="AL165" s="512"/>
      <c r="AM165" s="512">
        <v>7483</v>
      </c>
      <c r="AN165" s="513"/>
      <c r="AO165" s="512">
        <v>1</v>
      </c>
      <c r="AP165" s="512">
        <f t="shared" si="100"/>
        <v>0.75</v>
      </c>
      <c r="AQ165" s="514">
        <f t="shared" si="114"/>
        <v>5612.25</v>
      </c>
      <c r="AR165" s="512">
        <v>0</v>
      </c>
      <c r="AS165" s="610">
        <v>0</v>
      </c>
      <c r="AT165" s="515">
        <v>0</v>
      </c>
      <c r="AU165" s="499"/>
      <c r="AV165" s="499"/>
      <c r="AW165" s="516" t="e">
        <f>VLOOKUP(K165,#REF!,8,FALSE)</f>
        <v>#REF!</v>
      </c>
      <c r="AX165" s="516" t="e">
        <f>VLOOKUP(K165,#REF!,8,FALSE)</f>
        <v>#REF!</v>
      </c>
      <c r="AY165" s="516" t="e">
        <f>VLOOKUP(K165,#REF!,8,FALSE)</f>
        <v>#REF!</v>
      </c>
      <c r="AZ165" s="499"/>
      <c r="BA165" s="521"/>
      <c r="BB165" s="517">
        <f t="shared" si="115"/>
        <v>0</v>
      </c>
      <c r="BC165" s="518">
        <f t="shared" si="84"/>
        <v>0</v>
      </c>
      <c r="BD165" s="316" t="str">
        <f t="shared" si="101"/>
        <v/>
      </c>
      <c r="BK165" s="518"/>
      <c r="BL165" s="560"/>
      <c r="BM165" s="560"/>
      <c r="BN165" s="560"/>
      <c r="BO165" s="519"/>
      <c r="BP165" s="356">
        <f t="shared" si="110"/>
        <v>0</v>
      </c>
      <c r="BS165" s="561"/>
      <c r="BX165" s="520">
        <f t="shared" si="111"/>
        <v>5612.25</v>
      </c>
      <c r="BZ165" s="636">
        <f t="shared" si="93"/>
        <v>5612.25</v>
      </c>
      <c r="CA165" s="633">
        <f t="shared" si="94"/>
        <v>5612.25</v>
      </c>
    </row>
    <row r="166" spans="1:79" s="316" customFormat="1" x14ac:dyDescent="0.2">
      <c r="A166" s="499">
        <v>1</v>
      </c>
      <c r="B166" s="499">
        <v>1</v>
      </c>
      <c r="C166" s="500">
        <f t="shared" si="112"/>
        <v>41109</v>
      </c>
      <c r="D166" s="314">
        <v>41109</v>
      </c>
      <c r="E166" s="314">
        <v>43011</v>
      </c>
      <c r="F166" s="314" t="s">
        <v>1876</v>
      </c>
      <c r="G166" s="501" t="s">
        <v>75</v>
      </c>
      <c r="H166" s="501"/>
      <c r="I166" s="501" t="s">
        <v>32</v>
      </c>
      <c r="J166" s="501"/>
      <c r="K166" s="260">
        <v>432645</v>
      </c>
      <c r="L166" s="261" t="s">
        <v>401</v>
      </c>
      <c r="M166" s="569" t="s">
        <v>417</v>
      </c>
      <c r="N166" s="569" t="s">
        <v>418</v>
      </c>
      <c r="O166" s="569" t="s">
        <v>419</v>
      </c>
      <c r="P166" s="504">
        <v>43061</v>
      </c>
      <c r="Q166" s="505">
        <f t="shared" ca="1" si="102"/>
        <v>7.8329911019849421</v>
      </c>
      <c r="R166" s="315">
        <v>0</v>
      </c>
      <c r="S166" s="506">
        <v>872</v>
      </c>
      <c r="T166" s="502">
        <v>872</v>
      </c>
      <c r="U166" s="507">
        <v>45108</v>
      </c>
      <c r="V166" s="508">
        <v>49</v>
      </c>
      <c r="W166" s="507">
        <v>45382</v>
      </c>
      <c r="X166" s="315">
        <v>192</v>
      </c>
      <c r="Y166" s="509">
        <f t="shared" si="95"/>
        <v>144</v>
      </c>
      <c r="Z166" s="509">
        <f t="shared" si="113"/>
        <v>0.75</v>
      </c>
      <c r="AA166" s="507" t="s">
        <v>36</v>
      </c>
      <c r="AB166" s="510">
        <v>27</v>
      </c>
      <c r="AC166" s="510"/>
      <c r="AD166" s="510"/>
      <c r="AE166" s="511" t="str">
        <f t="shared" si="103"/>
        <v>0</v>
      </c>
      <c r="AF166" s="511" t="str">
        <f t="shared" si="104"/>
        <v>1</v>
      </c>
      <c r="AG166" s="511" t="str">
        <f t="shared" si="105"/>
        <v>0</v>
      </c>
      <c r="AH166" s="511" t="str">
        <f t="shared" si="106"/>
        <v>NO</v>
      </c>
      <c r="AI166" s="511" t="str">
        <f t="shared" si="107"/>
        <v>NO</v>
      </c>
      <c r="AJ166" s="511" t="str">
        <f t="shared" si="108"/>
        <v>NO</v>
      </c>
      <c r="AK166" s="511" t="str">
        <f t="shared" si="109"/>
        <v>NO</v>
      </c>
      <c r="AL166" s="512"/>
      <c r="AM166" s="512">
        <f t="shared" ref="AM166:AM179" si="116">IF(H166="Y",AL166,((AB166*$O$902)-6000))</f>
        <v>6764.7899999999991</v>
      </c>
      <c r="AN166" s="513" t="s">
        <v>56</v>
      </c>
      <c r="AO166" s="512">
        <v>1</v>
      </c>
      <c r="AP166" s="512">
        <f t="shared" si="100"/>
        <v>0.75</v>
      </c>
      <c r="AQ166" s="514">
        <f t="shared" si="114"/>
        <v>5073.5924999999988</v>
      </c>
      <c r="AR166" s="512">
        <v>0</v>
      </c>
      <c r="AS166" s="610">
        <v>0</v>
      </c>
      <c r="AT166" s="515">
        <v>0</v>
      </c>
      <c r="AU166" s="499"/>
      <c r="AV166" s="499"/>
      <c r="AW166" s="516" t="e">
        <f>VLOOKUP(K166,#REF!,8,FALSE)</f>
        <v>#REF!</v>
      </c>
      <c r="AX166" s="516" t="e">
        <f>VLOOKUP(K166,#REF!,8,FALSE)</f>
        <v>#REF!</v>
      </c>
      <c r="AY166" s="516" t="e">
        <f>VLOOKUP(K166,#REF!,8,FALSE)</f>
        <v>#REF!</v>
      </c>
      <c r="AZ166" s="499"/>
      <c r="BA166" s="521"/>
      <c r="BB166" s="517">
        <f t="shared" si="115"/>
        <v>0</v>
      </c>
      <c r="BC166" s="518">
        <f t="shared" si="84"/>
        <v>0</v>
      </c>
      <c r="BD166" s="316" t="str">
        <f t="shared" si="101"/>
        <v/>
      </c>
      <c r="BK166" s="518"/>
      <c r="BL166" s="560"/>
      <c r="BM166" s="560"/>
      <c r="BN166" s="560"/>
      <c r="BO166" s="519"/>
      <c r="BP166" s="356">
        <f t="shared" si="110"/>
        <v>0</v>
      </c>
      <c r="BS166" s="561"/>
      <c r="BX166" s="520">
        <f t="shared" si="111"/>
        <v>5073.5924999999988</v>
      </c>
      <c r="BZ166" s="636">
        <f t="shared" si="93"/>
        <v>5073.5924999999988</v>
      </c>
      <c r="CA166" s="633">
        <f t="shared" si="94"/>
        <v>5073.5924999999988</v>
      </c>
    </row>
    <row r="167" spans="1:79" s="316" customFormat="1" x14ac:dyDescent="0.2">
      <c r="A167" s="499">
        <v>1</v>
      </c>
      <c r="B167" s="499">
        <v>1</v>
      </c>
      <c r="C167" s="500">
        <f t="shared" si="112"/>
        <v>41109</v>
      </c>
      <c r="D167" s="314">
        <v>41109</v>
      </c>
      <c r="E167" s="314">
        <v>43011</v>
      </c>
      <c r="F167" s="314" t="s">
        <v>1876</v>
      </c>
      <c r="G167" s="501" t="s">
        <v>75</v>
      </c>
      <c r="H167" s="501"/>
      <c r="I167" s="501" t="s">
        <v>32</v>
      </c>
      <c r="J167" s="501"/>
      <c r="K167" s="260">
        <v>425970</v>
      </c>
      <c r="L167" s="261" t="s">
        <v>401</v>
      </c>
      <c r="M167" s="569" t="s">
        <v>420</v>
      </c>
      <c r="N167" s="569" t="s">
        <v>418</v>
      </c>
      <c r="O167" s="569" t="s">
        <v>421</v>
      </c>
      <c r="P167" s="504">
        <v>42699</v>
      </c>
      <c r="Q167" s="505">
        <f t="shared" ca="1" si="102"/>
        <v>8.8240930869267622</v>
      </c>
      <c r="R167" s="315">
        <v>1</v>
      </c>
      <c r="S167" s="506">
        <v>872</v>
      </c>
      <c r="T167" s="502">
        <v>872</v>
      </c>
      <c r="U167" s="507">
        <v>45108</v>
      </c>
      <c r="V167" s="508">
        <v>49</v>
      </c>
      <c r="W167" s="507">
        <v>45382</v>
      </c>
      <c r="X167" s="315">
        <v>192</v>
      </c>
      <c r="Y167" s="509">
        <f t="shared" si="95"/>
        <v>144</v>
      </c>
      <c r="Z167" s="509">
        <f t="shared" si="113"/>
        <v>0.75</v>
      </c>
      <c r="AA167" s="507" t="s">
        <v>36</v>
      </c>
      <c r="AB167" s="510">
        <v>32.5</v>
      </c>
      <c r="AC167" s="510"/>
      <c r="AD167" s="510"/>
      <c r="AE167" s="511" t="str">
        <f t="shared" si="103"/>
        <v>0</v>
      </c>
      <c r="AF167" s="511" t="str">
        <f t="shared" si="104"/>
        <v>0</v>
      </c>
      <c r="AG167" s="511" t="str">
        <f t="shared" si="105"/>
        <v>1</v>
      </c>
      <c r="AH167" s="511" t="str">
        <f t="shared" si="106"/>
        <v>NO</v>
      </c>
      <c r="AI167" s="511" t="str">
        <f t="shared" si="107"/>
        <v>NO</v>
      </c>
      <c r="AJ167" s="511" t="str">
        <f t="shared" si="108"/>
        <v>NO</v>
      </c>
      <c r="AK167" s="511" t="str">
        <f t="shared" si="109"/>
        <v>NO</v>
      </c>
      <c r="AL167" s="512" t="s">
        <v>91</v>
      </c>
      <c r="AM167" s="512">
        <f t="shared" si="116"/>
        <v>9365.0249999999996</v>
      </c>
      <c r="AN167" s="513" t="s">
        <v>37</v>
      </c>
      <c r="AO167" s="512">
        <v>1</v>
      </c>
      <c r="AP167" s="512">
        <f t="shared" si="100"/>
        <v>0.75</v>
      </c>
      <c r="AQ167" s="514">
        <f t="shared" si="114"/>
        <v>7023.7687499999993</v>
      </c>
      <c r="AR167" s="512">
        <v>0</v>
      </c>
      <c r="AS167" s="610">
        <v>0</v>
      </c>
      <c r="AT167" s="515">
        <v>0</v>
      </c>
      <c r="AU167" s="499"/>
      <c r="AV167" s="499"/>
      <c r="AW167" s="516" t="e">
        <f>VLOOKUP(K167,#REF!,8,FALSE)</f>
        <v>#REF!</v>
      </c>
      <c r="AX167" s="516" t="e">
        <f>VLOOKUP(K167,#REF!,8,FALSE)</f>
        <v>#REF!</v>
      </c>
      <c r="AY167" s="516" t="e">
        <f>VLOOKUP(K167,#REF!,8,FALSE)</f>
        <v>#REF!</v>
      </c>
      <c r="AZ167" s="499"/>
      <c r="BA167" s="521"/>
      <c r="BB167" s="517">
        <f t="shared" si="115"/>
        <v>0</v>
      </c>
      <c r="BC167" s="518">
        <f t="shared" si="84"/>
        <v>0</v>
      </c>
      <c r="BD167" s="316" t="str">
        <f t="shared" si="101"/>
        <v/>
      </c>
      <c r="BK167" s="518"/>
      <c r="BL167" s="560"/>
      <c r="BM167" s="560"/>
      <c r="BN167" s="560"/>
      <c r="BO167" s="519"/>
      <c r="BP167" s="356">
        <f t="shared" si="110"/>
        <v>0</v>
      </c>
      <c r="BS167" s="561"/>
      <c r="BX167" s="520">
        <f t="shared" si="111"/>
        <v>7023.7687499999993</v>
      </c>
      <c r="BZ167" s="636">
        <f t="shared" si="93"/>
        <v>7023.7687499999993</v>
      </c>
      <c r="CA167" s="633">
        <f t="shared" si="94"/>
        <v>7023.7687499999993</v>
      </c>
    </row>
    <row r="168" spans="1:79" s="249" customFormat="1" x14ac:dyDescent="0.2">
      <c r="A168" s="529">
        <v>1</v>
      </c>
      <c r="B168" s="529">
        <v>1</v>
      </c>
      <c r="C168" s="530">
        <f t="shared" si="112"/>
        <v>41110</v>
      </c>
      <c r="D168" s="531">
        <v>41110</v>
      </c>
      <c r="E168" s="531">
        <v>43011</v>
      </c>
      <c r="F168" s="531" t="s">
        <v>1606</v>
      </c>
      <c r="G168" s="532"/>
      <c r="H168" s="532"/>
      <c r="I168" s="532" t="s">
        <v>32</v>
      </c>
      <c r="J168" s="532"/>
      <c r="K168" s="533">
        <v>405884</v>
      </c>
      <c r="L168" s="534" t="s">
        <v>422</v>
      </c>
      <c r="M168" s="570" t="s">
        <v>718</v>
      </c>
      <c r="N168" s="571" t="s">
        <v>2290</v>
      </c>
      <c r="O168" s="571" t="s">
        <v>2291</v>
      </c>
      <c r="P168" s="536">
        <v>41218</v>
      </c>
      <c r="Q168" s="537">
        <f t="shared" ca="1" si="102"/>
        <v>12.878850102669405</v>
      </c>
      <c r="R168" s="538">
        <v>5</v>
      </c>
      <c r="S168" s="539">
        <v>872</v>
      </c>
      <c r="T168" s="540">
        <v>872</v>
      </c>
      <c r="U168" s="541">
        <v>45084</v>
      </c>
      <c r="V168" s="542">
        <v>32</v>
      </c>
      <c r="W168" s="541">
        <v>45107</v>
      </c>
      <c r="X168" s="538">
        <v>48</v>
      </c>
      <c r="Y168" s="543">
        <f t="shared" si="95"/>
        <v>17</v>
      </c>
      <c r="Z168" s="543">
        <f t="shared" si="113"/>
        <v>8.8541666666666671E-2</v>
      </c>
      <c r="AA168" s="541" t="s">
        <v>36</v>
      </c>
      <c r="AB168" s="544">
        <v>24</v>
      </c>
      <c r="AC168" s="544"/>
      <c r="AD168" s="544"/>
      <c r="AE168" s="545" t="str">
        <f t="shared" si="103"/>
        <v>1</v>
      </c>
      <c r="AF168" s="545" t="str">
        <f t="shared" si="104"/>
        <v>0</v>
      </c>
      <c r="AG168" s="545" t="str">
        <f t="shared" si="105"/>
        <v>0</v>
      </c>
      <c r="AH168" s="545" t="str">
        <f t="shared" si="106"/>
        <v>NO</v>
      </c>
      <c r="AI168" s="545" t="str">
        <f t="shared" si="107"/>
        <v>NO</v>
      </c>
      <c r="AJ168" s="545" t="str">
        <f t="shared" si="108"/>
        <v>NO</v>
      </c>
      <c r="AK168" s="545" t="str">
        <f t="shared" si="109"/>
        <v>NO</v>
      </c>
      <c r="AL168" s="547"/>
      <c r="AM168" s="547">
        <f t="shared" si="116"/>
        <v>5346.48</v>
      </c>
      <c r="AN168" s="562" t="s">
        <v>56</v>
      </c>
      <c r="AO168" s="547">
        <v>1</v>
      </c>
      <c r="AP168" s="547">
        <f t="shared" si="100"/>
        <v>8.8541666666666671E-2</v>
      </c>
      <c r="AQ168" s="549">
        <f t="shared" si="114"/>
        <v>473.38624999999996</v>
      </c>
      <c r="AR168" s="547">
        <v>4483.2462499999992</v>
      </c>
      <c r="AS168" s="610">
        <v>0</v>
      </c>
      <c r="AT168" s="550">
        <v>0</v>
      </c>
      <c r="AU168" s="529"/>
      <c r="AV168" s="529"/>
      <c r="AW168" s="551"/>
      <c r="AX168" s="551"/>
      <c r="AY168" s="551"/>
      <c r="AZ168" s="529"/>
      <c r="BA168" s="552"/>
      <c r="BB168" s="553">
        <f t="shared" si="115"/>
        <v>4483.2462499999992</v>
      </c>
      <c r="BC168" s="484">
        <f t="shared" si="84"/>
        <v>4483.2462499999992</v>
      </c>
      <c r="BD168" s="249" t="str">
        <f t="shared" si="101"/>
        <v/>
      </c>
      <c r="BL168" s="554"/>
      <c r="BM168" s="554"/>
      <c r="BN168" s="554"/>
      <c r="BP168" s="555">
        <f t="shared" si="110"/>
        <v>4483.2462499999992</v>
      </c>
      <c r="BS168" s="556"/>
      <c r="BX168" s="557">
        <f t="shared" si="111"/>
        <v>473.38624999999996</v>
      </c>
      <c r="BZ168" s="636">
        <f t="shared" si="93"/>
        <v>-4009.8599999999992</v>
      </c>
      <c r="CA168" s="633">
        <f t="shared" si="94"/>
        <v>473.38624999999996</v>
      </c>
    </row>
    <row r="169" spans="1:79" s="249" customFormat="1" x14ac:dyDescent="0.2">
      <c r="A169" s="529">
        <v>1</v>
      </c>
      <c r="B169" s="529">
        <v>1</v>
      </c>
      <c r="C169" s="530">
        <f t="shared" si="112"/>
        <v>41110</v>
      </c>
      <c r="D169" s="531">
        <v>41110</v>
      </c>
      <c r="E169" s="531">
        <v>43011</v>
      </c>
      <c r="F169" s="531" t="s">
        <v>1606</v>
      </c>
      <c r="G169" s="532"/>
      <c r="H169" s="532"/>
      <c r="I169" s="532" t="s">
        <v>32</v>
      </c>
      <c r="J169" s="532"/>
      <c r="K169" s="533">
        <v>403604</v>
      </c>
      <c r="L169" s="534" t="s">
        <v>422</v>
      </c>
      <c r="M169" s="534" t="s">
        <v>132</v>
      </c>
      <c r="N169" s="534" t="s">
        <v>423</v>
      </c>
      <c r="O169" s="535" t="s">
        <v>424</v>
      </c>
      <c r="P169" s="536">
        <v>41028</v>
      </c>
      <c r="Q169" s="537">
        <f t="shared" ca="1" si="102"/>
        <v>13.399041752224504</v>
      </c>
      <c r="R169" s="538">
        <v>6</v>
      </c>
      <c r="S169" s="539">
        <v>872</v>
      </c>
      <c r="T169" s="540">
        <v>872</v>
      </c>
      <c r="U169" s="541">
        <v>45017</v>
      </c>
      <c r="V169" s="542">
        <v>1</v>
      </c>
      <c r="W169" s="541">
        <v>45107</v>
      </c>
      <c r="X169" s="538">
        <v>48</v>
      </c>
      <c r="Y169" s="543">
        <f t="shared" si="95"/>
        <v>48</v>
      </c>
      <c r="Z169" s="543">
        <f t="shared" si="113"/>
        <v>0.25</v>
      </c>
      <c r="AA169" s="543" t="s">
        <v>48</v>
      </c>
      <c r="AB169" s="544">
        <v>30</v>
      </c>
      <c r="AC169" s="544"/>
      <c r="AD169" s="544"/>
      <c r="AE169" s="545" t="str">
        <f t="shared" si="103"/>
        <v>0</v>
      </c>
      <c r="AF169" s="545" t="str">
        <f t="shared" si="104"/>
        <v>1</v>
      </c>
      <c r="AG169" s="545" t="str">
        <f t="shared" si="105"/>
        <v>0</v>
      </c>
      <c r="AH169" s="545" t="str">
        <f t="shared" si="106"/>
        <v>NO</v>
      </c>
      <c r="AI169" s="545" t="str">
        <f t="shared" si="107"/>
        <v>NO</v>
      </c>
      <c r="AJ169" s="545" t="str">
        <f t="shared" si="108"/>
        <v>NO</v>
      </c>
      <c r="AK169" s="545" t="str">
        <f t="shared" si="109"/>
        <v>NO</v>
      </c>
      <c r="AL169" s="547"/>
      <c r="AM169" s="547">
        <f t="shared" si="116"/>
        <v>8183.0999999999985</v>
      </c>
      <c r="AN169" s="562" t="s">
        <v>43</v>
      </c>
      <c r="AO169" s="547">
        <v>1</v>
      </c>
      <c r="AP169" s="547">
        <f t="shared" si="100"/>
        <v>0.25</v>
      </c>
      <c r="AQ169" s="549">
        <f t="shared" si="114"/>
        <v>2045.7749999999996</v>
      </c>
      <c r="AR169" s="547">
        <v>2685.0796874999996</v>
      </c>
      <c r="AS169" s="610">
        <v>2685.0796874999996</v>
      </c>
      <c r="AT169" s="550">
        <v>2685.0796874999996</v>
      </c>
      <c r="AU169" s="529"/>
      <c r="AV169" s="529"/>
      <c r="AW169" s="551" t="e">
        <f>VLOOKUP(K169,#REF!,8,FALSE)</f>
        <v>#REF!</v>
      </c>
      <c r="AX169" s="551" t="s">
        <v>2248</v>
      </c>
      <c r="AY169" s="551" t="e">
        <f>VLOOKUP(K169,#REF!,8,FALSE)</f>
        <v>#REF!</v>
      </c>
      <c r="AZ169" s="551"/>
      <c r="BA169" s="552"/>
      <c r="BB169" s="553">
        <f t="shared" si="115"/>
        <v>0</v>
      </c>
      <c r="BC169" s="484">
        <f t="shared" si="84"/>
        <v>2685.0796874999996</v>
      </c>
      <c r="BD169" s="249" t="e">
        <f t="shared" si="101"/>
        <v>#REF!</v>
      </c>
      <c r="BE169" s="249" t="s">
        <v>2404</v>
      </c>
      <c r="BF169" s="249">
        <v>43015</v>
      </c>
      <c r="BH169" s="249" t="e">
        <f>VLOOKUP(K169,#REF!,8,FALSE)</f>
        <v>#REF!</v>
      </c>
      <c r="BJ169" s="249">
        <f>AB169</f>
        <v>30</v>
      </c>
      <c r="BK169" s="484">
        <f>AM169</f>
        <v>8183.0999999999985</v>
      </c>
      <c r="BL169" s="603"/>
      <c r="BM169" s="603" t="s">
        <v>75</v>
      </c>
      <c r="BN169" s="603"/>
      <c r="BO169" s="564">
        <f>BK169/192*127</f>
        <v>5412.7796874999985</v>
      </c>
      <c r="BP169" s="555">
        <f t="shared" si="110"/>
        <v>8097.8593749999982</v>
      </c>
      <c r="BS169" s="556"/>
      <c r="BX169" s="557">
        <f t="shared" si="111"/>
        <v>7458.5546874999982</v>
      </c>
      <c r="BZ169" s="636">
        <f t="shared" si="93"/>
        <v>-639.3046875</v>
      </c>
      <c r="CA169" s="633">
        <f t="shared" si="94"/>
        <v>4773.4749999999985</v>
      </c>
    </row>
    <row r="170" spans="1:79" s="249" customFormat="1" x14ac:dyDescent="0.2">
      <c r="A170" s="529">
        <v>1</v>
      </c>
      <c r="B170" s="529">
        <v>1</v>
      </c>
      <c r="C170" s="530">
        <f t="shared" si="112"/>
        <v>41110</v>
      </c>
      <c r="D170" s="531">
        <v>41110</v>
      </c>
      <c r="E170" s="531">
        <v>43011</v>
      </c>
      <c r="F170" s="531" t="s">
        <v>1606</v>
      </c>
      <c r="G170" s="532"/>
      <c r="H170" s="532"/>
      <c r="I170" s="532" t="s">
        <v>32</v>
      </c>
      <c r="J170" s="532"/>
      <c r="K170" s="533">
        <v>403896</v>
      </c>
      <c r="L170" s="534" t="s">
        <v>422</v>
      </c>
      <c r="M170" s="534" t="s">
        <v>343</v>
      </c>
      <c r="N170" s="534" t="s">
        <v>425</v>
      </c>
      <c r="O170" s="535" t="s">
        <v>426</v>
      </c>
      <c r="P170" s="536">
        <v>41414</v>
      </c>
      <c r="Q170" s="537">
        <f t="shared" ca="1" si="102"/>
        <v>12.342231348391513</v>
      </c>
      <c r="R170" s="538">
        <v>5</v>
      </c>
      <c r="S170" s="539">
        <v>872</v>
      </c>
      <c r="T170" s="540">
        <v>872</v>
      </c>
      <c r="U170" s="541">
        <v>45017</v>
      </c>
      <c r="V170" s="542">
        <v>1</v>
      </c>
      <c r="W170" s="541">
        <v>45107</v>
      </c>
      <c r="X170" s="538">
        <v>48</v>
      </c>
      <c r="Y170" s="543">
        <f t="shared" si="95"/>
        <v>48</v>
      </c>
      <c r="Z170" s="543">
        <f t="shared" si="113"/>
        <v>0.25</v>
      </c>
      <c r="AA170" s="543" t="s">
        <v>36</v>
      </c>
      <c r="AB170" s="544">
        <v>21</v>
      </c>
      <c r="AC170" s="544"/>
      <c r="AD170" s="544"/>
      <c r="AE170" s="545" t="str">
        <f t="shared" si="103"/>
        <v>1</v>
      </c>
      <c r="AF170" s="545" t="str">
        <f t="shared" si="104"/>
        <v>0</v>
      </c>
      <c r="AG170" s="545" t="str">
        <f t="shared" si="105"/>
        <v>0</v>
      </c>
      <c r="AH170" s="545" t="str">
        <f t="shared" si="106"/>
        <v>NO</v>
      </c>
      <c r="AI170" s="545" t="str">
        <f t="shared" si="107"/>
        <v>NO</v>
      </c>
      <c r="AJ170" s="545" t="str">
        <f t="shared" si="108"/>
        <v>NO</v>
      </c>
      <c r="AK170" s="545" t="str">
        <f t="shared" si="109"/>
        <v>NO</v>
      </c>
      <c r="AL170" s="547"/>
      <c r="AM170" s="547">
        <f t="shared" si="116"/>
        <v>3928.17</v>
      </c>
      <c r="AN170" s="562" t="s">
        <v>66</v>
      </c>
      <c r="AO170" s="547">
        <v>1</v>
      </c>
      <c r="AP170" s="547">
        <f t="shared" si="100"/>
        <v>0.25</v>
      </c>
      <c r="AQ170" s="549">
        <f t="shared" si="114"/>
        <v>982.04250000000002</v>
      </c>
      <c r="AR170" s="547">
        <v>3928.17</v>
      </c>
      <c r="AS170" s="610">
        <v>3928.17</v>
      </c>
      <c r="AT170" s="550">
        <v>3928.17</v>
      </c>
      <c r="AU170" s="529"/>
      <c r="AV170" s="529"/>
      <c r="AW170" s="551" t="e">
        <f>VLOOKUP(K170,#REF!,8,FALSE)</f>
        <v>#REF!</v>
      </c>
      <c r="AX170" s="551" t="e">
        <f>VLOOKUP(K170,#REF!,8,FALSE)</f>
        <v>#REF!</v>
      </c>
      <c r="AY170" s="551" t="e">
        <f>VLOOKUP(K170,#REF!,8,FALSE)</f>
        <v>#REF!</v>
      </c>
      <c r="AZ170" s="529"/>
      <c r="BA170" s="552"/>
      <c r="BB170" s="553">
        <f t="shared" si="115"/>
        <v>0</v>
      </c>
      <c r="BC170" s="484">
        <f t="shared" si="84"/>
        <v>3928.17</v>
      </c>
      <c r="BD170" s="249" t="str">
        <f t="shared" si="101"/>
        <v/>
      </c>
      <c r="BL170" s="554"/>
      <c r="BM170" s="554"/>
      <c r="BN170" s="554"/>
      <c r="BP170" s="555">
        <f t="shared" si="110"/>
        <v>3928.17</v>
      </c>
      <c r="BS170" s="556"/>
      <c r="BX170" s="557">
        <f t="shared" si="111"/>
        <v>982.04250000000002</v>
      </c>
      <c r="BZ170" s="636">
        <f t="shared" si="93"/>
        <v>-2946.1275000000001</v>
      </c>
      <c r="CA170" s="633">
        <f t="shared" si="94"/>
        <v>-2946.1275000000001</v>
      </c>
    </row>
    <row r="171" spans="1:79" s="249" customFormat="1" x14ac:dyDescent="0.2">
      <c r="A171" s="529">
        <v>1</v>
      </c>
      <c r="B171" s="529">
        <v>1</v>
      </c>
      <c r="C171" s="530">
        <f t="shared" si="112"/>
        <v>41110</v>
      </c>
      <c r="D171" s="531">
        <v>41110</v>
      </c>
      <c r="E171" s="531">
        <v>43011</v>
      </c>
      <c r="F171" s="531" t="s">
        <v>1606</v>
      </c>
      <c r="G171" s="532"/>
      <c r="H171" s="532"/>
      <c r="I171" s="532" t="s">
        <v>32</v>
      </c>
      <c r="J171" s="532"/>
      <c r="K171" s="533">
        <v>421832</v>
      </c>
      <c r="L171" s="534" t="s">
        <v>422</v>
      </c>
      <c r="M171" s="534" t="s">
        <v>427</v>
      </c>
      <c r="N171" s="534" t="s">
        <v>428</v>
      </c>
      <c r="O171" s="535" t="s">
        <v>429</v>
      </c>
      <c r="P171" s="536">
        <v>42148</v>
      </c>
      <c r="Q171" s="537">
        <f t="shared" ca="1" si="102"/>
        <v>10.33264887063655</v>
      </c>
      <c r="R171" s="538">
        <v>3</v>
      </c>
      <c r="S171" s="539" t="s">
        <v>98</v>
      </c>
      <c r="T171" s="540" t="s">
        <v>98</v>
      </c>
      <c r="U171" s="541">
        <v>45017</v>
      </c>
      <c r="V171" s="542">
        <v>1</v>
      </c>
      <c r="W171" s="541">
        <v>45107</v>
      </c>
      <c r="X171" s="538">
        <v>48</v>
      </c>
      <c r="Y171" s="543">
        <f t="shared" si="95"/>
        <v>48</v>
      </c>
      <c r="Z171" s="543">
        <f t="shared" si="113"/>
        <v>0.25</v>
      </c>
      <c r="AA171" s="543" t="s">
        <v>36</v>
      </c>
      <c r="AB171" s="544">
        <v>25</v>
      </c>
      <c r="AC171" s="544"/>
      <c r="AD171" s="544"/>
      <c r="AE171" s="545" t="str">
        <f t="shared" si="103"/>
        <v>1</v>
      </c>
      <c r="AF171" s="545" t="str">
        <f t="shared" si="104"/>
        <v>0</v>
      </c>
      <c r="AG171" s="545" t="str">
        <f t="shared" si="105"/>
        <v>0</v>
      </c>
      <c r="AH171" s="545" t="str">
        <f t="shared" si="106"/>
        <v>NO</v>
      </c>
      <c r="AI171" s="545" t="str">
        <f t="shared" si="107"/>
        <v>NO</v>
      </c>
      <c r="AJ171" s="545" t="str">
        <f t="shared" si="108"/>
        <v>NO</v>
      </c>
      <c r="AK171" s="545" t="str">
        <f t="shared" si="109"/>
        <v>NO</v>
      </c>
      <c r="AL171" s="547"/>
      <c r="AM171" s="547">
        <f t="shared" si="116"/>
        <v>5819.25</v>
      </c>
      <c r="AN171" s="562" t="s">
        <v>56</v>
      </c>
      <c r="AO171" s="547">
        <v>1</v>
      </c>
      <c r="AP171" s="547">
        <f t="shared" si="100"/>
        <v>0.25</v>
      </c>
      <c r="AQ171" s="549">
        <f t="shared" si="114"/>
        <v>1454.8125</v>
      </c>
      <c r="AR171" s="547">
        <v>5819.25</v>
      </c>
      <c r="AS171" s="610">
        <v>5819.25</v>
      </c>
      <c r="AT171" s="550">
        <v>5819.25</v>
      </c>
      <c r="AU171" s="529"/>
      <c r="AV171" s="529"/>
      <c r="AW171" s="551" t="e">
        <f>VLOOKUP(K171,#REF!,8,FALSE)</f>
        <v>#REF!</v>
      </c>
      <c r="AX171" s="551" t="e">
        <f>VLOOKUP(K171,#REF!,8,FALSE)</f>
        <v>#REF!</v>
      </c>
      <c r="AY171" s="551" t="e">
        <f>VLOOKUP(K171,#REF!,8,FALSE)</f>
        <v>#REF!</v>
      </c>
      <c r="AZ171" s="529"/>
      <c r="BA171" s="552"/>
      <c r="BB171" s="553">
        <f t="shared" si="115"/>
        <v>0</v>
      </c>
      <c r="BC171" s="484">
        <f t="shared" si="84"/>
        <v>5819.25</v>
      </c>
      <c r="BD171" s="249" t="str">
        <f t="shared" si="101"/>
        <v/>
      </c>
      <c r="BL171" s="554"/>
      <c r="BM171" s="554"/>
      <c r="BN171" s="554"/>
      <c r="BP171" s="555">
        <f t="shared" si="110"/>
        <v>5819.25</v>
      </c>
      <c r="BS171" s="556"/>
      <c r="BX171" s="557">
        <f t="shared" si="111"/>
        <v>1454.8125</v>
      </c>
      <c r="BZ171" s="636">
        <f t="shared" si="93"/>
        <v>-4364.4375</v>
      </c>
      <c r="CA171" s="633">
        <f t="shared" si="94"/>
        <v>-4364.4375</v>
      </c>
    </row>
    <row r="172" spans="1:79" s="249" customFormat="1" x14ac:dyDescent="0.2">
      <c r="A172" s="529">
        <v>1</v>
      </c>
      <c r="B172" s="529">
        <v>1</v>
      </c>
      <c r="C172" s="530">
        <f t="shared" si="112"/>
        <v>41110</v>
      </c>
      <c r="D172" s="531">
        <v>41110</v>
      </c>
      <c r="E172" s="531">
        <v>43011</v>
      </c>
      <c r="F172" s="531" t="s">
        <v>1606</v>
      </c>
      <c r="G172" s="532"/>
      <c r="H172" s="532"/>
      <c r="I172" s="532" t="s">
        <v>32</v>
      </c>
      <c r="J172" s="532"/>
      <c r="K172" s="533">
        <v>401650</v>
      </c>
      <c r="L172" s="534" t="s">
        <v>422</v>
      </c>
      <c r="M172" s="534" t="s">
        <v>63</v>
      </c>
      <c r="N172" s="534" t="s">
        <v>430</v>
      </c>
      <c r="O172" s="535" t="s">
        <v>431</v>
      </c>
      <c r="P172" s="536">
        <v>40954</v>
      </c>
      <c r="Q172" s="537">
        <f t="shared" ca="1" si="102"/>
        <v>13.60164271047228</v>
      </c>
      <c r="R172" s="538">
        <v>6</v>
      </c>
      <c r="S172" s="539">
        <v>872</v>
      </c>
      <c r="T172" s="540">
        <v>872</v>
      </c>
      <c r="U172" s="541">
        <v>45017</v>
      </c>
      <c r="V172" s="542">
        <v>1</v>
      </c>
      <c r="W172" s="541">
        <v>45107</v>
      </c>
      <c r="X172" s="538">
        <v>48</v>
      </c>
      <c r="Y172" s="543">
        <f t="shared" si="95"/>
        <v>48</v>
      </c>
      <c r="Z172" s="543">
        <f t="shared" si="113"/>
        <v>0.25</v>
      </c>
      <c r="AA172" s="543" t="s">
        <v>48</v>
      </c>
      <c r="AB172" s="544">
        <v>22</v>
      </c>
      <c r="AC172" s="544"/>
      <c r="AD172" s="544"/>
      <c r="AE172" s="545" t="str">
        <f t="shared" si="103"/>
        <v>1</v>
      </c>
      <c r="AF172" s="545" t="str">
        <f t="shared" si="104"/>
        <v>0</v>
      </c>
      <c r="AG172" s="545" t="str">
        <f t="shared" si="105"/>
        <v>0</v>
      </c>
      <c r="AH172" s="545" t="str">
        <f t="shared" si="106"/>
        <v>NO</v>
      </c>
      <c r="AI172" s="545" t="str">
        <f t="shared" si="107"/>
        <v>NO</v>
      </c>
      <c r="AJ172" s="545" t="str">
        <f t="shared" si="108"/>
        <v>NO</v>
      </c>
      <c r="AK172" s="545" t="str">
        <f t="shared" si="109"/>
        <v>NO</v>
      </c>
      <c r="AL172" s="547"/>
      <c r="AM172" s="547">
        <f t="shared" si="116"/>
        <v>4400.9399999999987</v>
      </c>
      <c r="AN172" s="562" t="s">
        <v>56</v>
      </c>
      <c r="AO172" s="547">
        <v>1</v>
      </c>
      <c r="AP172" s="547">
        <f t="shared" ref="AP172:AP203" si="117">AO172*Z172</f>
        <v>0.25</v>
      </c>
      <c r="AQ172" s="549">
        <f t="shared" si="114"/>
        <v>1100.2349999999997</v>
      </c>
      <c r="AR172" s="547">
        <v>1444.0584374999996</v>
      </c>
      <c r="AS172" s="610">
        <v>1444.0584374999996</v>
      </c>
      <c r="AT172" s="550">
        <v>1444.0584374999996</v>
      </c>
      <c r="AU172" s="529"/>
      <c r="AV172" s="529"/>
      <c r="AW172" s="551" t="e">
        <f>VLOOKUP(K172,#REF!,8,FALSE)</f>
        <v>#REF!</v>
      </c>
      <c r="AX172" s="551" t="s">
        <v>2246</v>
      </c>
      <c r="AY172" s="551" t="e">
        <f>VLOOKUP(K172,#REF!,8,FALSE)</f>
        <v>#REF!</v>
      </c>
      <c r="AZ172" s="529"/>
      <c r="BA172" s="552"/>
      <c r="BB172" s="553">
        <f t="shared" si="115"/>
        <v>0</v>
      </c>
      <c r="BC172" s="484">
        <f t="shared" ref="BC172:BC235" si="118">AR172</f>
        <v>1444.0584374999996</v>
      </c>
      <c r="BD172" s="249" t="e">
        <f t="shared" si="101"/>
        <v>#REF!</v>
      </c>
      <c r="BE172" s="249" t="s">
        <v>2394</v>
      </c>
      <c r="BF172" s="249">
        <v>43012</v>
      </c>
      <c r="BH172" s="249" t="e">
        <f>VLOOKUP(K172,#REF!,8,FALSE)</f>
        <v>#REF!</v>
      </c>
      <c r="BJ172" s="249">
        <f>AB172</f>
        <v>22</v>
      </c>
      <c r="BK172" s="484">
        <f>AM172</f>
        <v>4400.9399999999987</v>
      </c>
      <c r="BL172" s="603"/>
      <c r="BM172" s="603" t="s">
        <v>75</v>
      </c>
      <c r="BN172" s="603"/>
      <c r="BO172" s="564">
        <f>BK172/192*127</f>
        <v>2911.038437499999</v>
      </c>
      <c r="BP172" s="555">
        <f t="shared" si="110"/>
        <v>4355.0968749999984</v>
      </c>
      <c r="BS172" s="556"/>
      <c r="BX172" s="557">
        <f t="shared" si="111"/>
        <v>4011.2734374999986</v>
      </c>
      <c r="BZ172" s="636">
        <f t="shared" si="93"/>
        <v>-343.82343749999973</v>
      </c>
      <c r="CA172" s="633">
        <f t="shared" si="94"/>
        <v>2567.2149999999992</v>
      </c>
    </row>
    <row r="173" spans="1:79" s="249" customFormat="1" x14ac:dyDescent="0.2">
      <c r="A173" s="529">
        <v>1</v>
      </c>
      <c r="B173" s="529">
        <v>1</v>
      </c>
      <c r="C173" s="530">
        <f t="shared" si="112"/>
        <v>41110</v>
      </c>
      <c r="D173" s="531">
        <v>41110</v>
      </c>
      <c r="E173" s="531">
        <v>43011</v>
      </c>
      <c r="F173" s="531" t="s">
        <v>1606</v>
      </c>
      <c r="G173" s="532"/>
      <c r="H173" s="532"/>
      <c r="I173" s="532" t="s">
        <v>32</v>
      </c>
      <c r="J173" s="532"/>
      <c r="K173" s="533">
        <v>414994</v>
      </c>
      <c r="L173" s="534" t="s">
        <v>422</v>
      </c>
      <c r="M173" s="534" t="s">
        <v>406</v>
      </c>
      <c r="N173" s="534" t="s">
        <v>432</v>
      </c>
      <c r="O173" s="535" t="s">
        <v>433</v>
      </c>
      <c r="P173" s="536">
        <v>41851</v>
      </c>
      <c r="Q173" s="537">
        <f t="shared" ca="1" si="102"/>
        <v>11.145790554414784</v>
      </c>
      <c r="R173" s="538">
        <v>4</v>
      </c>
      <c r="S173" s="539">
        <v>872</v>
      </c>
      <c r="T173" s="540">
        <v>872</v>
      </c>
      <c r="U173" s="541">
        <v>45017</v>
      </c>
      <c r="V173" s="542">
        <v>1</v>
      </c>
      <c r="W173" s="541">
        <v>45107</v>
      </c>
      <c r="X173" s="538">
        <v>48</v>
      </c>
      <c r="Y173" s="543">
        <f t="shared" si="95"/>
        <v>48</v>
      </c>
      <c r="Z173" s="543">
        <f t="shared" si="113"/>
        <v>0.25</v>
      </c>
      <c r="AA173" s="543" t="s">
        <v>36</v>
      </c>
      <c r="AB173" s="544">
        <v>30</v>
      </c>
      <c r="AC173" s="544"/>
      <c r="AD173" s="544"/>
      <c r="AE173" s="545" t="str">
        <f t="shared" si="103"/>
        <v>0</v>
      </c>
      <c r="AF173" s="545" t="str">
        <f t="shared" si="104"/>
        <v>1</v>
      </c>
      <c r="AG173" s="545" t="str">
        <f t="shared" si="105"/>
        <v>0</v>
      </c>
      <c r="AH173" s="545" t="str">
        <f t="shared" si="106"/>
        <v>NO</v>
      </c>
      <c r="AI173" s="545" t="str">
        <f t="shared" si="107"/>
        <v>NO</v>
      </c>
      <c r="AJ173" s="545" t="str">
        <f t="shared" si="108"/>
        <v>NO</v>
      </c>
      <c r="AK173" s="545" t="str">
        <f t="shared" si="109"/>
        <v>NO</v>
      </c>
      <c r="AL173" s="547"/>
      <c r="AM173" s="547">
        <f t="shared" si="116"/>
        <v>8183.0999999999985</v>
      </c>
      <c r="AN173" s="562" t="s">
        <v>37</v>
      </c>
      <c r="AO173" s="547">
        <v>1</v>
      </c>
      <c r="AP173" s="547">
        <f t="shared" si="117"/>
        <v>0.25</v>
      </c>
      <c r="AQ173" s="549">
        <f t="shared" si="114"/>
        <v>2045.7749999999996</v>
      </c>
      <c r="AR173" s="547">
        <v>8183.0999999999985</v>
      </c>
      <c r="AS173" s="610">
        <v>8183.0999999999985</v>
      </c>
      <c r="AT173" s="550">
        <v>8183.0999999999985</v>
      </c>
      <c r="AU173" s="529"/>
      <c r="AV173" s="529"/>
      <c r="AW173" s="551" t="e">
        <f>VLOOKUP(K173,#REF!,8,FALSE)</f>
        <v>#REF!</v>
      </c>
      <c r="AX173" s="551" t="e">
        <f>VLOOKUP(K173,#REF!,8,FALSE)</f>
        <v>#REF!</v>
      </c>
      <c r="AY173" s="551" t="e">
        <f>VLOOKUP(K173,#REF!,8,FALSE)</f>
        <v>#REF!</v>
      </c>
      <c r="AZ173" s="529"/>
      <c r="BA173" s="552"/>
      <c r="BB173" s="553">
        <f t="shared" si="115"/>
        <v>0</v>
      </c>
      <c r="BC173" s="484">
        <f t="shared" si="118"/>
        <v>8183.0999999999985</v>
      </c>
      <c r="BD173" s="249" t="str">
        <f t="shared" si="101"/>
        <v/>
      </c>
      <c r="BL173" s="554"/>
      <c r="BM173" s="554"/>
      <c r="BN173" s="554"/>
      <c r="BP173" s="555">
        <f t="shared" si="110"/>
        <v>8183.0999999999985</v>
      </c>
      <c r="BS173" s="556"/>
      <c r="BX173" s="557">
        <f t="shared" si="111"/>
        <v>2045.7749999999996</v>
      </c>
      <c r="BZ173" s="636">
        <f t="shared" si="93"/>
        <v>-6137.3249999999989</v>
      </c>
      <c r="CA173" s="633">
        <f t="shared" si="94"/>
        <v>-6137.3249999999989</v>
      </c>
    </row>
    <row r="174" spans="1:79" s="249" customFormat="1" x14ac:dyDescent="0.2">
      <c r="A174" s="529">
        <v>1</v>
      </c>
      <c r="B174" s="529">
        <v>1</v>
      </c>
      <c r="C174" s="530">
        <f t="shared" si="112"/>
        <v>41110</v>
      </c>
      <c r="D174" s="531">
        <v>41110</v>
      </c>
      <c r="E174" s="531">
        <v>43011</v>
      </c>
      <c r="F174" s="531" t="s">
        <v>1606</v>
      </c>
      <c r="G174" s="532"/>
      <c r="H174" s="532"/>
      <c r="I174" s="532" t="s">
        <v>32</v>
      </c>
      <c r="J174" s="532"/>
      <c r="K174" s="533">
        <v>422418</v>
      </c>
      <c r="L174" s="534" t="s">
        <v>422</v>
      </c>
      <c r="M174" s="534" t="s">
        <v>434</v>
      </c>
      <c r="N174" s="534" t="s">
        <v>435</v>
      </c>
      <c r="O174" s="535" t="s">
        <v>436</v>
      </c>
      <c r="P174" s="536">
        <v>42203</v>
      </c>
      <c r="Q174" s="537">
        <f t="shared" ca="1" si="102"/>
        <v>10.182067077344286</v>
      </c>
      <c r="R174" s="538">
        <v>3</v>
      </c>
      <c r="S174" s="539">
        <v>872</v>
      </c>
      <c r="T174" s="540">
        <v>872</v>
      </c>
      <c r="U174" s="541">
        <v>45034</v>
      </c>
      <c r="V174" s="542">
        <v>3</v>
      </c>
      <c r="W174" s="541">
        <v>45107</v>
      </c>
      <c r="X174" s="538">
        <v>48</v>
      </c>
      <c r="Y174" s="543">
        <f t="shared" si="95"/>
        <v>46</v>
      </c>
      <c r="Z174" s="543">
        <f t="shared" si="113"/>
        <v>0.23958333333333334</v>
      </c>
      <c r="AA174" s="543" t="s">
        <v>36</v>
      </c>
      <c r="AB174" s="544">
        <v>22</v>
      </c>
      <c r="AC174" s="544"/>
      <c r="AD174" s="544"/>
      <c r="AE174" s="545" t="str">
        <f t="shared" si="103"/>
        <v>1</v>
      </c>
      <c r="AF174" s="545" t="str">
        <f t="shared" si="104"/>
        <v>0</v>
      </c>
      <c r="AG174" s="545" t="str">
        <f t="shared" si="105"/>
        <v>0</v>
      </c>
      <c r="AH174" s="545" t="str">
        <f t="shared" si="106"/>
        <v>NO</v>
      </c>
      <c r="AI174" s="545" t="str">
        <f t="shared" si="107"/>
        <v>NO</v>
      </c>
      <c r="AJ174" s="545" t="str">
        <f t="shared" si="108"/>
        <v>NO</v>
      </c>
      <c r="AK174" s="545" t="str">
        <f t="shared" si="109"/>
        <v>NO</v>
      </c>
      <c r="AL174" s="547"/>
      <c r="AM174" s="547">
        <f t="shared" si="116"/>
        <v>4400.9399999999987</v>
      </c>
      <c r="AN174" s="562" t="s">
        <v>37</v>
      </c>
      <c r="AO174" s="547">
        <v>1</v>
      </c>
      <c r="AP174" s="547">
        <f t="shared" si="117"/>
        <v>0.23958333333333334</v>
      </c>
      <c r="AQ174" s="549">
        <f t="shared" si="114"/>
        <v>1054.3918749999998</v>
      </c>
      <c r="AR174" s="547">
        <v>4355.0968749999993</v>
      </c>
      <c r="AS174" s="610">
        <v>0</v>
      </c>
      <c r="AT174" s="550">
        <v>4355.0968749999993</v>
      </c>
      <c r="AU174" s="529"/>
      <c r="AV174" s="529"/>
      <c r="AW174" s="551" t="e">
        <f>VLOOKUP(K174,#REF!,8,FALSE)</f>
        <v>#REF!</v>
      </c>
      <c r="AX174" s="551" t="e">
        <f>VLOOKUP(K174,#REF!,8,FALSE)</f>
        <v>#REF!</v>
      </c>
      <c r="AY174" s="551" t="e">
        <f>VLOOKUP(K174,#REF!,8,FALSE)</f>
        <v>#REF!</v>
      </c>
      <c r="AZ174" s="529"/>
      <c r="BA174" s="552"/>
      <c r="BB174" s="553">
        <f t="shared" si="115"/>
        <v>0</v>
      </c>
      <c r="BC174" s="484">
        <f t="shared" si="118"/>
        <v>4355.0968749999993</v>
      </c>
      <c r="BD174" s="249" t="str">
        <f t="shared" si="101"/>
        <v/>
      </c>
      <c r="BL174" s="554"/>
      <c r="BM174" s="554"/>
      <c r="BN174" s="554"/>
      <c r="BP174" s="555">
        <f t="shared" si="110"/>
        <v>4355.0968749999993</v>
      </c>
      <c r="BS174" s="556"/>
      <c r="BX174" s="557">
        <f t="shared" si="111"/>
        <v>1054.3918749999998</v>
      </c>
      <c r="BZ174" s="636">
        <f t="shared" si="93"/>
        <v>-3300.7049999999995</v>
      </c>
      <c r="CA174" s="633">
        <f t="shared" si="94"/>
        <v>1054.3918749999998</v>
      </c>
    </row>
    <row r="175" spans="1:79" s="249" customFormat="1" x14ac:dyDescent="0.2">
      <c r="A175" s="529">
        <v>1</v>
      </c>
      <c r="B175" s="529">
        <v>1</v>
      </c>
      <c r="C175" s="530">
        <f t="shared" si="112"/>
        <v>41110</v>
      </c>
      <c r="D175" s="531">
        <v>41110</v>
      </c>
      <c r="E175" s="531">
        <v>43011</v>
      </c>
      <c r="F175" s="531" t="s">
        <v>1606</v>
      </c>
      <c r="G175" s="532"/>
      <c r="H175" s="532"/>
      <c r="I175" s="532" t="s">
        <v>32</v>
      </c>
      <c r="J175" s="532"/>
      <c r="K175" s="533">
        <v>419836</v>
      </c>
      <c r="L175" s="534" t="s">
        <v>422</v>
      </c>
      <c r="M175" s="534" t="s">
        <v>151</v>
      </c>
      <c r="N175" s="534" t="s">
        <v>437</v>
      </c>
      <c r="O175" s="535" t="s">
        <v>438</v>
      </c>
      <c r="P175" s="536">
        <v>42039</v>
      </c>
      <c r="Q175" s="537">
        <f t="shared" ca="1" si="102"/>
        <v>10.63107460643395</v>
      </c>
      <c r="R175" s="538">
        <v>3</v>
      </c>
      <c r="S175" s="539">
        <v>872</v>
      </c>
      <c r="T175" s="540">
        <v>872</v>
      </c>
      <c r="U175" s="541">
        <v>45017</v>
      </c>
      <c r="V175" s="542">
        <v>1</v>
      </c>
      <c r="W175" s="541">
        <v>45107</v>
      </c>
      <c r="X175" s="538">
        <v>48</v>
      </c>
      <c r="Y175" s="543">
        <f t="shared" si="95"/>
        <v>48</v>
      </c>
      <c r="Z175" s="543">
        <f t="shared" si="113"/>
        <v>0.25</v>
      </c>
      <c r="AA175" s="543" t="s">
        <v>36</v>
      </c>
      <c r="AB175" s="544">
        <v>25</v>
      </c>
      <c r="AC175" s="544"/>
      <c r="AD175" s="544"/>
      <c r="AE175" s="545" t="str">
        <f t="shared" si="103"/>
        <v>1</v>
      </c>
      <c r="AF175" s="545" t="str">
        <f t="shared" si="104"/>
        <v>0</v>
      </c>
      <c r="AG175" s="545" t="str">
        <f t="shared" si="105"/>
        <v>0</v>
      </c>
      <c r="AH175" s="545" t="str">
        <f t="shared" si="106"/>
        <v>NO</v>
      </c>
      <c r="AI175" s="545" t="str">
        <f t="shared" si="107"/>
        <v>NO</v>
      </c>
      <c r="AJ175" s="545" t="str">
        <f t="shared" si="108"/>
        <v>NO</v>
      </c>
      <c r="AK175" s="545" t="str">
        <f t="shared" si="109"/>
        <v>NO</v>
      </c>
      <c r="AL175" s="547"/>
      <c r="AM175" s="547">
        <f t="shared" si="116"/>
        <v>5819.25</v>
      </c>
      <c r="AN175" s="562" t="s">
        <v>37</v>
      </c>
      <c r="AO175" s="547">
        <v>1</v>
      </c>
      <c r="AP175" s="547">
        <f t="shared" si="117"/>
        <v>0.25</v>
      </c>
      <c r="AQ175" s="549">
        <f t="shared" si="114"/>
        <v>1454.8125</v>
      </c>
      <c r="AR175" s="547">
        <v>5819.25</v>
      </c>
      <c r="AS175" s="610">
        <v>5819.25</v>
      </c>
      <c r="AT175" s="550">
        <v>5819.25</v>
      </c>
      <c r="AU175" s="529"/>
      <c r="AV175" s="529"/>
      <c r="AW175" s="551" t="e">
        <f>VLOOKUP(K175,#REF!,8,FALSE)</f>
        <v>#REF!</v>
      </c>
      <c r="AX175" s="551" t="e">
        <f>VLOOKUP(K175,#REF!,8,FALSE)</f>
        <v>#REF!</v>
      </c>
      <c r="AY175" s="551" t="e">
        <f>VLOOKUP(K175,#REF!,8,FALSE)</f>
        <v>#REF!</v>
      </c>
      <c r="AZ175" s="529"/>
      <c r="BA175" s="552"/>
      <c r="BB175" s="553">
        <f t="shared" si="115"/>
        <v>0</v>
      </c>
      <c r="BC175" s="484">
        <f t="shared" si="118"/>
        <v>5819.25</v>
      </c>
      <c r="BD175" s="249" t="str">
        <f t="shared" si="101"/>
        <v/>
      </c>
      <c r="BL175" s="554"/>
      <c r="BM175" s="554"/>
      <c r="BN175" s="554"/>
      <c r="BP175" s="555">
        <f t="shared" si="110"/>
        <v>5819.25</v>
      </c>
      <c r="BS175" s="556"/>
      <c r="BX175" s="557">
        <f t="shared" si="111"/>
        <v>1454.8125</v>
      </c>
      <c r="BZ175" s="636">
        <f t="shared" si="93"/>
        <v>-4364.4375</v>
      </c>
      <c r="CA175" s="633">
        <f t="shared" si="94"/>
        <v>-4364.4375</v>
      </c>
    </row>
    <row r="176" spans="1:79" s="249" customFormat="1" x14ac:dyDescent="0.2">
      <c r="A176" s="529">
        <v>1</v>
      </c>
      <c r="B176" s="529">
        <v>1</v>
      </c>
      <c r="C176" s="530">
        <f t="shared" si="112"/>
        <v>41110</v>
      </c>
      <c r="D176" s="531">
        <v>41110</v>
      </c>
      <c r="E176" s="531">
        <v>43011</v>
      </c>
      <c r="F176" s="531" t="s">
        <v>1606</v>
      </c>
      <c r="G176" s="532"/>
      <c r="H176" s="532"/>
      <c r="I176" s="532" t="s">
        <v>32</v>
      </c>
      <c r="J176" s="532"/>
      <c r="K176" s="565">
        <v>419686</v>
      </c>
      <c r="L176" s="534" t="s">
        <v>422</v>
      </c>
      <c r="M176" s="534" t="s">
        <v>439</v>
      </c>
      <c r="N176" s="534" t="s">
        <v>440</v>
      </c>
      <c r="O176" s="566" t="str">
        <f>M176&amp;N176</f>
        <v>MarnieHearnon</v>
      </c>
      <c r="P176" s="536">
        <v>42006</v>
      </c>
      <c r="Q176" s="537">
        <f t="shared" ca="1" si="102"/>
        <v>10.721423682409309</v>
      </c>
      <c r="R176" s="538">
        <v>3</v>
      </c>
      <c r="S176" s="539">
        <v>872</v>
      </c>
      <c r="T176" s="540">
        <v>872</v>
      </c>
      <c r="U176" s="541">
        <v>45017</v>
      </c>
      <c r="V176" s="542">
        <v>1</v>
      </c>
      <c r="W176" s="541">
        <v>45107</v>
      </c>
      <c r="X176" s="538">
        <v>48</v>
      </c>
      <c r="Y176" s="543">
        <f t="shared" si="95"/>
        <v>48</v>
      </c>
      <c r="Z176" s="543">
        <f t="shared" si="113"/>
        <v>0.25</v>
      </c>
      <c r="AA176" s="543" t="s">
        <v>36</v>
      </c>
      <c r="AB176" s="567">
        <v>30</v>
      </c>
      <c r="AC176" s="567"/>
      <c r="AD176" s="567"/>
      <c r="AE176" s="545" t="str">
        <f t="shared" si="103"/>
        <v>0</v>
      </c>
      <c r="AF176" s="545" t="str">
        <f t="shared" si="104"/>
        <v>1</v>
      </c>
      <c r="AG176" s="545" t="str">
        <f t="shared" si="105"/>
        <v>0</v>
      </c>
      <c r="AH176" s="545" t="str">
        <f t="shared" si="106"/>
        <v>NO</v>
      </c>
      <c r="AI176" s="545" t="str">
        <f t="shared" si="107"/>
        <v>NO</v>
      </c>
      <c r="AJ176" s="545" t="str">
        <f t="shared" si="108"/>
        <v>NO</v>
      </c>
      <c r="AK176" s="545" t="str">
        <f t="shared" si="109"/>
        <v>NO</v>
      </c>
      <c r="AL176" s="547"/>
      <c r="AM176" s="547">
        <f t="shared" si="116"/>
        <v>8183.0999999999985</v>
      </c>
      <c r="AN176" s="562"/>
      <c r="AO176" s="547">
        <v>1</v>
      </c>
      <c r="AP176" s="547">
        <f t="shared" si="117"/>
        <v>0.25</v>
      </c>
      <c r="AQ176" s="549">
        <f t="shared" si="114"/>
        <v>2045.7749999999996</v>
      </c>
      <c r="AR176" s="547">
        <v>8183.0999999999985</v>
      </c>
      <c r="AS176" s="610">
        <v>8183.0999999999985</v>
      </c>
      <c r="AT176" s="550">
        <v>8183.0999999999985</v>
      </c>
      <c r="AU176" s="529"/>
      <c r="AV176" s="529"/>
      <c r="AW176" s="551" t="e">
        <f>VLOOKUP(K176,#REF!,8,FALSE)</f>
        <v>#REF!</v>
      </c>
      <c r="AX176" s="551" t="e">
        <f>VLOOKUP(K176,#REF!,8,FALSE)</f>
        <v>#REF!</v>
      </c>
      <c r="AY176" s="551" t="e">
        <f>VLOOKUP(K176,#REF!,8,FALSE)</f>
        <v>#REF!</v>
      </c>
      <c r="AZ176" s="529"/>
      <c r="BA176" s="552"/>
      <c r="BB176" s="553">
        <f t="shared" si="115"/>
        <v>0</v>
      </c>
      <c r="BC176" s="484">
        <f t="shared" si="118"/>
        <v>8183.0999999999985</v>
      </c>
      <c r="BD176" s="249" t="str">
        <f t="shared" si="101"/>
        <v/>
      </c>
      <c r="BL176" s="554"/>
      <c r="BM176" s="554"/>
      <c r="BN176" s="554"/>
      <c r="BP176" s="555">
        <f t="shared" si="110"/>
        <v>8183.0999999999985</v>
      </c>
      <c r="BS176" s="556"/>
      <c r="BX176" s="557">
        <f t="shared" si="111"/>
        <v>2045.7749999999996</v>
      </c>
      <c r="BZ176" s="636">
        <f t="shared" si="93"/>
        <v>-6137.3249999999989</v>
      </c>
      <c r="CA176" s="633">
        <f t="shared" si="94"/>
        <v>-6137.3249999999989</v>
      </c>
    </row>
    <row r="177" spans="1:79" s="249" customFormat="1" x14ac:dyDescent="0.2">
      <c r="A177" s="529">
        <v>1</v>
      </c>
      <c r="B177" s="529">
        <v>1</v>
      </c>
      <c r="C177" s="530">
        <f t="shared" si="112"/>
        <v>41110</v>
      </c>
      <c r="D177" s="531">
        <v>41110</v>
      </c>
      <c r="E177" s="531">
        <v>43011</v>
      </c>
      <c r="F177" s="531" t="s">
        <v>1606</v>
      </c>
      <c r="G177" s="532"/>
      <c r="H177" s="532"/>
      <c r="I177" s="532" t="s">
        <v>32</v>
      </c>
      <c r="J177" s="532"/>
      <c r="K177" s="565">
        <v>413640</v>
      </c>
      <c r="L177" s="534" t="s">
        <v>422</v>
      </c>
      <c r="M177" s="534" t="s">
        <v>285</v>
      </c>
      <c r="N177" s="534" t="s">
        <v>441</v>
      </c>
      <c r="O177" s="566" t="s">
        <v>442</v>
      </c>
      <c r="P177" s="536">
        <v>41385</v>
      </c>
      <c r="Q177" s="537">
        <f t="shared" ca="1" si="102"/>
        <v>12.421629021218344</v>
      </c>
      <c r="R177" s="538">
        <v>5</v>
      </c>
      <c r="S177" s="539">
        <v>872</v>
      </c>
      <c r="T177" s="540">
        <v>872</v>
      </c>
      <c r="U177" s="541">
        <v>45017</v>
      </c>
      <c r="V177" s="542">
        <v>1</v>
      </c>
      <c r="W177" s="541">
        <v>45107</v>
      </c>
      <c r="X177" s="538">
        <v>48</v>
      </c>
      <c r="Y177" s="543">
        <f t="shared" si="95"/>
        <v>48</v>
      </c>
      <c r="Z177" s="543">
        <f t="shared" si="113"/>
        <v>0.25</v>
      </c>
      <c r="AA177" s="543" t="s">
        <v>36</v>
      </c>
      <c r="AB177" s="544">
        <v>28</v>
      </c>
      <c r="AC177" s="544"/>
      <c r="AD177" s="544"/>
      <c r="AE177" s="545" t="str">
        <f t="shared" si="103"/>
        <v>0</v>
      </c>
      <c r="AF177" s="545" t="str">
        <f t="shared" si="104"/>
        <v>1</v>
      </c>
      <c r="AG177" s="545" t="str">
        <f t="shared" si="105"/>
        <v>0</v>
      </c>
      <c r="AH177" s="545" t="str">
        <f t="shared" si="106"/>
        <v>NO</v>
      </c>
      <c r="AI177" s="545" t="str">
        <f t="shared" si="107"/>
        <v>NO</v>
      </c>
      <c r="AJ177" s="545" t="str">
        <f t="shared" si="108"/>
        <v>NO</v>
      </c>
      <c r="AK177" s="545" t="str">
        <f t="shared" si="109"/>
        <v>NO</v>
      </c>
      <c r="AL177" s="547"/>
      <c r="AM177" s="547">
        <f t="shared" si="116"/>
        <v>7237.5599999999995</v>
      </c>
      <c r="AN177" s="562" t="s">
        <v>66</v>
      </c>
      <c r="AO177" s="547">
        <v>1</v>
      </c>
      <c r="AP177" s="547">
        <f t="shared" si="117"/>
        <v>0.25</v>
      </c>
      <c r="AQ177" s="549">
        <f t="shared" si="114"/>
        <v>1809.3899999999999</v>
      </c>
      <c r="AR177" s="547">
        <v>7237.5599999999995</v>
      </c>
      <c r="AS177" s="610">
        <v>7237.5599999999995</v>
      </c>
      <c r="AT177" s="550">
        <v>7237.5599999999995</v>
      </c>
      <c r="AU177" s="529"/>
      <c r="AV177" s="529"/>
      <c r="AW177" s="551" t="e">
        <f>VLOOKUP(K177,#REF!,8,FALSE)</f>
        <v>#REF!</v>
      </c>
      <c r="AX177" s="551" t="e">
        <f>VLOOKUP(K177,#REF!,8,FALSE)</f>
        <v>#REF!</v>
      </c>
      <c r="AY177" s="551" t="e">
        <f>VLOOKUP(K177,#REF!,8,FALSE)</f>
        <v>#REF!</v>
      </c>
      <c r="AZ177" s="529"/>
      <c r="BA177" s="552"/>
      <c r="BB177" s="553">
        <f t="shared" si="115"/>
        <v>0</v>
      </c>
      <c r="BC177" s="484">
        <f t="shared" si="118"/>
        <v>7237.5599999999995</v>
      </c>
      <c r="BD177" s="249" t="str">
        <f t="shared" si="101"/>
        <v/>
      </c>
      <c r="BL177" s="554"/>
      <c r="BM177" s="554"/>
      <c r="BN177" s="554"/>
      <c r="BP177" s="555">
        <f t="shared" si="110"/>
        <v>7237.5599999999995</v>
      </c>
      <c r="BS177" s="556"/>
      <c r="BX177" s="557">
        <f t="shared" si="111"/>
        <v>1809.3899999999999</v>
      </c>
      <c r="BZ177" s="636">
        <f t="shared" si="93"/>
        <v>-5428.17</v>
      </c>
      <c r="CA177" s="633">
        <f t="shared" si="94"/>
        <v>-5428.17</v>
      </c>
    </row>
    <row r="178" spans="1:79" s="249" customFormat="1" x14ac:dyDescent="0.2">
      <c r="A178" s="529">
        <v>1</v>
      </c>
      <c r="B178" s="529">
        <v>1</v>
      </c>
      <c r="C178" s="530">
        <f t="shared" si="112"/>
        <v>41110</v>
      </c>
      <c r="D178" s="531">
        <v>41110</v>
      </c>
      <c r="E178" s="531">
        <v>43011</v>
      </c>
      <c r="F178" s="531" t="s">
        <v>1606</v>
      </c>
      <c r="G178" s="532"/>
      <c r="H178" s="532"/>
      <c r="I178" s="532" t="s">
        <v>32</v>
      </c>
      <c r="J178" s="532"/>
      <c r="K178" s="565">
        <v>407072</v>
      </c>
      <c r="L178" s="534" t="s">
        <v>422</v>
      </c>
      <c r="M178" s="534" t="s">
        <v>443</v>
      </c>
      <c r="N178" s="534" t="s">
        <v>444</v>
      </c>
      <c r="O178" s="566" t="s">
        <v>445</v>
      </c>
      <c r="P178" s="536">
        <v>41052</v>
      </c>
      <c r="Q178" s="537">
        <f t="shared" ca="1" si="102"/>
        <v>13.333333333333334</v>
      </c>
      <c r="R178" s="538">
        <v>6</v>
      </c>
      <c r="S178" s="539">
        <v>872</v>
      </c>
      <c r="T178" s="540">
        <v>872</v>
      </c>
      <c r="U178" s="541">
        <v>45017</v>
      </c>
      <c r="V178" s="542">
        <v>1</v>
      </c>
      <c r="W178" s="541">
        <v>45107</v>
      </c>
      <c r="X178" s="538">
        <v>48</v>
      </c>
      <c r="Y178" s="543">
        <f t="shared" si="95"/>
        <v>48</v>
      </c>
      <c r="Z178" s="543">
        <f t="shared" si="113"/>
        <v>0.25</v>
      </c>
      <c r="AA178" s="543" t="s">
        <v>48</v>
      </c>
      <c r="AB178" s="567">
        <v>30</v>
      </c>
      <c r="AC178" s="567"/>
      <c r="AD178" s="567"/>
      <c r="AE178" s="545" t="str">
        <f t="shared" si="103"/>
        <v>0</v>
      </c>
      <c r="AF178" s="545" t="str">
        <f t="shared" si="104"/>
        <v>1</v>
      </c>
      <c r="AG178" s="545" t="str">
        <f t="shared" si="105"/>
        <v>0</v>
      </c>
      <c r="AH178" s="545" t="str">
        <f t="shared" si="106"/>
        <v>NO</v>
      </c>
      <c r="AI178" s="545" t="str">
        <f t="shared" si="107"/>
        <v>NO</v>
      </c>
      <c r="AJ178" s="545" t="str">
        <f t="shared" si="108"/>
        <v>NO</v>
      </c>
      <c r="AK178" s="545" t="str">
        <f t="shared" si="109"/>
        <v>NO</v>
      </c>
      <c r="AL178" s="547"/>
      <c r="AM178" s="547">
        <f t="shared" si="116"/>
        <v>8183.0999999999985</v>
      </c>
      <c r="AN178" s="562" t="s">
        <v>56</v>
      </c>
      <c r="AO178" s="547">
        <v>1</v>
      </c>
      <c r="AP178" s="547">
        <f t="shared" si="117"/>
        <v>0.25</v>
      </c>
      <c r="AQ178" s="549">
        <f t="shared" si="114"/>
        <v>2045.7749999999996</v>
      </c>
      <c r="AR178" s="547">
        <v>2685.0796874999996</v>
      </c>
      <c r="AS178" s="610">
        <v>2685.0796874999996</v>
      </c>
      <c r="AT178" s="550">
        <v>2685.0796874999996</v>
      </c>
      <c r="AU178" s="529"/>
      <c r="AV178" s="529"/>
      <c r="AW178" s="551" t="e">
        <f>VLOOKUP(K178,#REF!,8,FALSE)</f>
        <v>#REF!</v>
      </c>
      <c r="AX178" s="551" t="s">
        <v>2267</v>
      </c>
      <c r="AY178" s="551" t="e">
        <f>VLOOKUP(K178,#REF!,8,FALSE)</f>
        <v>#REF!</v>
      </c>
      <c r="AZ178" s="551" t="s">
        <v>75</v>
      </c>
      <c r="BA178" s="604">
        <f>AM178/3*2</f>
        <v>5455.3999999999987</v>
      </c>
      <c r="BB178" s="553">
        <f t="shared" si="115"/>
        <v>0</v>
      </c>
      <c r="BC178" s="484">
        <f t="shared" si="118"/>
        <v>2685.0796874999996</v>
      </c>
      <c r="BD178" s="249" t="s">
        <v>2267</v>
      </c>
      <c r="BE178" s="605" t="s">
        <v>2267</v>
      </c>
      <c r="BF178" s="605">
        <v>43012</v>
      </c>
      <c r="BH178" s="249" t="e">
        <f>VLOOKUP(K178,#REF!,8,FALSE)</f>
        <v>#REF!</v>
      </c>
      <c r="BJ178" s="249">
        <f>AB178</f>
        <v>30</v>
      </c>
      <c r="BK178" s="484">
        <f>AM178</f>
        <v>8183.0999999999985</v>
      </c>
      <c r="BL178" s="603"/>
      <c r="BM178" s="603" t="s">
        <v>75</v>
      </c>
      <c r="BN178" s="603"/>
      <c r="BO178" s="564">
        <f>BK178/192*127</f>
        <v>5412.7796874999985</v>
      </c>
      <c r="BP178" s="555">
        <f t="shared" si="110"/>
        <v>8097.8593749999982</v>
      </c>
      <c r="BQ178" s="564">
        <v>5412.7796874999985</v>
      </c>
      <c r="BR178" s="249" t="s">
        <v>2446</v>
      </c>
      <c r="BS178" s="556"/>
      <c r="BX178" s="557">
        <f t="shared" si="111"/>
        <v>7458.5546874999982</v>
      </c>
      <c r="BZ178" s="636">
        <f t="shared" si="93"/>
        <v>-639.3046875</v>
      </c>
      <c r="CA178" s="633">
        <f t="shared" si="94"/>
        <v>4773.4749999999985</v>
      </c>
    </row>
    <row r="179" spans="1:79" s="249" customFormat="1" x14ac:dyDescent="0.2">
      <c r="A179" s="529">
        <v>1</v>
      </c>
      <c r="B179" s="529">
        <v>1</v>
      </c>
      <c r="C179" s="530">
        <f t="shared" si="112"/>
        <v>41110</v>
      </c>
      <c r="D179" s="531">
        <v>41110</v>
      </c>
      <c r="E179" s="531">
        <v>43011</v>
      </c>
      <c r="F179" s="531" t="s">
        <v>1606</v>
      </c>
      <c r="G179" s="532"/>
      <c r="H179" s="532"/>
      <c r="I179" s="532" t="s">
        <v>32</v>
      </c>
      <c r="J179" s="532"/>
      <c r="K179" s="565">
        <v>406183</v>
      </c>
      <c r="L179" s="534" t="s">
        <v>422</v>
      </c>
      <c r="M179" s="534" t="s">
        <v>446</v>
      </c>
      <c r="N179" s="534" t="s">
        <v>206</v>
      </c>
      <c r="O179" s="566" t="s">
        <v>447</v>
      </c>
      <c r="P179" s="536">
        <v>41238</v>
      </c>
      <c r="Q179" s="537">
        <f t="shared" ca="1" si="102"/>
        <v>12.824093086926762</v>
      </c>
      <c r="R179" s="538">
        <v>5</v>
      </c>
      <c r="S179" s="539">
        <v>872</v>
      </c>
      <c r="T179" s="540">
        <v>872</v>
      </c>
      <c r="U179" s="541">
        <v>45017</v>
      </c>
      <c r="V179" s="542">
        <v>1</v>
      </c>
      <c r="W179" s="541">
        <v>45107</v>
      </c>
      <c r="X179" s="538">
        <v>48</v>
      </c>
      <c r="Y179" s="543">
        <f t="shared" si="95"/>
        <v>48</v>
      </c>
      <c r="Z179" s="543">
        <f t="shared" si="113"/>
        <v>0.25</v>
      </c>
      <c r="AA179" s="543" t="s">
        <v>36</v>
      </c>
      <c r="AB179" s="567">
        <v>30</v>
      </c>
      <c r="AC179" s="567"/>
      <c r="AD179" s="567"/>
      <c r="AE179" s="545" t="str">
        <f t="shared" si="103"/>
        <v>0</v>
      </c>
      <c r="AF179" s="545" t="str">
        <f t="shared" si="104"/>
        <v>1</v>
      </c>
      <c r="AG179" s="545" t="str">
        <f t="shared" si="105"/>
        <v>0</v>
      </c>
      <c r="AH179" s="545" t="str">
        <f t="shared" si="106"/>
        <v>NO</v>
      </c>
      <c r="AI179" s="545" t="str">
        <f t="shared" si="107"/>
        <v>NO</v>
      </c>
      <c r="AJ179" s="545" t="str">
        <f t="shared" si="108"/>
        <v>NO</v>
      </c>
      <c r="AK179" s="545" t="str">
        <f t="shared" si="109"/>
        <v>NO</v>
      </c>
      <c r="AL179" s="547"/>
      <c r="AM179" s="547">
        <f t="shared" si="116"/>
        <v>8183.0999999999985</v>
      </c>
      <c r="AN179" s="562" t="s">
        <v>43</v>
      </c>
      <c r="AO179" s="547">
        <v>1</v>
      </c>
      <c r="AP179" s="547">
        <f t="shared" si="117"/>
        <v>0.25</v>
      </c>
      <c r="AQ179" s="549">
        <f t="shared" si="114"/>
        <v>2045.7749999999996</v>
      </c>
      <c r="AR179" s="547">
        <v>8183.0999999999985</v>
      </c>
      <c r="AS179" s="610">
        <v>8183.0999999999985</v>
      </c>
      <c r="AT179" s="550">
        <v>8183.0999999999985</v>
      </c>
      <c r="AU179" s="529"/>
      <c r="AV179" s="529"/>
      <c r="AW179" s="551" t="e">
        <f>VLOOKUP(K179,#REF!,8,FALSE)</f>
        <v>#REF!</v>
      </c>
      <c r="AX179" s="551" t="e">
        <f>VLOOKUP(K179,#REF!,8,FALSE)</f>
        <v>#REF!</v>
      </c>
      <c r="AY179" s="551" t="e">
        <f>VLOOKUP(K179,#REF!,8,FALSE)</f>
        <v>#REF!</v>
      </c>
      <c r="AZ179" s="529"/>
      <c r="BA179" s="552"/>
      <c r="BB179" s="553">
        <f t="shared" si="115"/>
        <v>0</v>
      </c>
      <c r="BC179" s="484">
        <f t="shared" si="118"/>
        <v>8183.0999999999985</v>
      </c>
      <c r="BD179" s="249" t="str">
        <f t="shared" ref="BD179:BD194" si="119">BG179&amp;BH179&amp;BI179</f>
        <v/>
      </c>
      <c r="BL179" s="554"/>
      <c r="BM179" s="554"/>
      <c r="BN179" s="554"/>
      <c r="BP179" s="555">
        <f t="shared" si="110"/>
        <v>8183.0999999999985</v>
      </c>
      <c r="BS179" s="556"/>
      <c r="BX179" s="557">
        <f t="shared" si="111"/>
        <v>2045.7749999999996</v>
      </c>
      <c r="BZ179" s="636">
        <f t="shared" si="93"/>
        <v>-6137.3249999999989</v>
      </c>
      <c r="CA179" s="633">
        <f t="shared" si="94"/>
        <v>-6137.3249999999989</v>
      </c>
    </row>
    <row r="180" spans="1:79" s="249" customFormat="1" x14ac:dyDescent="0.2">
      <c r="A180" s="529">
        <v>0</v>
      </c>
      <c r="B180" s="529">
        <v>1</v>
      </c>
      <c r="C180" s="530">
        <f t="shared" si="112"/>
        <v>41110</v>
      </c>
      <c r="D180" s="531">
        <v>41110</v>
      </c>
      <c r="E180" s="531">
        <v>43011</v>
      </c>
      <c r="F180" s="531" t="s">
        <v>1606</v>
      </c>
      <c r="G180" s="532"/>
      <c r="H180" s="532"/>
      <c r="I180" s="532" t="s">
        <v>32</v>
      </c>
      <c r="J180" s="532" t="s">
        <v>192</v>
      </c>
      <c r="K180" s="565">
        <v>406183</v>
      </c>
      <c r="L180" s="534" t="s">
        <v>422</v>
      </c>
      <c r="M180" s="534" t="s">
        <v>446</v>
      </c>
      <c r="N180" s="534" t="s">
        <v>206</v>
      </c>
      <c r="O180" s="566" t="s">
        <v>447</v>
      </c>
      <c r="P180" s="536">
        <v>41238</v>
      </c>
      <c r="Q180" s="537">
        <f t="shared" ca="1" si="102"/>
        <v>12.824093086926762</v>
      </c>
      <c r="R180" s="538">
        <v>5</v>
      </c>
      <c r="S180" s="539">
        <v>872</v>
      </c>
      <c r="T180" s="540">
        <v>872</v>
      </c>
      <c r="U180" s="541">
        <v>45017</v>
      </c>
      <c r="V180" s="542">
        <v>1</v>
      </c>
      <c r="W180" s="541">
        <v>45107</v>
      </c>
      <c r="X180" s="538">
        <v>48</v>
      </c>
      <c r="Y180" s="543">
        <f t="shared" si="95"/>
        <v>48</v>
      </c>
      <c r="Z180" s="543">
        <v>1</v>
      </c>
      <c r="AA180" s="606">
        <v>45135</v>
      </c>
      <c r="AB180" s="607">
        <v>28500</v>
      </c>
      <c r="AC180" s="607"/>
      <c r="AD180" s="607"/>
      <c r="AE180" s="545" t="str">
        <f t="shared" si="103"/>
        <v>0</v>
      </c>
      <c r="AF180" s="545" t="str">
        <f t="shared" si="104"/>
        <v>0</v>
      </c>
      <c r="AG180" s="545" t="str">
        <f t="shared" si="105"/>
        <v>1</v>
      </c>
      <c r="AH180" s="545" t="str">
        <f t="shared" si="106"/>
        <v>NO</v>
      </c>
      <c r="AI180" s="545" t="str">
        <f t="shared" si="107"/>
        <v>NO</v>
      </c>
      <c r="AJ180" s="545" t="str">
        <f t="shared" si="108"/>
        <v>NO</v>
      </c>
      <c r="AK180" s="545" t="str">
        <f t="shared" si="109"/>
        <v>NO</v>
      </c>
      <c r="AL180" s="547"/>
      <c r="AM180" s="547">
        <v>28500</v>
      </c>
      <c r="AN180" s="562" t="s">
        <v>43</v>
      </c>
      <c r="AO180" s="547">
        <v>1</v>
      </c>
      <c r="AP180" s="547">
        <f t="shared" si="117"/>
        <v>1</v>
      </c>
      <c r="AQ180" s="549">
        <f t="shared" si="114"/>
        <v>28500</v>
      </c>
      <c r="AR180" s="547">
        <v>28500</v>
      </c>
      <c r="AS180" s="610">
        <v>28500</v>
      </c>
      <c r="AT180" s="550">
        <v>28500</v>
      </c>
      <c r="AU180" s="529"/>
      <c r="AV180" s="529"/>
      <c r="AW180" s="551" t="e">
        <f>VLOOKUP(K180,#REF!,8,FALSE)</f>
        <v>#REF!</v>
      </c>
      <c r="AX180" s="551" t="e">
        <f>VLOOKUP(K180,#REF!,8,FALSE)</f>
        <v>#REF!</v>
      </c>
      <c r="AY180" s="551" t="e">
        <f>VLOOKUP(K180,#REF!,8,FALSE)</f>
        <v>#REF!</v>
      </c>
      <c r="AZ180" s="529"/>
      <c r="BA180" s="552"/>
      <c r="BB180" s="553">
        <f t="shared" si="115"/>
        <v>0</v>
      </c>
      <c r="BC180" s="484">
        <f t="shared" si="118"/>
        <v>28500</v>
      </c>
      <c r="BD180" s="249" t="str">
        <f t="shared" si="119"/>
        <v/>
      </c>
      <c r="BJ180" s="249">
        <f>AB180</f>
        <v>28500</v>
      </c>
      <c r="BK180" s="484">
        <f>AM180</f>
        <v>28500</v>
      </c>
      <c r="BL180" s="554"/>
      <c r="BM180" s="554"/>
      <c r="BN180" s="554"/>
      <c r="BO180" s="564">
        <f>BK180/192*127</f>
        <v>18851.5625</v>
      </c>
      <c r="BP180" s="555">
        <f t="shared" si="110"/>
        <v>47351.5625</v>
      </c>
      <c r="BS180" s="556"/>
      <c r="BX180" s="557">
        <f t="shared" si="111"/>
        <v>47351.5625</v>
      </c>
      <c r="BZ180" s="636">
        <f t="shared" si="93"/>
        <v>0</v>
      </c>
      <c r="CA180" s="633">
        <f t="shared" si="94"/>
        <v>18851.5625</v>
      </c>
    </row>
    <row r="181" spans="1:79" s="249" customFormat="1" x14ac:dyDescent="0.2">
      <c r="A181" s="529">
        <v>1</v>
      </c>
      <c r="B181" s="529">
        <v>1</v>
      </c>
      <c r="C181" s="530">
        <f t="shared" si="112"/>
        <v>41110</v>
      </c>
      <c r="D181" s="531">
        <v>41110</v>
      </c>
      <c r="E181" s="531">
        <v>43011</v>
      </c>
      <c r="F181" s="531" t="s">
        <v>1606</v>
      </c>
      <c r="G181" s="532"/>
      <c r="H181" s="532"/>
      <c r="I181" s="532" t="s">
        <v>32</v>
      </c>
      <c r="J181" s="532"/>
      <c r="K181" s="565">
        <v>422955</v>
      </c>
      <c r="L181" s="534" t="s">
        <v>422</v>
      </c>
      <c r="M181" s="534" t="s">
        <v>217</v>
      </c>
      <c r="N181" s="534" t="s">
        <v>448</v>
      </c>
      <c r="O181" s="566" t="s">
        <v>449</v>
      </c>
      <c r="P181" s="536">
        <v>41971</v>
      </c>
      <c r="Q181" s="537">
        <f t="shared" ca="1" si="102"/>
        <v>10.817248459958932</v>
      </c>
      <c r="R181" s="538">
        <v>3</v>
      </c>
      <c r="S181" s="539">
        <v>872</v>
      </c>
      <c r="T181" s="540">
        <v>872</v>
      </c>
      <c r="U181" s="541">
        <v>45017</v>
      </c>
      <c r="V181" s="542">
        <v>1</v>
      </c>
      <c r="W181" s="541">
        <v>45107</v>
      </c>
      <c r="X181" s="538">
        <v>48</v>
      </c>
      <c r="Y181" s="543">
        <f t="shared" si="95"/>
        <v>48</v>
      </c>
      <c r="Z181" s="543">
        <f t="shared" ref="Z181:Z196" si="120">Y181/192</f>
        <v>0.25</v>
      </c>
      <c r="AA181" s="543" t="s">
        <v>36</v>
      </c>
      <c r="AB181" s="567">
        <v>22</v>
      </c>
      <c r="AC181" s="567"/>
      <c r="AD181" s="567"/>
      <c r="AE181" s="545" t="str">
        <f t="shared" si="103"/>
        <v>1</v>
      </c>
      <c r="AF181" s="545" t="str">
        <f t="shared" si="104"/>
        <v>0</v>
      </c>
      <c r="AG181" s="545" t="str">
        <f t="shared" si="105"/>
        <v>0</v>
      </c>
      <c r="AH181" s="545" t="str">
        <f t="shared" si="106"/>
        <v>NO</v>
      </c>
      <c r="AI181" s="545" t="str">
        <f t="shared" si="107"/>
        <v>NO</v>
      </c>
      <c r="AJ181" s="545" t="str">
        <f t="shared" si="108"/>
        <v>NO</v>
      </c>
      <c r="AK181" s="545" t="str">
        <f t="shared" si="109"/>
        <v>NO</v>
      </c>
      <c r="AL181" s="547"/>
      <c r="AM181" s="547">
        <f t="shared" ref="AM181:AM196" si="121">IF(H181="Y",AL181,((AB181*$O$902)-6000))</f>
        <v>4400.9399999999987</v>
      </c>
      <c r="AN181" s="562" t="s">
        <v>37</v>
      </c>
      <c r="AO181" s="547">
        <v>1</v>
      </c>
      <c r="AP181" s="547">
        <f t="shared" si="117"/>
        <v>0.25</v>
      </c>
      <c r="AQ181" s="549">
        <f t="shared" si="114"/>
        <v>1100.2349999999997</v>
      </c>
      <c r="AR181" s="547">
        <v>4400.9399999999987</v>
      </c>
      <c r="AS181" s="610">
        <v>4400.9399999999987</v>
      </c>
      <c r="AT181" s="550">
        <v>4400.9399999999987</v>
      </c>
      <c r="AU181" s="529"/>
      <c r="AV181" s="529"/>
      <c r="AW181" s="551" t="e">
        <f>VLOOKUP(K181,#REF!,8,FALSE)</f>
        <v>#REF!</v>
      </c>
      <c r="AX181" s="551" t="e">
        <f>VLOOKUP(K181,#REF!,8,FALSE)</f>
        <v>#REF!</v>
      </c>
      <c r="AY181" s="551" t="e">
        <f>VLOOKUP(K181,#REF!,8,FALSE)</f>
        <v>#REF!</v>
      </c>
      <c r="AZ181" s="529"/>
      <c r="BA181" s="552"/>
      <c r="BB181" s="553">
        <f t="shared" si="115"/>
        <v>0</v>
      </c>
      <c r="BC181" s="484">
        <f t="shared" si="118"/>
        <v>4400.9399999999987</v>
      </c>
      <c r="BD181" s="249" t="str">
        <f t="shared" si="119"/>
        <v/>
      </c>
      <c r="BL181" s="554"/>
      <c r="BM181" s="554"/>
      <c r="BN181" s="554"/>
      <c r="BP181" s="555">
        <f t="shared" si="110"/>
        <v>4400.9399999999987</v>
      </c>
      <c r="BS181" s="556"/>
      <c r="BX181" s="557">
        <f t="shared" si="111"/>
        <v>1100.2349999999997</v>
      </c>
      <c r="BZ181" s="636">
        <f t="shared" si="93"/>
        <v>-3300.704999999999</v>
      </c>
      <c r="CA181" s="633">
        <f t="shared" si="94"/>
        <v>-3300.704999999999</v>
      </c>
    </row>
    <row r="182" spans="1:79" s="249" customFormat="1" x14ac:dyDescent="0.2">
      <c r="A182" s="529">
        <v>1</v>
      </c>
      <c r="B182" s="529">
        <v>1</v>
      </c>
      <c r="C182" s="530">
        <f t="shared" si="112"/>
        <v>41110</v>
      </c>
      <c r="D182" s="531">
        <v>41110</v>
      </c>
      <c r="E182" s="531">
        <v>43011</v>
      </c>
      <c r="F182" s="531" t="s">
        <v>1606</v>
      </c>
      <c r="G182" s="532"/>
      <c r="H182" s="532"/>
      <c r="I182" s="532" t="s">
        <v>32</v>
      </c>
      <c r="J182" s="532"/>
      <c r="K182" s="565">
        <v>407797</v>
      </c>
      <c r="L182" s="534" t="s">
        <v>422</v>
      </c>
      <c r="M182" s="534" t="s">
        <v>105</v>
      </c>
      <c r="N182" s="534" t="s">
        <v>159</v>
      </c>
      <c r="O182" s="566" t="str">
        <f>M182&amp;N182</f>
        <v>OliviaEvans</v>
      </c>
      <c r="P182" s="536">
        <v>41345</v>
      </c>
      <c r="Q182" s="537">
        <f t="shared" ca="1" si="102"/>
        <v>12.531143052703628</v>
      </c>
      <c r="R182" s="538">
        <v>5</v>
      </c>
      <c r="S182" s="539">
        <v>872</v>
      </c>
      <c r="T182" s="540">
        <v>872</v>
      </c>
      <c r="U182" s="541">
        <v>45017</v>
      </c>
      <c r="V182" s="542">
        <v>1</v>
      </c>
      <c r="W182" s="541">
        <v>45107</v>
      </c>
      <c r="X182" s="538">
        <v>48</v>
      </c>
      <c r="Y182" s="543">
        <f t="shared" si="95"/>
        <v>48</v>
      </c>
      <c r="Z182" s="543">
        <f t="shared" si="120"/>
        <v>0.25</v>
      </c>
      <c r="AA182" s="543" t="s">
        <v>36</v>
      </c>
      <c r="AB182" s="567">
        <v>25</v>
      </c>
      <c r="AC182" s="567"/>
      <c r="AD182" s="567"/>
      <c r="AE182" s="545" t="str">
        <f t="shared" si="103"/>
        <v>1</v>
      </c>
      <c r="AF182" s="545" t="str">
        <f t="shared" si="104"/>
        <v>0</v>
      </c>
      <c r="AG182" s="545" t="str">
        <f t="shared" si="105"/>
        <v>0</v>
      </c>
      <c r="AH182" s="545" t="str">
        <f t="shared" si="106"/>
        <v>NO</v>
      </c>
      <c r="AI182" s="545" t="str">
        <f t="shared" si="107"/>
        <v>NO</v>
      </c>
      <c r="AJ182" s="545" t="str">
        <f t="shared" si="108"/>
        <v>NO</v>
      </c>
      <c r="AK182" s="545" t="str">
        <f t="shared" si="109"/>
        <v>NO</v>
      </c>
      <c r="AL182" s="547"/>
      <c r="AM182" s="547">
        <f t="shared" si="121"/>
        <v>5819.25</v>
      </c>
      <c r="AN182" s="562"/>
      <c r="AO182" s="547">
        <v>1</v>
      </c>
      <c r="AP182" s="547">
        <f t="shared" si="117"/>
        <v>0.25</v>
      </c>
      <c r="AQ182" s="549">
        <f t="shared" si="114"/>
        <v>1454.8125</v>
      </c>
      <c r="AR182" s="547">
        <v>5819.25</v>
      </c>
      <c r="AS182" s="610">
        <v>5819.25</v>
      </c>
      <c r="AT182" s="550">
        <v>5819.25</v>
      </c>
      <c r="AU182" s="529"/>
      <c r="AV182" s="529"/>
      <c r="AW182" s="551" t="e">
        <f>VLOOKUP(K182,#REF!,8,FALSE)</f>
        <v>#REF!</v>
      </c>
      <c r="AX182" s="551" t="e">
        <f>VLOOKUP(K182,#REF!,8,FALSE)</f>
        <v>#REF!</v>
      </c>
      <c r="AY182" s="551" t="e">
        <f>VLOOKUP(K182,#REF!,8,FALSE)</f>
        <v>#REF!</v>
      </c>
      <c r="AZ182" s="529"/>
      <c r="BA182" s="552"/>
      <c r="BB182" s="553">
        <f t="shared" si="115"/>
        <v>0</v>
      </c>
      <c r="BC182" s="484">
        <f t="shared" si="118"/>
        <v>5819.25</v>
      </c>
      <c r="BD182" s="249" t="str">
        <f t="shared" si="119"/>
        <v/>
      </c>
      <c r="BL182" s="554"/>
      <c r="BM182" s="554"/>
      <c r="BN182" s="554"/>
      <c r="BP182" s="555">
        <f t="shared" si="110"/>
        <v>5819.25</v>
      </c>
      <c r="BS182" s="556"/>
      <c r="BX182" s="557">
        <f t="shared" si="111"/>
        <v>1454.8125</v>
      </c>
      <c r="BZ182" s="636">
        <f t="shared" si="93"/>
        <v>-4364.4375</v>
      </c>
      <c r="CA182" s="633">
        <f t="shared" si="94"/>
        <v>-4364.4375</v>
      </c>
    </row>
    <row r="183" spans="1:79" s="249" customFormat="1" x14ac:dyDescent="0.2">
      <c r="A183" s="529">
        <v>1</v>
      </c>
      <c r="B183" s="529">
        <v>1</v>
      </c>
      <c r="C183" s="530">
        <f t="shared" si="112"/>
        <v>41110</v>
      </c>
      <c r="D183" s="531">
        <v>41110</v>
      </c>
      <c r="E183" s="531">
        <v>43011</v>
      </c>
      <c r="F183" s="531" t="s">
        <v>1606</v>
      </c>
      <c r="G183" s="532"/>
      <c r="H183" s="532"/>
      <c r="I183" s="532" t="s">
        <v>32</v>
      </c>
      <c r="J183" s="532"/>
      <c r="K183" s="565">
        <v>414089</v>
      </c>
      <c r="L183" s="534" t="s">
        <v>422</v>
      </c>
      <c r="M183" s="534" t="s">
        <v>231</v>
      </c>
      <c r="N183" s="534" t="s">
        <v>450</v>
      </c>
      <c r="O183" s="566" t="str">
        <f>M183&amp;N183</f>
        <v>ThomasPowell</v>
      </c>
      <c r="P183" s="536">
        <v>41940</v>
      </c>
      <c r="Q183" s="537">
        <f t="shared" ca="1" si="102"/>
        <v>10.902121834360027</v>
      </c>
      <c r="R183" s="538">
        <v>3</v>
      </c>
      <c r="S183" s="539">
        <v>872</v>
      </c>
      <c r="T183" s="540">
        <v>872</v>
      </c>
      <c r="U183" s="541">
        <v>45017</v>
      </c>
      <c r="V183" s="542">
        <v>1</v>
      </c>
      <c r="W183" s="541">
        <v>45107</v>
      </c>
      <c r="X183" s="538">
        <v>48</v>
      </c>
      <c r="Y183" s="543">
        <f t="shared" si="95"/>
        <v>48</v>
      </c>
      <c r="Z183" s="543">
        <f t="shared" si="120"/>
        <v>0.25</v>
      </c>
      <c r="AA183" s="543" t="s">
        <v>36</v>
      </c>
      <c r="AB183" s="567">
        <v>22</v>
      </c>
      <c r="AC183" s="567"/>
      <c r="AD183" s="567"/>
      <c r="AE183" s="545" t="str">
        <f t="shared" si="103"/>
        <v>1</v>
      </c>
      <c r="AF183" s="545" t="str">
        <f t="shared" si="104"/>
        <v>0</v>
      </c>
      <c r="AG183" s="545" t="str">
        <f t="shared" si="105"/>
        <v>0</v>
      </c>
      <c r="AH183" s="545" t="str">
        <f t="shared" si="106"/>
        <v>NO</v>
      </c>
      <c r="AI183" s="545" t="str">
        <f t="shared" si="107"/>
        <v>NO</v>
      </c>
      <c r="AJ183" s="545" t="str">
        <f t="shared" si="108"/>
        <v>NO</v>
      </c>
      <c r="AK183" s="545" t="str">
        <f t="shared" si="109"/>
        <v>NO</v>
      </c>
      <c r="AL183" s="547"/>
      <c r="AM183" s="547">
        <f t="shared" si="121"/>
        <v>4400.9399999999987</v>
      </c>
      <c r="AN183" s="562"/>
      <c r="AO183" s="547">
        <v>1</v>
      </c>
      <c r="AP183" s="547">
        <f t="shared" si="117"/>
        <v>0.25</v>
      </c>
      <c r="AQ183" s="549">
        <f t="shared" si="114"/>
        <v>1100.2349999999997</v>
      </c>
      <c r="AR183" s="547">
        <v>4400.9399999999987</v>
      </c>
      <c r="AS183" s="610">
        <v>4400.9399999999987</v>
      </c>
      <c r="AT183" s="550">
        <v>4400.9399999999987</v>
      </c>
      <c r="AU183" s="529"/>
      <c r="AV183" s="529"/>
      <c r="AW183" s="551" t="e">
        <f>VLOOKUP(K183,#REF!,8,FALSE)</f>
        <v>#REF!</v>
      </c>
      <c r="AX183" s="551" t="e">
        <f>VLOOKUP(K183,#REF!,8,FALSE)</f>
        <v>#REF!</v>
      </c>
      <c r="AY183" s="551" t="e">
        <f>VLOOKUP(K183,#REF!,8,FALSE)</f>
        <v>#REF!</v>
      </c>
      <c r="AZ183" s="529"/>
      <c r="BA183" s="552"/>
      <c r="BB183" s="553">
        <f t="shared" si="115"/>
        <v>0</v>
      </c>
      <c r="BC183" s="484">
        <f t="shared" si="118"/>
        <v>4400.9399999999987</v>
      </c>
      <c r="BD183" s="249" t="str">
        <f t="shared" si="119"/>
        <v/>
      </c>
      <c r="BL183" s="554"/>
      <c r="BM183" s="554"/>
      <c r="BN183" s="554"/>
      <c r="BP183" s="555">
        <f t="shared" si="110"/>
        <v>4400.9399999999987</v>
      </c>
      <c r="BS183" s="556"/>
      <c r="BX183" s="557">
        <f t="shared" si="111"/>
        <v>1100.2349999999997</v>
      </c>
      <c r="BZ183" s="636">
        <f t="shared" si="93"/>
        <v>-3300.704999999999</v>
      </c>
      <c r="CA183" s="633">
        <f t="shared" si="94"/>
        <v>-3300.704999999999</v>
      </c>
    </row>
    <row r="184" spans="1:79" s="249" customFormat="1" x14ac:dyDescent="0.2">
      <c r="A184" s="529">
        <v>1</v>
      </c>
      <c r="B184" s="529">
        <v>1</v>
      </c>
      <c r="C184" s="530">
        <f t="shared" si="112"/>
        <v>41110</v>
      </c>
      <c r="D184" s="531">
        <v>41110</v>
      </c>
      <c r="E184" s="531">
        <v>43011</v>
      </c>
      <c r="F184" s="531" t="s">
        <v>1606</v>
      </c>
      <c r="G184" s="532"/>
      <c r="H184" s="532"/>
      <c r="I184" s="532" t="s">
        <v>32</v>
      </c>
      <c r="J184" s="532"/>
      <c r="K184" s="533">
        <v>417617</v>
      </c>
      <c r="L184" s="534" t="s">
        <v>422</v>
      </c>
      <c r="M184" s="534" t="s">
        <v>451</v>
      </c>
      <c r="N184" s="534" t="s">
        <v>452</v>
      </c>
      <c r="O184" s="535" t="s">
        <v>453</v>
      </c>
      <c r="P184" s="536">
        <v>41831</v>
      </c>
      <c r="Q184" s="537">
        <f t="shared" ca="1" si="102"/>
        <v>11.200547570157427</v>
      </c>
      <c r="R184" s="538">
        <v>4</v>
      </c>
      <c r="S184" s="539">
        <v>872</v>
      </c>
      <c r="T184" s="540">
        <v>872</v>
      </c>
      <c r="U184" s="541">
        <v>45017</v>
      </c>
      <c r="V184" s="542">
        <v>1</v>
      </c>
      <c r="W184" s="541">
        <v>45107</v>
      </c>
      <c r="X184" s="538">
        <v>48</v>
      </c>
      <c r="Y184" s="543">
        <f t="shared" si="95"/>
        <v>48</v>
      </c>
      <c r="Z184" s="543">
        <f t="shared" si="120"/>
        <v>0.25</v>
      </c>
      <c r="AA184" s="543" t="s">
        <v>36</v>
      </c>
      <c r="AB184" s="544">
        <v>26</v>
      </c>
      <c r="AC184" s="544"/>
      <c r="AD184" s="544"/>
      <c r="AE184" s="545" t="str">
        <f t="shared" si="103"/>
        <v>0</v>
      </c>
      <c r="AF184" s="545" t="str">
        <f t="shared" si="104"/>
        <v>1</v>
      </c>
      <c r="AG184" s="545" t="str">
        <f t="shared" si="105"/>
        <v>0</v>
      </c>
      <c r="AH184" s="545" t="str">
        <f t="shared" si="106"/>
        <v>NO</v>
      </c>
      <c r="AI184" s="545" t="str">
        <f t="shared" si="107"/>
        <v>NO</v>
      </c>
      <c r="AJ184" s="545" t="str">
        <f t="shared" si="108"/>
        <v>NO</v>
      </c>
      <c r="AK184" s="545" t="str">
        <f t="shared" si="109"/>
        <v>NO</v>
      </c>
      <c r="AL184" s="547"/>
      <c r="AM184" s="547">
        <f t="shared" si="121"/>
        <v>6292.02</v>
      </c>
      <c r="AN184" s="562" t="s">
        <v>43</v>
      </c>
      <c r="AO184" s="547">
        <v>1</v>
      </c>
      <c r="AP184" s="547">
        <f t="shared" si="117"/>
        <v>0.25</v>
      </c>
      <c r="AQ184" s="549">
        <f t="shared" si="114"/>
        <v>1573.0050000000001</v>
      </c>
      <c r="AR184" s="547">
        <v>6292.02</v>
      </c>
      <c r="AS184" s="610">
        <v>6292.02</v>
      </c>
      <c r="AT184" s="550">
        <v>6292.02</v>
      </c>
      <c r="AU184" s="529"/>
      <c r="AV184" s="529"/>
      <c r="AW184" s="551" t="e">
        <f>VLOOKUP(K184,#REF!,8,FALSE)</f>
        <v>#REF!</v>
      </c>
      <c r="AX184" s="551" t="e">
        <f>VLOOKUP(K184,#REF!,8,FALSE)</f>
        <v>#REF!</v>
      </c>
      <c r="AY184" s="551" t="e">
        <f>VLOOKUP(K184,#REF!,8,FALSE)</f>
        <v>#REF!</v>
      </c>
      <c r="AZ184" s="529"/>
      <c r="BA184" s="552"/>
      <c r="BB184" s="553">
        <f t="shared" si="115"/>
        <v>0</v>
      </c>
      <c r="BC184" s="484">
        <f t="shared" si="118"/>
        <v>6292.02</v>
      </c>
      <c r="BD184" s="249" t="str">
        <f t="shared" si="119"/>
        <v/>
      </c>
      <c r="BL184" s="554"/>
      <c r="BM184" s="554"/>
      <c r="BN184" s="554"/>
      <c r="BP184" s="555">
        <f t="shared" si="110"/>
        <v>6292.02</v>
      </c>
      <c r="BS184" s="556"/>
      <c r="BX184" s="557">
        <f t="shared" si="111"/>
        <v>1573.0050000000001</v>
      </c>
      <c r="BZ184" s="636">
        <f t="shared" si="93"/>
        <v>-4719.0150000000003</v>
      </c>
      <c r="CA184" s="633">
        <f t="shared" si="94"/>
        <v>-4719.0150000000003</v>
      </c>
    </row>
    <row r="185" spans="1:79" s="316" customFormat="1" x14ac:dyDescent="0.2">
      <c r="A185" s="499">
        <v>1</v>
      </c>
      <c r="B185" s="499">
        <v>1</v>
      </c>
      <c r="C185" s="500">
        <f t="shared" si="112"/>
        <v>41110</v>
      </c>
      <c r="D185" s="314">
        <v>41110</v>
      </c>
      <c r="E185" s="314">
        <v>43011</v>
      </c>
      <c r="F185" s="314" t="s">
        <v>1606</v>
      </c>
      <c r="G185" s="501" t="s">
        <v>75</v>
      </c>
      <c r="H185" s="501"/>
      <c r="I185" s="501" t="s">
        <v>32</v>
      </c>
      <c r="J185" s="501"/>
      <c r="K185" s="260">
        <v>405884</v>
      </c>
      <c r="L185" s="261" t="s">
        <v>422</v>
      </c>
      <c r="M185" s="261" t="s">
        <v>718</v>
      </c>
      <c r="N185" s="261" t="s">
        <v>2290</v>
      </c>
      <c r="O185" s="503" t="s">
        <v>2291</v>
      </c>
      <c r="P185" s="504">
        <v>41218</v>
      </c>
      <c r="Q185" s="505">
        <f t="shared" ca="1" si="102"/>
        <v>12.878850102669405</v>
      </c>
      <c r="R185" s="315">
        <v>5</v>
      </c>
      <c r="S185" s="506">
        <v>872</v>
      </c>
      <c r="T185" s="502">
        <v>872</v>
      </c>
      <c r="U185" s="507">
        <v>45108</v>
      </c>
      <c r="V185" s="508">
        <v>49</v>
      </c>
      <c r="W185" s="507">
        <v>45382</v>
      </c>
      <c r="X185" s="315">
        <v>192</v>
      </c>
      <c r="Y185" s="509">
        <f t="shared" si="95"/>
        <v>144</v>
      </c>
      <c r="Z185" s="509">
        <f t="shared" si="120"/>
        <v>0.75</v>
      </c>
      <c r="AA185" s="509" t="s">
        <v>36</v>
      </c>
      <c r="AB185" s="510">
        <v>24</v>
      </c>
      <c r="AC185" s="510"/>
      <c r="AD185" s="510"/>
      <c r="AE185" s="511" t="str">
        <f t="shared" si="103"/>
        <v>1</v>
      </c>
      <c r="AF185" s="511" t="str">
        <f t="shared" si="104"/>
        <v>0</v>
      </c>
      <c r="AG185" s="511" t="str">
        <f t="shared" si="105"/>
        <v>0</v>
      </c>
      <c r="AH185" s="511" t="str">
        <f t="shared" si="106"/>
        <v>NO</v>
      </c>
      <c r="AI185" s="511" t="str">
        <f t="shared" si="107"/>
        <v>NO</v>
      </c>
      <c r="AJ185" s="511" t="str">
        <f t="shared" si="108"/>
        <v>NO</v>
      </c>
      <c r="AK185" s="511" t="str">
        <f t="shared" si="109"/>
        <v>NO</v>
      </c>
      <c r="AL185" s="512"/>
      <c r="AM185" s="512">
        <f t="shared" si="121"/>
        <v>5346.48</v>
      </c>
      <c r="AN185" s="513" t="s">
        <v>56</v>
      </c>
      <c r="AO185" s="512">
        <v>1</v>
      </c>
      <c r="AP185" s="512">
        <f t="shared" si="117"/>
        <v>0.75</v>
      </c>
      <c r="AQ185" s="514">
        <f t="shared" si="114"/>
        <v>4009.8599999999997</v>
      </c>
      <c r="AR185" s="512">
        <v>0</v>
      </c>
      <c r="AS185" s="610">
        <v>0</v>
      </c>
      <c r="AT185" s="515">
        <v>0</v>
      </c>
      <c r="AU185" s="499"/>
      <c r="AV185" s="499"/>
      <c r="AW185" s="516"/>
      <c r="AX185" s="516"/>
      <c r="AY185" s="516"/>
      <c r="AZ185" s="499"/>
      <c r="BA185" s="521"/>
      <c r="BB185" s="517">
        <f t="shared" si="115"/>
        <v>0</v>
      </c>
      <c r="BC185" s="518">
        <f t="shared" si="118"/>
        <v>0</v>
      </c>
      <c r="BD185" s="316" t="str">
        <f t="shared" si="119"/>
        <v/>
      </c>
      <c r="BL185" s="560"/>
      <c r="BM185" s="560"/>
      <c r="BN185" s="560"/>
      <c r="BP185" s="356">
        <f t="shared" si="110"/>
        <v>0</v>
      </c>
      <c r="BS185" s="561"/>
      <c r="BX185" s="520">
        <f t="shared" si="111"/>
        <v>4009.8599999999997</v>
      </c>
      <c r="BZ185" s="636">
        <f t="shared" si="93"/>
        <v>4009.8599999999997</v>
      </c>
      <c r="CA185" s="633">
        <f t="shared" si="94"/>
        <v>4009.8599999999997</v>
      </c>
    </row>
    <row r="186" spans="1:79" s="316" customFormat="1" x14ac:dyDescent="0.2">
      <c r="A186" s="499">
        <v>1</v>
      </c>
      <c r="B186" s="499">
        <v>1</v>
      </c>
      <c r="C186" s="500">
        <f t="shared" si="112"/>
        <v>41110</v>
      </c>
      <c r="D186" s="314">
        <v>41110</v>
      </c>
      <c r="E186" s="314">
        <v>43011</v>
      </c>
      <c r="F186" s="314" t="s">
        <v>1606</v>
      </c>
      <c r="G186" s="501" t="s">
        <v>75</v>
      </c>
      <c r="H186" s="501"/>
      <c r="I186" s="501" t="s">
        <v>32</v>
      </c>
      <c r="J186" s="501"/>
      <c r="K186" s="260">
        <v>403604</v>
      </c>
      <c r="L186" s="261" t="s">
        <v>2553</v>
      </c>
      <c r="M186" s="261" t="s">
        <v>132</v>
      </c>
      <c r="N186" s="261" t="s">
        <v>423</v>
      </c>
      <c r="O186" s="503" t="s">
        <v>424</v>
      </c>
      <c r="P186" s="504">
        <v>41028</v>
      </c>
      <c r="Q186" s="505">
        <f t="shared" ca="1" si="102"/>
        <v>13.399041752224504</v>
      </c>
      <c r="R186" s="315">
        <v>6</v>
      </c>
      <c r="S186" s="506">
        <v>872</v>
      </c>
      <c r="T186" s="502">
        <v>872</v>
      </c>
      <c r="U186" s="507">
        <v>45108</v>
      </c>
      <c r="V186" s="508">
        <v>49</v>
      </c>
      <c r="W186" s="507">
        <v>45128</v>
      </c>
      <c r="X186" s="315">
        <v>63</v>
      </c>
      <c r="Y186" s="509">
        <f t="shared" si="95"/>
        <v>15</v>
      </c>
      <c r="Z186" s="509">
        <f t="shared" si="120"/>
        <v>7.8125E-2</v>
      </c>
      <c r="AA186" s="509" t="s">
        <v>48</v>
      </c>
      <c r="AB186" s="510">
        <v>30</v>
      </c>
      <c r="AC186" s="510"/>
      <c r="AD186" s="510"/>
      <c r="AE186" s="511" t="str">
        <f t="shared" si="103"/>
        <v>0</v>
      </c>
      <c r="AF186" s="511" t="str">
        <f t="shared" si="104"/>
        <v>1</v>
      </c>
      <c r="AG186" s="511" t="str">
        <f t="shared" si="105"/>
        <v>0</v>
      </c>
      <c r="AH186" s="511" t="str">
        <f t="shared" si="106"/>
        <v>NO</v>
      </c>
      <c r="AI186" s="511" t="str">
        <f t="shared" si="107"/>
        <v>NO</v>
      </c>
      <c r="AJ186" s="511" t="str">
        <f t="shared" si="108"/>
        <v>NO</v>
      </c>
      <c r="AK186" s="511" t="str">
        <f t="shared" si="109"/>
        <v>NO</v>
      </c>
      <c r="AL186" s="512"/>
      <c r="AM186" s="512">
        <f t="shared" si="121"/>
        <v>8183.0999999999985</v>
      </c>
      <c r="AN186" s="513" t="s">
        <v>43</v>
      </c>
      <c r="AO186" s="512">
        <v>1</v>
      </c>
      <c r="AP186" s="512">
        <f t="shared" si="117"/>
        <v>7.8125E-2</v>
      </c>
      <c r="AQ186" s="514">
        <f t="shared" si="114"/>
        <v>639.30468749999989</v>
      </c>
      <c r="AR186" s="512">
        <v>0</v>
      </c>
      <c r="AS186" s="610">
        <v>0</v>
      </c>
      <c r="AT186" s="515">
        <v>0</v>
      </c>
      <c r="AU186" s="499"/>
      <c r="AV186" s="499"/>
      <c r="AW186" s="516" t="e">
        <f>VLOOKUP(K186,#REF!,8,FALSE)</f>
        <v>#REF!</v>
      </c>
      <c r="AX186" s="516" t="s">
        <v>2248</v>
      </c>
      <c r="AY186" s="516" t="e">
        <f>VLOOKUP(K186,#REF!,8,FALSE)</f>
        <v>#REF!</v>
      </c>
      <c r="AZ186" s="499"/>
      <c r="BA186" s="521"/>
      <c r="BB186" s="517">
        <f t="shared" si="115"/>
        <v>0</v>
      </c>
      <c r="BC186" s="518">
        <f t="shared" si="118"/>
        <v>0</v>
      </c>
      <c r="BD186" s="316" t="e">
        <f t="shared" si="119"/>
        <v>#REF!</v>
      </c>
      <c r="BE186" s="316" t="s">
        <v>2404</v>
      </c>
      <c r="BF186" s="316">
        <v>43015</v>
      </c>
      <c r="BH186" s="316" t="e">
        <f>VLOOKUP(K186,#REF!,8,FALSE)</f>
        <v>#REF!</v>
      </c>
      <c r="BJ186" s="316">
        <f>AB186</f>
        <v>30</v>
      </c>
      <c r="BK186" s="316">
        <f>AM186</f>
        <v>8183.0999999999985</v>
      </c>
      <c r="BL186" s="560"/>
      <c r="BM186" s="560" t="s">
        <v>75</v>
      </c>
      <c r="BN186" s="560"/>
      <c r="BO186" s="316">
        <f>BK186/192*127</f>
        <v>5412.7796874999985</v>
      </c>
      <c r="BP186" s="356">
        <f t="shared" si="110"/>
        <v>5412.7796874999985</v>
      </c>
      <c r="BS186" s="561"/>
      <c r="BX186" s="520">
        <f t="shared" si="111"/>
        <v>6052.0843749999985</v>
      </c>
      <c r="BZ186" s="636">
        <f t="shared" si="93"/>
        <v>639.3046875</v>
      </c>
      <c r="CA186" s="633">
        <f t="shared" si="94"/>
        <v>6052.0843749999985</v>
      </c>
    </row>
    <row r="187" spans="1:79" s="316" customFormat="1" x14ac:dyDescent="0.2">
      <c r="A187" s="499">
        <v>1</v>
      </c>
      <c r="B187" s="499">
        <v>1</v>
      </c>
      <c r="C187" s="500">
        <f t="shared" si="112"/>
        <v>41110</v>
      </c>
      <c r="D187" s="314">
        <v>41110</v>
      </c>
      <c r="E187" s="314">
        <v>43011</v>
      </c>
      <c r="F187" s="314" t="s">
        <v>1606</v>
      </c>
      <c r="G187" s="501" t="s">
        <v>75</v>
      </c>
      <c r="H187" s="501"/>
      <c r="I187" s="501" t="s">
        <v>32</v>
      </c>
      <c r="J187" s="501"/>
      <c r="K187" s="260">
        <v>403896</v>
      </c>
      <c r="L187" s="261" t="s">
        <v>422</v>
      </c>
      <c r="M187" s="261" t="s">
        <v>343</v>
      </c>
      <c r="N187" s="261" t="s">
        <v>425</v>
      </c>
      <c r="O187" s="503" t="s">
        <v>426</v>
      </c>
      <c r="P187" s="504">
        <v>41414</v>
      </c>
      <c r="Q187" s="505">
        <f t="shared" ca="1" si="102"/>
        <v>12.342231348391513</v>
      </c>
      <c r="R187" s="315">
        <v>5</v>
      </c>
      <c r="S187" s="506">
        <v>872</v>
      </c>
      <c r="T187" s="502">
        <v>872</v>
      </c>
      <c r="U187" s="507">
        <v>45108</v>
      </c>
      <c r="V187" s="508">
        <v>49</v>
      </c>
      <c r="W187" s="507">
        <v>45382</v>
      </c>
      <c r="X187" s="315">
        <v>192</v>
      </c>
      <c r="Y187" s="509">
        <f t="shared" si="95"/>
        <v>144</v>
      </c>
      <c r="Z187" s="509">
        <f t="shared" si="120"/>
        <v>0.75</v>
      </c>
      <c r="AA187" s="509" t="s">
        <v>36</v>
      </c>
      <c r="AB187" s="510">
        <v>21</v>
      </c>
      <c r="AC187" s="510"/>
      <c r="AD187" s="510"/>
      <c r="AE187" s="511" t="str">
        <f t="shared" si="103"/>
        <v>1</v>
      </c>
      <c r="AF187" s="511" t="str">
        <f t="shared" si="104"/>
        <v>0</v>
      </c>
      <c r="AG187" s="511" t="str">
        <f t="shared" si="105"/>
        <v>0</v>
      </c>
      <c r="AH187" s="511" t="str">
        <f t="shared" si="106"/>
        <v>NO</v>
      </c>
      <c r="AI187" s="511" t="str">
        <f t="shared" si="107"/>
        <v>NO</v>
      </c>
      <c r="AJ187" s="511" t="str">
        <f t="shared" si="108"/>
        <v>NO</v>
      </c>
      <c r="AK187" s="511" t="str">
        <f t="shared" si="109"/>
        <v>NO</v>
      </c>
      <c r="AL187" s="512"/>
      <c r="AM187" s="512">
        <f t="shared" si="121"/>
        <v>3928.17</v>
      </c>
      <c r="AN187" s="513" t="s">
        <v>66</v>
      </c>
      <c r="AO187" s="512">
        <v>1</v>
      </c>
      <c r="AP187" s="512">
        <f t="shared" si="117"/>
        <v>0.75</v>
      </c>
      <c r="AQ187" s="514">
        <f t="shared" si="114"/>
        <v>2946.1275000000001</v>
      </c>
      <c r="AR187" s="512">
        <v>0</v>
      </c>
      <c r="AS187" s="610">
        <v>0</v>
      </c>
      <c r="AT187" s="515">
        <v>0</v>
      </c>
      <c r="AU187" s="499"/>
      <c r="AV187" s="499"/>
      <c r="AW187" s="516" t="e">
        <f>VLOOKUP(K187,#REF!,8,FALSE)</f>
        <v>#REF!</v>
      </c>
      <c r="AX187" s="516" t="e">
        <f>VLOOKUP(K187,#REF!,8,FALSE)</f>
        <v>#REF!</v>
      </c>
      <c r="AY187" s="516" t="e">
        <f>VLOOKUP(K187,#REF!,8,FALSE)</f>
        <v>#REF!</v>
      </c>
      <c r="AZ187" s="499"/>
      <c r="BA187" s="521"/>
      <c r="BB187" s="517">
        <f t="shared" si="115"/>
        <v>0</v>
      </c>
      <c r="BC187" s="518">
        <f t="shared" si="118"/>
        <v>0</v>
      </c>
      <c r="BD187" s="316" t="str">
        <f t="shared" si="119"/>
        <v/>
      </c>
      <c r="BL187" s="560"/>
      <c r="BM187" s="560"/>
      <c r="BN187" s="560"/>
      <c r="BP187" s="356">
        <f t="shared" si="110"/>
        <v>0</v>
      </c>
      <c r="BS187" s="561"/>
      <c r="BX187" s="520">
        <f t="shared" si="111"/>
        <v>2946.1275000000001</v>
      </c>
      <c r="BZ187" s="636">
        <f t="shared" si="93"/>
        <v>2946.1275000000001</v>
      </c>
      <c r="CA187" s="633">
        <f t="shared" si="94"/>
        <v>2946.1275000000001</v>
      </c>
    </row>
    <row r="188" spans="1:79" s="316" customFormat="1" x14ac:dyDescent="0.2">
      <c r="A188" s="499">
        <v>1</v>
      </c>
      <c r="B188" s="499">
        <v>1</v>
      </c>
      <c r="C188" s="500">
        <f t="shared" si="112"/>
        <v>41110</v>
      </c>
      <c r="D188" s="314">
        <v>41110</v>
      </c>
      <c r="E188" s="314">
        <v>43011</v>
      </c>
      <c r="F188" s="314" t="s">
        <v>1606</v>
      </c>
      <c r="G188" s="501" t="s">
        <v>75</v>
      </c>
      <c r="H188" s="501"/>
      <c r="I188" s="501" t="s">
        <v>32</v>
      </c>
      <c r="J188" s="501"/>
      <c r="K188" s="260">
        <v>421832</v>
      </c>
      <c r="L188" s="261" t="s">
        <v>422</v>
      </c>
      <c r="M188" s="261" t="s">
        <v>427</v>
      </c>
      <c r="N188" s="261" t="s">
        <v>428</v>
      </c>
      <c r="O188" s="503" t="s">
        <v>429</v>
      </c>
      <c r="P188" s="504">
        <v>42148</v>
      </c>
      <c r="Q188" s="505">
        <f t="shared" ca="1" si="102"/>
        <v>10.33264887063655</v>
      </c>
      <c r="R188" s="315">
        <v>3</v>
      </c>
      <c r="S188" s="506" t="s">
        <v>98</v>
      </c>
      <c r="T188" s="502" t="s">
        <v>98</v>
      </c>
      <c r="U188" s="507">
        <v>45108</v>
      </c>
      <c r="V188" s="508">
        <v>49</v>
      </c>
      <c r="W188" s="507">
        <v>45382</v>
      </c>
      <c r="X188" s="315">
        <v>192</v>
      </c>
      <c r="Y188" s="509">
        <f t="shared" si="95"/>
        <v>144</v>
      </c>
      <c r="Z188" s="509">
        <f t="shared" si="120"/>
        <v>0.75</v>
      </c>
      <c r="AA188" s="509" t="s">
        <v>36</v>
      </c>
      <c r="AB188" s="510">
        <v>25</v>
      </c>
      <c r="AC188" s="510"/>
      <c r="AD188" s="510"/>
      <c r="AE188" s="511" t="str">
        <f t="shared" si="103"/>
        <v>1</v>
      </c>
      <c r="AF188" s="511" t="str">
        <f t="shared" si="104"/>
        <v>0</v>
      </c>
      <c r="AG188" s="511" t="str">
        <f t="shared" si="105"/>
        <v>0</v>
      </c>
      <c r="AH188" s="511" t="str">
        <f t="shared" si="106"/>
        <v>NO</v>
      </c>
      <c r="AI188" s="511" t="str">
        <f t="shared" si="107"/>
        <v>NO</v>
      </c>
      <c r="AJ188" s="511" t="str">
        <f t="shared" si="108"/>
        <v>NO</v>
      </c>
      <c r="AK188" s="511" t="str">
        <f t="shared" si="109"/>
        <v>NO</v>
      </c>
      <c r="AL188" s="512"/>
      <c r="AM188" s="512">
        <f t="shared" si="121"/>
        <v>5819.25</v>
      </c>
      <c r="AN188" s="513" t="s">
        <v>56</v>
      </c>
      <c r="AO188" s="512">
        <v>1</v>
      </c>
      <c r="AP188" s="512">
        <f t="shared" si="117"/>
        <v>0.75</v>
      </c>
      <c r="AQ188" s="514">
        <f t="shared" si="114"/>
        <v>4364.4375</v>
      </c>
      <c r="AR188" s="512">
        <v>0</v>
      </c>
      <c r="AS188" s="610">
        <v>0</v>
      </c>
      <c r="AT188" s="515">
        <v>0</v>
      </c>
      <c r="AU188" s="499"/>
      <c r="AV188" s="499"/>
      <c r="AW188" s="516" t="e">
        <f>VLOOKUP(K188,#REF!,8,FALSE)</f>
        <v>#REF!</v>
      </c>
      <c r="AX188" s="516" t="e">
        <f>VLOOKUP(K188,#REF!,8,FALSE)</f>
        <v>#REF!</v>
      </c>
      <c r="AY188" s="516" t="e">
        <f>VLOOKUP(K188,#REF!,8,FALSE)</f>
        <v>#REF!</v>
      </c>
      <c r="AZ188" s="499"/>
      <c r="BA188" s="521"/>
      <c r="BB188" s="517">
        <f t="shared" si="115"/>
        <v>0</v>
      </c>
      <c r="BC188" s="518">
        <f t="shared" si="118"/>
        <v>0</v>
      </c>
      <c r="BD188" s="316" t="str">
        <f t="shared" si="119"/>
        <v/>
      </c>
      <c r="BL188" s="560"/>
      <c r="BM188" s="560"/>
      <c r="BN188" s="560"/>
      <c r="BP188" s="356">
        <f t="shared" si="110"/>
        <v>0</v>
      </c>
      <c r="BS188" s="561"/>
      <c r="BX188" s="520">
        <f t="shared" si="111"/>
        <v>4364.4375</v>
      </c>
      <c r="BZ188" s="636">
        <f t="shared" si="93"/>
        <v>4364.4375</v>
      </c>
      <c r="CA188" s="633">
        <f t="shared" si="94"/>
        <v>4364.4375</v>
      </c>
    </row>
    <row r="189" spans="1:79" s="316" customFormat="1" x14ac:dyDescent="0.2">
      <c r="A189" s="499">
        <v>1</v>
      </c>
      <c r="B189" s="499">
        <v>1</v>
      </c>
      <c r="C189" s="500">
        <f t="shared" si="112"/>
        <v>41110</v>
      </c>
      <c r="D189" s="314">
        <v>41110</v>
      </c>
      <c r="E189" s="314">
        <v>43011</v>
      </c>
      <c r="F189" s="314" t="s">
        <v>1606</v>
      </c>
      <c r="G189" s="501" t="s">
        <v>75</v>
      </c>
      <c r="H189" s="501"/>
      <c r="I189" s="501" t="s">
        <v>32</v>
      </c>
      <c r="J189" s="501"/>
      <c r="K189" s="260">
        <v>401650</v>
      </c>
      <c r="L189" s="261" t="s">
        <v>2553</v>
      </c>
      <c r="M189" s="261" t="s">
        <v>63</v>
      </c>
      <c r="N189" s="261" t="s">
        <v>430</v>
      </c>
      <c r="O189" s="503" t="s">
        <v>431</v>
      </c>
      <c r="P189" s="504">
        <v>40954</v>
      </c>
      <c r="Q189" s="505">
        <f t="shared" ca="1" si="102"/>
        <v>13.60164271047228</v>
      </c>
      <c r="R189" s="315">
        <v>6</v>
      </c>
      <c r="S189" s="506">
        <v>872</v>
      </c>
      <c r="T189" s="502">
        <v>872</v>
      </c>
      <c r="U189" s="507">
        <v>45108</v>
      </c>
      <c r="V189" s="508">
        <v>49</v>
      </c>
      <c r="W189" s="507">
        <v>45128</v>
      </c>
      <c r="X189" s="315">
        <v>63</v>
      </c>
      <c r="Y189" s="509">
        <f t="shared" si="95"/>
        <v>15</v>
      </c>
      <c r="Z189" s="509">
        <f t="shared" si="120"/>
        <v>7.8125E-2</v>
      </c>
      <c r="AA189" s="509" t="s">
        <v>48</v>
      </c>
      <c r="AB189" s="510">
        <v>22</v>
      </c>
      <c r="AC189" s="510"/>
      <c r="AD189" s="510"/>
      <c r="AE189" s="511" t="str">
        <f t="shared" si="103"/>
        <v>1</v>
      </c>
      <c r="AF189" s="511" t="str">
        <f t="shared" si="104"/>
        <v>0</v>
      </c>
      <c r="AG189" s="511" t="str">
        <f t="shared" si="105"/>
        <v>0</v>
      </c>
      <c r="AH189" s="511" t="str">
        <f t="shared" si="106"/>
        <v>NO</v>
      </c>
      <c r="AI189" s="511" t="str">
        <f t="shared" si="107"/>
        <v>NO</v>
      </c>
      <c r="AJ189" s="511" t="str">
        <f t="shared" si="108"/>
        <v>NO</v>
      </c>
      <c r="AK189" s="511" t="str">
        <f t="shared" si="109"/>
        <v>NO</v>
      </c>
      <c r="AL189" s="512"/>
      <c r="AM189" s="512">
        <f t="shared" si="121"/>
        <v>4400.9399999999987</v>
      </c>
      <c r="AN189" s="513" t="s">
        <v>56</v>
      </c>
      <c r="AO189" s="512">
        <v>1</v>
      </c>
      <c r="AP189" s="512">
        <f t="shared" si="117"/>
        <v>7.8125E-2</v>
      </c>
      <c r="AQ189" s="514">
        <f t="shared" si="114"/>
        <v>343.8234374999999</v>
      </c>
      <c r="AR189" s="512">
        <v>0</v>
      </c>
      <c r="AS189" s="610">
        <v>0</v>
      </c>
      <c r="AT189" s="515">
        <v>0</v>
      </c>
      <c r="AU189" s="499"/>
      <c r="AV189" s="499"/>
      <c r="AW189" s="516" t="e">
        <f>VLOOKUP(K189,#REF!,8,FALSE)</f>
        <v>#REF!</v>
      </c>
      <c r="AX189" s="516" t="s">
        <v>2246</v>
      </c>
      <c r="AY189" s="516" t="e">
        <f>VLOOKUP(K189,#REF!,8,FALSE)</f>
        <v>#REF!</v>
      </c>
      <c r="AZ189" s="499"/>
      <c r="BA189" s="521"/>
      <c r="BB189" s="517">
        <f t="shared" si="115"/>
        <v>0</v>
      </c>
      <c r="BC189" s="518">
        <f t="shared" si="118"/>
        <v>0</v>
      </c>
      <c r="BD189" s="316" t="e">
        <f t="shared" si="119"/>
        <v>#REF!</v>
      </c>
      <c r="BE189" s="316" t="s">
        <v>2394</v>
      </c>
      <c r="BF189" s="316">
        <v>43012</v>
      </c>
      <c r="BH189" s="316" t="e">
        <f>VLOOKUP(K189,#REF!,8,FALSE)</f>
        <v>#REF!</v>
      </c>
      <c r="BJ189" s="316">
        <f>AB189</f>
        <v>22</v>
      </c>
      <c r="BK189" s="316">
        <f>AM189</f>
        <v>4400.9399999999987</v>
      </c>
      <c r="BL189" s="560"/>
      <c r="BM189" s="560" t="s">
        <v>75</v>
      </c>
      <c r="BN189" s="560"/>
      <c r="BO189" s="316">
        <f>BK189/192*127</f>
        <v>2911.038437499999</v>
      </c>
      <c r="BP189" s="356">
        <f t="shared" si="110"/>
        <v>2911.038437499999</v>
      </c>
      <c r="BS189" s="561"/>
      <c r="BX189" s="520">
        <f t="shared" si="111"/>
        <v>3254.8618749999987</v>
      </c>
      <c r="BZ189" s="636">
        <f t="shared" si="93"/>
        <v>343.82343749999973</v>
      </c>
      <c r="CA189" s="633">
        <f t="shared" si="94"/>
        <v>3254.8618749999987</v>
      </c>
    </row>
    <row r="190" spans="1:79" s="316" customFormat="1" x14ac:dyDescent="0.2">
      <c r="A190" s="499">
        <v>1</v>
      </c>
      <c r="B190" s="499">
        <v>1</v>
      </c>
      <c r="C190" s="500">
        <f t="shared" si="112"/>
        <v>41110</v>
      </c>
      <c r="D190" s="314">
        <v>41110</v>
      </c>
      <c r="E190" s="314">
        <v>43011</v>
      </c>
      <c r="F190" s="314" t="s">
        <v>1606</v>
      </c>
      <c r="G190" s="501" t="s">
        <v>75</v>
      </c>
      <c r="H190" s="501"/>
      <c r="I190" s="501" t="s">
        <v>32</v>
      </c>
      <c r="J190" s="501"/>
      <c r="K190" s="260">
        <v>414994</v>
      </c>
      <c r="L190" s="261" t="s">
        <v>422</v>
      </c>
      <c r="M190" s="261" t="s">
        <v>406</v>
      </c>
      <c r="N190" s="261" t="s">
        <v>432</v>
      </c>
      <c r="O190" s="503" t="s">
        <v>433</v>
      </c>
      <c r="P190" s="504">
        <v>41851</v>
      </c>
      <c r="Q190" s="505">
        <f t="shared" ca="1" si="102"/>
        <v>11.145790554414784</v>
      </c>
      <c r="R190" s="315">
        <v>4</v>
      </c>
      <c r="S190" s="506">
        <v>872</v>
      </c>
      <c r="T190" s="502">
        <v>872</v>
      </c>
      <c r="U190" s="507">
        <v>45108</v>
      </c>
      <c r="V190" s="508">
        <v>49</v>
      </c>
      <c r="W190" s="507">
        <v>45382</v>
      </c>
      <c r="X190" s="315">
        <v>192</v>
      </c>
      <c r="Y190" s="509">
        <f t="shared" si="95"/>
        <v>144</v>
      </c>
      <c r="Z190" s="509">
        <f t="shared" si="120"/>
        <v>0.75</v>
      </c>
      <c r="AA190" s="509" t="s">
        <v>36</v>
      </c>
      <c r="AB190" s="510">
        <v>30</v>
      </c>
      <c r="AC190" s="510"/>
      <c r="AD190" s="510"/>
      <c r="AE190" s="511" t="str">
        <f t="shared" si="103"/>
        <v>0</v>
      </c>
      <c r="AF190" s="511" t="str">
        <f t="shared" si="104"/>
        <v>1</v>
      </c>
      <c r="AG190" s="511" t="str">
        <f t="shared" si="105"/>
        <v>0</v>
      </c>
      <c r="AH190" s="511" t="str">
        <f t="shared" si="106"/>
        <v>NO</v>
      </c>
      <c r="AI190" s="511" t="str">
        <f t="shared" si="107"/>
        <v>NO</v>
      </c>
      <c r="AJ190" s="511" t="str">
        <f t="shared" si="108"/>
        <v>NO</v>
      </c>
      <c r="AK190" s="511" t="str">
        <f t="shared" si="109"/>
        <v>NO</v>
      </c>
      <c r="AL190" s="512"/>
      <c r="AM190" s="512">
        <f t="shared" si="121"/>
        <v>8183.0999999999985</v>
      </c>
      <c r="AN190" s="513" t="s">
        <v>37</v>
      </c>
      <c r="AO190" s="512">
        <v>1</v>
      </c>
      <c r="AP190" s="512">
        <f t="shared" si="117"/>
        <v>0.75</v>
      </c>
      <c r="AQ190" s="514">
        <f t="shared" si="114"/>
        <v>6137.3249999999989</v>
      </c>
      <c r="AR190" s="512">
        <v>0</v>
      </c>
      <c r="AS190" s="610">
        <v>0</v>
      </c>
      <c r="AT190" s="515">
        <v>0</v>
      </c>
      <c r="AU190" s="499"/>
      <c r="AV190" s="499"/>
      <c r="AW190" s="516" t="e">
        <f>VLOOKUP(K190,#REF!,8,FALSE)</f>
        <v>#REF!</v>
      </c>
      <c r="AX190" s="516" t="e">
        <f>VLOOKUP(K190,#REF!,8,FALSE)</f>
        <v>#REF!</v>
      </c>
      <c r="AY190" s="516" t="e">
        <f>VLOOKUP(K190,#REF!,8,FALSE)</f>
        <v>#REF!</v>
      </c>
      <c r="AZ190" s="499"/>
      <c r="BA190" s="521"/>
      <c r="BB190" s="517">
        <f t="shared" si="115"/>
        <v>0</v>
      </c>
      <c r="BC190" s="518">
        <f t="shared" si="118"/>
        <v>0</v>
      </c>
      <c r="BD190" s="316" t="str">
        <f t="shared" si="119"/>
        <v/>
      </c>
      <c r="BL190" s="560"/>
      <c r="BM190" s="560"/>
      <c r="BN190" s="560"/>
      <c r="BP190" s="356">
        <f t="shared" si="110"/>
        <v>0</v>
      </c>
      <c r="BS190" s="561"/>
      <c r="BX190" s="520">
        <f t="shared" si="111"/>
        <v>6137.3249999999989</v>
      </c>
      <c r="BZ190" s="636">
        <f t="shared" si="93"/>
        <v>6137.3249999999989</v>
      </c>
      <c r="CA190" s="633">
        <f t="shared" si="94"/>
        <v>6137.3249999999989</v>
      </c>
    </row>
    <row r="191" spans="1:79" s="316" customFormat="1" x14ac:dyDescent="0.2">
      <c r="A191" s="499">
        <v>1</v>
      </c>
      <c r="B191" s="499">
        <v>1</v>
      </c>
      <c r="C191" s="500">
        <f t="shared" si="112"/>
        <v>41110</v>
      </c>
      <c r="D191" s="314">
        <v>41110</v>
      </c>
      <c r="E191" s="314">
        <v>43011</v>
      </c>
      <c r="F191" s="314" t="s">
        <v>1606</v>
      </c>
      <c r="G191" s="501" t="s">
        <v>75</v>
      </c>
      <c r="H191" s="501"/>
      <c r="I191" s="501" t="s">
        <v>32</v>
      </c>
      <c r="J191" s="501"/>
      <c r="K191" s="260">
        <v>422418</v>
      </c>
      <c r="L191" s="261" t="s">
        <v>422</v>
      </c>
      <c r="M191" s="261" t="s">
        <v>434</v>
      </c>
      <c r="N191" s="261" t="s">
        <v>435</v>
      </c>
      <c r="O191" s="503" t="s">
        <v>436</v>
      </c>
      <c r="P191" s="504">
        <v>42203</v>
      </c>
      <c r="Q191" s="505">
        <f t="shared" ca="1" si="102"/>
        <v>10.182067077344286</v>
      </c>
      <c r="R191" s="315">
        <v>3</v>
      </c>
      <c r="S191" s="506">
        <v>872</v>
      </c>
      <c r="T191" s="502">
        <v>872</v>
      </c>
      <c r="U191" s="507">
        <v>45108</v>
      </c>
      <c r="V191" s="508">
        <v>49</v>
      </c>
      <c r="W191" s="507">
        <v>45382</v>
      </c>
      <c r="X191" s="315">
        <v>192</v>
      </c>
      <c r="Y191" s="509">
        <f t="shared" si="95"/>
        <v>144</v>
      </c>
      <c r="Z191" s="509">
        <f t="shared" si="120"/>
        <v>0.75</v>
      </c>
      <c r="AA191" s="509" t="s">
        <v>36</v>
      </c>
      <c r="AB191" s="510">
        <v>22</v>
      </c>
      <c r="AC191" s="510"/>
      <c r="AD191" s="510"/>
      <c r="AE191" s="511" t="str">
        <f t="shared" si="103"/>
        <v>1</v>
      </c>
      <c r="AF191" s="511" t="str">
        <f t="shared" si="104"/>
        <v>0</v>
      </c>
      <c r="AG191" s="511" t="str">
        <f t="shared" si="105"/>
        <v>0</v>
      </c>
      <c r="AH191" s="511" t="str">
        <f t="shared" si="106"/>
        <v>NO</v>
      </c>
      <c r="AI191" s="511" t="str">
        <f t="shared" si="107"/>
        <v>NO</v>
      </c>
      <c r="AJ191" s="511" t="str">
        <f t="shared" si="108"/>
        <v>NO</v>
      </c>
      <c r="AK191" s="511" t="str">
        <f t="shared" si="109"/>
        <v>NO</v>
      </c>
      <c r="AL191" s="512"/>
      <c r="AM191" s="512">
        <f t="shared" si="121"/>
        <v>4400.9399999999987</v>
      </c>
      <c r="AN191" s="513" t="s">
        <v>37</v>
      </c>
      <c r="AO191" s="512">
        <v>1</v>
      </c>
      <c r="AP191" s="512">
        <f t="shared" si="117"/>
        <v>0.75</v>
      </c>
      <c r="AQ191" s="514">
        <f t="shared" si="114"/>
        <v>3300.704999999999</v>
      </c>
      <c r="AR191" s="512">
        <v>0</v>
      </c>
      <c r="AS191" s="610">
        <v>0</v>
      </c>
      <c r="AT191" s="515">
        <v>0</v>
      </c>
      <c r="AU191" s="499"/>
      <c r="AV191" s="499"/>
      <c r="AW191" s="516" t="e">
        <f>VLOOKUP(K191,#REF!,8,FALSE)</f>
        <v>#REF!</v>
      </c>
      <c r="AX191" s="516" t="e">
        <f>VLOOKUP(K191,#REF!,8,FALSE)</f>
        <v>#REF!</v>
      </c>
      <c r="AY191" s="516" t="e">
        <f>VLOOKUP(K191,#REF!,8,FALSE)</f>
        <v>#REF!</v>
      </c>
      <c r="AZ191" s="499"/>
      <c r="BA191" s="521"/>
      <c r="BB191" s="517">
        <f t="shared" si="115"/>
        <v>0</v>
      </c>
      <c r="BC191" s="518">
        <f t="shared" si="118"/>
        <v>0</v>
      </c>
      <c r="BD191" s="316" t="str">
        <f t="shared" si="119"/>
        <v/>
      </c>
      <c r="BL191" s="560"/>
      <c r="BM191" s="560"/>
      <c r="BN191" s="560"/>
      <c r="BP191" s="356">
        <f t="shared" si="110"/>
        <v>0</v>
      </c>
      <c r="BS191" s="561"/>
      <c r="BX191" s="520">
        <f t="shared" si="111"/>
        <v>3300.704999999999</v>
      </c>
      <c r="BZ191" s="636">
        <f t="shared" si="93"/>
        <v>3300.704999999999</v>
      </c>
      <c r="CA191" s="633">
        <f t="shared" si="94"/>
        <v>3300.704999999999</v>
      </c>
    </row>
    <row r="192" spans="1:79" s="316" customFormat="1" x14ac:dyDescent="0.2">
      <c r="A192" s="499">
        <v>1</v>
      </c>
      <c r="B192" s="499">
        <v>1</v>
      </c>
      <c r="C192" s="500">
        <f t="shared" si="112"/>
        <v>41110</v>
      </c>
      <c r="D192" s="314">
        <v>41110</v>
      </c>
      <c r="E192" s="314">
        <v>43011</v>
      </c>
      <c r="F192" s="314" t="s">
        <v>1606</v>
      </c>
      <c r="G192" s="501" t="s">
        <v>75</v>
      </c>
      <c r="H192" s="501"/>
      <c r="I192" s="501" t="s">
        <v>32</v>
      </c>
      <c r="J192" s="501"/>
      <c r="K192" s="260">
        <v>419836</v>
      </c>
      <c r="L192" s="261" t="s">
        <v>422</v>
      </c>
      <c r="M192" s="261" t="s">
        <v>151</v>
      </c>
      <c r="N192" s="261" t="s">
        <v>437</v>
      </c>
      <c r="O192" s="503" t="s">
        <v>438</v>
      </c>
      <c r="P192" s="504">
        <v>42039</v>
      </c>
      <c r="Q192" s="505">
        <f t="shared" ca="1" si="102"/>
        <v>10.63107460643395</v>
      </c>
      <c r="R192" s="315">
        <v>3</v>
      </c>
      <c r="S192" s="506">
        <v>872</v>
      </c>
      <c r="T192" s="502">
        <v>872</v>
      </c>
      <c r="U192" s="507">
        <v>45108</v>
      </c>
      <c r="V192" s="508">
        <v>49</v>
      </c>
      <c r="W192" s="507">
        <v>45382</v>
      </c>
      <c r="X192" s="315">
        <v>192</v>
      </c>
      <c r="Y192" s="509">
        <f t="shared" si="95"/>
        <v>144</v>
      </c>
      <c r="Z192" s="509">
        <f t="shared" si="120"/>
        <v>0.75</v>
      </c>
      <c r="AA192" s="509" t="s">
        <v>36</v>
      </c>
      <c r="AB192" s="510">
        <v>25</v>
      </c>
      <c r="AC192" s="510"/>
      <c r="AD192" s="510"/>
      <c r="AE192" s="511" t="str">
        <f t="shared" si="103"/>
        <v>1</v>
      </c>
      <c r="AF192" s="511" t="str">
        <f t="shared" si="104"/>
        <v>0</v>
      </c>
      <c r="AG192" s="511" t="str">
        <f t="shared" si="105"/>
        <v>0</v>
      </c>
      <c r="AH192" s="511" t="str">
        <f t="shared" si="106"/>
        <v>NO</v>
      </c>
      <c r="AI192" s="511" t="str">
        <f t="shared" si="107"/>
        <v>NO</v>
      </c>
      <c r="AJ192" s="511" t="str">
        <f t="shared" si="108"/>
        <v>NO</v>
      </c>
      <c r="AK192" s="511" t="str">
        <f t="shared" si="109"/>
        <v>NO</v>
      </c>
      <c r="AL192" s="512"/>
      <c r="AM192" s="512">
        <f t="shared" si="121"/>
        <v>5819.25</v>
      </c>
      <c r="AN192" s="513" t="s">
        <v>37</v>
      </c>
      <c r="AO192" s="512">
        <v>1</v>
      </c>
      <c r="AP192" s="512">
        <f t="shared" si="117"/>
        <v>0.75</v>
      </c>
      <c r="AQ192" s="514">
        <f t="shared" si="114"/>
        <v>4364.4375</v>
      </c>
      <c r="AR192" s="512">
        <v>0</v>
      </c>
      <c r="AS192" s="610">
        <v>0</v>
      </c>
      <c r="AT192" s="515">
        <v>0</v>
      </c>
      <c r="AU192" s="499"/>
      <c r="AV192" s="499"/>
      <c r="AW192" s="516" t="e">
        <f>VLOOKUP(K192,#REF!,8,FALSE)</f>
        <v>#REF!</v>
      </c>
      <c r="AX192" s="516" t="e">
        <f>VLOOKUP(K192,#REF!,8,FALSE)</f>
        <v>#REF!</v>
      </c>
      <c r="AY192" s="516" t="e">
        <f>VLOOKUP(K192,#REF!,8,FALSE)</f>
        <v>#REF!</v>
      </c>
      <c r="AZ192" s="499"/>
      <c r="BA192" s="521"/>
      <c r="BB192" s="517">
        <f t="shared" si="115"/>
        <v>0</v>
      </c>
      <c r="BC192" s="518">
        <f t="shared" si="118"/>
        <v>0</v>
      </c>
      <c r="BD192" s="316" t="str">
        <f t="shared" si="119"/>
        <v/>
      </c>
      <c r="BL192" s="560"/>
      <c r="BM192" s="560"/>
      <c r="BN192" s="560"/>
      <c r="BP192" s="356">
        <f t="shared" si="110"/>
        <v>0</v>
      </c>
      <c r="BS192" s="561"/>
      <c r="BX192" s="520">
        <f t="shared" si="111"/>
        <v>4364.4375</v>
      </c>
      <c r="BZ192" s="636">
        <f t="shared" si="93"/>
        <v>4364.4375</v>
      </c>
      <c r="CA192" s="633">
        <f t="shared" si="94"/>
        <v>4364.4375</v>
      </c>
    </row>
    <row r="193" spans="1:79" s="316" customFormat="1" x14ac:dyDescent="0.2">
      <c r="A193" s="499">
        <v>1</v>
      </c>
      <c r="B193" s="499">
        <v>1</v>
      </c>
      <c r="C193" s="500">
        <f t="shared" si="112"/>
        <v>41110</v>
      </c>
      <c r="D193" s="314">
        <v>41110</v>
      </c>
      <c r="E193" s="314">
        <v>43011</v>
      </c>
      <c r="F193" s="314" t="s">
        <v>1606</v>
      </c>
      <c r="G193" s="501" t="s">
        <v>75</v>
      </c>
      <c r="H193" s="501"/>
      <c r="I193" s="501" t="s">
        <v>32</v>
      </c>
      <c r="J193" s="501"/>
      <c r="K193" s="260">
        <v>419686</v>
      </c>
      <c r="L193" s="261" t="s">
        <v>422</v>
      </c>
      <c r="M193" s="261" t="s">
        <v>439</v>
      </c>
      <c r="N193" s="261" t="s">
        <v>440</v>
      </c>
      <c r="O193" s="503" t="str">
        <f>M193&amp;N193</f>
        <v>MarnieHearnon</v>
      </c>
      <c r="P193" s="504">
        <v>42006</v>
      </c>
      <c r="Q193" s="505">
        <f t="shared" ca="1" si="102"/>
        <v>10.721423682409309</v>
      </c>
      <c r="R193" s="315">
        <v>3</v>
      </c>
      <c r="S193" s="506">
        <v>872</v>
      </c>
      <c r="T193" s="502">
        <v>872</v>
      </c>
      <c r="U193" s="507">
        <v>45108</v>
      </c>
      <c r="V193" s="508">
        <v>49</v>
      </c>
      <c r="W193" s="507">
        <v>45382</v>
      </c>
      <c r="X193" s="315">
        <v>192</v>
      </c>
      <c r="Y193" s="509">
        <f t="shared" si="95"/>
        <v>144</v>
      </c>
      <c r="Z193" s="509">
        <f t="shared" si="120"/>
        <v>0.75</v>
      </c>
      <c r="AA193" s="509" t="s">
        <v>36</v>
      </c>
      <c r="AB193" s="510">
        <v>30</v>
      </c>
      <c r="AC193" s="510"/>
      <c r="AD193" s="510"/>
      <c r="AE193" s="511" t="str">
        <f t="shared" si="103"/>
        <v>0</v>
      </c>
      <c r="AF193" s="511" t="str">
        <f t="shared" si="104"/>
        <v>1</v>
      </c>
      <c r="AG193" s="511" t="str">
        <f t="shared" si="105"/>
        <v>0</v>
      </c>
      <c r="AH193" s="511" t="str">
        <f t="shared" si="106"/>
        <v>NO</v>
      </c>
      <c r="AI193" s="511" t="str">
        <f t="shared" si="107"/>
        <v>NO</v>
      </c>
      <c r="AJ193" s="511" t="str">
        <f t="shared" si="108"/>
        <v>NO</v>
      </c>
      <c r="AK193" s="511" t="str">
        <f t="shared" si="109"/>
        <v>NO</v>
      </c>
      <c r="AL193" s="512"/>
      <c r="AM193" s="512">
        <f t="shared" si="121"/>
        <v>8183.0999999999985</v>
      </c>
      <c r="AN193" s="513"/>
      <c r="AO193" s="512">
        <v>1</v>
      </c>
      <c r="AP193" s="512">
        <f t="shared" si="117"/>
        <v>0.75</v>
      </c>
      <c r="AQ193" s="514">
        <f t="shared" si="114"/>
        <v>6137.3249999999989</v>
      </c>
      <c r="AR193" s="512">
        <v>0</v>
      </c>
      <c r="AS193" s="610">
        <v>0</v>
      </c>
      <c r="AT193" s="515">
        <v>0</v>
      </c>
      <c r="AU193" s="499"/>
      <c r="AV193" s="499"/>
      <c r="AW193" s="516" t="e">
        <f>VLOOKUP(K193,#REF!,8,FALSE)</f>
        <v>#REF!</v>
      </c>
      <c r="AX193" s="516" t="e">
        <f>VLOOKUP(K193,#REF!,8,FALSE)</f>
        <v>#REF!</v>
      </c>
      <c r="AY193" s="516" t="e">
        <f>VLOOKUP(K193,#REF!,8,FALSE)</f>
        <v>#REF!</v>
      </c>
      <c r="AZ193" s="499"/>
      <c r="BA193" s="521"/>
      <c r="BB193" s="517">
        <f t="shared" si="115"/>
        <v>0</v>
      </c>
      <c r="BC193" s="518">
        <f t="shared" si="118"/>
        <v>0</v>
      </c>
      <c r="BD193" s="316" t="str">
        <f t="shared" si="119"/>
        <v/>
      </c>
      <c r="BL193" s="560"/>
      <c r="BM193" s="560"/>
      <c r="BN193" s="560"/>
      <c r="BP193" s="356">
        <f t="shared" si="110"/>
        <v>0</v>
      </c>
      <c r="BS193" s="561"/>
      <c r="BX193" s="520">
        <f t="shared" si="111"/>
        <v>6137.3249999999989</v>
      </c>
      <c r="BZ193" s="636">
        <f t="shared" si="93"/>
        <v>6137.3249999999989</v>
      </c>
      <c r="CA193" s="633">
        <f t="shared" si="94"/>
        <v>6137.3249999999989</v>
      </c>
    </row>
    <row r="194" spans="1:79" s="316" customFormat="1" x14ac:dyDescent="0.2">
      <c r="A194" s="499">
        <v>1</v>
      </c>
      <c r="B194" s="499">
        <v>1</v>
      </c>
      <c r="C194" s="500">
        <f t="shared" si="112"/>
        <v>41110</v>
      </c>
      <c r="D194" s="314">
        <v>41110</v>
      </c>
      <c r="E194" s="314">
        <v>43011</v>
      </c>
      <c r="F194" s="314" t="s">
        <v>1606</v>
      </c>
      <c r="G194" s="501" t="s">
        <v>75</v>
      </c>
      <c r="H194" s="501"/>
      <c r="I194" s="501" t="s">
        <v>32</v>
      </c>
      <c r="J194" s="501"/>
      <c r="K194" s="260">
        <v>413640</v>
      </c>
      <c r="L194" s="261" t="s">
        <v>422</v>
      </c>
      <c r="M194" s="261" t="s">
        <v>285</v>
      </c>
      <c r="N194" s="261" t="s">
        <v>441</v>
      </c>
      <c r="O194" s="503" t="s">
        <v>442</v>
      </c>
      <c r="P194" s="504">
        <v>41385</v>
      </c>
      <c r="Q194" s="505">
        <f t="shared" ca="1" si="102"/>
        <v>12.421629021218344</v>
      </c>
      <c r="R194" s="315">
        <v>5</v>
      </c>
      <c r="S194" s="506">
        <v>872</v>
      </c>
      <c r="T194" s="502">
        <v>872</v>
      </c>
      <c r="U194" s="507">
        <v>45108</v>
      </c>
      <c r="V194" s="508">
        <v>49</v>
      </c>
      <c r="W194" s="507">
        <v>45382</v>
      </c>
      <c r="X194" s="315">
        <v>192</v>
      </c>
      <c r="Y194" s="509">
        <f t="shared" si="95"/>
        <v>144</v>
      </c>
      <c r="Z194" s="509">
        <f t="shared" si="120"/>
        <v>0.75</v>
      </c>
      <c r="AA194" s="509" t="s">
        <v>36</v>
      </c>
      <c r="AB194" s="510">
        <v>28</v>
      </c>
      <c r="AC194" s="510"/>
      <c r="AD194" s="510"/>
      <c r="AE194" s="511" t="str">
        <f t="shared" si="103"/>
        <v>0</v>
      </c>
      <c r="AF194" s="511" t="str">
        <f t="shared" si="104"/>
        <v>1</v>
      </c>
      <c r="AG194" s="511" t="str">
        <f t="shared" si="105"/>
        <v>0</v>
      </c>
      <c r="AH194" s="511" t="str">
        <f t="shared" si="106"/>
        <v>NO</v>
      </c>
      <c r="AI194" s="511" t="str">
        <f t="shared" si="107"/>
        <v>NO</v>
      </c>
      <c r="AJ194" s="511" t="str">
        <f t="shared" si="108"/>
        <v>NO</v>
      </c>
      <c r="AK194" s="511" t="str">
        <f t="shared" si="109"/>
        <v>NO</v>
      </c>
      <c r="AL194" s="512"/>
      <c r="AM194" s="512">
        <f t="shared" si="121"/>
        <v>7237.5599999999995</v>
      </c>
      <c r="AN194" s="513" t="s">
        <v>66</v>
      </c>
      <c r="AO194" s="512">
        <v>1</v>
      </c>
      <c r="AP194" s="512">
        <f t="shared" si="117"/>
        <v>0.75</v>
      </c>
      <c r="AQ194" s="514">
        <f t="shared" si="114"/>
        <v>5428.17</v>
      </c>
      <c r="AR194" s="512">
        <v>0</v>
      </c>
      <c r="AS194" s="610">
        <v>0</v>
      </c>
      <c r="AT194" s="515">
        <v>0</v>
      </c>
      <c r="AU194" s="499"/>
      <c r="AV194" s="499"/>
      <c r="AW194" s="516" t="e">
        <f>VLOOKUP(K194,#REF!,8,FALSE)</f>
        <v>#REF!</v>
      </c>
      <c r="AX194" s="516" t="e">
        <f>VLOOKUP(K194,#REF!,8,FALSE)</f>
        <v>#REF!</v>
      </c>
      <c r="AY194" s="516" t="e">
        <f>VLOOKUP(K194,#REF!,8,FALSE)</f>
        <v>#REF!</v>
      </c>
      <c r="AZ194" s="499"/>
      <c r="BA194" s="521"/>
      <c r="BB194" s="517">
        <f t="shared" si="115"/>
        <v>0</v>
      </c>
      <c r="BC194" s="518">
        <f t="shared" si="118"/>
        <v>0</v>
      </c>
      <c r="BD194" s="316" t="str">
        <f t="shared" si="119"/>
        <v/>
      </c>
      <c r="BL194" s="560"/>
      <c r="BM194" s="560"/>
      <c r="BN194" s="560"/>
      <c r="BP194" s="356">
        <f t="shared" si="110"/>
        <v>0</v>
      </c>
      <c r="BS194" s="561"/>
      <c r="BX194" s="520">
        <f t="shared" si="111"/>
        <v>5428.17</v>
      </c>
      <c r="BZ194" s="636">
        <f t="shared" si="93"/>
        <v>5428.17</v>
      </c>
      <c r="CA194" s="633">
        <f t="shared" si="94"/>
        <v>5428.17</v>
      </c>
    </row>
    <row r="195" spans="1:79" s="316" customFormat="1" x14ac:dyDescent="0.2">
      <c r="A195" s="499">
        <v>1</v>
      </c>
      <c r="B195" s="499">
        <v>1</v>
      </c>
      <c r="C195" s="500">
        <f t="shared" si="112"/>
        <v>41110</v>
      </c>
      <c r="D195" s="314">
        <v>41110</v>
      </c>
      <c r="E195" s="314">
        <v>43011</v>
      </c>
      <c r="F195" s="314" t="s">
        <v>1606</v>
      </c>
      <c r="G195" s="501" t="s">
        <v>75</v>
      </c>
      <c r="H195" s="501"/>
      <c r="I195" s="501" t="s">
        <v>32</v>
      </c>
      <c r="J195" s="501"/>
      <c r="K195" s="260">
        <v>407072</v>
      </c>
      <c r="L195" s="261" t="s">
        <v>2553</v>
      </c>
      <c r="M195" s="261" t="s">
        <v>443</v>
      </c>
      <c r="N195" s="261" t="s">
        <v>444</v>
      </c>
      <c r="O195" s="503" t="s">
        <v>445</v>
      </c>
      <c r="P195" s="504">
        <v>41052</v>
      </c>
      <c r="Q195" s="505">
        <f t="shared" ca="1" si="102"/>
        <v>13.333333333333334</v>
      </c>
      <c r="R195" s="315">
        <v>6</v>
      </c>
      <c r="S195" s="506">
        <v>872</v>
      </c>
      <c r="T195" s="502">
        <v>872</v>
      </c>
      <c r="U195" s="507">
        <v>45108</v>
      </c>
      <c r="V195" s="508">
        <v>49</v>
      </c>
      <c r="W195" s="507">
        <v>45128</v>
      </c>
      <c r="X195" s="315">
        <v>63</v>
      </c>
      <c r="Y195" s="509">
        <f t="shared" si="95"/>
        <v>15</v>
      </c>
      <c r="Z195" s="509">
        <f t="shared" si="120"/>
        <v>7.8125E-2</v>
      </c>
      <c r="AA195" s="509" t="s">
        <v>48</v>
      </c>
      <c r="AB195" s="510">
        <v>30</v>
      </c>
      <c r="AC195" s="510"/>
      <c r="AD195" s="510"/>
      <c r="AE195" s="511" t="str">
        <f t="shared" si="103"/>
        <v>0</v>
      </c>
      <c r="AF195" s="511" t="str">
        <f t="shared" si="104"/>
        <v>1</v>
      </c>
      <c r="AG195" s="511" t="str">
        <f t="shared" si="105"/>
        <v>0</v>
      </c>
      <c r="AH195" s="511" t="str">
        <f t="shared" si="106"/>
        <v>NO</v>
      </c>
      <c r="AI195" s="511" t="str">
        <f t="shared" si="107"/>
        <v>NO</v>
      </c>
      <c r="AJ195" s="511" t="str">
        <f t="shared" si="108"/>
        <v>NO</v>
      </c>
      <c r="AK195" s="511" t="str">
        <f t="shared" si="109"/>
        <v>NO</v>
      </c>
      <c r="AL195" s="512"/>
      <c r="AM195" s="512">
        <f t="shared" si="121"/>
        <v>8183.0999999999985</v>
      </c>
      <c r="AN195" s="513" t="s">
        <v>56</v>
      </c>
      <c r="AO195" s="512">
        <v>1</v>
      </c>
      <c r="AP195" s="512">
        <f t="shared" si="117"/>
        <v>7.8125E-2</v>
      </c>
      <c r="AQ195" s="514">
        <f t="shared" si="114"/>
        <v>639.30468749999989</v>
      </c>
      <c r="AR195" s="512">
        <v>0</v>
      </c>
      <c r="AS195" s="610">
        <v>0</v>
      </c>
      <c r="AT195" s="515">
        <v>0</v>
      </c>
      <c r="AU195" s="499"/>
      <c r="AV195" s="499"/>
      <c r="AW195" s="516" t="e">
        <f>VLOOKUP(K195,#REF!,8,FALSE)</f>
        <v>#REF!</v>
      </c>
      <c r="AX195" s="516" t="s">
        <v>2267</v>
      </c>
      <c r="AY195" s="516" t="e">
        <f>VLOOKUP(K195,#REF!,8,FALSE)</f>
        <v>#REF!</v>
      </c>
      <c r="AZ195" s="499" t="s">
        <v>75</v>
      </c>
      <c r="BA195" s="521">
        <f>AM195/3*2</f>
        <v>5455.3999999999987</v>
      </c>
      <c r="BB195" s="517">
        <f t="shared" si="115"/>
        <v>0</v>
      </c>
      <c r="BC195" s="518">
        <f t="shared" si="118"/>
        <v>0</v>
      </c>
      <c r="BD195" s="316" t="s">
        <v>2267</v>
      </c>
      <c r="BE195" s="316" t="s">
        <v>2267</v>
      </c>
      <c r="BF195" s="316">
        <v>43012</v>
      </c>
      <c r="BH195" s="316" t="e">
        <f>VLOOKUP(K195,#REF!,8,FALSE)</f>
        <v>#REF!</v>
      </c>
      <c r="BJ195" s="316">
        <f>AB195</f>
        <v>30</v>
      </c>
      <c r="BK195" s="316">
        <f>AM195</f>
        <v>8183.0999999999985</v>
      </c>
      <c r="BL195" s="560"/>
      <c r="BM195" s="560" t="s">
        <v>75</v>
      </c>
      <c r="BN195" s="560"/>
      <c r="BO195" s="316">
        <f>BK195/192*127</f>
        <v>5412.7796874999985</v>
      </c>
      <c r="BP195" s="356">
        <f t="shared" si="110"/>
        <v>5412.7796874999985</v>
      </c>
      <c r="BQ195" s="316">
        <v>5412.7796874999985</v>
      </c>
      <c r="BR195" s="316" t="s">
        <v>2446</v>
      </c>
      <c r="BS195" s="561"/>
      <c r="BX195" s="520">
        <f t="shared" si="111"/>
        <v>6052.0843749999985</v>
      </c>
      <c r="BZ195" s="636">
        <f t="shared" ref="BZ195:BZ258" si="122">BX195-BP195</f>
        <v>639.3046875</v>
      </c>
      <c r="CA195" s="633">
        <f t="shared" ref="CA195:CA258" si="123">BX195-AS195</f>
        <v>6052.0843749999985</v>
      </c>
    </row>
    <row r="196" spans="1:79" s="316" customFormat="1" x14ac:dyDescent="0.2">
      <c r="A196" s="499">
        <v>1</v>
      </c>
      <c r="B196" s="499">
        <v>1</v>
      </c>
      <c r="C196" s="500">
        <f t="shared" si="112"/>
        <v>41110</v>
      </c>
      <c r="D196" s="314">
        <v>41110</v>
      </c>
      <c r="E196" s="314">
        <v>43011</v>
      </c>
      <c r="F196" s="314" t="s">
        <v>1606</v>
      </c>
      <c r="G196" s="501" t="s">
        <v>75</v>
      </c>
      <c r="H196" s="501"/>
      <c r="I196" s="501" t="s">
        <v>32</v>
      </c>
      <c r="J196" s="501"/>
      <c r="K196" s="260">
        <v>406183</v>
      </c>
      <c r="L196" s="261" t="s">
        <v>422</v>
      </c>
      <c r="M196" s="261" t="s">
        <v>446</v>
      </c>
      <c r="N196" s="261" t="s">
        <v>206</v>
      </c>
      <c r="O196" s="503" t="s">
        <v>447</v>
      </c>
      <c r="P196" s="504">
        <v>41238</v>
      </c>
      <c r="Q196" s="505">
        <f t="shared" ca="1" si="102"/>
        <v>12.824093086926762</v>
      </c>
      <c r="R196" s="315">
        <v>5</v>
      </c>
      <c r="S196" s="506">
        <v>872</v>
      </c>
      <c r="T196" s="502">
        <v>872</v>
      </c>
      <c r="U196" s="507">
        <v>45108</v>
      </c>
      <c r="V196" s="508">
        <v>49</v>
      </c>
      <c r="W196" s="507">
        <v>45382</v>
      </c>
      <c r="X196" s="315">
        <v>192</v>
      </c>
      <c r="Y196" s="509">
        <f t="shared" ref="Y196:Y259" si="124">X196-V196+1</f>
        <v>144</v>
      </c>
      <c r="Z196" s="509">
        <f t="shared" si="120"/>
        <v>0.75</v>
      </c>
      <c r="AA196" s="509" t="s">
        <v>36</v>
      </c>
      <c r="AB196" s="510">
        <v>30</v>
      </c>
      <c r="AC196" s="510"/>
      <c r="AD196" s="510"/>
      <c r="AE196" s="511" t="str">
        <f t="shared" si="103"/>
        <v>0</v>
      </c>
      <c r="AF196" s="511" t="str">
        <f t="shared" si="104"/>
        <v>1</v>
      </c>
      <c r="AG196" s="511" t="str">
        <f t="shared" si="105"/>
        <v>0</v>
      </c>
      <c r="AH196" s="511" t="str">
        <f t="shared" si="106"/>
        <v>NO</v>
      </c>
      <c r="AI196" s="511" t="str">
        <f t="shared" si="107"/>
        <v>NO</v>
      </c>
      <c r="AJ196" s="511" t="str">
        <f t="shared" si="108"/>
        <v>NO</v>
      </c>
      <c r="AK196" s="511" t="str">
        <f t="shared" si="109"/>
        <v>NO</v>
      </c>
      <c r="AL196" s="512"/>
      <c r="AM196" s="512">
        <f t="shared" si="121"/>
        <v>8183.0999999999985</v>
      </c>
      <c r="AN196" s="513" t="s">
        <v>43</v>
      </c>
      <c r="AO196" s="512">
        <v>1</v>
      </c>
      <c r="AP196" s="512">
        <f t="shared" si="117"/>
        <v>0.75</v>
      </c>
      <c r="AQ196" s="514">
        <f t="shared" ref="AQ196:AQ227" si="125">AP196*AM196</f>
        <v>6137.3249999999989</v>
      </c>
      <c r="AR196" s="512">
        <v>0</v>
      </c>
      <c r="AS196" s="610">
        <v>0</v>
      </c>
      <c r="AT196" s="515">
        <v>0</v>
      </c>
      <c r="AU196" s="499"/>
      <c r="AV196" s="499"/>
      <c r="AW196" s="516" t="e">
        <f>VLOOKUP(K196,#REF!,8,FALSE)</f>
        <v>#REF!</v>
      </c>
      <c r="AX196" s="516" t="e">
        <f>VLOOKUP(K196,#REF!,8,FALSE)</f>
        <v>#REF!</v>
      </c>
      <c r="AY196" s="516" t="e">
        <f>VLOOKUP(K196,#REF!,8,FALSE)</f>
        <v>#REF!</v>
      </c>
      <c r="AZ196" s="499"/>
      <c r="BA196" s="521"/>
      <c r="BB196" s="517">
        <f t="shared" ref="BB196:BB227" si="126">BC196-AT196</f>
        <v>0</v>
      </c>
      <c r="BC196" s="518">
        <f t="shared" si="118"/>
        <v>0</v>
      </c>
      <c r="BD196" s="316" t="str">
        <f t="shared" ref="BD196:BD203" si="127">BG196&amp;BH196&amp;BI196</f>
        <v/>
      </c>
      <c r="BL196" s="560"/>
      <c r="BM196" s="560"/>
      <c r="BN196" s="560"/>
      <c r="BP196" s="356">
        <f t="shared" si="110"/>
        <v>0</v>
      </c>
      <c r="BS196" s="561"/>
      <c r="BX196" s="520">
        <f t="shared" si="111"/>
        <v>6137.3249999999989</v>
      </c>
      <c r="BZ196" s="636">
        <f t="shared" si="122"/>
        <v>6137.3249999999989</v>
      </c>
      <c r="CA196" s="633">
        <f t="shared" si="123"/>
        <v>6137.3249999999989</v>
      </c>
    </row>
    <row r="197" spans="1:79" s="316" customFormat="1" x14ac:dyDescent="0.2">
      <c r="A197" s="499">
        <v>0</v>
      </c>
      <c r="B197" s="499">
        <v>1</v>
      </c>
      <c r="C197" s="500">
        <f t="shared" si="112"/>
        <v>41110</v>
      </c>
      <c r="D197" s="314">
        <v>41110</v>
      </c>
      <c r="E197" s="314">
        <v>43011</v>
      </c>
      <c r="F197" s="314" t="s">
        <v>1606</v>
      </c>
      <c r="G197" s="501" t="s">
        <v>75</v>
      </c>
      <c r="H197" s="501"/>
      <c r="I197" s="501" t="s">
        <v>32</v>
      </c>
      <c r="J197" s="501" t="s">
        <v>192</v>
      </c>
      <c r="K197" s="260">
        <v>406183</v>
      </c>
      <c r="L197" s="261" t="s">
        <v>422</v>
      </c>
      <c r="M197" s="261" t="s">
        <v>446</v>
      </c>
      <c r="N197" s="261" t="s">
        <v>206</v>
      </c>
      <c r="O197" s="503" t="s">
        <v>447</v>
      </c>
      <c r="P197" s="504">
        <v>41238</v>
      </c>
      <c r="Q197" s="505">
        <f t="shared" ca="1" si="102"/>
        <v>12.824093086926762</v>
      </c>
      <c r="R197" s="315">
        <v>5</v>
      </c>
      <c r="S197" s="506">
        <v>872</v>
      </c>
      <c r="T197" s="502">
        <v>872</v>
      </c>
      <c r="U197" s="507">
        <v>45108</v>
      </c>
      <c r="V197" s="508">
        <v>49</v>
      </c>
      <c r="W197" s="507">
        <v>45135</v>
      </c>
      <c r="X197" s="315">
        <v>63</v>
      </c>
      <c r="Y197" s="509">
        <f t="shared" si="124"/>
        <v>15</v>
      </c>
      <c r="Z197" s="509">
        <v>1</v>
      </c>
      <c r="AA197" s="509">
        <v>45135</v>
      </c>
      <c r="AB197" s="510">
        <v>28500</v>
      </c>
      <c r="AC197" s="510"/>
      <c r="AD197" s="510"/>
      <c r="AE197" s="511" t="str">
        <f t="shared" si="103"/>
        <v>0</v>
      </c>
      <c r="AF197" s="511" t="str">
        <f t="shared" si="104"/>
        <v>0</v>
      </c>
      <c r="AG197" s="511" t="str">
        <f t="shared" si="105"/>
        <v>1</v>
      </c>
      <c r="AH197" s="511" t="str">
        <f t="shared" si="106"/>
        <v>NO</v>
      </c>
      <c r="AI197" s="511" t="str">
        <f t="shared" si="107"/>
        <v>NO</v>
      </c>
      <c r="AJ197" s="511" t="str">
        <f t="shared" si="108"/>
        <v>NO</v>
      </c>
      <c r="AK197" s="511" t="str">
        <f t="shared" si="109"/>
        <v>NO</v>
      </c>
      <c r="AL197" s="512"/>
      <c r="AM197" s="512">
        <v>28500</v>
      </c>
      <c r="AN197" s="513" t="s">
        <v>43</v>
      </c>
      <c r="AO197" s="512">
        <v>1</v>
      </c>
      <c r="AP197" s="512">
        <f t="shared" si="117"/>
        <v>1</v>
      </c>
      <c r="AQ197" s="514">
        <f t="shared" si="125"/>
        <v>28500</v>
      </c>
      <c r="AR197" s="512">
        <v>0</v>
      </c>
      <c r="AS197" s="610">
        <v>0</v>
      </c>
      <c r="AT197" s="515">
        <v>0</v>
      </c>
      <c r="AU197" s="499"/>
      <c r="AV197" s="499"/>
      <c r="AW197" s="516" t="e">
        <f>VLOOKUP(K197,#REF!,8,FALSE)</f>
        <v>#REF!</v>
      </c>
      <c r="AX197" s="516" t="e">
        <f>VLOOKUP(K197,#REF!,8,FALSE)</f>
        <v>#REF!</v>
      </c>
      <c r="AY197" s="516" t="e">
        <f>VLOOKUP(K197,#REF!,8,FALSE)</f>
        <v>#REF!</v>
      </c>
      <c r="AZ197" s="499"/>
      <c r="BA197" s="521"/>
      <c r="BB197" s="517">
        <f t="shared" si="126"/>
        <v>0</v>
      </c>
      <c r="BC197" s="518">
        <f t="shared" si="118"/>
        <v>0</v>
      </c>
      <c r="BD197" s="316" t="str">
        <f t="shared" si="127"/>
        <v/>
      </c>
      <c r="BJ197" s="316">
        <f>AB197</f>
        <v>28500</v>
      </c>
      <c r="BK197" s="316">
        <f>AM197</f>
        <v>28500</v>
      </c>
      <c r="BL197" s="560"/>
      <c r="BM197" s="560"/>
      <c r="BN197" s="560"/>
      <c r="BO197" s="316">
        <f>BK197/192*127</f>
        <v>18851.5625</v>
      </c>
      <c r="BP197" s="356">
        <f t="shared" si="110"/>
        <v>18851.5625</v>
      </c>
      <c r="BS197" s="561"/>
      <c r="BX197" s="520">
        <f t="shared" si="111"/>
        <v>47351.5625</v>
      </c>
      <c r="BZ197" s="636">
        <f t="shared" si="122"/>
        <v>28500</v>
      </c>
      <c r="CA197" s="633">
        <f t="shared" si="123"/>
        <v>47351.5625</v>
      </c>
    </row>
    <row r="198" spans="1:79" s="316" customFormat="1" x14ac:dyDescent="0.2">
      <c r="A198" s="499">
        <v>1</v>
      </c>
      <c r="B198" s="499">
        <v>1</v>
      </c>
      <c r="C198" s="500">
        <f t="shared" si="112"/>
        <v>41110</v>
      </c>
      <c r="D198" s="314">
        <v>41110</v>
      </c>
      <c r="E198" s="314">
        <v>43011</v>
      </c>
      <c r="F198" s="314" t="s">
        <v>1606</v>
      </c>
      <c r="G198" s="501" t="s">
        <v>75</v>
      </c>
      <c r="H198" s="501"/>
      <c r="I198" s="501" t="s">
        <v>32</v>
      </c>
      <c r="J198" s="501"/>
      <c r="K198" s="260">
        <v>422955</v>
      </c>
      <c r="L198" s="261" t="s">
        <v>422</v>
      </c>
      <c r="M198" s="261" t="s">
        <v>217</v>
      </c>
      <c r="N198" s="261" t="s">
        <v>448</v>
      </c>
      <c r="O198" s="503" t="s">
        <v>449</v>
      </c>
      <c r="P198" s="504">
        <v>41971</v>
      </c>
      <c r="Q198" s="505">
        <f t="shared" ca="1" si="102"/>
        <v>10.817248459958932</v>
      </c>
      <c r="R198" s="315">
        <v>3</v>
      </c>
      <c r="S198" s="506">
        <v>872</v>
      </c>
      <c r="T198" s="502">
        <v>872</v>
      </c>
      <c r="U198" s="507">
        <v>45108</v>
      </c>
      <c r="V198" s="508">
        <v>49</v>
      </c>
      <c r="W198" s="507">
        <v>45382</v>
      </c>
      <c r="X198" s="315">
        <v>192</v>
      </c>
      <c r="Y198" s="509">
        <f t="shared" si="124"/>
        <v>144</v>
      </c>
      <c r="Z198" s="509">
        <f t="shared" ref="Z198:Z231" si="128">Y198/192</f>
        <v>0.75</v>
      </c>
      <c r="AA198" s="509" t="s">
        <v>36</v>
      </c>
      <c r="AB198" s="510">
        <v>22</v>
      </c>
      <c r="AC198" s="510"/>
      <c r="AD198" s="510"/>
      <c r="AE198" s="511" t="str">
        <f t="shared" si="103"/>
        <v>1</v>
      </c>
      <c r="AF198" s="511" t="str">
        <f t="shared" si="104"/>
        <v>0</v>
      </c>
      <c r="AG198" s="511" t="str">
        <f t="shared" si="105"/>
        <v>0</v>
      </c>
      <c r="AH198" s="511" t="str">
        <f t="shared" si="106"/>
        <v>NO</v>
      </c>
      <c r="AI198" s="511" t="str">
        <f t="shared" si="107"/>
        <v>NO</v>
      </c>
      <c r="AJ198" s="511" t="str">
        <f t="shared" si="108"/>
        <v>NO</v>
      </c>
      <c r="AK198" s="511" t="str">
        <f t="shared" si="109"/>
        <v>NO</v>
      </c>
      <c r="AL198" s="512"/>
      <c r="AM198" s="512">
        <f t="shared" ref="AM198:AM203" si="129">IF(H198="Y",AL198,((AB198*$O$902)-6000))</f>
        <v>4400.9399999999987</v>
      </c>
      <c r="AN198" s="513" t="s">
        <v>37</v>
      </c>
      <c r="AO198" s="512">
        <v>1</v>
      </c>
      <c r="AP198" s="512">
        <f t="shared" si="117"/>
        <v>0.75</v>
      </c>
      <c r="AQ198" s="514">
        <f t="shared" si="125"/>
        <v>3300.704999999999</v>
      </c>
      <c r="AR198" s="512">
        <v>0</v>
      </c>
      <c r="AS198" s="610">
        <v>0</v>
      </c>
      <c r="AT198" s="515">
        <v>0</v>
      </c>
      <c r="AU198" s="499"/>
      <c r="AV198" s="499"/>
      <c r="AW198" s="516" t="e">
        <f>VLOOKUP(K198,#REF!,8,FALSE)</f>
        <v>#REF!</v>
      </c>
      <c r="AX198" s="516" t="e">
        <f>VLOOKUP(K198,#REF!,8,FALSE)</f>
        <v>#REF!</v>
      </c>
      <c r="AY198" s="516" t="e">
        <f>VLOOKUP(K198,#REF!,8,FALSE)</f>
        <v>#REF!</v>
      </c>
      <c r="AZ198" s="499"/>
      <c r="BA198" s="521"/>
      <c r="BB198" s="517">
        <f t="shared" si="126"/>
        <v>0</v>
      </c>
      <c r="BC198" s="518">
        <f t="shared" si="118"/>
        <v>0</v>
      </c>
      <c r="BD198" s="316" t="str">
        <f t="shared" si="127"/>
        <v/>
      </c>
      <c r="BL198" s="560"/>
      <c r="BM198" s="560"/>
      <c r="BN198" s="560"/>
      <c r="BP198" s="356">
        <f t="shared" si="110"/>
        <v>0</v>
      </c>
      <c r="BS198" s="561"/>
      <c r="BX198" s="520">
        <f t="shared" si="111"/>
        <v>3300.704999999999</v>
      </c>
      <c r="BZ198" s="636">
        <f t="shared" si="122"/>
        <v>3300.704999999999</v>
      </c>
      <c r="CA198" s="633">
        <f t="shared" si="123"/>
        <v>3300.704999999999</v>
      </c>
    </row>
    <row r="199" spans="1:79" s="316" customFormat="1" x14ac:dyDescent="0.2">
      <c r="A199" s="499">
        <v>1</v>
      </c>
      <c r="B199" s="499">
        <v>1</v>
      </c>
      <c r="C199" s="500">
        <f t="shared" si="112"/>
        <v>41110</v>
      </c>
      <c r="D199" s="314">
        <v>41110</v>
      </c>
      <c r="E199" s="314">
        <v>43011</v>
      </c>
      <c r="F199" s="314" t="s">
        <v>1606</v>
      </c>
      <c r="G199" s="501" t="s">
        <v>75</v>
      </c>
      <c r="H199" s="501"/>
      <c r="I199" s="501" t="s">
        <v>32</v>
      </c>
      <c r="J199" s="501"/>
      <c r="K199" s="260">
        <v>407797</v>
      </c>
      <c r="L199" s="261" t="s">
        <v>422</v>
      </c>
      <c r="M199" s="261" t="s">
        <v>105</v>
      </c>
      <c r="N199" s="261" t="s">
        <v>159</v>
      </c>
      <c r="O199" s="503" t="str">
        <f>M199&amp;N199</f>
        <v>OliviaEvans</v>
      </c>
      <c r="P199" s="504">
        <v>41345</v>
      </c>
      <c r="Q199" s="505">
        <f t="shared" ca="1" si="102"/>
        <v>12.531143052703628</v>
      </c>
      <c r="R199" s="315">
        <v>5</v>
      </c>
      <c r="S199" s="506">
        <v>872</v>
      </c>
      <c r="T199" s="502">
        <v>872</v>
      </c>
      <c r="U199" s="507">
        <v>45108</v>
      </c>
      <c r="V199" s="508">
        <v>49</v>
      </c>
      <c r="W199" s="507">
        <v>45382</v>
      </c>
      <c r="X199" s="315">
        <v>192</v>
      </c>
      <c r="Y199" s="509">
        <f t="shared" si="124"/>
        <v>144</v>
      </c>
      <c r="Z199" s="509">
        <f t="shared" si="128"/>
        <v>0.75</v>
      </c>
      <c r="AA199" s="509" t="s">
        <v>36</v>
      </c>
      <c r="AB199" s="510">
        <v>25</v>
      </c>
      <c r="AC199" s="510"/>
      <c r="AD199" s="510"/>
      <c r="AE199" s="511" t="str">
        <f t="shared" si="103"/>
        <v>1</v>
      </c>
      <c r="AF199" s="511" t="str">
        <f t="shared" si="104"/>
        <v>0</v>
      </c>
      <c r="AG199" s="511" t="str">
        <f t="shared" si="105"/>
        <v>0</v>
      </c>
      <c r="AH199" s="511" t="str">
        <f t="shared" si="106"/>
        <v>NO</v>
      </c>
      <c r="AI199" s="511" t="str">
        <f t="shared" si="107"/>
        <v>NO</v>
      </c>
      <c r="AJ199" s="511" t="str">
        <f t="shared" si="108"/>
        <v>NO</v>
      </c>
      <c r="AK199" s="511" t="str">
        <f t="shared" si="109"/>
        <v>NO</v>
      </c>
      <c r="AL199" s="512"/>
      <c r="AM199" s="512">
        <f t="shared" si="129"/>
        <v>5819.25</v>
      </c>
      <c r="AN199" s="513"/>
      <c r="AO199" s="512">
        <v>1</v>
      </c>
      <c r="AP199" s="512">
        <f t="shared" si="117"/>
        <v>0.75</v>
      </c>
      <c r="AQ199" s="514">
        <f t="shared" si="125"/>
        <v>4364.4375</v>
      </c>
      <c r="AR199" s="512">
        <v>0</v>
      </c>
      <c r="AS199" s="610">
        <v>0</v>
      </c>
      <c r="AT199" s="515">
        <v>0</v>
      </c>
      <c r="AU199" s="499"/>
      <c r="AV199" s="499"/>
      <c r="AW199" s="516" t="e">
        <f>VLOOKUP(K199,#REF!,8,FALSE)</f>
        <v>#REF!</v>
      </c>
      <c r="AX199" s="516" t="e">
        <f>VLOOKUP(K199,#REF!,8,FALSE)</f>
        <v>#REF!</v>
      </c>
      <c r="AY199" s="516" t="e">
        <f>VLOOKUP(K199,#REF!,8,FALSE)</f>
        <v>#REF!</v>
      </c>
      <c r="AZ199" s="499"/>
      <c r="BA199" s="521"/>
      <c r="BB199" s="517">
        <f t="shared" si="126"/>
        <v>0</v>
      </c>
      <c r="BC199" s="518">
        <f t="shared" si="118"/>
        <v>0</v>
      </c>
      <c r="BD199" s="316" t="str">
        <f t="shared" si="127"/>
        <v/>
      </c>
      <c r="BL199" s="560"/>
      <c r="BM199" s="560"/>
      <c r="BN199" s="560"/>
      <c r="BP199" s="356">
        <f t="shared" si="110"/>
        <v>0</v>
      </c>
      <c r="BS199" s="561"/>
      <c r="BX199" s="520">
        <f t="shared" si="111"/>
        <v>4364.4375</v>
      </c>
      <c r="BZ199" s="636">
        <f t="shared" si="122"/>
        <v>4364.4375</v>
      </c>
      <c r="CA199" s="633">
        <f t="shared" si="123"/>
        <v>4364.4375</v>
      </c>
    </row>
    <row r="200" spans="1:79" s="316" customFormat="1" x14ac:dyDescent="0.2">
      <c r="A200" s="499">
        <v>1</v>
      </c>
      <c r="B200" s="499">
        <v>1</v>
      </c>
      <c r="C200" s="500">
        <f t="shared" si="112"/>
        <v>41110</v>
      </c>
      <c r="D200" s="314">
        <v>41110</v>
      </c>
      <c r="E200" s="314">
        <v>43011</v>
      </c>
      <c r="F200" s="314" t="s">
        <v>1606</v>
      </c>
      <c r="G200" s="501" t="s">
        <v>75</v>
      </c>
      <c r="H200" s="501"/>
      <c r="I200" s="501" t="s">
        <v>32</v>
      </c>
      <c r="J200" s="501"/>
      <c r="K200" s="260">
        <v>414089</v>
      </c>
      <c r="L200" s="261" t="s">
        <v>422</v>
      </c>
      <c r="M200" s="261" t="s">
        <v>231</v>
      </c>
      <c r="N200" s="261" t="s">
        <v>450</v>
      </c>
      <c r="O200" s="503" t="str">
        <f>M200&amp;N200</f>
        <v>ThomasPowell</v>
      </c>
      <c r="P200" s="504">
        <v>41940</v>
      </c>
      <c r="Q200" s="505">
        <f t="shared" ca="1" si="102"/>
        <v>10.902121834360027</v>
      </c>
      <c r="R200" s="315">
        <v>3</v>
      </c>
      <c r="S200" s="506">
        <v>872</v>
      </c>
      <c r="T200" s="502">
        <v>872</v>
      </c>
      <c r="U200" s="507">
        <v>45108</v>
      </c>
      <c r="V200" s="508">
        <v>49</v>
      </c>
      <c r="W200" s="507">
        <v>45382</v>
      </c>
      <c r="X200" s="315">
        <v>192</v>
      </c>
      <c r="Y200" s="509">
        <f t="shared" si="124"/>
        <v>144</v>
      </c>
      <c r="Z200" s="509">
        <f t="shared" si="128"/>
        <v>0.75</v>
      </c>
      <c r="AA200" s="509" t="s">
        <v>36</v>
      </c>
      <c r="AB200" s="510">
        <v>22</v>
      </c>
      <c r="AC200" s="510"/>
      <c r="AD200" s="510"/>
      <c r="AE200" s="511" t="str">
        <f t="shared" si="103"/>
        <v>1</v>
      </c>
      <c r="AF200" s="511" t="str">
        <f t="shared" si="104"/>
        <v>0</v>
      </c>
      <c r="AG200" s="511" t="str">
        <f t="shared" si="105"/>
        <v>0</v>
      </c>
      <c r="AH200" s="511" t="str">
        <f t="shared" si="106"/>
        <v>NO</v>
      </c>
      <c r="AI200" s="511" t="str">
        <f t="shared" si="107"/>
        <v>NO</v>
      </c>
      <c r="AJ200" s="511" t="str">
        <f t="shared" si="108"/>
        <v>NO</v>
      </c>
      <c r="AK200" s="511" t="str">
        <f t="shared" si="109"/>
        <v>NO</v>
      </c>
      <c r="AL200" s="512"/>
      <c r="AM200" s="512">
        <f t="shared" si="129"/>
        <v>4400.9399999999987</v>
      </c>
      <c r="AN200" s="513"/>
      <c r="AO200" s="512">
        <v>1</v>
      </c>
      <c r="AP200" s="512">
        <f t="shared" si="117"/>
        <v>0.75</v>
      </c>
      <c r="AQ200" s="514">
        <f t="shared" si="125"/>
        <v>3300.704999999999</v>
      </c>
      <c r="AR200" s="512">
        <v>0</v>
      </c>
      <c r="AS200" s="610">
        <v>0</v>
      </c>
      <c r="AT200" s="515">
        <v>0</v>
      </c>
      <c r="AU200" s="499"/>
      <c r="AV200" s="499"/>
      <c r="AW200" s="516" t="e">
        <f>VLOOKUP(K200,#REF!,8,FALSE)</f>
        <v>#REF!</v>
      </c>
      <c r="AX200" s="516" t="e">
        <f>VLOOKUP(K200,#REF!,8,FALSE)</f>
        <v>#REF!</v>
      </c>
      <c r="AY200" s="516" t="e">
        <f>VLOOKUP(K200,#REF!,8,FALSE)</f>
        <v>#REF!</v>
      </c>
      <c r="AZ200" s="499"/>
      <c r="BA200" s="521"/>
      <c r="BB200" s="517">
        <f t="shared" si="126"/>
        <v>0</v>
      </c>
      <c r="BC200" s="518">
        <f t="shared" si="118"/>
        <v>0</v>
      </c>
      <c r="BD200" s="316" t="str">
        <f t="shared" si="127"/>
        <v/>
      </c>
      <c r="BL200" s="560"/>
      <c r="BM200" s="560"/>
      <c r="BN200" s="560"/>
      <c r="BP200" s="356">
        <f t="shared" si="110"/>
        <v>0</v>
      </c>
      <c r="BS200" s="561"/>
      <c r="BX200" s="520">
        <f t="shared" si="111"/>
        <v>3300.704999999999</v>
      </c>
      <c r="BZ200" s="636">
        <f t="shared" si="122"/>
        <v>3300.704999999999</v>
      </c>
      <c r="CA200" s="633">
        <f t="shared" si="123"/>
        <v>3300.704999999999</v>
      </c>
    </row>
    <row r="201" spans="1:79" s="316" customFormat="1" x14ac:dyDescent="0.2">
      <c r="A201" s="499">
        <v>1</v>
      </c>
      <c r="B201" s="499">
        <v>1</v>
      </c>
      <c r="C201" s="500">
        <f t="shared" si="112"/>
        <v>41110</v>
      </c>
      <c r="D201" s="314">
        <v>41110</v>
      </c>
      <c r="E201" s="314">
        <v>43011</v>
      </c>
      <c r="F201" s="314" t="s">
        <v>1606</v>
      </c>
      <c r="G201" s="501" t="s">
        <v>75</v>
      </c>
      <c r="H201" s="501"/>
      <c r="I201" s="501" t="s">
        <v>32</v>
      </c>
      <c r="J201" s="501"/>
      <c r="K201" s="260">
        <v>417617</v>
      </c>
      <c r="L201" s="261" t="s">
        <v>422</v>
      </c>
      <c r="M201" s="261" t="s">
        <v>451</v>
      </c>
      <c r="N201" s="261" t="s">
        <v>452</v>
      </c>
      <c r="O201" s="503" t="s">
        <v>453</v>
      </c>
      <c r="P201" s="504">
        <v>41831</v>
      </c>
      <c r="Q201" s="505">
        <f t="shared" ca="1" si="102"/>
        <v>11.200547570157427</v>
      </c>
      <c r="R201" s="315">
        <v>4</v>
      </c>
      <c r="S201" s="506">
        <v>872</v>
      </c>
      <c r="T201" s="502">
        <v>872</v>
      </c>
      <c r="U201" s="507">
        <v>45108</v>
      </c>
      <c r="V201" s="508">
        <v>49</v>
      </c>
      <c r="W201" s="507">
        <v>45382</v>
      </c>
      <c r="X201" s="315">
        <v>192</v>
      </c>
      <c r="Y201" s="509">
        <f t="shared" si="124"/>
        <v>144</v>
      </c>
      <c r="Z201" s="509">
        <f t="shared" si="128"/>
        <v>0.75</v>
      </c>
      <c r="AA201" s="509" t="s">
        <v>36</v>
      </c>
      <c r="AB201" s="510">
        <v>26</v>
      </c>
      <c r="AC201" s="510"/>
      <c r="AD201" s="510"/>
      <c r="AE201" s="511" t="str">
        <f t="shared" si="103"/>
        <v>0</v>
      </c>
      <c r="AF201" s="511" t="str">
        <f t="shared" si="104"/>
        <v>1</v>
      </c>
      <c r="AG201" s="511" t="str">
        <f t="shared" si="105"/>
        <v>0</v>
      </c>
      <c r="AH201" s="511" t="str">
        <f t="shared" si="106"/>
        <v>NO</v>
      </c>
      <c r="AI201" s="511" t="str">
        <f t="shared" si="107"/>
        <v>NO</v>
      </c>
      <c r="AJ201" s="511" t="str">
        <f t="shared" si="108"/>
        <v>NO</v>
      </c>
      <c r="AK201" s="511" t="str">
        <f t="shared" si="109"/>
        <v>NO</v>
      </c>
      <c r="AL201" s="512"/>
      <c r="AM201" s="512">
        <f t="shared" si="129"/>
        <v>6292.02</v>
      </c>
      <c r="AN201" s="513" t="s">
        <v>43</v>
      </c>
      <c r="AO201" s="512">
        <v>1</v>
      </c>
      <c r="AP201" s="512">
        <f t="shared" si="117"/>
        <v>0.75</v>
      </c>
      <c r="AQ201" s="514">
        <f t="shared" si="125"/>
        <v>4719.0150000000003</v>
      </c>
      <c r="AR201" s="512">
        <v>0</v>
      </c>
      <c r="AS201" s="610">
        <v>0</v>
      </c>
      <c r="AT201" s="515">
        <v>0</v>
      </c>
      <c r="AU201" s="499"/>
      <c r="AV201" s="499"/>
      <c r="AW201" s="516" t="e">
        <f>VLOOKUP(K201,#REF!,8,FALSE)</f>
        <v>#REF!</v>
      </c>
      <c r="AX201" s="516" t="e">
        <f>VLOOKUP(K201,#REF!,8,FALSE)</f>
        <v>#REF!</v>
      </c>
      <c r="AY201" s="516" t="e">
        <f>VLOOKUP(K201,#REF!,8,FALSE)</f>
        <v>#REF!</v>
      </c>
      <c r="AZ201" s="499"/>
      <c r="BA201" s="521"/>
      <c r="BB201" s="517">
        <f t="shared" si="126"/>
        <v>0</v>
      </c>
      <c r="BC201" s="518">
        <f t="shared" si="118"/>
        <v>0</v>
      </c>
      <c r="BD201" s="316" t="str">
        <f t="shared" si="127"/>
        <v/>
      </c>
      <c r="BL201" s="560"/>
      <c r="BM201" s="560"/>
      <c r="BN201" s="560"/>
      <c r="BP201" s="356">
        <f t="shared" si="110"/>
        <v>0</v>
      </c>
      <c r="BS201" s="561"/>
      <c r="BX201" s="520">
        <f t="shared" si="111"/>
        <v>4719.0150000000003</v>
      </c>
      <c r="BZ201" s="636">
        <f t="shared" si="122"/>
        <v>4719.0150000000003</v>
      </c>
      <c r="CA201" s="633">
        <f t="shared" si="123"/>
        <v>4719.0150000000003</v>
      </c>
    </row>
    <row r="202" spans="1:79" x14ac:dyDescent="0.2">
      <c r="A202" s="4">
        <v>1</v>
      </c>
      <c r="B202" s="4">
        <v>1</v>
      </c>
      <c r="C202" s="5">
        <f t="shared" si="112"/>
        <v>41202</v>
      </c>
      <c r="D202" s="6">
        <v>41202</v>
      </c>
      <c r="E202" s="121">
        <v>43012</v>
      </c>
      <c r="F202" s="6" t="s">
        <v>1606</v>
      </c>
      <c r="G202" s="7" t="s">
        <v>75</v>
      </c>
      <c r="H202" s="7"/>
      <c r="I202" s="7" t="s">
        <v>157</v>
      </c>
      <c r="J202" s="7"/>
      <c r="K202" s="29">
        <v>359818</v>
      </c>
      <c r="L202" s="10" t="s">
        <v>454</v>
      </c>
      <c r="M202" s="10" t="s">
        <v>163</v>
      </c>
      <c r="N202" s="10" t="s">
        <v>455</v>
      </c>
      <c r="O202" s="11" t="s">
        <v>456</v>
      </c>
      <c r="P202" s="12">
        <v>39199</v>
      </c>
      <c r="Q202" s="13">
        <f t="shared" ca="1" si="102"/>
        <v>18.406570841889117</v>
      </c>
      <c r="R202" s="14">
        <v>11</v>
      </c>
      <c r="S202" s="15">
        <v>872</v>
      </c>
      <c r="T202" s="8">
        <v>872</v>
      </c>
      <c r="U202" s="16">
        <v>45017</v>
      </c>
      <c r="V202" s="17">
        <v>1</v>
      </c>
      <c r="W202" s="16">
        <v>45128</v>
      </c>
      <c r="X202" s="14">
        <v>63</v>
      </c>
      <c r="Y202" s="18">
        <f t="shared" si="124"/>
        <v>63</v>
      </c>
      <c r="Z202" s="18">
        <f t="shared" si="128"/>
        <v>0.328125</v>
      </c>
      <c r="AA202" s="16" t="s">
        <v>166</v>
      </c>
      <c r="AB202" s="26">
        <v>26</v>
      </c>
      <c r="AC202" s="26"/>
      <c r="AD202" s="26"/>
      <c r="AE202" s="147" t="str">
        <f t="shared" si="103"/>
        <v>0</v>
      </c>
      <c r="AF202" s="147" t="str">
        <f t="shared" si="104"/>
        <v>1</v>
      </c>
      <c r="AG202" s="147" t="str">
        <f t="shared" si="105"/>
        <v>0</v>
      </c>
      <c r="AH202" s="147" t="str">
        <f t="shared" si="106"/>
        <v>NO</v>
      </c>
      <c r="AI202" s="147" t="str">
        <f t="shared" si="107"/>
        <v>NO</v>
      </c>
      <c r="AJ202" s="147" t="str">
        <f t="shared" si="108"/>
        <v>NO</v>
      </c>
      <c r="AK202" s="147" t="str">
        <f t="shared" si="109"/>
        <v>NO</v>
      </c>
      <c r="AL202" s="21"/>
      <c r="AM202" s="21">
        <f t="shared" si="129"/>
        <v>6292.02</v>
      </c>
      <c r="AN202" s="27" t="s">
        <v>43</v>
      </c>
      <c r="AO202" s="21">
        <v>1</v>
      </c>
      <c r="AP202" s="21">
        <f t="shared" si="117"/>
        <v>0.328125</v>
      </c>
      <c r="AQ202" s="149">
        <f t="shared" si="125"/>
        <v>2064.5690625000002</v>
      </c>
      <c r="AR202" s="21">
        <v>2064.5690625000002</v>
      </c>
      <c r="AS202" s="610">
        <v>2064.5690625000002</v>
      </c>
      <c r="AT202" s="112">
        <v>2064.5690625000002</v>
      </c>
      <c r="AU202" s="4"/>
      <c r="AV202" s="4"/>
      <c r="AW202" s="23" t="e">
        <f>VLOOKUP(K202,#REF!,8,FALSE)</f>
        <v>#REF!</v>
      </c>
      <c r="AX202" s="23" t="e">
        <f>VLOOKUP(K202,#REF!,8,FALSE)</f>
        <v>#REF!</v>
      </c>
      <c r="AY202" s="266" t="s">
        <v>2265</v>
      </c>
      <c r="AZ202" s="268" t="s">
        <v>75</v>
      </c>
      <c r="BA202" s="274">
        <f>AM202/3*2</f>
        <v>4194.68</v>
      </c>
      <c r="BB202" s="313">
        <f t="shared" si="126"/>
        <v>0</v>
      </c>
      <c r="BC202" s="269">
        <f t="shared" si="118"/>
        <v>2064.5690625000002</v>
      </c>
      <c r="BD202" t="e">
        <f t="shared" si="127"/>
        <v>#REF!</v>
      </c>
      <c r="BE202" t="s">
        <v>2351</v>
      </c>
      <c r="BI202" t="e">
        <f>VLOOKUP(K202,#REF!,8,FALSE)</f>
        <v>#REF!</v>
      </c>
      <c r="BK202" s="269"/>
      <c r="BN202" s="353" t="s">
        <v>75</v>
      </c>
      <c r="BO202" s="106"/>
      <c r="BP202" s="166">
        <f t="shared" si="110"/>
        <v>2064.5690625000002</v>
      </c>
      <c r="BQ202" t="s">
        <v>2351</v>
      </c>
      <c r="BS202" s="165"/>
      <c r="BX202" s="495">
        <f t="shared" si="111"/>
        <v>2064.5690625000002</v>
      </c>
      <c r="BZ202" s="636">
        <f t="shared" si="122"/>
        <v>0</v>
      </c>
      <c r="CA202" s="633">
        <f t="shared" si="123"/>
        <v>0</v>
      </c>
    </row>
    <row r="203" spans="1:79" x14ac:dyDescent="0.2">
      <c r="A203" s="4">
        <v>1</v>
      </c>
      <c r="B203" s="4">
        <v>1</v>
      </c>
      <c r="C203" s="5">
        <f t="shared" si="112"/>
        <v>41202</v>
      </c>
      <c r="D203" s="6">
        <v>41202</v>
      </c>
      <c r="E203" s="121">
        <v>43012</v>
      </c>
      <c r="F203" s="6" t="s">
        <v>1606</v>
      </c>
      <c r="G203" s="7" t="s">
        <v>75</v>
      </c>
      <c r="H203" s="7"/>
      <c r="I203" s="7" t="s">
        <v>157</v>
      </c>
      <c r="J203" s="7"/>
      <c r="K203" s="29">
        <v>373738</v>
      </c>
      <c r="L203" s="10" t="s">
        <v>454</v>
      </c>
      <c r="M203" s="10" t="s">
        <v>457</v>
      </c>
      <c r="N203" s="10" t="s">
        <v>458</v>
      </c>
      <c r="O203" s="11" t="str">
        <f>M203&amp;N203</f>
        <v>AngelPerrin</v>
      </c>
      <c r="P203" s="12">
        <v>39426</v>
      </c>
      <c r="Q203" s="13">
        <f t="shared" ca="1" si="102"/>
        <v>17.78507871321013</v>
      </c>
      <c r="R203" s="14">
        <v>10</v>
      </c>
      <c r="S203" s="15">
        <v>872</v>
      </c>
      <c r="T203" s="8">
        <v>872</v>
      </c>
      <c r="U203" s="16">
        <v>45017</v>
      </c>
      <c r="V203" s="17">
        <v>1</v>
      </c>
      <c r="W203" s="16">
        <v>45382</v>
      </c>
      <c r="X203" s="14">
        <v>192</v>
      </c>
      <c r="Y203" s="18">
        <f t="shared" si="124"/>
        <v>192</v>
      </c>
      <c r="Z203" s="18">
        <f t="shared" si="128"/>
        <v>1</v>
      </c>
      <c r="AA203" s="18" t="s">
        <v>36</v>
      </c>
      <c r="AB203" s="26">
        <v>24</v>
      </c>
      <c r="AC203" s="26"/>
      <c r="AD203" s="26"/>
      <c r="AE203" s="147" t="str">
        <f t="shared" si="103"/>
        <v>1</v>
      </c>
      <c r="AF203" s="147" t="str">
        <f t="shared" si="104"/>
        <v>0</v>
      </c>
      <c r="AG203" s="147" t="str">
        <f t="shared" si="105"/>
        <v>0</v>
      </c>
      <c r="AH203" s="147" t="str">
        <f t="shared" si="106"/>
        <v>NO</v>
      </c>
      <c r="AI203" s="147" t="str">
        <f t="shared" si="107"/>
        <v>NO</v>
      </c>
      <c r="AJ203" s="147" t="str">
        <f t="shared" si="108"/>
        <v>NO</v>
      </c>
      <c r="AK203" s="147" t="str">
        <f t="shared" si="109"/>
        <v>NO</v>
      </c>
      <c r="AL203" s="21"/>
      <c r="AM203" s="21">
        <f t="shared" si="129"/>
        <v>5346.48</v>
      </c>
      <c r="AN203" s="27" t="s">
        <v>56</v>
      </c>
      <c r="AO203" s="21">
        <v>1</v>
      </c>
      <c r="AP203" s="21">
        <f t="shared" si="117"/>
        <v>1</v>
      </c>
      <c r="AQ203" s="149">
        <f t="shared" si="125"/>
        <v>5346.48</v>
      </c>
      <c r="AR203" s="21">
        <v>5346.48</v>
      </c>
      <c r="AS203" s="610">
        <v>5346.48</v>
      </c>
      <c r="AT203" s="112">
        <v>5346.48</v>
      </c>
      <c r="AU203" s="4"/>
      <c r="AV203" s="4"/>
      <c r="AW203" s="23" t="e">
        <f>VLOOKUP(K203,#REF!,8,FALSE)</f>
        <v>#REF!</v>
      </c>
      <c r="AX203" s="23" t="e">
        <f>VLOOKUP(K203,#REF!,8,FALSE)</f>
        <v>#REF!</v>
      </c>
      <c r="AY203" s="23" t="e">
        <f>VLOOKUP(K203,#REF!,8,FALSE)</f>
        <v>#REF!</v>
      </c>
      <c r="AZ203" s="4"/>
      <c r="BA203" s="272"/>
      <c r="BB203" s="313">
        <f t="shared" si="126"/>
        <v>0</v>
      </c>
      <c r="BC203" s="269">
        <f t="shared" si="118"/>
        <v>5346.48</v>
      </c>
      <c r="BD203" t="str">
        <f t="shared" si="127"/>
        <v/>
      </c>
      <c r="BP203" s="166">
        <f t="shared" si="110"/>
        <v>5346.48</v>
      </c>
      <c r="BS203" s="165"/>
      <c r="BX203" s="495">
        <f t="shared" si="111"/>
        <v>5346.48</v>
      </c>
      <c r="BZ203" s="636">
        <f t="shared" si="122"/>
        <v>0</v>
      </c>
      <c r="CA203" s="633">
        <f t="shared" si="123"/>
        <v>0</v>
      </c>
    </row>
    <row r="204" spans="1:79" x14ac:dyDescent="0.2">
      <c r="A204" s="4">
        <v>0</v>
      </c>
      <c r="B204" s="4">
        <v>1</v>
      </c>
      <c r="C204" s="5">
        <f t="shared" si="112"/>
        <v>41202</v>
      </c>
      <c r="D204" s="6">
        <v>41202</v>
      </c>
      <c r="E204" s="121">
        <v>43012</v>
      </c>
      <c r="F204" s="6" t="s">
        <v>1606</v>
      </c>
      <c r="G204" s="7" t="s">
        <v>75</v>
      </c>
      <c r="H204" s="7"/>
      <c r="I204" s="7" t="s">
        <v>157</v>
      </c>
      <c r="J204" s="7" t="s">
        <v>142</v>
      </c>
      <c r="K204" s="29">
        <v>373738</v>
      </c>
      <c r="L204" s="10" t="s">
        <v>454</v>
      </c>
      <c r="M204" s="10" t="s">
        <v>457</v>
      </c>
      <c r="N204" s="10" t="s">
        <v>458</v>
      </c>
      <c r="O204" s="11" t="str">
        <f>M204&amp;N204</f>
        <v>AngelPerrin</v>
      </c>
      <c r="P204" s="12">
        <v>39426</v>
      </c>
      <c r="Q204" s="13">
        <f t="shared" ca="1" si="102"/>
        <v>17.78507871321013</v>
      </c>
      <c r="R204" s="14">
        <v>11</v>
      </c>
      <c r="S204" s="15">
        <v>872</v>
      </c>
      <c r="T204" s="8">
        <v>872</v>
      </c>
      <c r="U204" s="16">
        <v>45017</v>
      </c>
      <c r="V204" s="17">
        <v>1</v>
      </c>
      <c r="W204" s="16">
        <v>45138</v>
      </c>
      <c r="X204" s="14">
        <v>63</v>
      </c>
      <c r="Y204" s="18">
        <f t="shared" si="124"/>
        <v>63</v>
      </c>
      <c r="Z204" s="18">
        <f t="shared" si="128"/>
        <v>0.328125</v>
      </c>
      <c r="AA204" s="16">
        <v>45138</v>
      </c>
      <c r="AB204" s="26">
        <v>8664.93</v>
      </c>
      <c r="AC204" s="26"/>
      <c r="AD204" s="26"/>
      <c r="AE204" s="147" t="str">
        <f t="shared" si="103"/>
        <v>0</v>
      </c>
      <c r="AF204" s="147" t="str">
        <f t="shared" si="104"/>
        <v>0</v>
      </c>
      <c r="AG204" s="147" t="str">
        <f t="shared" si="105"/>
        <v>1</v>
      </c>
      <c r="AH204" s="147" t="str">
        <f t="shared" si="106"/>
        <v>NO</v>
      </c>
      <c r="AI204" s="147" t="str">
        <f t="shared" si="107"/>
        <v>NO</v>
      </c>
      <c r="AJ204" s="147" t="str">
        <f t="shared" si="108"/>
        <v>NO</v>
      </c>
      <c r="AK204" s="147" t="str">
        <f t="shared" si="109"/>
        <v>NO</v>
      </c>
      <c r="AL204" s="21"/>
      <c r="AM204" s="21">
        <v>8664.93</v>
      </c>
      <c r="AN204" s="27"/>
      <c r="AO204" s="21">
        <v>1</v>
      </c>
      <c r="AP204" s="21">
        <f t="shared" ref="AP204:AP210" si="130">AO204*Z204</f>
        <v>0.328125</v>
      </c>
      <c r="AQ204" s="149">
        <f t="shared" si="125"/>
        <v>2843.18015625</v>
      </c>
      <c r="AR204" s="21">
        <v>2843.18015625</v>
      </c>
      <c r="AS204" s="610">
        <v>2843.18015625</v>
      </c>
      <c r="AT204" s="112">
        <v>2843.18015625</v>
      </c>
      <c r="AU204" s="4"/>
      <c r="AV204" s="4"/>
      <c r="AW204" s="23" t="e">
        <f>VLOOKUP(K204,#REF!,8,FALSE)</f>
        <v>#REF!</v>
      </c>
      <c r="AX204" s="23" t="e">
        <f>VLOOKUP(K204,#REF!,8,FALSE)</f>
        <v>#REF!</v>
      </c>
      <c r="AY204" s="23" t="e">
        <f>VLOOKUP(K204,#REF!,8,FALSE)</f>
        <v>#REF!</v>
      </c>
      <c r="AZ204" s="4"/>
      <c r="BA204" s="272"/>
      <c r="BB204" s="313">
        <f t="shared" si="126"/>
        <v>0</v>
      </c>
      <c r="BC204" s="269">
        <f t="shared" si="118"/>
        <v>2843.18015625</v>
      </c>
      <c r="BD204" s="110" t="s">
        <v>2405</v>
      </c>
      <c r="BJ204">
        <f>AB204</f>
        <v>8664.93</v>
      </c>
      <c r="BK204" s="269">
        <f>AM204</f>
        <v>8664.93</v>
      </c>
      <c r="BO204" s="106">
        <f>BK204/192*127</f>
        <v>5731.4901562499999</v>
      </c>
      <c r="BP204" s="166">
        <f t="shared" si="110"/>
        <v>8574.6703125000004</v>
      </c>
      <c r="BS204" s="165"/>
      <c r="BX204" s="495">
        <f t="shared" si="111"/>
        <v>8574.6703125000004</v>
      </c>
      <c r="BZ204" s="636">
        <f t="shared" si="122"/>
        <v>0</v>
      </c>
      <c r="CA204" s="633">
        <f t="shared" si="123"/>
        <v>5731.4901562499999</v>
      </c>
    </row>
    <row r="205" spans="1:79" x14ac:dyDescent="0.2">
      <c r="A205" s="4">
        <v>1</v>
      </c>
      <c r="B205" s="4">
        <v>1</v>
      </c>
      <c r="C205" s="5">
        <f t="shared" si="112"/>
        <v>41202</v>
      </c>
      <c r="D205" s="6">
        <v>41202</v>
      </c>
      <c r="E205" s="121">
        <v>43012</v>
      </c>
      <c r="F205" s="6" t="s">
        <v>1606</v>
      </c>
      <c r="G205" s="7" t="s">
        <v>75</v>
      </c>
      <c r="H205" s="7"/>
      <c r="I205" s="7" t="s">
        <v>157</v>
      </c>
      <c r="J205" s="7"/>
      <c r="K205" s="29">
        <v>368336</v>
      </c>
      <c r="L205" s="10" t="s">
        <v>454</v>
      </c>
      <c r="M205" s="10" t="s">
        <v>459</v>
      </c>
      <c r="N205" s="10" t="s">
        <v>460</v>
      </c>
      <c r="O205" s="11" t="s">
        <v>461</v>
      </c>
      <c r="P205" s="12">
        <v>39037</v>
      </c>
      <c r="Q205" s="13">
        <f t="shared" ca="1" si="102"/>
        <v>18.850102669404517</v>
      </c>
      <c r="R205" s="14">
        <v>11</v>
      </c>
      <c r="S205" s="15">
        <v>872</v>
      </c>
      <c r="T205" s="8">
        <v>872</v>
      </c>
      <c r="U205" s="16">
        <v>45017</v>
      </c>
      <c r="V205" s="17">
        <v>1</v>
      </c>
      <c r="W205" s="16">
        <v>45128</v>
      </c>
      <c r="X205" s="14">
        <v>63</v>
      </c>
      <c r="Y205" s="18">
        <f t="shared" si="124"/>
        <v>63</v>
      </c>
      <c r="Z205" s="18">
        <f t="shared" si="128"/>
        <v>0.328125</v>
      </c>
      <c r="AA205" s="16" t="s">
        <v>166</v>
      </c>
      <c r="AB205" s="26">
        <v>26</v>
      </c>
      <c r="AC205" s="26"/>
      <c r="AD205" s="26"/>
      <c r="AE205" s="147" t="str">
        <f t="shared" si="103"/>
        <v>0</v>
      </c>
      <c r="AF205" s="147" t="str">
        <f t="shared" si="104"/>
        <v>1</v>
      </c>
      <c r="AG205" s="147" t="str">
        <f t="shared" si="105"/>
        <v>0</v>
      </c>
      <c r="AH205" s="147" t="str">
        <f t="shared" si="106"/>
        <v>NO</v>
      </c>
      <c r="AI205" s="147" t="str">
        <f t="shared" si="107"/>
        <v>NO</v>
      </c>
      <c r="AJ205" s="147" t="str">
        <f t="shared" si="108"/>
        <v>NO</v>
      </c>
      <c r="AK205" s="147" t="str">
        <f t="shared" si="109"/>
        <v>NO</v>
      </c>
      <c r="AL205" s="21"/>
      <c r="AM205" s="21">
        <f t="shared" ref="AM205:AM210" si="131">IF(H205="Y",AL205,((AB205*$O$902)-6000))</f>
        <v>6292.02</v>
      </c>
      <c r="AN205" s="27" t="s">
        <v>43</v>
      </c>
      <c r="AO205" s="21">
        <v>1</v>
      </c>
      <c r="AP205" s="21">
        <f t="shared" si="130"/>
        <v>0.328125</v>
      </c>
      <c r="AQ205" s="149">
        <f t="shared" si="125"/>
        <v>2064.5690625000002</v>
      </c>
      <c r="AR205" s="21">
        <v>2064.5690625000002</v>
      </c>
      <c r="AS205" s="610">
        <v>2064.5690625000002</v>
      </c>
      <c r="AT205" s="112">
        <v>2064.5690625000002</v>
      </c>
      <c r="AU205" s="4"/>
      <c r="AV205" s="4"/>
      <c r="AW205" s="23" t="e">
        <f>VLOOKUP(K205,#REF!,8,FALSE)</f>
        <v>#REF!</v>
      </c>
      <c r="AX205" s="23" t="e">
        <f>VLOOKUP(K205,#REF!,8,FALSE)</f>
        <v>#REF!</v>
      </c>
      <c r="AY205" s="266" t="s">
        <v>2243</v>
      </c>
      <c r="AZ205" s="268" t="s">
        <v>75</v>
      </c>
      <c r="BA205" s="274">
        <f>AM205/3*2</f>
        <v>4194.68</v>
      </c>
      <c r="BB205" s="313">
        <f t="shared" si="126"/>
        <v>0</v>
      </c>
      <c r="BC205" s="269">
        <f t="shared" si="118"/>
        <v>2064.5690625000002</v>
      </c>
      <c r="BD205" t="e">
        <f t="shared" ref="BD205:BD236" si="132">BG205&amp;BH205&amp;BI205</f>
        <v>#REF!</v>
      </c>
      <c r="BE205" t="s">
        <v>2351</v>
      </c>
      <c r="BI205" t="e">
        <f>VLOOKUP(K205,#REF!,8,FALSE)</f>
        <v>#REF!</v>
      </c>
      <c r="BK205" s="269"/>
      <c r="BN205" s="353" t="s">
        <v>75</v>
      </c>
      <c r="BO205" s="106"/>
      <c r="BP205" s="166">
        <f t="shared" si="110"/>
        <v>2064.5690625000002</v>
      </c>
      <c r="BQ205" t="s">
        <v>2351</v>
      </c>
      <c r="BS205" s="165"/>
      <c r="BX205" s="495">
        <f t="shared" si="111"/>
        <v>2064.5690625000002</v>
      </c>
      <c r="BZ205" s="636">
        <f t="shared" si="122"/>
        <v>0</v>
      </c>
      <c r="CA205" s="633">
        <f t="shared" si="123"/>
        <v>0</v>
      </c>
    </row>
    <row r="206" spans="1:79" x14ac:dyDescent="0.2">
      <c r="A206" s="4">
        <v>0</v>
      </c>
      <c r="B206" s="4">
        <v>1</v>
      </c>
      <c r="C206" s="5">
        <f t="shared" si="112"/>
        <v>41202</v>
      </c>
      <c r="D206" s="6">
        <v>41202</v>
      </c>
      <c r="E206" s="121">
        <v>43012</v>
      </c>
      <c r="F206" s="6" t="s">
        <v>1606</v>
      </c>
      <c r="G206" s="7" t="s">
        <v>75</v>
      </c>
      <c r="H206" s="7"/>
      <c r="I206" s="7" t="s">
        <v>157</v>
      </c>
      <c r="J206" s="7"/>
      <c r="K206" s="29">
        <v>387761</v>
      </c>
      <c r="L206" s="10" t="s">
        <v>454</v>
      </c>
      <c r="M206" s="10" t="s">
        <v>462</v>
      </c>
      <c r="N206" s="10" t="s">
        <v>463</v>
      </c>
      <c r="O206" s="11" t="s">
        <v>464</v>
      </c>
      <c r="P206" s="12">
        <v>40202</v>
      </c>
      <c r="Q206" s="13">
        <f t="shared" ca="1" si="102"/>
        <v>15.66050650239562</v>
      </c>
      <c r="R206" s="14">
        <v>8</v>
      </c>
      <c r="S206" s="15">
        <v>872</v>
      </c>
      <c r="T206" s="8">
        <v>872</v>
      </c>
      <c r="U206" s="16">
        <v>45017</v>
      </c>
      <c r="V206" s="17">
        <v>1</v>
      </c>
      <c r="W206" s="16">
        <v>45017</v>
      </c>
      <c r="X206" s="14">
        <v>0</v>
      </c>
      <c r="Y206" s="18">
        <f t="shared" si="124"/>
        <v>0</v>
      </c>
      <c r="Z206" s="18">
        <f t="shared" si="128"/>
        <v>0</v>
      </c>
      <c r="AA206" s="16">
        <v>45017</v>
      </c>
      <c r="AB206" s="26">
        <v>27</v>
      </c>
      <c r="AC206" s="26"/>
      <c r="AD206" s="26"/>
      <c r="AE206" s="147" t="str">
        <f t="shared" si="103"/>
        <v>0</v>
      </c>
      <c r="AF206" s="147" t="str">
        <f t="shared" si="104"/>
        <v>1</v>
      </c>
      <c r="AG206" s="147" t="str">
        <f t="shared" si="105"/>
        <v>0</v>
      </c>
      <c r="AH206" s="147" t="str">
        <f t="shared" si="106"/>
        <v>NO</v>
      </c>
      <c r="AI206" s="147" t="str">
        <f t="shared" si="107"/>
        <v>NO</v>
      </c>
      <c r="AJ206" s="147" t="str">
        <f t="shared" si="108"/>
        <v>NO</v>
      </c>
      <c r="AK206" s="147" t="str">
        <f t="shared" si="109"/>
        <v>NO</v>
      </c>
      <c r="AL206" s="21"/>
      <c r="AM206" s="21">
        <f t="shared" si="131"/>
        <v>6764.7899999999991</v>
      </c>
      <c r="AN206" s="27" t="s">
        <v>37</v>
      </c>
      <c r="AO206" s="21">
        <v>1</v>
      </c>
      <c r="AP206" s="21">
        <f t="shared" si="130"/>
        <v>0</v>
      </c>
      <c r="AQ206" s="149">
        <f t="shared" si="125"/>
        <v>0</v>
      </c>
      <c r="AR206" s="21">
        <v>0</v>
      </c>
      <c r="AS206" s="610">
        <v>6764.7899999999991</v>
      </c>
      <c r="AT206" s="112">
        <v>0</v>
      </c>
      <c r="AU206" s="4"/>
      <c r="AV206" s="4"/>
      <c r="AW206" s="23" t="e">
        <f>VLOOKUP(K206,#REF!,8,FALSE)</f>
        <v>#REF!</v>
      </c>
      <c r="AX206" s="23" t="e">
        <f>VLOOKUP(K206,#REF!,8,FALSE)</f>
        <v>#REF!</v>
      </c>
      <c r="AY206" s="23" t="e">
        <f>VLOOKUP(K206,#REF!,8,FALSE)</f>
        <v>#REF!</v>
      </c>
      <c r="AZ206" s="4"/>
      <c r="BA206" s="272"/>
      <c r="BB206" s="313">
        <f t="shared" si="126"/>
        <v>0</v>
      </c>
      <c r="BC206" s="269">
        <f t="shared" si="118"/>
        <v>0</v>
      </c>
      <c r="BD206" t="str">
        <f t="shared" si="132"/>
        <v/>
      </c>
      <c r="BP206" s="166">
        <f t="shared" si="110"/>
        <v>0</v>
      </c>
      <c r="BS206" s="165"/>
      <c r="BX206" s="495">
        <f t="shared" si="111"/>
        <v>0</v>
      </c>
      <c r="BZ206" s="636">
        <f t="shared" si="122"/>
        <v>0</v>
      </c>
      <c r="CA206" s="633">
        <f t="shared" si="123"/>
        <v>-6764.7899999999991</v>
      </c>
    </row>
    <row r="207" spans="1:79" x14ac:dyDescent="0.2">
      <c r="A207" s="4">
        <v>1</v>
      </c>
      <c r="B207" s="4">
        <v>1</v>
      </c>
      <c r="C207" s="5">
        <f t="shared" si="112"/>
        <v>41202</v>
      </c>
      <c r="D207" s="6">
        <v>41202</v>
      </c>
      <c r="E207" s="121">
        <v>43012</v>
      </c>
      <c r="F207" s="6" t="s">
        <v>1606</v>
      </c>
      <c r="G207" s="7" t="s">
        <v>75</v>
      </c>
      <c r="H207" s="7"/>
      <c r="I207" s="7" t="s">
        <v>157</v>
      </c>
      <c r="J207" s="7"/>
      <c r="K207" s="29">
        <v>387761</v>
      </c>
      <c r="L207" s="10" t="s">
        <v>454</v>
      </c>
      <c r="M207" s="10" t="s">
        <v>462</v>
      </c>
      <c r="N207" s="10" t="s">
        <v>463</v>
      </c>
      <c r="O207" s="11" t="s">
        <v>464</v>
      </c>
      <c r="P207" s="12">
        <v>40202</v>
      </c>
      <c r="Q207" s="13">
        <f t="shared" ca="1" si="102"/>
        <v>15.66050650239562</v>
      </c>
      <c r="R207" s="14">
        <v>8</v>
      </c>
      <c r="S207" s="15">
        <v>872</v>
      </c>
      <c r="T207" s="8">
        <v>872</v>
      </c>
      <c r="U207" s="16">
        <v>45017</v>
      </c>
      <c r="V207" s="17">
        <v>1</v>
      </c>
      <c r="W207" s="16">
        <v>45382</v>
      </c>
      <c r="X207" s="14">
        <v>192</v>
      </c>
      <c r="Y207" s="18">
        <f t="shared" si="124"/>
        <v>192</v>
      </c>
      <c r="Z207" s="18">
        <f t="shared" si="128"/>
        <v>1</v>
      </c>
      <c r="AA207" s="18" t="s">
        <v>36</v>
      </c>
      <c r="AB207" s="26">
        <v>21</v>
      </c>
      <c r="AC207" s="26"/>
      <c r="AD207" s="26"/>
      <c r="AE207" s="147" t="str">
        <f t="shared" si="103"/>
        <v>1</v>
      </c>
      <c r="AF207" s="147" t="str">
        <f t="shared" si="104"/>
        <v>0</v>
      </c>
      <c r="AG207" s="147" t="str">
        <f t="shared" si="105"/>
        <v>0</v>
      </c>
      <c r="AH207" s="147" t="str">
        <f t="shared" si="106"/>
        <v>NO</v>
      </c>
      <c r="AI207" s="147" t="str">
        <f t="shared" si="107"/>
        <v>NO</v>
      </c>
      <c r="AJ207" s="147" t="str">
        <f t="shared" si="108"/>
        <v>NO</v>
      </c>
      <c r="AK207" s="147" t="str">
        <f t="shared" si="109"/>
        <v>NO</v>
      </c>
      <c r="AL207" s="21"/>
      <c r="AM207" s="21">
        <f t="shared" si="131"/>
        <v>3928.17</v>
      </c>
      <c r="AN207" s="27" t="s">
        <v>37</v>
      </c>
      <c r="AO207" s="21">
        <v>1</v>
      </c>
      <c r="AP207" s="21">
        <f t="shared" si="130"/>
        <v>1</v>
      </c>
      <c r="AQ207" s="149">
        <f t="shared" si="125"/>
        <v>3928.17</v>
      </c>
      <c r="AR207" s="21">
        <v>3928.17</v>
      </c>
      <c r="AS207" s="610">
        <v>0</v>
      </c>
      <c r="AT207" s="112">
        <v>3928.17</v>
      </c>
      <c r="AU207" s="4"/>
      <c r="AV207" s="4"/>
      <c r="AW207" s="23" t="e">
        <f>VLOOKUP(K207,#REF!,8,FALSE)</f>
        <v>#REF!</v>
      </c>
      <c r="AX207" s="23" t="e">
        <f>VLOOKUP(K207,#REF!,8,FALSE)</f>
        <v>#REF!</v>
      </c>
      <c r="AY207" s="23" t="e">
        <f>VLOOKUP(K207,#REF!,8,FALSE)</f>
        <v>#REF!</v>
      </c>
      <c r="AZ207" s="4"/>
      <c r="BA207" s="272"/>
      <c r="BB207" s="313">
        <f t="shared" si="126"/>
        <v>0</v>
      </c>
      <c r="BC207" s="269">
        <f t="shared" si="118"/>
        <v>3928.17</v>
      </c>
      <c r="BD207" t="str">
        <f t="shared" si="132"/>
        <v/>
      </c>
      <c r="BP207" s="166">
        <f t="shared" si="110"/>
        <v>3928.17</v>
      </c>
      <c r="BS207" s="165"/>
      <c r="BX207" s="495">
        <f t="shared" si="111"/>
        <v>3928.17</v>
      </c>
      <c r="BZ207" s="636">
        <f t="shared" si="122"/>
        <v>0</v>
      </c>
      <c r="CA207" s="633">
        <f t="shared" si="123"/>
        <v>3928.17</v>
      </c>
    </row>
    <row r="208" spans="1:79" x14ac:dyDescent="0.2">
      <c r="A208" s="4">
        <v>1</v>
      </c>
      <c r="B208" s="4">
        <v>1</v>
      </c>
      <c r="C208" s="5">
        <f t="shared" si="112"/>
        <v>41202</v>
      </c>
      <c r="D208" s="6">
        <v>41202</v>
      </c>
      <c r="E208" s="121">
        <v>43012</v>
      </c>
      <c r="F208" s="6" t="s">
        <v>1606</v>
      </c>
      <c r="G208" s="7" t="s">
        <v>75</v>
      </c>
      <c r="H208" s="7"/>
      <c r="I208" s="7" t="s">
        <v>157</v>
      </c>
      <c r="J208" s="7"/>
      <c r="K208" s="29">
        <v>375898</v>
      </c>
      <c r="L208" s="10" t="s">
        <v>454</v>
      </c>
      <c r="M208" s="10" t="s">
        <v>465</v>
      </c>
      <c r="N208" s="10" t="s">
        <v>466</v>
      </c>
      <c r="O208" s="11" t="s">
        <v>467</v>
      </c>
      <c r="P208" s="12">
        <v>39840</v>
      </c>
      <c r="Q208" s="13">
        <f t="shared" ca="1" si="102"/>
        <v>16.651608487337441</v>
      </c>
      <c r="R208" s="14">
        <v>9</v>
      </c>
      <c r="S208" s="15">
        <v>872</v>
      </c>
      <c r="T208" s="8">
        <v>872</v>
      </c>
      <c r="U208" s="16">
        <v>45017</v>
      </c>
      <c r="V208" s="17">
        <v>1</v>
      </c>
      <c r="W208" s="16">
        <v>45382</v>
      </c>
      <c r="X208" s="14">
        <v>192</v>
      </c>
      <c r="Y208" s="18">
        <f t="shared" si="124"/>
        <v>192</v>
      </c>
      <c r="Z208" s="18">
        <f t="shared" si="128"/>
        <v>1</v>
      </c>
      <c r="AA208" s="18" t="s">
        <v>36</v>
      </c>
      <c r="AB208" s="26">
        <v>26</v>
      </c>
      <c r="AC208" s="26"/>
      <c r="AD208" s="26"/>
      <c r="AE208" s="147" t="str">
        <f t="shared" si="103"/>
        <v>0</v>
      </c>
      <c r="AF208" s="147" t="str">
        <f t="shared" si="104"/>
        <v>1</v>
      </c>
      <c r="AG208" s="147" t="str">
        <f t="shared" si="105"/>
        <v>0</v>
      </c>
      <c r="AH208" s="147" t="str">
        <f t="shared" si="106"/>
        <v>NO</v>
      </c>
      <c r="AI208" s="147" t="str">
        <f t="shared" si="107"/>
        <v>NO</v>
      </c>
      <c r="AJ208" s="147" t="str">
        <f t="shared" si="108"/>
        <v>NO</v>
      </c>
      <c r="AK208" s="147" t="str">
        <f t="shared" si="109"/>
        <v>NO</v>
      </c>
      <c r="AL208" s="21"/>
      <c r="AM208" s="21">
        <f t="shared" si="131"/>
        <v>6292.02</v>
      </c>
      <c r="AN208" s="27" t="s">
        <v>56</v>
      </c>
      <c r="AO208" s="21">
        <v>1</v>
      </c>
      <c r="AP208" s="21">
        <f t="shared" si="130"/>
        <v>1</v>
      </c>
      <c r="AQ208" s="149">
        <f t="shared" si="125"/>
        <v>6292.02</v>
      </c>
      <c r="AR208" s="21">
        <v>6292.02</v>
      </c>
      <c r="AS208" s="610">
        <v>6292.02</v>
      </c>
      <c r="AT208" s="112">
        <v>6292.02</v>
      </c>
      <c r="AU208" s="4"/>
      <c r="AV208" s="4"/>
      <c r="AW208" s="23" t="e">
        <f>VLOOKUP(K208,#REF!,8,FALSE)</f>
        <v>#REF!</v>
      </c>
      <c r="AX208" s="23" t="e">
        <f>VLOOKUP(K208,#REF!,8,FALSE)</f>
        <v>#REF!</v>
      </c>
      <c r="AY208" s="23" t="e">
        <f>VLOOKUP(K208,#REF!,8,FALSE)</f>
        <v>#REF!</v>
      </c>
      <c r="AZ208" s="4"/>
      <c r="BA208" s="272"/>
      <c r="BB208" s="313">
        <f t="shared" si="126"/>
        <v>0</v>
      </c>
      <c r="BC208" s="269">
        <f t="shared" si="118"/>
        <v>6292.02</v>
      </c>
      <c r="BD208" t="str">
        <f t="shared" si="132"/>
        <v/>
      </c>
      <c r="BP208" s="166">
        <f t="shared" si="110"/>
        <v>6292.02</v>
      </c>
      <c r="BS208" s="165"/>
      <c r="BX208" s="495">
        <f t="shared" si="111"/>
        <v>6292.02</v>
      </c>
      <c r="BZ208" s="636">
        <f t="shared" si="122"/>
        <v>0</v>
      </c>
      <c r="CA208" s="633">
        <f t="shared" si="123"/>
        <v>0</v>
      </c>
    </row>
    <row r="209" spans="1:79" x14ac:dyDescent="0.2">
      <c r="A209" s="4">
        <v>1</v>
      </c>
      <c r="B209" s="4">
        <v>1</v>
      </c>
      <c r="C209" s="5">
        <f t="shared" si="112"/>
        <v>41202</v>
      </c>
      <c r="D209" s="6">
        <v>41202</v>
      </c>
      <c r="E209" s="121">
        <v>43012</v>
      </c>
      <c r="F209" s="6" t="s">
        <v>1606</v>
      </c>
      <c r="G209" s="7" t="s">
        <v>75</v>
      </c>
      <c r="H209" s="7"/>
      <c r="I209" s="7" t="s">
        <v>157</v>
      </c>
      <c r="J209" s="7"/>
      <c r="K209" s="29">
        <v>429470</v>
      </c>
      <c r="L209" s="10" t="s">
        <v>454</v>
      </c>
      <c r="M209" s="10" t="s">
        <v>468</v>
      </c>
      <c r="N209" s="10" t="s">
        <v>469</v>
      </c>
      <c r="O209" s="11" t="s">
        <v>470</v>
      </c>
      <c r="P209" s="12">
        <v>40648</v>
      </c>
      <c r="Q209" s="13">
        <f t="shared" ca="1" si="102"/>
        <v>14.439425051334702</v>
      </c>
      <c r="R209" s="14">
        <v>7</v>
      </c>
      <c r="S209" s="15">
        <v>872</v>
      </c>
      <c r="T209" s="8">
        <v>872</v>
      </c>
      <c r="U209" s="16">
        <v>45017</v>
      </c>
      <c r="V209" s="17">
        <v>1</v>
      </c>
      <c r="W209" s="16">
        <v>45382</v>
      </c>
      <c r="X209" s="14">
        <v>192</v>
      </c>
      <c r="Y209" s="18">
        <f t="shared" si="124"/>
        <v>192</v>
      </c>
      <c r="Z209" s="18">
        <f t="shared" si="128"/>
        <v>1</v>
      </c>
      <c r="AA209" s="18" t="s">
        <v>36</v>
      </c>
      <c r="AB209" s="26">
        <v>30</v>
      </c>
      <c r="AC209" s="26"/>
      <c r="AD209" s="26"/>
      <c r="AE209" s="147" t="str">
        <f t="shared" si="103"/>
        <v>0</v>
      </c>
      <c r="AF209" s="147" t="str">
        <f t="shared" si="104"/>
        <v>1</v>
      </c>
      <c r="AG209" s="147" t="str">
        <f t="shared" si="105"/>
        <v>0</v>
      </c>
      <c r="AH209" s="147" t="str">
        <f t="shared" si="106"/>
        <v>NO</v>
      </c>
      <c r="AI209" s="147" t="str">
        <f t="shared" si="107"/>
        <v>NO</v>
      </c>
      <c r="AJ209" s="147" t="str">
        <f t="shared" si="108"/>
        <v>NO</v>
      </c>
      <c r="AK209" s="147" t="str">
        <f t="shared" si="109"/>
        <v>NO</v>
      </c>
      <c r="AL209" s="21"/>
      <c r="AM209" s="21">
        <f t="shared" si="131"/>
        <v>8183.0999999999985</v>
      </c>
      <c r="AN209" s="27" t="s">
        <v>56</v>
      </c>
      <c r="AO209" s="21">
        <v>1</v>
      </c>
      <c r="AP209" s="21">
        <f t="shared" si="130"/>
        <v>1</v>
      </c>
      <c r="AQ209" s="149">
        <f t="shared" si="125"/>
        <v>8183.0999999999985</v>
      </c>
      <c r="AR209" s="21">
        <v>8183.0999999999985</v>
      </c>
      <c r="AS209" s="610">
        <v>8183.0999999999985</v>
      </c>
      <c r="AT209" s="112">
        <v>8183.0999999999985</v>
      </c>
      <c r="AU209" s="4"/>
      <c r="AV209" s="4"/>
      <c r="AW209" s="23" t="e">
        <f>VLOOKUP(K209,#REF!,8,FALSE)</f>
        <v>#REF!</v>
      </c>
      <c r="AX209" s="23" t="e">
        <f>VLOOKUP(K209,#REF!,8,FALSE)</f>
        <v>#REF!</v>
      </c>
      <c r="AY209" s="23" t="e">
        <f>VLOOKUP(K209,#REF!,8,FALSE)</f>
        <v>#REF!</v>
      </c>
      <c r="AZ209" s="4"/>
      <c r="BA209" s="272"/>
      <c r="BB209" s="313">
        <f t="shared" si="126"/>
        <v>0</v>
      </c>
      <c r="BC209" s="269">
        <f t="shared" si="118"/>
        <v>8183.0999999999985</v>
      </c>
      <c r="BD209" t="str">
        <f t="shared" si="132"/>
        <v/>
      </c>
      <c r="BP209" s="166">
        <f t="shared" si="110"/>
        <v>8183.0999999999985</v>
      </c>
      <c r="BS209" s="165"/>
      <c r="BX209" s="495">
        <f t="shared" si="111"/>
        <v>8183.0999999999985</v>
      </c>
      <c r="BZ209" s="636">
        <f t="shared" si="122"/>
        <v>0</v>
      </c>
      <c r="CA209" s="633">
        <f t="shared" si="123"/>
        <v>0</v>
      </c>
    </row>
    <row r="210" spans="1:79" x14ac:dyDescent="0.2">
      <c r="A210" s="4">
        <v>1</v>
      </c>
      <c r="B210" s="4">
        <v>1</v>
      </c>
      <c r="C210" s="5">
        <f t="shared" si="112"/>
        <v>41202</v>
      </c>
      <c r="D210" s="6">
        <v>41202</v>
      </c>
      <c r="E210" s="121">
        <v>43012</v>
      </c>
      <c r="F210" s="6" t="s">
        <v>1606</v>
      </c>
      <c r="G210" s="7" t="s">
        <v>75</v>
      </c>
      <c r="H210" s="7"/>
      <c r="I210" s="7" t="s">
        <v>157</v>
      </c>
      <c r="J210" s="7"/>
      <c r="K210" s="29">
        <v>383212</v>
      </c>
      <c r="L210" s="10" t="s">
        <v>454</v>
      </c>
      <c r="M210" s="10" t="s">
        <v>471</v>
      </c>
      <c r="N210" s="10" t="s">
        <v>472</v>
      </c>
      <c r="O210" s="11" t="s">
        <v>473</v>
      </c>
      <c r="P210" s="12">
        <v>40094</v>
      </c>
      <c r="Q210" s="13">
        <f t="shared" ca="1" si="102"/>
        <v>15.956194387405887</v>
      </c>
      <c r="R210" s="14">
        <v>8</v>
      </c>
      <c r="S210" s="15">
        <v>872</v>
      </c>
      <c r="T210" s="8">
        <v>872</v>
      </c>
      <c r="U210" s="16">
        <v>45017</v>
      </c>
      <c r="V210" s="17">
        <v>1</v>
      </c>
      <c r="W210" s="16">
        <v>45382</v>
      </c>
      <c r="X210" s="14">
        <v>192</v>
      </c>
      <c r="Y210" s="18">
        <f t="shared" si="124"/>
        <v>192</v>
      </c>
      <c r="Z210" s="18">
        <f t="shared" si="128"/>
        <v>1</v>
      </c>
      <c r="AA210" s="18" t="s">
        <v>36</v>
      </c>
      <c r="AB210" s="26">
        <v>32</v>
      </c>
      <c r="AC210" s="26"/>
      <c r="AD210" s="26"/>
      <c r="AE210" s="147" t="str">
        <f t="shared" si="103"/>
        <v>0</v>
      </c>
      <c r="AF210" s="147" t="str">
        <f t="shared" si="104"/>
        <v>0</v>
      </c>
      <c r="AG210" s="147" t="str">
        <f t="shared" si="105"/>
        <v>1</v>
      </c>
      <c r="AH210" s="147" t="str">
        <f t="shared" si="106"/>
        <v>NO</v>
      </c>
      <c r="AI210" s="147" t="str">
        <f t="shared" si="107"/>
        <v>NO</v>
      </c>
      <c r="AJ210" s="147" t="str">
        <f t="shared" si="108"/>
        <v>NO</v>
      </c>
      <c r="AK210" s="147" t="str">
        <f t="shared" si="109"/>
        <v>NO</v>
      </c>
      <c r="AL210" s="21"/>
      <c r="AM210" s="21">
        <f t="shared" si="131"/>
        <v>9128.64</v>
      </c>
      <c r="AN210" s="27" t="s">
        <v>56</v>
      </c>
      <c r="AO210" s="21">
        <v>1</v>
      </c>
      <c r="AP210" s="21">
        <f t="shared" si="130"/>
        <v>1</v>
      </c>
      <c r="AQ210" s="149">
        <f t="shared" si="125"/>
        <v>9128.64</v>
      </c>
      <c r="AR210" s="21">
        <v>9128.64</v>
      </c>
      <c r="AS210" s="610">
        <v>9128.64</v>
      </c>
      <c r="AT210" s="112">
        <v>9128.64</v>
      </c>
      <c r="AU210" s="4"/>
      <c r="AV210" s="4"/>
      <c r="AW210" s="23" t="e">
        <f>VLOOKUP(K210,#REF!,8,FALSE)</f>
        <v>#REF!</v>
      </c>
      <c r="AX210" s="23" t="e">
        <f>VLOOKUP(K210,#REF!,8,FALSE)</f>
        <v>#REF!</v>
      </c>
      <c r="AY210" s="23" t="e">
        <f>VLOOKUP(K210,#REF!,8,FALSE)</f>
        <v>#REF!</v>
      </c>
      <c r="AZ210" s="4"/>
      <c r="BA210" s="272"/>
      <c r="BB210" s="313">
        <f t="shared" si="126"/>
        <v>0</v>
      </c>
      <c r="BC210" s="269">
        <f t="shared" si="118"/>
        <v>9128.64</v>
      </c>
      <c r="BD210" t="str">
        <f t="shared" si="132"/>
        <v/>
      </c>
      <c r="BP210" s="166">
        <f t="shared" si="110"/>
        <v>9128.64</v>
      </c>
      <c r="BS210" s="165"/>
      <c r="BX210" s="495">
        <f t="shared" si="111"/>
        <v>9128.64</v>
      </c>
      <c r="BZ210" s="636">
        <f t="shared" si="122"/>
        <v>0</v>
      </c>
      <c r="CA210" s="633">
        <f t="shared" si="123"/>
        <v>0</v>
      </c>
    </row>
    <row r="211" spans="1:79" x14ac:dyDescent="0.2">
      <c r="A211" s="4">
        <v>0</v>
      </c>
      <c r="B211" s="4">
        <v>1</v>
      </c>
      <c r="C211" s="5">
        <f t="shared" si="112"/>
        <v>41202</v>
      </c>
      <c r="D211" s="6">
        <v>41202</v>
      </c>
      <c r="E211" s="121">
        <v>43012</v>
      </c>
      <c r="F211" s="6" t="s">
        <v>1606</v>
      </c>
      <c r="G211" s="7" t="s">
        <v>75</v>
      </c>
      <c r="H211" s="7"/>
      <c r="I211" s="7" t="s">
        <v>157</v>
      </c>
      <c r="J211" s="7" t="s">
        <v>142</v>
      </c>
      <c r="K211" s="29">
        <v>383212</v>
      </c>
      <c r="L211" s="10" t="s">
        <v>454</v>
      </c>
      <c r="M211" s="10" t="s">
        <v>471</v>
      </c>
      <c r="N211" s="10" t="s">
        <v>472</v>
      </c>
      <c r="O211" s="11" t="s">
        <v>473</v>
      </c>
      <c r="P211" s="12">
        <v>40094</v>
      </c>
      <c r="Q211" s="13">
        <f t="shared" ref="Q211:Q274" ca="1" si="133">(TODAY()-P211)/365.25</f>
        <v>15.956194387405887</v>
      </c>
      <c r="R211" s="14">
        <v>8</v>
      </c>
      <c r="S211" s="15">
        <v>872</v>
      </c>
      <c r="T211" s="8">
        <v>872</v>
      </c>
      <c r="U211" s="16">
        <v>45017</v>
      </c>
      <c r="V211" s="17">
        <v>1</v>
      </c>
      <c r="W211" s="16">
        <v>45072</v>
      </c>
      <c r="X211" s="14">
        <v>28</v>
      </c>
      <c r="Y211" s="18">
        <f t="shared" si="124"/>
        <v>28</v>
      </c>
      <c r="Z211" s="18">
        <f t="shared" si="128"/>
        <v>0.14583333333333334</v>
      </c>
      <c r="AA211" s="16">
        <v>45072</v>
      </c>
      <c r="AB211" s="26">
        <v>8200</v>
      </c>
      <c r="AC211" s="26"/>
      <c r="AD211" s="26"/>
      <c r="AE211" s="147" t="str">
        <f t="shared" ref="AE211:AE274" si="134">IF(AND(AB211&lt;=25,AB211&gt;=20),"1","0")</f>
        <v>0</v>
      </c>
      <c r="AF211" s="147" t="str">
        <f t="shared" ref="AF211:AF274" si="135">IF(AND(AB211&lt;=30,AB211&gt;=26),"1","0")</f>
        <v>0</v>
      </c>
      <c r="AG211" s="147" t="str">
        <f t="shared" ref="AG211:AG274" si="136">IF(AB211&gt;=31,"1","0")</f>
        <v>1</v>
      </c>
      <c r="AH211" s="147" t="str">
        <f t="shared" ref="AH211:AH274" si="137">IF(AD211="BAND3","YES","NO")</f>
        <v>NO</v>
      </c>
      <c r="AI211" s="147" t="str">
        <f t="shared" ref="AI211:AI274" si="138">IF(AD211="BAND4","YES","NO")</f>
        <v>NO</v>
      </c>
      <c r="AJ211" s="147" t="str">
        <f t="shared" ref="AJ211:AJ274" si="139">IF(AD211="BAND5","YES","NO")</f>
        <v>NO</v>
      </c>
      <c r="AK211" s="147" t="str">
        <f t="shared" ref="AK211:AK274" si="140">IF(AD211="BAND6","YES","NO")</f>
        <v>NO</v>
      </c>
      <c r="AL211" s="21"/>
      <c r="AM211" s="21">
        <f>AB211</f>
        <v>8200</v>
      </c>
      <c r="AN211" s="27" t="s">
        <v>56</v>
      </c>
      <c r="AO211" s="21">
        <v>1</v>
      </c>
      <c r="AP211" s="21">
        <v>1</v>
      </c>
      <c r="AQ211" s="149">
        <f t="shared" si="125"/>
        <v>8200</v>
      </c>
      <c r="AR211" s="21">
        <v>8200</v>
      </c>
      <c r="AS211" s="610">
        <v>0</v>
      </c>
      <c r="AT211" s="112">
        <v>0</v>
      </c>
      <c r="AU211" s="4"/>
      <c r="AV211" s="4"/>
      <c r="AW211" s="23"/>
      <c r="AX211" s="23"/>
      <c r="AY211" s="23"/>
      <c r="AZ211" s="4"/>
      <c r="BA211" s="272"/>
      <c r="BB211" s="313">
        <f t="shared" si="126"/>
        <v>8200</v>
      </c>
      <c r="BC211" s="269">
        <f t="shared" si="118"/>
        <v>8200</v>
      </c>
      <c r="BD211" t="str">
        <f t="shared" si="132"/>
        <v/>
      </c>
      <c r="BP211" s="166">
        <f t="shared" ref="BP211:BP274" si="141">BC211+BO211</f>
        <v>8200</v>
      </c>
      <c r="BS211" s="165"/>
      <c r="BX211" s="495">
        <f t="shared" ref="BX211:BX274" si="142">AQ211+BO211+BU211</f>
        <v>8200</v>
      </c>
      <c r="BZ211" s="636">
        <f t="shared" si="122"/>
        <v>0</v>
      </c>
      <c r="CA211" s="633">
        <f t="shared" si="123"/>
        <v>8200</v>
      </c>
    </row>
    <row r="212" spans="1:79" x14ac:dyDescent="0.2">
      <c r="A212" s="4">
        <v>1</v>
      </c>
      <c r="B212" s="4">
        <v>1</v>
      </c>
      <c r="C212" s="5">
        <f t="shared" si="112"/>
        <v>41202</v>
      </c>
      <c r="D212" s="6">
        <v>41202</v>
      </c>
      <c r="E212" s="121">
        <v>43012</v>
      </c>
      <c r="F212" s="6" t="s">
        <v>1606</v>
      </c>
      <c r="G212" s="7" t="s">
        <v>75</v>
      </c>
      <c r="H212" s="7"/>
      <c r="I212" s="7" t="s">
        <v>157</v>
      </c>
      <c r="J212" s="7"/>
      <c r="K212" s="29">
        <v>397440</v>
      </c>
      <c r="L212" s="10" t="s">
        <v>454</v>
      </c>
      <c r="M212" s="10" t="s">
        <v>332</v>
      </c>
      <c r="N212" s="10" t="s">
        <v>474</v>
      </c>
      <c r="O212" s="11" t="s">
        <v>475</v>
      </c>
      <c r="P212" s="12">
        <v>40745</v>
      </c>
      <c r="Q212" s="13">
        <f t="shared" ca="1" si="133"/>
        <v>14.173853524982889</v>
      </c>
      <c r="R212" s="14">
        <v>7</v>
      </c>
      <c r="S212" s="15">
        <v>872</v>
      </c>
      <c r="T212" s="8">
        <v>872</v>
      </c>
      <c r="U212" s="16">
        <v>45017</v>
      </c>
      <c r="V212" s="17">
        <v>1</v>
      </c>
      <c r="W212" s="16">
        <v>45382</v>
      </c>
      <c r="X212" s="14">
        <v>192</v>
      </c>
      <c r="Y212" s="18">
        <f t="shared" si="124"/>
        <v>192</v>
      </c>
      <c r="Z212" s="18">
        <f t="shared" si="128"/>
        <v>1</v>
      </c>
      <c r="AA212" s="18" t="s">
        <v>36</v>
      </c>
      <c r="AB212" s="26">
        <v>30</v>
      </c>
      <c r="AC212" s="26"/>
      <c r="AD212" s="26"/>
      <c r="AE212" s="147" t="str">
        <f t="shared" si="134"/>
        <v>0</v>
      </c>
      <c r="AF212" s="147" t="str">
        <f t="shared" si="135"/>
        <v>1</v>
      </c>
      <c r="AG212" s="147" t="str">
        <f t="shared" si="136"/>
        <v>0</v>
      </c>
      <c r="AH212" s="147" t="str">
        <f t="shared" si="137"/>
        <v>NO</v>
      </c>
      <c r="AI212" s="147" t="str">
        <f t="shared" si="138"/>
        <v>NO</v>
      </c>
      <c r="AJ212" s="147" t="str">
        <f t="shared" si="139"/>
        <v>NO</v>
      </c>
      <c r="AK212" s="147" t="str">
        <f t="shared" si="140"/>
        <v>NO</v>
      </c>
      <c r="AL212" s="21"/>
      <c r="AM212" s="21">
        <f>IF(H212="Y",AL212,((AB212*$O$902)-6000))</f>
        <v>8183.0999999999985</v>
      </c>
      <c r="AN212" s="27" t="s">
        <v>56</v>
      </c>
      <c r="AO212" s="21">
        <v>1</v>
      </c>
      <c r="AP212" s="21">
        <f>AO212*Z212</f>
        <v>1</v>
      </c>
      <c r="AQ212" s="149">
        <f t="shared" si="125"/>
        <v>8183.0999999999985</v>
      </c>
      <c r="AR212" s="21">
        <v>8183.0999999999985</v>
      </c>
      <c r="AS212" s="610">
        <v>8183.0999999999985</v>
      </c>
      <c r="AT212" s="112">
        <v>8183.0999999999985</v>
      </c>
      <c r="AU212" s="4"/>
      <c r="AV212" s="4"/>
      <c r="AW212" s="23" t="e">
        <f>VLOOKUP(K212,#REF!,8,FALSE)</f>
        <v>#REF!</v>
      </c>
      <c r="AX212" s="23" t="e">
        <f>VLOOKUP(K212,#REF!,8,FALSE)</f>
        <v>#REF!</v>
      </c>
      <c r="AY212" s="23" t="e">
        <f>VLOOKUP(K212,#REF!,8,FALSE)</f>
        <v>#REF!</v>
      </c>
      <c r="AZ212" s="4"/>
      <c r="BA212" s="272"/>
      <c r="BB212" s="313">
        <f t="shared" si="126"/>
        <v>0</v>
      </c>
      <c r="BC212" s="269">
        <f t="shared" si="118"/>
        <v>8183.0999999999985</v>
      </c>
      <c r="BD212" t="str">
        <f t="shared" si="132"/>
        <v/>
      </c>
      <c r="BP212" s="166">
        <f t="shared" si="141"/>
        <v>8183.0999999999985</v>
      </c>
      <c r="BS212" s="165"/>
      <c r="BX212" s="495">
        <f t="shared" si="142"/>
        <v>8183.0999999999985</v>
      </c>
      <c r="BZ212" s="636">
        <f t="shared" si="122"/>
        <v>0</v>
      </c>
      <c r="CA212" s="633">
        <f t="shared" si="123"/>
        <v>0</v>
      </c>
    </row>
    <row r="213" spans="1:79" x14ac:dyDescent="0.2">
      <c r="A213" s="4">
        <v>1</v>
      </c>
      <c r="B213" s="4">
        <v>1</v>
      </c>
      <c r="C213" s="5">
        <f t="shared" si="112"/>
        <v>41202</v>
      </c>
      <c r="D213" s="6">
        <v>41202</v>
      </c>
      <c r="E213" s="121">
        <v>43012</v>
      </c>
      <c r="F213" s="6" t="s">
        <v>1606</v>
      </c>
      <c r="G213" s="7" t="s">
        <v>75</v>
      </c>
      <c r="H213" s="7"/>
      <c r="I213" s="7" t="s">
        <v>157</v>
      </c>
      <c r="J213" s="7"/>
      <c r="K213" s="29">
        <v>385941</v>
      </c>
      <c r="L213" s="10" t="s">
        <v>454</v>
      </c>
      <c r="M213" s="10" t="s">
        <v>476</v>
      </c>
      <c r="N213" s="10" t="s">
        <v>159</v>
      </c>
      <c r="O213" s="11" t="s">
        <v>477</v>
      </c>
      <c r="P213" s="12">
        <v>40136</v>
      </c>
      <c r="Q213" s="13">
        <f t="shared" ca="1" si="133"/>
        <v>15.841204654346338</v>
      </c>
      <c r="R213" s="14">
        <v>8</v>
      </c>
      <c r="S213" s="15">
        <v>872</v>
      </c>
      <c r="T213" s="8">
        <v>872</v>
      </c>
      <c r="U213" s="16">
        <v>45017</v>
      </c>
      <c r="V213" s="17">
        <v>1</v>
      </c>
      <c r="W213" s="16">
        <v>45017</v>
      </c>
      <c r="X213" s="14">
        <v>0</v>
      </c>
      <c r="Y213" s="18">
        <f t="shared" si="124"/>
        <v>0</v>
      </c>
      <c r="Z213" s="18">
        <f t="shared" si="128"/>
        <v>0</v>
      </c>
      <c r="AA213" s="16" t="s">
        <v>36</v>
      </c>
      <c r="AB213" s="26">
        <v>25</v>
      </c>
      <c r="AC213" s="26"/>
      <c r="AD213" s="26"/>
      <c r="AE213" s="147" t="str">
        <f t="shared" si="134"/>
        <v>1</v>
      </c>
      <c r="AF213" s="147" t="str">
        <f t="shared" si="135"/>
        <v>0</v>
      </c>
      <c r="AG213" s="147" t="str">
        <f t="shared" si="136"/>
        <v>0</v>
      </c>
      <c r="AH213" s="147" t="str">
        <f t="shared" si="137"/>
        <v>NO</v>
      </c>
      <c r="AI213" s="147" t="str">
        <f t="shared" si="138"/>
        <v>NO</v>
      </c>
      <c r="AJ213" s="147" t="str">
        <f t="shared" si="139"/>
        <v>NO</v>
      </c>
      <c r="AK213" s="147" t="str">
        <f t="shared" si="140"/>
        <v>NO</v>
      </c>
      <c r="AL213" s="21"/>
      <c r="AM213" s="21">
        <f>IF(H213="Y",AL213,((AB213*$O$902)-6000))</f>
        <v>5819.25</v>
      </c>
      <c r="AN213" s="42" t="s">
        <v>185</v>
      </c>
      <c r="AO213" s="21">
        <v>1</v>
      </c>
      <c r="AP213" s="21">
        <f>AO213*Z213</f>
        <v>0</v>
      </c>
      <c r="AQ213" s="149">
        <f t="shared" si="125"/>
        <v>0</v>
      </c>
      <c r="AR213" s="21">
        <v>0</v>
      </c>
      <c r="AS213" s="610">
        <v>5819.25</v>
      </c>
      <c r="AT213" s="112">
        <v>0</v>
      </c>
      <c r="AU213" s="4"/>
      <c r="AV213" s="4"/>
      <c r="AW213" s="23" t="e">
        <f>VLOOKUP(K213,#REF!,8,FALSE)</f>
        <v>#REF!</v>
      </c>
      <c r="AX213" s="23" t="e">
        <f>VLOOKUP(K213,#REF!,8,FALSE)</f>
        <v>#REF!</v>
      </c>
      <c r="AY213" s="23" t="e">
        <f>VLOOKUP(K213,#REF!,8,FALSE)</f>
        <v>#REF!</v>
      </c>
      <c r="AZ213" s="4"/>
      <c r="BA213" s="272"/>
      <c r="BB213" s="313">
        <f t="shared" si="126"/>
        <v>0</v>
      </c>
      <c r="BC213" s="269">
        <f t="shared" si="118"/>
        <v>0</v>
      </c>
      <c r="BD213" t="str">
        <f t="shared" si="132"/>
        <v/>
      </c>
      <c r="BP213" s="166">
        <f t="shared" si="141"/>
        <v>0</v>
      </c>
      <c r="BS213" s="165"/>
      <c r="BX213" s="495">
        <f t="shared" si="142"/>
        <v>0</v>
      </c>
      <c r="BZ213" s="636">
        <f t="shared" si="122"/>
        <v>0</v>
      </c>
      <c r="CA213" s="633">
        <f t="shared" si="123"/>
        <v>-5819.25</v>
      </c>
    </row>
    <row r="214" spans="1:79" x14ac:dyDescent="0.2">
      <c r="A214" s="4">
        <v>1</v>
      </c>
      <c r="B214" s="4">
        <v>1</v>
      </c>
      <c r="C214" s="5">
        <f t="shared" si="112"/>
        <v>41202</v>
      </c>
      <c r="D214" s="6">
        <v>41202</v>
      </c>
      <c r="E214" s="121">
        <v>43012</v>
      </c>
      <c r="F214" s="6" t="s">
        <v>1606</v>
      </c>
      <c r="G214" s="7" t="s">
        <v>75</v>
      </c>
      <c r="H214" s="7"/>
      <c r="I214" s="7" t="s">
        <v>157</v>
      </c>
      <c r="J214" s="7"/>
      <c r="K214" s="29">
        <v>433396</v>
      </c>
      <c r="L214" s="10" t="s">
        <v>454</v>
      </c>
      <c r="M214" s="10" t="s">
        <v>476</v>
      </c>
      <c r="N214" s="10" t="s">
        <v>478</v>
      </c>
      <c r="O214" s="11" t="str">
        <f>M214&amp;N214</f>
        <v>CharlotteWoolford</v>
      </c>
      <c r="P214" s="12">
        <v>39567</v>
      </c>
      <c r="Q214" s="13">
        <f t="shared" ca="1" si="133"/>
        <v>17.399041752224505</v>
      </c>
      <c r="R214" s="14">
        <v>10</v>
      </c>
      <c r="S214" s="15">
        <v>872</v>
      </c>
      <c r="T214" s="8">
        <v>872</v>
      </c>
      <c r="U214" s="16">
        <v>45017</v>
      </c>
      <c r="V214" s="17">
        <v>1</v>
      </c>
      <c r="W214" s="16">
        <v>45382</v>
      </c>
      <c r="X214" s="14">
        <v>192</v>
      </c>
      <c r="Y214" s="18">
        <f t="shared" si="124"/>
        <v>192</v>
      </c>
      <c r="Z214" s="18">
        <f t="shared" si="128"/>
        <v>1</v>
      </c>
      <c r="AA214" s="18" t="s">
        <v>36</v>
      </c>
      <c r="AB214" s="26">
        <v>21</v>
      </c>
      <c r="AC214" s="26"/>
      <c r="AD214" s="26"/>
      <c r="AE214" s="147" t="str">
        <f t="shared" si="134"/>
        <v>1</v>
      </c>
      <c r="AF214" s="147" t="str">
        <f t="shared" si="135"/>
        <v>0</v>
      </c>
      <c r="AG214" s="147" t="str">
        <f t="shared" si="136"/>
        <v>0</v>
      </c>
      <c r="AH214" s="147" t="str">
        <f t="shared" si="137"/>
        <v>NO</v>
      </c>
      <c r="AI214" s="147" t="str">
        <f t="shared" si="138"/>
        <v>NO</v>
      </c>
      <c r="AJ214" s="147" t="str">
        <f t="shared" si="139"/>
        <v>NO</v>
      </c>
      <c r="AK214" s="147" t="str">
        <f t="shared" si="140"/>
        <v>NO</v>
      </c>
      <c r="AL214" s="21"/>
      <c r="AM214" s="21">
        <f>IF(H214="Y",AL214,((AB214*$O$902)-6000))</f>
        <v>3928.17</v>
      </c>
      <c r="AN214" s="27"/>
      <c r="AO214" s="21">
        <v>1</v>
      </c>
      <c r="AP214" s="21">
        <f>AO214*Z214</f>
        <v>1</v>
      </c>
      <c r="AQ214" s="149">
        <f t="shared" si="125"/>
        <v>3928.17</v>
      </c>
      <c r="AR214" s="21">
        <v>3928.17</v>
      </c>
      <c r="AS214" s="610">
        <v>3928.17</v>
      </c>
      <c r="AT214" s="112">
        <v>3928.17</v>
      </c>
      <c r="AU214" s="4"/>
      <c r="AV214" s="4"/>
      <c r="AW214" s="23" t="e">
        <f>VLOOKUP(K214,#REF!,8,FALSE)</f>
        <v>#REF!</v>
      </c>
      <c r="AX214" s="23" t="e">
        <f>VLOOKUP(K214,#REF!,8,FALSE)</f>
        <v>#REF!</v>
      </c>
      <c r="AY214" s="23" t="e">
        <f>VLOOKUP(K214,#REF!,8,FALSE)</f>
        <v>#REF!</v>
      </c>
      <c r="AZ214" s="4"/>
      <c r="BA214" s="272"/>
      <c r="BB214" s="313">
        <f t="shared" si="126"/>
        <v>0</v>
      </c>
      <c r="BC214" s="269">
        <f t="shared" si="118"/>
        <v>3928.17</v>
      </c>
      <c r="BD214" t="str">
        <f t="shared" si="132"/>
        <v/>
      </c>
      <c r="BP214" s="166">
        <f t="shared" si="141"/>
        <v>3928.17</v>
      </c>
      <c r="BS214" s="165"/>
      <c r="BX214" s="495">
        <f t="shared" si="142"/>
        <v>3928.17</v>
      </c>
      <c r="BZ214" s="636">
        <f t="shared" si="122"/>
        <v>0</v>
      </c>
      <c r="CA214" s="633">
        <f t="shared" si="123"/>
        <v>0</v>
      </c>
    </row>
    <row r="215" spans="1:79" x14ac:dyDescent="0.2">
      <c r="A215" s="4">
        <v>0</v>
      </c>
      <c r="B215" s="4">
        <v>1</v>
      </c>
      <c r="C215" s="5">
        <f t="shared" si="112"/>
        <v>41202</v>
      </c>
      <c r="D215" s="6">
        <v>41202</v>
      </c>
      <c r="E215" s="121">
        <v>43012</v>
      </c>
      <c r="F215" s="6" t="s">
        <v>1606</v>
      </c>
      <c r="G215" s="7" t="s">
        <v>75</v>
      </c>
      <c r="H215" s="7"/>
      <c r="I215" s="7" t="s">
        <v>157</v>
      </c>
      <c r="J215" s="7" t="s">
        <v>142</v>
      </c>
      <c r="K215" s="29">
        <v>433396</v>
      </c>
      <c r="L215" s="10" t="s">
        <v>454</v>
      </c>
      <c r="M215" s="10" t="s">
        <v>476</v>
      </c>
      <c r="N215" s="10" t="s">
        <v>478</v>
      </c>
      <c r="O215" s="11" t="s">
        <v>2295</v>
      </c>
      <c r="P215" s="12">
        <v>39567</v>
      </c>
      <c r="Q215" s="13">
        <f t="shared" ca="1" si="133"/>
        <v>17.399041752224505</v>
      </c>
      <c r="R215" s="14">
        <v>10</v>
      </c>
      <c r="S215" s="15">
        <v>872</v>
      </c>
      <c r="T215" s="8">
        <v>872</v>
      </c>
      <c r="U215" s="16">
        <v>45017</v>
      </c>
      <c r="V215" s="17">
        <v>1</v>
      </c>
      <c r="W215" s="16">
        <v>45337</v>
      </c>
      <c r="X215" s="14">
        <v>163</v>
      </c>
      <c r="Y215" s="18">
        <f t="shared" si="124"/>
        <v>163</v>
      </c>
      <c r="Z215" s="18">
        <f t="shared" si="128"/>
        <v>0.84895833333333337</v>
      </c>
      <c r="AA215" s="16">
        <v>45337</v>
      </c>
      <c r="AB215" s="26">
        <v>4</v>
      </c>
      <c r="AC215" s="26"/>
      <c r="AD215" s="26"/>
      <c r="AE215" s="147" t="str">
        <f t="shared" si="134"/>
        <v>0</v>
      </c>
      <c r="AF215" s="147" t="str">
        <f t="shared" si="135"/>
        <v>0</v>
      </c>
      <c r="AG215" s="147" t="str">
        <f t="shared" si="136"/>
        <v>0</v>
      </c>
      <c r="AH215" s="147" t="str">
        <f t="shared" si="137"/>
        <v>NO</v>
      </c>
      <c r="AI215" s="147" t="str">
        <f t="shared" si="138"/>
        <v>NO</v>
      </c>
      <c r="AJ215" s="147" t="str">
        <f t="shared" si="139"/>
        <v>NO</v>
      </c>
      <c r="AK215" s="147" t="str">
        <f t="shared" si="140"/>
        <v>NO</v>
      </c>
      <c r="AL215" s="21"/>
      <c r="AM215" s="21">
        <f>IF(H215="Y",AL215,((AB215*$O$902)))</f>
        <v>1891.08</v>
      </c>
      <c r="AN215" s="27"/>
      <c r="AO215" s="21">
        <v>1</v>
      </c>
      <c r="AP215" s="21">
        <v>1</v>
      </c>
      <c r="AQ215" s="149">
        <f t="shared" si="125"/>
        <v>1891.08</v>
      </c>
      <c r="AR215" s="21">
        <v>1891.08</v>
      </c>
      <c r="AS215" s="610">
        <v>0</v>
      </c>
      <c r="AT215" s="112">
        <v>0</v>
      </c>
      <c r="AU215" s="4"/>
      <c r="AV215" s="4"/>
      <c r="AW215" s="23"/>
      <c r="AX215" s="23"/>
      <c r="AY215" s="23"/>
      <c r="AZ215" s="4"/>
      <c r="BA215" s="272"/>
      <c r="BB215" s="313">
        <f t="shared" si="126"/>
        <v>1891.08</v>
      </c>
      <c r="BC215" s="269">
        <f t="shared" si="118"/>
        <v>1891.08</v>
      </c>
      <c r="BD215" t="str">
        <f t="shared" si="132"/>
        <v/>
      </c>
      <c r="BP215" s="166">
        <f t="shared" si="141"/>
        <v>1891.08</v>
      </c>
      <c r="BS215" s="165"/>
      <c r="BX215" s="495">
        <f t="shared" si="142"/>
        <v>1891.08</v>
      </c>
      <c r="BZ215" s="636">
        <f t="shared" si="122"/>
        <v>0</v>
      </c>
      <c r="CA215" s="633">
        <f t="shared" si="123"/>
        <v>1891.08</v>
      </c>
    </row>
    <row r="216" spans="1:79" x14ac:dyDescent="0.2">
      <c r="A216" s="4">
        <v>1</v>
      </c>
      <c r="B216" s="4">
        <v>1</v>
      </c>
      <c r="C216" s="5">
        <f t="shared" si="112"/>
        <v>41202</v>
      </c>
      <c r="D216" s="6">
        <v>41202</v>
      </c>
      <c r="E216" s="121">
        <v>43012</v>
      </c>
      <c r="F216" s="6" t="s">
        <v>1606</v>
      </c>
      <c r="G216" s="7" t="s">
        <v>75</v>
      </c>
      <c r="H216" s="7"/>
      <c r="I216" s="7" t="s">
        <v>157</v>
      </c>
      <c r="J216" s="7"/>
      <c r="K216" s="29">
        <v>412990</v>
      </c>
      <c r="L216" s="10" t="s">
        <v>454</v>
      </c>
      <c r="M216" s="10" t="s">
        <v>177</v>
      </c>
      <c r="N216" s="10" t="s">
        <v>479</v>
      </c>
      <c r="O216" s="11" t="s">
        <v>480</v>
      </c>
      <c r="P216" s="12">
        <v>39596</v>
      </c>
      <c r="Q216" s="13">
        <f t="shared" ca="1" si="133"/>
        <v>17.319644079397673</v>
      </c>
      <c r="R216" s="14">
        <v>10</v>
      </c>
      <c r="S216" s="15">
        <v>872</v>
      </c>
      <c r="T216" s="8">
        <v>872</v>
      </c>
      <c r="U216" s="16">
        <v>45017</v>
      </c>
      <c r="V216" s="17">
        <v>1</v>
      </c>
      <c r="W216" s="16">
        <v>45382</v>
      </c>
      <c r="X216" s="14">
        <v>192</v>
      </c>
      <c r="Y216" s="18">
        <f t="shared" si="124"/>
        <v>192</v>
      </c>
      <c r="Z216" s="18">
        <f t="shared" si="128"/>
        <v>1</v>
      </c>
      <c r="AA216" s="18" t="s">
        <v>36</v>
      </c>
      <c r="AB216" s="26">
        <v>27</v>
      </c>
      <c r="AC216" s="26"/>
      <c r="AD216" s="26"/>
      <c r="AE216" s="147" t="str">
        <f t="shared" si="134"/>
        <v>0</v>
      </c>
      <c r="AF216" s="147" t="str">
        <f t="shared" si="135"/>
        <v>1</v>
      </c>
      <c r="AG216" s="147" t="str">
        <f t="shared" si="136"/>
        <v>0</v>
      </c>
      <c r="AH216" s="147" t="str">
        <f t="shared" si="137"/>
        <v>NO</v>
      </c>
      <c r="AI216" s="147" t="str">
        <f t="shared" si="138"/>
        <v>NO</v>
      </c>
      <c r="AJ216" s="147" t="str">
        <f t="shared" si="139"/>
        <v>NO</v>
      </c>
      <c r="AK216" s="147" t="str">
        <f t="shared" si="140"/>
        <v>NO</v>
      </c>
      <c r="AL216" s="21"/>
      <c r="AM216" s="21">
        <f>IF(H216="Y",AL216,((AB216*$O$902)-6000))</f>
        <v>6764.7899999999991</v>
      </c>
      <c r="AN216" s="42" t="s">
        <v>128</v>
      </c>
      <c r="AO216" s="21">
        <v>1</v>
      </c>
      <c r="AP216" s="21">
        <f t="shared" ref="AP216:AP247" si="143">AO216*Z216</f>
        <v>1</v>
      </c>
      <c r="AQ216" s="149">
        <f t="shared" si="125"/>
        <v>6764.7899999999991</v>
      </c>
      <c r="AR216" s="21">
        <v>6764.7899999999991</v>
      </c>
      <c r="AS216" s="610">
        <v>6764.7899999999991</v>
      </c>
      <c r="AT216" s="112">
        <v>6764.7899999999991</v>
      </c>
      <c r="AU216" s="4"/>
      <c r="AV216" s="4"/>
      <c r="AW216" s="23" t="e">
        <f>VLOOKUP(K216,#REF!,8,FALSE)</f>
        <v>#REF!</v>
      </c>
      <c r="AX216" s="23" t="e">
        <f>VLOOKUP(K216,#REF!,8,FALSE)</f>
        <v>#REF!</v>
      </c>
      <c r="AY216" s="23" t="e">
        <f>VLOOKUP(K216,#REF!,8,FALSE)</f>
        <v>#REF!</v>
      </c>
      <c r="AZ216" s="4"/>
      <c r="BA216" s="272"/>
      <c r="BB216" s="313">
        <f t="shared" si="126"/>
        <v>0</v>
      </c>
      <c r="BC216" s="269">
        <f t="shared" si="118"/>
        <v>6764.7899999999991</v>
      </c>
      <c r="BD216" t="str">
        <f t="shared" si="132"/>
        <v/>
      </c>
      <c r="BP216" s="166">
        <f t="shared" si="141"/>
        <v>6764.7899999999991</v>
      </c>
      <c r="BS216" s="165"/>
      <c r="BX216" s="495">
        <f t="shared" si="142"/>
        <v>6764.7899999999991</v>
      </c>
      <c r="BZ216" s="636">
        <f t="shared" si="122"/>
        <v>0</v>
      </c>
      <c r="CA216" s="633">
        <f t="shared" si="123"/>
        <v>0</v>
      </c>
    </row>
    <row r="217" spans="1:79" x14ac:dyDescent="0.2">
      <c r="A217" s="4">
        <v>1</v>
      </c>
      <c r="B217" s="4">
        <v>1</v>
      </c>
      <c r="C217" s="5">
        <f t="shared" si="112"/>
        <v>41202</v>
      </c>
      <c r="D217" s="6">
        <v>41202</v>
      </c>
      <c r="E217" s="121">
        <v>43012</v>
      </c>
      <c r="F217" s="6" t="s">
        <v>1606</v>
      </c>
      <c r="G217" s="7" t="s">
        <v>75</v>
      </c>
      <c r="H217" s="7"/>
      <c r="I217" s="7" t="s">
        <v>157</v>
      </c>
      <c r="J217" s="7"/>
      <c r="K217" s="29">
        <v>368804</v>
      </c>
      <c r="L217" s="10" t="s">
        <v>454</v>
      </c>
      <c r="M217" s="10" t="s">
        <v>481</v>
      </c>
      <c r="N217" s="10" t="s">
        <v>482</v>
      </c>
      <c r="O217" s="11" t="s">
        <v>483</v>
      </c>
      <c r="P217" s="12">
        <v>38994</v>
      </c>
      <c r="Q217" s="13">
        <f t="shared" ca="1" si="133"/>
        <v>18.967830253251197</v>
      </c>
      <c r="R217" s="14">
        <v>11</v>
      </c>
      <c r="S217" s="15">
        <v>872</v>
      </c>
      <c r="T217" s="8">
        <v>872</v>
      </c>
      <c r="U217" s="16">
        <v>45017</v>
      </c>
      <c r="V217" s="17">
        <v>1</v>
      </c>
      <c r="W217" s="16">
        <v>45128</v>
      </c>
      <c r="X217" s="14">
        <v>63</v>
      </c>
      <c r="Y217" s="18">
        <f t="shared" si="124"/>
        <v>63</v>
      </c>
      <c r="Z217" s="18">
        <f t="shared" si="128"/>
        <v>0.328125</v>
      </c>
      <c r="AA217" s="16" t="s">
        <v>166</v>
      </c>
      <c r="AB217" s="26">
        <v>30</v>
      </c>
      <c r="AC217" s="26"/>
      <c r="AD217" s="26"/>
      <c r="AE217" s="147" t="str">
        <f t="shared" si="134"/>
        <v>0</v>
      </c>
      <c r="AF217" s="147" t="str">
        <f t="shared" si="135"/>
        <v>1</v>
      </c>
      <c r="AG217" s="147" t="str">
        <f t="shared" si="136"/>
        <v>0</v>
      </c>
      <c r="AH217" s="147" t="str">
        <f t="shared" si="137"/>
        <v>NO</v>
      </c>
      <c r="AI217" s="147" t="str">
        <f t="shared" si="138"/>
        <v>NO</v>
      </c>
      <c r="AJ217" s="147" t="str">
        <f t="shared" si="139"/>
        <v>NO</v>
      </c>
      <c r="AK217" s="147" t="str">
        <f t="shared" si="140"/>
        <v>NO</v>
      </c>
      <c r="AL217" s="21"/>
      <c r="AM217" s="21">
        <f>IF(H217="Y",AL217,((AB217*$O$902)-6000))</f>
        <v>8183.0999999999985</v>
      </c>
      <c r="AN217" s="27" t="s">
        <v>43</v>
      </c>
      <c r="AO217" s="21">
        <v>1</v>
      </c>
      <c r="AP217" s="21">
        <f t="shared" si="143"/>
        <v>0.328125</v>
      </c>
      <c r="AQ217" s="149">
        <f t="shared" si="125"/>
        <v>2685.0796874999996</v>
      </c>
      <c r="AR217" s="21">
        <v>2685.0796874999996</v>
      </c>
      <c r="AS217" s="610">
        <v>2685.0796874999996</v>
      </c>
      <c r="AT217" s="112">
        <v>2685.0796874999996</v>
      </c>
      <c r="AU217" s="4"/>
      <c r="AV217" s="4"/>
      <c r="AW217" s="23" t="e">
        <f>VLOOKUP(K217,#REF!,8,FALSE)</f>
        <v>#REF!</v>
      </c>
      <c r="AX217" s="23" t="e">
        <f>VLOOKUP(K217,#REF!,8,FALSE)</f>
        <v>#REF!</v>
      </c>
      <c r="AY217" s="266" t="s">
        <v>2238</v>
      </c>
      <c r="AZ217" s="268" t="s">
        <v>75</v>
      </c>
      <c r="BA217" s="274">
        <f>AM217/3*2</f>
        <v>5455.3999999999987</v>
      </c>
      <c r="BB217" s="313">
        <f t="shared" si="126"/>
        <v>0</v>
      </c>
      <c r="BC217" s="269">
        <f t="shared" si="118"/>
        <v>2685.0796874999996</v>
      </c>
      <c r="BD217" t="e">
        <f t="shared" si="132"/>
        <v>#REF!</v>
      </c>
      <c r="BI217" t="e">
        <f>VLOOKUP(K217,#REF!,8,FALSE)</f>
        <v>#REF!</v>
      </c>
      <c r="BK217" s="269"/>
      <c r="BN217" s="353" t="s">
        <v>75</v>
      </c>
      <c r="BO217" s="106"/>
      <c r="BP217" s="166">
        <f t="shared" si="141"/>
        <v>2685.0796874999996</v>
      </c>
      <c r="BQ217" t="s">
        <v>2351</v>
      </c>
      <c r="BS217" s="165"/>
      <c r="BX217" s="495">
        <f t="shared" si="142"/>
        <v>2685.0796874999996</v>
      </c>
      <c r="BZ217" s="636">
        <f t="shared" si="122"/>
        <v>0</v>
      </c>
      <c r="CA217" s="633">
        <f t="shared" si="123"/>
        <v>0</v>
      </c>
    </row>
    <row r="218" spans="1:79" x14ac:dyDescent="0.2">
      <c r="A218" s="4">
        <v>1</v>
      </c>
      <c r="B218" s="4">
        <v>1</v>
      </c>
      <c r="C218" s="5">
        <f t="shared" si="112"/>
        <v>41202</v>
      </c>
      <c r="D218" s="6">
        <v>41202</v>
      </c>
      <c r="E218" s="121">
        <v>43012</v>
      </c>
      <c r="F218" s="6" t="s">
        <v>1606</v>
      </c>
      <c r="G218" s="7" t="s">
        <v>75</v>
      </c>
      <c r="H218" s="7"/>
      <c r="I218" s="7" t="s">
        <v>157</v>
      </c>
      <c r="J218" s="7"/>
      <c r="K218" s="29">
        <v>385523</v>
      </c>
      <c r="L218" s="10" t="s">
        <v>454</v>
      </c>
      <c r="M218" s="10" t="s">
        <v>484</v>
      </c>
      <c r="N218" s="10" t="s">
        <v>485</v>
      </c>
      <c r="O218" s="11" t="s">
        <v>486</v>
      </c>
      <c r="P218" s="12">
        <v>38969</v>
      </c>
      <c r="Q218" s="13">
        <f t="shared" ca="1" si="133"/>
        <v>19.036276522929501</v>
      </c>
      <c r="R218" s="14">
        <v>11</v>
      </c>
      <c r="S218" s="15">
        <v>872</v>
      </c>
      <c r="T218" s="8">
        <v>872</v>
      </c>
      <c r="U218" s="16">
        <v>45017</v>
      </c>
      <c r="V218" s="17">
        <v>1</v>
      </c>
      <c r="W218" s="16">
        <v>45128</v>
      </c>
      <c r="X218" s="14">
        <v>63</v>
      </c>
      <c r="Y218" s="18">
        <f t="shared" si="124"/>
        <v>63</v>
      </c>
      <c r="Z218" s="18">
        <f t="shared" si="128"/>
        <v>0.328125</v>
      </c>
      <c r="AA218" s="16" t="s">
        <v>166</v>
      </c>
      <c r="AB218" s="26">
        <v>24</v>
      </c>
      <c r="AC218" s="26"/>
      <c r="AD218" s="26"/>
      <c r="AE218" s="147" t="str">
        <f t="shared" si="134"/>
        <v>1</v>
      </c>
      <c r="AF218" s="147" t="str">
        <f t="shared" si="135"/>
        <v>0</v>
      </c>
      <c r="AG218" s="147" t="str">
        <f t="shared" si="136"/>
        <v>0</v>
      </c>
      <c r="AH218" s="147" t="str">
        <f t="shared" si="137"/>
        <v>NO</v>
      </c>
      <c r="AI218" s="147" t="str">
        <f t="shared" si="138"/>
        <v>NO</v>
      </c>
      <c r="AJ218" s="147" t="str">
        <f t="shared" si="139"/>
        <v>NO</v>
      </c>
      <c r="AK218" s="147" t="str">
        <f t="shared" si="140"/>
        <v>NO</v>
      </c>
      <c r="AL218" s="21"/>
      <c r="AM218" s="21">
        <f>IF(H218="Y",AL218,((AB218*$O$902)-6000))</f>
        <v>5346.48</v>
      </c>
      <c r="AN218" s="27" t="s">
        <v>487</v>
      </c>
      <c r="AO218" s="21">
        <v>1</v>
      </c>
      <c r="AP218" s="21">
        <f t="shared" si="143"/>
        <v>0.328125</v>
      </c>
      <c r="AQ218" s="149">
        <f t="shared" si="125"/>
        <v>1754.3137499999998</v>
      </c>
      <c r="AR218" s="21">
        <v>1754.3137499999998</v>
      </c>
      <c r="AS218" s="610">
        <v>1754.3137499999998</v>
      </c>
      <c r="AT218" s="112">
        <v>1754.3137499999998</v>
      </c>
      <c r="AU218" s="4"/>
      <c r="AV218" s="4"/>
      <c r="AW218" s="23" t="e">
        <f>VLOOKUP(K218,#REF!,8,FALSE)</f>
        <v>#REF!</v>
      </c>
      <c r="AX218" s="23" t="e">
        <f>VLOOKUP(K218,#REF!,8,FALSE)</f>
        <v>#REF!</v>
      </c>
      <c r="AY218" s="266" t="s">
        <v>2235</v>
      </c>
      <c r="AZ218" s="268" t="s">
        <v>75</v>
      </c>
      <c r="BA218" s="274">
        <f>AM218/3*2</f>
        <v>3564.3199999999997</v>
      </c>
      <c r="BB218" s="313">
        <f t="shared" si="126"/>
        <v>0</v>
      </c>
      <c r="BC218" s="269">
        <f t="shared" si="118"/>
        <v>1754.3137499999998</v>
      </c>
      <c r="BD218" t="e">
        <f t="shared" si="132"/>
        <v>#REF!</v>
      </c>
      <c r="BE218" t="s">
        <v>2351</v>
      </c>
      <c r="BI218" t="e">
        <f>VLOOKUP(K218,#REF!,8,FALSE)</f>
        <v>#REF!</v>
      </c>
      <c r="BK218" s="269"/>
      <c r="BN218" s="353" t="s">
        <v>75</v>
      </c>
      <c r="BO218" s="106"/>
      <c r="BP218" s="166">
        <f t="shared" si="141"/>
        <v>1754.3137499999998</v>
      </c>
      <c r="BQ218" t="s">
        <v>2351</v>
      </c>
      <c r="BS218" s="165"/>
      <c r="BX218" s="495">
        <f t="shared" si="142"/>
        <v>1754.3137499999998</v>
      </c>
      <c r="BZ218" s="636">
        <f t="shared" si="122"/>
        <v>0</v>
      </c>
      <c r="CA218" s="633">
        <f t="shared" si="123"/>
        <v>0</v>
      </c>
    </row>
    <row r="219" spans="1:79" x14ac:dyDescent="0.2">
      <c r="A219" s="4">
        <v>1</v>
      </c>
      <c r="B219" s="4">
        <v>1</v>
      </c>
      <c r="C219" s="5">
        <f t="shared" si="112"/>
        <v>41202</v>
      </c>
      <c r="D219" s="6">
        <v>41202</v>
      </c>
      <c r="E219" s="121">
        <v>43012</v>
      </c>
      <c r="F219" s="6" t="s">
        <v>1606</v>
      </c>
      <c r="G219" s="7" t="s">
        <v>75</v>
      </c>
      <c r="H219" s="7"/>
      <c r="I219" s="7" t="s">
        <v>157</v>
      </c>
      <c r="J219" s="7"/>
      <c r="K219" s="29">
        <v>396847</v>
      </c>
      <c r="L219" s="10" t="s">
        <v>454</v>
      </c>
      <c r="M219" s="10" t="s">
        <v>189</v>
      </c>
      <c r="N219" s="10" t="s">
        <v>488</v>
      </c>
      <c r="O219" s="11" t="s">
        <v>489</v>
      </c>
      <c r="P219" s="12">
        <v>40687</v>
      </c>
      <c r="Q219" s="13">
        <f t="shared" ca="1" si="133"/>
        <v>14.33264887063655</v>
      </c>
      <c r="R219" s="14">
        <v>7</v>
      </c>
      <c r="S219" s="15">
        <v>872</v>
      </c>
      <c r="T219" s="8">
        <v>872</v>
      </c>
      <c r="U219" s="16">
        <v>45017</v>
      </c>
      <c r="V219" s="17">
        <v>1</v>
      </c>
      <c r="W219" s="16">
        <v>45382</v>
      </c>
      <c r="X219" s="14">
        <v>192</v>
      </c>
      <c r="Y219" s="18">
        <f t="shared" si="124"/>
        <v>192</v>
      </c>
      <c r="Z219" s="18">
        <f t="shared" si="128"/>
        <v>1</v>
      </c>
      <c r="AA219" s="18" t="s">
        <v>36</v>
      </c>
      <c r="AB219" s="26">
        <v>30</v>
      </c>
      <c r="AC219" s="26"/>
      <c r="AD219" s="26"/>
      <c r="AE219" s="147" t="str">
        <f t="shared" si="134"/>
        <v>0</v>
      </c>
      <c r="AF219" s="147" t="str">
        <f t="shared" si="135"/>
        <v>1</v>
      </c>
      <c r="AG219" s="147" t="str">
        <f t="shared" si="136"/>
        <v>0</v>
      </c>
      <c r="AH219" s="147" t="str">
        <f t="shared" si="137"/>
        <v>NO</v>
      </c>
      <c r="AI219" s="147" t="str">
        <f t="shared" si="138"/>
        <v>NO</v>
      </c>
      <c r="AJ219" s="147" t="str">
        <f t="shared" si="139"/>
        <v>NO</v>
      </c>
      <c r="AK219" s="147" t="str">
        <f t="shared" si="140"/>
        <v>NO</v>
      </c>
      <c r="AL219" s="21"/>
      <c r="AM219" s="21">
        <f>IF(H219="Y",AL219,((AB219*$O$902)-6000))</f>
        <v>8183.0999999999985</v>
      </c>
      <c r="AN219" s="27" t="s">
        <v>56</v>
      </c>
      <c r="AO219" s="21">
        <v>1</v>
      </c>
      <c r="AP219" s="21">
        <f t="shared" si="143"/>
        <v>1</v>
      </c>
      <c r="AQ219" s="149">
        <f t="shared" si="125"/>
        <v>8183.0999999999985</v>
      </c>
      <c r="AR219" s="21">
        <v>8183.0999999999985</v>
      </c>
      <c r="AS219" s="610">
        <v>8183.0999999999985</v>
      </c>
      <c r="AT219" s="112">
        <v>8183.0999999999985</v>
      </c>
      <c r="AU219" s="4"/>
      <c r="AV219" s="4"/>
      <c r="AW219" s="23" t="e">
        <f>VLOOKUP(K219,#REF!,8,FALSE)</f>
        <v>#REF!</v>
      </c>
      <c r="AX219" s="23" t="e">
        <f>VLOOKUP(K219,#REF!,8,FALSE)</f>
        <v>#REF!</v>
      </c>
      <c r="AY219" s="23" t="e">
        <f>VLOOKUP(K219,#REF!,8,FALSE)</f>
        <v>#REF!</v>
      </c>
      <c r="AZ219" s="4"/>
      <c r="BA219" s="272"/>
      <c r="BB219" s="313">
        <f t="shared" si="126"/>
        <v>0</v>
      </c>
      <c r="BC219" s="269">
        <f t="shared" si="118"/>
        <v>8183.0999999999985</v>
      </c>
      <c r="BD219" t="str">
        <f t="shared" si="132"/>
        <v/>
      </c>
      <c r="BP219" s="166">
        <f t="shared" si="141"/>
        <v>8183.0999999999985</v>
      </c>
      <c r="BS219" s="165"/>
      <c r="BX219" s="495">
        <f t="shared" si="142"/>
        <v>8183.0999999999985</v>
      </c>
      <c r="BZ219" s="636">
        <f t="shared" si="122"/>
        <v>0</v>
      </c>
      <c r="CA219" s="633">
        <f t="shared" si="123"/>
        <v>0</v>
      </c>
    </row>
    <row r="220" spans="1:79" x14ac:dyDescent="0.2">
      <c r="A220" s="4">
        <v>0</v>
      </c>
      <c r="B220" s="4">
        <v>1</v>
      </c>
      <c r="C220" s="5">
        <f t="shared" si="112"/>
        <v>41202</v>
      </c>
      <c r="D220" s="6">
        <v>41202</v>
      </c>
      <c r="E220" s="121">
        <v>43012</v>
      </c>
      <c r="F220" s="6" t="s">
        <v>1606</v>
      </c>
      <c r="G220" s="7" t="s">
        <v>75</v>
      </c>
      <c r="H220" s="7"/>
      <c r="I220" s="7" t="s">
        <v>157</v>
      </c>
      <c r="J220" s="7"/>
      <c r="K220" s="29">
        <v>385676</v>
      </c>
      <c r="L220" s="10" t="s">
        <v>454</v>
      </c>
      <c r="M220" s="10" t="s">
        <v>402</v>
      </c>
      <c r="N220" s="10" t="s">
        <v>490</v>
      </c>
      <c r="O220" s="11" t="s">
        <v>491</v>
      </c>
      <c r="P220" s="12">
        <v>40151</v>
      </c>
      <c r="Q220" s="13">
        <f t="shared" ca="1" si="133"/>
        <v>15.800136892539356</v>
      </c>
      <c r="R220" s="14">
        <v>8</v>
      </c>
      <c r="S220" s="15">
        <v>872</v>
      </c>
      <c r="T220" s="8">
        <v>872</v>
      </c>
      <c r="U220" s="16">
        <v>45017</v>
      </c>
      <c r="V220" s="17">
        <v>1</v>
      </c>
      <c r="W220" s="39">
        <v>45030</v>
      </c>
      <c r="X220" s="14">
        <v>0</v>
      </c>
      <c r="Y220" s="18">
        <f t="shared" si="124"/>
        <v>0</v>
      </c>
      <c r="Z220" s="18">
        <f t="shared" si="128"/>
        <v>0</v>
      </c>
      <c r="AA220" s="39">
        <v>45030</v>
      </c>
      <c r="AB220" s="26">
        <v>25</v>
      </c>
      <c r="AC220" s="26"/>
      <c r="AD220" s="26"/>
      <c r="AE220" s="147" t="str">
        <f t="shared" si="134"/>
        <v>1</v>
      </c>
      <c r="AF220" s="147" t="str">
        <f t="shared" si="135"/>
        <v>0</v>
      </c>
      <c r="AG220" s="147" t="str">
        <f t="shared" si="136"/>
        <v>0</v>
      </c>
      <c r="AH220" s="147" t="str">
        <f t="shared" si="137"/>
        <v>NO</v>
      </c>
      <c r="AI220" s="147" t="str">
        <f t="shared" si="138"/>
        <v>NO</v>
      </c>
      <c r="AJ220" s="147" t="str">
        <f t="shared" si="139"/>
        <v>NO</v>
      </c>
      <c r="AK220" s="147" t="str">
        <f t="shared" si="140"/>
        <v>NO</v>
      </c>
      <c r="AL220" s="21"/>
      <c r="AM220" s="21">
        <f>IF(H220="Y",AL220,((AB220*$O$902)-6000))</f>
        <v>5819.25</v>
      </c>
      <c r="AN220" s="27" t="s">
        <v>43</v>
      </c>
      <c r="AO220" s="21">
        <v>1</v>
      </c>
      <c r="AP220" s="21">
        <f t="shared" si="143"/>
        <v>0</v>
      </c>
      <c r="AQ220" s="149">
        <f t="shared" si="125"/>
        <v>0</v>
      </c>
      <c r="AR220" s="21">
        <v>0</v>
      </c>
      <c r="AS220" s="610">
        <v>0</v>
      </c>
      <c r="AT220" s="112">
        <v>0</v>
      </c>
      <c r="AU220" s="4" t="s">
        <v>2196</v>
      </c>
      <c r="AV220" s="4"/>
      <c r="AW220" s="23" t="e">
        <f>VLOOKUP(K220,#REF!,8,FALSE)</f>
        <v>#REF!</v>
      </c>
      <c r="AX220" s="23" t="e">
        <f>VLOOKUP(K220,#REF!,8,FALSE)</f>
        <v>#REF!</v>
      </c>
      <c r="AY220" s="23" t="e">
        <f>VLOOKUP(K220,#REF!,8,FALSE)</f>
        <v>#REF!</v>
      </c>
      <c r="AZ220" s="4"/>
      <c r="BA220" s="272"/>
      <c r="BB220" s="313">
        <f t="shared" si="126"/>
        <v>0</v>
      </c>
      <c r="BC220" s="269">
        <f t="shared" si="118"/>
        <v>0</v>
      </c>
      <c r="BD220" t="str">
        <f t="shared" si="132"/>
        <v/>
      </c>
      <c r="BP220" s="166">
        <f t="shared" si="141"/>
        <v>0</v>
      </c>
      <c r="BS220" s="165"/>
      <c r="BX220" s="495">
        <f t="shared" si="142"/>
        <v>0</v>
      </c>
      <c r="BZ220" s="636">
        <f t="shared" si="122"/>
        <v>0</v>
      </c>
      <c r="CA220" s="633">
        <f t="shared" si="123"/>
        <v>0</v>
      </c>
    </row>
    <row r="221" spans="1:79" x14ac:dyDescent="0.2">
      <c r="A221" s="4">
        <v>0</v>
      </c>
      <c r="B221" s="4">
        <v>1</v>
      </c>
      <c r="C221" s="5">
        <f t="shared" si="112"/>
        <v>41202</v>
      </c>
      <c r="D221" s="6">
        <v>41202</v>
      </c>
      <c r="E221" s="121">
        <v>43012</v>
      </c>
      <c r="F221" s="6" t="s">
        <v>1606</v>
      </c>
      <c r="G221" s="7" t="s">
        <v>75</v>
      </c>
      <c r="H221" s="7"/>
      <c r="I221" s="7" t="s">
        <v>157</v>
      </c>
      <c r="J221" s="7" t="s">
        <v>142</v>
      </c>
      <c r="K221" s="29">
        <v>385676</v>
      </c>
      <c r="L221" s="10" t="s">
        <v>454</v>
      </c>
      <c r="M221" s="10" t="s">
        <v>402</v>
      </c>
      <c r="N221" s="10" t="s">
        <v>490</v>
      </c>
      <c r="O221" s="11" t="s">
        <v>491</v>
      </c>
      <c r="P221" s="12">
        <v>40151</v>
      </c>
      <c r="Q221" s="13">
        <f t="shared" ca="1" si="133"/>
        <v>15.800136892539356</v>
      </c>
      <c r="R221" s="14">
        <v>8</v>
      </c>
      <c r="S221" s="15">
        <v>872</v>
      </c>
      <c r="T221" s="8">
        <v>872</v>
      </c>
      <c r="U221" s="16">
        <v>45017</v>
      </c>
      <c r="V221" s="17">
        <v>1</v>
      </c>
      <c r="W221" s="39">
        <v>45030</v>
      </c>
      <c r="X221" s="14">
        <v>0</v>
      </c>
      <c r="Y221" s="18">
        <f t="shared" si="124"/>
        <v>0</v>
      </c>
      <c r="Z221" s="18">
        <f t="shared" si="128"/>
        <v>0</v>
      </c>
      <c r="AA221" s="16">
        <v>45135</v>
      </c>
      <c r="AB221" s="26">
        <v>1200</v>
      </c>
      <c r="AC221" s="26"/>
      <c r="AD221" s="26"/>
      <c r="AE221" s="147" t="str">
        <f t="shared" si="134"/>
        <v>0</v>
      </c>
      <c r="AF221" s="147" t="str">
        <f t="shared" si="135"/>
        <v>0</v>
      </c>
      <c r="AG221" s="147" t="str">
        <f t="shared" si="136"/>
        <v>1</v>
      </c>
      <c r="AH221" s="147" t="str">
        <f t="shared" si="137"/>
        <v>NO</v>
      </c>
      <c r="AI221" s="147" t="str">
        <f t="shared" si="138"/>
        <v>NO</v>
      </c>
      <c r="AJ221" s="147" t="str">
        <f t="shared" si="139"/>
        <v>NO</v>
      </c>
      <c r="AK221" s="147" t="str">
        <f t="shared" si="140"/>
        <v>NO</v>
      </c>
      <c r="AL221" s="21"/>
      <c r="AM221" s="21">
        <v>1200</v>
      </c>
      <c r="AN221" s="27" t="s">
        <v>43</v>
      </c>
      <c r="AO221" s="21">
        <v>1</v>
      </c>
      <c r="AP221" s="21">
        <f t="shared" si="143"/>
        <v>0</v>
      </c>
      <c r="AQ221" s="149">
        <f t="shared" si="125"/>
        <v>0</v>
      </c>
      <c r="AR221" s="21">
        <v>0</v>
      </c>
      <c r="AS221" s="610">
        <v>0</v>
      </c>
      <c r="AT221" s="112">
        <v>0</v>
      </c>
      <c r="AU221" s="4" t="s">
        <v>2196</v>
      </c>
      <c r="AV221" s="4"/>
      <c r="AW221" s="23" t="e">
        <f>VLOOKUP(K221,#REF!,8,FALSE)</f>
        <v>#REF!</v>
      </c>
      <c r="AX221" s="23" t="e">
        <f>VLOOKUP(K221,#REF!,8,FALSE)</f>
        <v>#REF!</v>
      </c>
      <c r="AY221" s="23" t="e">
        <f>VLOOKUP(K221,#REF!,8,FALSE)</f>
        <v>#REF!</v>
      </c>
      <c r="AZ221" s="4"/>
      <c r="BA221" s="272"/>
      <c r="BB221" s="313">
        <f t="shared" si="126"/>
        <v>0</v>
      </c>
      <c r="BC221" s="269">
        <f t="shared" si="118"/>
        <v>0</v>
      </c>
      <c r="BD221" t="str">
        <f t="shared" si="132"/>
        <v/>
      </c>
      <c r="BP221" s="166">
        <f t="shared" si="141"/>
        <v>0</v>
      </c>
      <c r="BS221" s="165"/>
      <c r="BX221" s="495">
        <f t="shared" si="142"/>
        <v>0</v>
      </c>
      <c r="BZ221" s="636">
        <f t="shared" si="122"/>
        <v>0</v>
      </c>
      <c r="CA221" s="633">
        <f t="shared" si="123"/>
        <v>0</v>
      </c>
    </row>
    <row r="222" spans="1:79" x14ac:dyDescent="0.2">
      <c r="A222" s="4">
        <v>1</v>
      </c>
      <c r="B222" s="4">
        <v>1</v>
      </c>
      <c r="C222" s="5">
        <f t="shared" si="112"/>
        <v>41202</v>
      </c>
      <c r="D222" s="6">
        <v>41202</v>
      </c>
      <c r="E222" s="121">
        <v>43012</v>
      </c>
      <c r="F222" s="6" t="s">
        <v>1606</v>
      </c>
      <c r="G222" s="7" t="s">
        <v>75</v>
      </c>
      <c r="H222" s="7"/>
      <c r="I222" s="7" t="s">
        <v>157</v>
      </c>
      <c r="J222" s="7"/>
      <c r="K222" s="29">
        <v>370503</v>
      </c>
      <c r="L222" s="10" t="s">
        <v>454</v>
      </c>
      <c r="M222" s="10" t="s">
        <v>492</v>
      </c>
      <c r="N222" s="10" t="s">
        <v>339</v>
      </c>
      <c r="O222" s="11" t="s">
        <v>493</v>
      </c>
      <c r="P222" s="12">
        <v>39225</v>
      </c>
      <c r="Q222" s="13">
        <f t="shared" ca="1" si="133"/>
        <v>18.335386721423681</v>
      </c>
      <c r="R222" s="14">
        <v>11</v>
      </c>
      <c r="S222" s="15">
        <v>872</v>
      </c>
      <c r="T222" s="8">
        <v>872</v>
      </c>
      <c r="U222" s="16">
        <v>45017</v>
      </c>
      <c r="V222" s="17">
        <v>1</v>
      </c>
      <c r="W222" s="16">
        <v>45128</v>
      </c>
      <c r="X222" s="14">
        <v>63</v>
      </c>
      <c r="Y222" s="18">
        <f t="shared" si="124"/>
        <v>63</v>
      </c>
      <c r="Z222" s="18">
        <f t="shared" si="128"/>
        <v>0.328125</v>
      </c>
      <c r="AA222" s="16" t="s">
        <v>166</v>
      </c>
      <c r="AB222" s="26">
        <v>30</v>
      </c>
      <c r="AC222" s="26"/>
      <c r="AD222" s="26"/>
      <c r="AE222" s="147" t="str">
        <f t="shared" si="134"/>
        <v>0</v>
      </c>
      <c r="AF222" s="147" t="str">
        <f t="shared" si="135"/>
        <v>1</v>
      </c>
      <c r="AG222" s="147" t="str">
        <f t="shared" si="136"/>
        <v>0</v>
      </c>
      <c r="AH222" s="147" t="str">
        <f t="shared" si="137"/>
        <v>NO</v>
      </c>
      <c r="AI222" s="147" t="str">
        <f t="shared" si="138"/>
        <v>NO</v>
      </c>
      <c r="AJ222" s="147" t="str">
        <f t="shared" si="139"/>
        <v>NO</v>
      </c>
      <c r="AK222" s="147" t="str">
        <f t="shared" si="140"/>
        <v>NO</v>
      </c>
      <c r="AL222" s="21"/>
      <c r="AM222" s="21">
        <f t="shared" ref="AM222:AM229" si="144">IF(H222="Y",AL222,((AB222*$O$902)-6000))</f>
        <v>8183.0999999999985</v>
      </c>
      <c r="AN222" s="27" t="s">
        <v>43</v>
      </c>
      <c r="AO222" s="21">
        <v>1</v>
      </c>
      <c r="AP222" s="21">
        <f t="shared" si="143"/>
        <v>0.328125</v>
      </c>
      <c r="AQ222" s="149">
        <f t="shared" si="125"/>
        <v>2685.0796874999996</v>
      </c>
      <c r="AR222" s="21">
        <v>2685.0796874999996</v>
      </c>
      <c r="AS222" s="610">
        <v>2685.0796874999996</v>
      </c>
      <c r="AT222" s="112">
        <v>2685.0796874999996</v>
      </c>
      <c r="AU222" s="4"/>
      <c r="AV222" s="4"/>
      <c r="AW222" s="23" t="e">
        <f>VLOOKUP(K222,#REF!,8,FALSE)</f>
        <v>#REF!</v>
      </c>
      <c r="AX222" s="23" t="e">
        <f>VLOOKUP(K222,#REF!,8,FALSE)</f>
        <v>#REF!</v>
      </c>
      <c r="AY222" s="266" t="s">
        <v>2242</v>
      </c>
      <c r="AZ222" s="268" t="s">
        <v>75</v>
      </c>
      <c r="BA222" s="274">
        <f>AM222/3*2</f>
        <v>5455.3999999999987</v>
      </c>
      <c r="BB222" s="313">
        <f t="shared" si="126"/>
        <v>0</v>
      </c>
      <c r="BC222" s="269">
        <f t="shared" si="118"/>
        <v>2685.0796874999996</v>
      </c>
      <c r="BD222" t="e">
        <f t="shared" si="132"/>
        <v>#REF!</v>
      </c>
      <c r="BE222" t="s">
        <v>2351</v>
      </c>
      <c r="BI222" t="e">
        <f>VLOOKUP(K222,#REF!,8,FALSE)</f>
        <v>#REF!</v>
      </c>
      <c r="BK222" s="269"/>
      <c r="BN222" s="353" t="s">
        <v>75</v>
      </c>
      <c r="BO222" s="106"/>
      <c r="BP222" s="166">
        <f t="shared" si="141"/>
        <v>2685.0796874999996</v>
      </c>
      <c r="BQ222" t="s">
        <v>2351</v>
      </c>
      <c r="BS222" s="165"/>
      <c r="BX222" s="495">
        <f t="shared" si="142"/>
        <v>2685.0796874999996</v>
      </c>
      <c r="BZ222" s="636">
        <f t="shared" si="122"/>
        <v>0</v>
      </c>
      <c r="CA222" s="633">
        <f t="shared" si="123"/>
        <v>0</v>
      </c>
    </row>
    <row r="223" spans="1:79" x14ac:dyDescent="0.2">
      <c r="A223" s="4">
        <v>1</v>
      </c>
      <c r="B223" s="4">
        <v>1</v>
      </c>
      <c r="C223" s="5">
        <f t="shared" ref="C223:C286" si="145">D223*1</f>
        <v>41202</v>
      </c>
      <c r="D223" s="6">
        <v>41202</v>
      </c>
      <c r="E223" s="121">
        <v>43012</v>
      </c>
      <c r="F223" s="6" t="s">
        <v>1606</v>
      </c>
      <c r="G223" s="7" t="s">
        <v>75</v>
      </c>
      <c r="H223" s="7"/>
      <c r="I223" s="7" t="s">
        <v>157</v>
      </c>
      <c r="J223" s="7"/>
      <c r="K223" s="29">
        <v>373641</v>
      </c>
      <c r="L223" s="10" t="s">
        <v>454</v>
      </c>
      <c r="M223" s="10" t="s">
        <v>494</v>
      </c>
      <c r="N223" s="10" t="s">
        <v>495</v>
      </c>
      <c r="O223" s="11" t="s">
        <v>496</v>
      </c>
      <c r="P223" s="12">
        <v>39414</v>
      </c>
      <c r="Q223" s="13">
        <f t="shared" ca="1" si="133"/>
        <v>17.817932922655714</v>
      </c>
      <c r="R223" s="14">
        <v>10</v>
      </c>
      <c r="S223" s="15">
        <v>872</v>
      </c>
      <c r="T223" s="8">
        <v>872</v>
      </c>
      <c r="U223" s="16">
        <v>45017</v>
      </c>
      <c r="V223" s="17">
        <v>1</v>
      </c>
      <c r="W223" s="16">
        <v>45382</v>
      </c>
      <c r="X223" s="14">
        <v>192</v>
      </c>
      <c r="Y223" s="18">
        <f t="shared" si="124"/>
        <v>192</v>
      </c>
      <c r="Z223" s="18">
        <f t="shared" si="128"/>
        <v>1</v>
      </c>
      <c r="AA223" s="18" t="s">
        <v>36</v>
      </c>
      <c r="AB223" s="26">
        <v>25</v>
      </c>
      <c r="AC223" s="26"/>
      <c r="AD223" s="26"/>
      <c r="AE223" s="147" t="str">
        <f t="shared" si="134"/>
        <v>1</v>
      </c>
      <c r="AF223" s="147" t="str">
        <f t="shared" si="135"/>
        <v>0</v>
      </c>
      <c r="AG223" s="147" t="str">
        <f t="shared" si="136"/>
        <v>0</v>
      </c>
      <c r="AH223" s="147" t="str">
        <f t="shared" si="137"/>
        <v>NO</v>
      </c>
      <c r="AI223" s="147" t="str">
        <f t="shared" si="138"/>
        <v>NO</v>
      </c>
      <c r="AJ223" s="147" t="str">
        <f t="shared" si="139"/>
        <v>NO</v>
      </c>
      <c r="AK223" s="147" t="str">
        <f t="shared" si="140"/>
        <v>NO</v>
      </c>
      <c r="AL223" s="21"/>
      <c r="AM223" s="21">
        <f t="shared" si="144"/>
        <v>5819.25</v>
      </c>
      <c r="AN223" s="27" t="s">
        <v>56</v>
      </c>
      <c r="AO223" s="21">
        <v>1</v>
      </c>
      <c r="AP223" s="21">
        <f t="shared" si="143"/>
        <v>1</v>
      </c>
      <c r="AQ223" s="149">
        <f t="shared" si="125"/>
        <v>5819.25</v>
      </c>
      <c r="AR223" s="21">
        <v>5819.25</v>
      </c>
      <c r="AS223" s="610">
        <v>5819.25</v>
      </c>
      <c r="AT223" s="112">
        <v>5819.25</v>
      </c>
      <c r="AU223" s="4"/>
      <c r="AV223" s="4"/>
      <c r="AW223" s="23" t="e">
        <f>VLOOKUP(K223,#REF!,8,FALSE)</f>
        <v>#REF!</v>
      </c>
      <c r="AX223" s="23" t="e">
        <f>VLOOKUP(K223,#REF!,8,FALSE)</f>
        <v>#REF!</v>
      </c>
      <c r="AY223" s="23" t="e">
        <f>VLOOKUP(K223,#REF!,8,FALSE)</f>
        <v>#REF!</v>
      </c>
      <c r="AZ223" s="4"/>
      <c r="BA223" s="272"/>
      <c r="BB223" s="313">
        <f t="shared" si="126"/>
        <v>0</v>
      </c>
      <c r="BC223" s="269">
        <f t="shared" si="118"/>
        <v>5819.25</v>
      </c>
      <c r="BD223" t="str">
        <f t="shared" si="132"/>
        <v/>
      </c>
      <c r="BP223" s="166">
        <f t="shared" si="141"/>
        <v>5819.25</v>
      </c>
      <c r="BS223" s="165"/>
      <c r="BX223" s="495">
        <f t="shared" si="142"/>
        <v>5819.25</v>
      </c>
      <c r="BZ223" s="636">
        <f t="shared" si="122"/>
        <v>0</v>
      </c>
      <c r="CA223" s="633">
        <f t="shared" si="123"/>
        <v>0</v>
      </c>
    </row>
    <row r="224" spans="1:79" x14ac:dyDescent="0.2">
      <c r="A224" s="4">
        <v>1</v>
      </c>
      <c r="B224" s="4">
        <v>1</v>
      </c>
      <c r="C224" s="5">
        <f t="shared" si="145"/>
        <v>41202</v>
      </c>
      <c r="D224" s="6">
        <v>41202</v>
      </c>
      <c r="E224" s="121">
        <v>43012</v>
      </c>
      <c r="F224" s="6" t="s">
        <v>1606</v>
      </c>
      <c r="G224" s="7" t="s">
        <v>75</v>
      </c>
      <c r="H224" s="7"/>
      <c r="I224" s="7" t="s">
        <v>157</v>
      </c>
      <c r="J224" s="7"/>
      <c r="K224" s="29">
        <v>376623</v>
      </c>
      <c r="L224" s="43" t="s">
        <v>454</v>
      </c>
      <c r="M224" s="10" t="s">
        <v>63</v>
      </c>
      <c r="N224" s="10" t="s">
        <v>482</v>
      </c>
      <c r="O224" s="11" t="s">
        <v>497</v>
      </c>
      <c r="P224" s="12">
        <v>39023</v>
      </c>
      <c r="Q224" s="13">
        <f t="shared" ca="1" si="133"/>
        <v>18.888432580424368</v>
      </c>
      <c r="R224" s="14">
        <v>11</v>
      </c>
      <c r="S224" s="15">
        <v>872</v>
      </c>
      <c r="T224" s="8">
        <v>872</v>
      </c>
      <c r="U224" s="16">
        <v>45017</v>
      </c>
      <c r="V224" s="17">
        <v>1</v>
      </c>
      <c r="W224" s="16">
        <v>45128</v>
      </c>
      <c r="X224" s="14">
        <v>63</v>
      </c>
      <c r="Y224" s="18">
        <f t="shared" si="124"/>
        <v>63</v>
      </c>
      <c r="Z224" s="18">
        <f t="shared" si="128"/>
        <v>0.328125</v>
      </c>
      <c r="AA224" s="16" t="s">
        <v>166</v>
      </c>
      <c r="AB224" s="26">
        <v>30</v>
      </c>
      <c r="AC224" s="26"/>
      <c r="AD224" s="26"/>
      <c r="AE224" s="147" t="str">
        <f t="shared" si="134"/>
        <v>0</v>
      </c>
      <c r="AF224" s="147" t="str">
        <f t="shared" si="135"/>
        <v>1</v>
      </c>
      <c r="AG224" s="147" t="str">
        <f t="shared" si="136"/>
        <v>0</v>
      </c>
      <c r="AH224" s="147" t="str">
        <f t="shared" si="137"/>
        <v>NO</v>
      </c>
      <c r="AI224" s="147" t="str">
        <f t="shared" si="138"/>
        <v>NO</v>
      </c>
      <c r="AJ224" s="147" t="str">
        <f t="shared" si="139"/>
        <v>NO</v>
      </c>
      <c r="AK224" s="147" t="str">
        <f t="shared" si="140"/>
        <v>NO</v>
      </c>
      <c r="AL224" s="21"/>
      <c r="AM224" s="21">
        <f t="shared" si="144"/>
        <v>8183.0999999999985</v>
      </c>
      <c r="AN224" s="27" t="s">
        <v>43</v>
      </c>
      <c r="AO224" s="21">
        <v>1</v>
      </c>
      <c r="AP224" s="21">
        <f t="shared" si="143"/>
        <v>0.328125</v>
      </c>
      <c r="AQ224" s="149">
        <f t="shared" si="125"/>
        <v>2685.0796874999996</v>
      </c>
      <c r="AR224" s="21">
        <v>2685.0796874999996</v>
      </c>
      <c r="AS224" s="610">
        <v>2685.0796874999996</v>
      </c>
      <c r="AT224" s="112">
        <v>2685.0796874999996</v>
      </c>
      <c r="AU224" s="4"/>
      <c r="AV224" s="4"/>
      <c r="AW224" s="23" t="e">
        <f>VLOOKUP(K224,#REF!,8,FALSE)</f>
        <v>#REF!</v>
      </c>
      <c r="AX224" s="23" t="e">
        <f>VLOOKUP(K224,#REF!,8,FALSE)</f>
        <v>#REF!</v>
      </c>
      <c r="AY224" s="266" t="s">
        <v>2238</v>
      </c>
      <c r="AZ224" s="268" t="s">
        <v>75</v>
      </c>
      <c r="BA224" s="274">
        <f>AM224/3*2</f>
        <v>5455.3999999999987</v>
      </c>
      <c r="BB224" s="313">
        <f t="shared" si="126"/>
        <v>0</v>
      </c>
      <c r="BC224" s="269">
        <f t="shared" si="118"/>
        <v>2685.0796874999996</v>
      </c>
      <c r="BD224" t="e">
        <f t="shared" si="132"/>
        <v>#REF!</v>
      </c>
      <c r="BI224" t="e">
        <f>VLOOKUP(K224,#REF!,8,FALSE)</f>
        <v>#REF!</v>
      </c>
      <c r="BK224" s="269"/>
      <c r="BN224" s="353" t="s">
        <v>75</v>
      </c>
      <c r="BO224" s="106"/>
      <c r="BP224" s="166">
        <f t="shared" si="141"/>
        <v>2685.0796874999996</v>
      </c>
      <c r="BQ224" t="s">
        <v>2351</v>
      </c>
      <c r="BS224" s="165"/>
      <c r="BX224" s="495">
        <f t="shared" si="142"/>
        <v>2685.0796874999996</v>
      </c>
      <c r="BZ224" s="636">
        <f t="shared" si="122"/>
        <v>0</v>
      </c>
      <c r="CA224" s="633">
        <f t="shared" si="123"/>
        <v>0</v>
      </c>
    </row>
    <row r="225" spans="1:79" x14ac:dyDescent="0.2">
      <c r="A225" s="4">
        <v>1</v>
      </c>
      <c r="B225" s="4">
        <v>1</v>
      </c>
      <c r="C225" s="5">
        <f t="shared" si="145"/>
        <v>41202</v>
      </c>
      <c r="D225" s="6">
        <v>41202</v>
      </c>
      <c r="E225" s="121">
        <v>43012</v>
      </c>
      <c r="F225" s="6" t="s">
        <v>1606</v>
      </c>
      <c r="G225" s="7" t="s">
        <v>75</v>
      </c>
      <c r="H225" s="7"/>
      <c r="I225" s="7" t="s">
        <v>157</v>
      </c>
      <c r="J225" s="7"/>
      <c r="K225" s="29">
        <v>402289</v>
      </c>
      <c r="L225" s="43" t="s">
        <v>454</v>
      </c>
      <c r="M225" s="10" t="s">
        <v>63</v>
      </c>
      <c r="N225" s="10" t="s">
        <v>498</v>
      </c>
      <c r="O225" s="11" t="s">
        <v>499</v>
      </c>
      <c r="P225" s="12">
        <v>39644</v>
      </c>
      <c r="Q225" s="13">
        <f t="shared" ca="1" si="133"/>
        <v>17.188227241615333</v>
      </c>
      <c r="R225" s="14">
        <v>10</v>
      </c>
      <c r="S225" s="15">
        <v>872</v>
      </c>
      <c r="T225" s="8">
        <v>872</v>
      </c>
      <c r="U225" s="16">
        <v>45017</v>
      </c>
      <c r="V225" s="17">
        <v>1</v>
      </c>
      <c r="W225" s="16">
        <v>45382</v>
      </c>
      <c r="X225" s="14">
        <v>192</v>
      </c>
      <c r="Y225" s="18">
        <f t="shared" si="124"/>
        <v>192</v>
      </c>
      <c r="Z225" s="18">
        <f t="shared" si="128"/>
        <v>1</v>
      </c>
      <c r="AA225" s="18" t="s">
        <v>36</v>
      </c>
      <c r="AB225" s="26">
        <v>25</v>
      </c>
      <c r="AC225" s="26"/>
      <c r="AD225" s="26"/>
      <c r="AE225" s="147" t="str">
        <f t="shared" si="134"/>
        <v>1</v>
      </c>
      <c r="AF225" s="147" t="str">
        <f t="shared" si="135"/>
        <v>0</v>
      </c>
      <c r="AG225" s="147" t="str">
        <f t="shared" si="136"/>
        <v>0</v>
      </c>
      <c r="AH225" s="147" t="str">
        <f t="shared" si="137"/>
        <v>NO</v>
      </c>
      <c r="AI225" s="147" t="str">
        <f t="shared" si="138"/>
        <v>NO</v>
      </c>
      <c r="AJ225" s="147" t="str">
        <f t="shared" si="139"/>
        <v>NO</v>
      </c>
      <c r="AK225" s="147" t="str">
        <f t="shared" si="140"/>
        <v>NO</v>
      </c>
      <c r="AL225" s="21"/>
      <c r="AM225" s="21">
        <f t="shared" si="144"/>
        <v>5819.25</v>
      </c>
      <c r="AN225" s="27"/>
      <c r="AO225" s="21">
        <v>1</v>
      </c>
      <c r="AP225" s="21">
        <f t="shared" si="143"/>
        <v>1</v>
      </c>
      <c r="AQ225" s="149">
        <f t="shared" si="125"/>
        <v>5819.25</v>
      </c>
      <c r="AR225" s="21">
        <v>5819.25</v>
      </c>
      <c r="AS225" s="610">
        <v>5819.25</v>
      </c>
      <c r="AT225" s="112">
        <v>5819.25</v>
      </c>
      <c r="AU225" s="4"/>
      <c r="AV225" s="4"/>
      <c r="AW225" s="23" t="e">
        <f>VLOOKUP(K225,#REF!,8,FALSE)</f>
        <v>#REF!</v>
      </c>
      <c r="AX225" s="23" t="e">
        <f>VLOOKUP(K225,#REF!,8,FALSE)</f>
        <v>#REF!</v>
      </c>
      <c r="AY225" s="23" t="e">
        <f>VLOOKUP(K225,#REF!,8,FALSE)</f>
        <v>#REF!</v>
      </c>
      <c r="AZ225" s="4"/>
      <c r="BA225" s="272"/>
      <c r="BB225" s="313">
        <f t="shared" si="126"/>
        <v>0</v>
      </c>
      <c r="BC225" s="269">
        <f t="shared" si="118"/>
        <v>5819.25</v>
      </c>
      <c r="BD225" t="str">
        <f t="shared" si="132"/>
        <v/>
      </c>
      <c r="BP225" s="166">
        <f t="shared" si="141"/>
        <v>5819.25</v>
      </c>
      <c r="BS225" s="165"/>
      <c r="BX225" s="495">
        <f t="shared" si="142"/>
        <v>5819.25</v>
      </c>
      <c r="BZ225" s="636">
        <f t="shared" si="122"/>
        <v>0</v>
      </c>
      <c r="CA225" s="633">
        <f t="shared" si="123"/>
        <v>0</v>
      </c>
    </row>
    <row r="226" spans="1:79" x14ac:dyDescent="0.2">
      <c r="A226" s="4">
        <v>1</v>
      </c>
      <c r="B226" s="4">
        <v>1</v>
      </c>
      <c r="C226" s="5">
        <f t="shared" si="145"/>
        <v>41202</v>
      </c>
      <c r="D226" s="6">
        <v>41202</v>
      </c>
      <c r="E226" s="121">
        <v>43012</v>
      </c>
      <c r="F226" s="6" t="s">
        <v>1606</v>
      </c>
      <c r="G226" s="7" t="s">
        <v>75</v>
      </c>
      <c r="H226" s="7"/>
      <c r="I226" s="7" t="s">
        <v>157</v>
      </c>
      <c r="J226" s="7"/>
      <c r="K226" s="29">
        <v>383035</v>
      </c>
      <c r="L226" s="43" t="s">
        <v>454</v>
      </c>
      <c r="M226" s="10" t="s">
        <v>500</v>
      </c>
      <c r="N226" s="10" t="s">
        <v>501</v>
      </c>
      <c r="O226" s="11" t="s">
        <v>502</v>
      </c>
      <c r="P226" s="12">
        <v>40027</v>
      </c>
      <c r="Q226" s="13">
        <f t="shared" ca="1" si="133"/>
        <v>16.139630390143736</v>
      </c>
      <c r="R226" s="14">
        <v>9</v>
      </c>
      <c r="S226" s="15">
        <v>872</v>
      </c>
      <c r="T226" s="8">
        <v>872</v>
      </c>
      <c r="U226" s="16">
        <v>45017</v>
      </c>
      <c r="V226" s="17">
        <v>1</v>
      </c>
      <c r="W226" s="16">
        <v>45382</v>
      </c>
      <c r="X226" s="14">
        <v>192</v>
      </c>
      <c r="Y226" s="18">
        <f t="shared" si="124"/>
        <v>192</v>
      </c>
      <c r="Z226" s="18">
        <f t="shared" si="128"/>
        <v>1</v>
      </c>
      <c r="AA226" s="18" t="s">
        <v>36</v>
      </c>
      <c r="AB226" s="26">
        <v>25</v>
      </c>
      <c r="AC226" s="26"/>
      <c r="AD226" s="26"/>
      <c r="AE226" s="147" t="str">
        <f t="shared" si="134"/>
        <v>1</v>
      </c>
      <c r="AF226" s="147" t="str">
        <f t="shared" si="135"/>
        <v>0</v>
      </c>
      <c r="AG226" s="147" t="str">
        <f t="shared" si="136"/>
        <v>0</v>
      </c>
      <c r="AH226" s="147" t="str">
        <f t="shared" si="137"/>
        <v>NO</v>
      </c>
      <c r="AI226" s="147" t="str">
        <f t="shared" si="138"/>
        <v>NO</v>
      </c>
      <c r="AJ226" s="147" t="str">
        <f t="shared" si="139"/>
        <v>NO</v>
      </c>
      <c r="AK226" s="147" t="str">
        <f t="shared" si="140"/>
        <v>NO</v>
      </c>
      <c r="AL226" s="21"/>
      <c r="AM226" s="21">
        <f t="shared" si="144"/>
        <v>5819.25</v>
      </c>
      <c r="AN226" s="27" t="s">
        <v>43</v>
      </c>
      <c r="AO226" s="21">
        <v>1</v>
      </c>
      <c r="AP226" s="21">
        <f t="shared" si="143"/>
        <v>1</v>
      </c>
      <c r="AQ226" s="149">
        <f t="shared" si="125"/>
        <v>5819.25</v>
      </c>
      <c r="AR226" s="21">
        <v>5819.25</v>
      </c>
      <c r="AS226" s="610">
        <v>8183.0999999999985</v>
      </c>
      <c r="AT226" s="112">
        <v>5819.25</v>
      </c>
      <c r="AU226" s="4"/>
      <c r="AV226" s="4"/>
      <c r="AW226" s="23" t="e">
        <f>VLOOKUP(K226,#REF!,8,FALSE)</f>
        <v>#REF!</v>
      </c>
      <c r="AX226" s="23" t="e">
        <f>VLOOKUP(K226,#REF!,8,FALSE)</f>
        <v>#REF!</v>
      </c>
      <c r="AY226" s="23" t="e">
        <f>VLOOKUP(K226,#REF!,8,FALSE)</f>
        <v>#REF!</v>
      </c>
      <c r="AZ226" s="4"/>
      <c r="BA226" s="272"/>
      <c r="BB226" s="313">
        <f t="shared" si="126"/>
        <v>0</v>
      </c>
      <c r="BC226" s="269">
        <f t="shared" si="118"/>
        <v>5819.25</v>
      </c>
      <c r="BD226" t="str">
        <f t="shared" si="132"/>
        <v/>
      </c>
      <c r="BP226" s="166">
        <f t="shared" si="141"/>
        <v>5819.25</v>
      </c>
      <c r="BS226" s="165"/>
      <c r="BX226" s="495">
        <f t="shared" si="142"/>
        <v>5819.25</v>
      </c>
      <c r="BZ226" s="636">
        <f t="shared" si="122"/>
        <v>0</v>
      </c>
      <c r="CA226" s="633">
        <f t="shared" si="123"/>
        <v>-2363.8499999999985</v>
      </c>
    </row>
    <row r="227" spans="1:79" x14ac:dyDescent="0.2">
      <c r="A227" s="4">
        <v>1</v>
      </c>
      <c r="B227" s="4">
        <v>1</v>
      </c>
      <c r="C227" s="5">
        <f t="shared" si="145"/>
        <v>41202</v>
      </c>
      <c r="D227" s="6">
        <v>41202</v>
      </c>
      <c r="E227" s="121">
        <v>43012</v>
      </c>
      <c r="F227" s="6" t="s">
        <v>1606</v>
      </c>
      <c r="G227" s="7" t="s">
        <v>75</v>
      </c>
      <c r="H227" s="7"/>
      <c r="I227" s="7" t="s">
        <v>157</v>
      </c>
      <c r="J227" s="7"/>
      <c r="K227" s="29">
        <v>383273</v>
      </c>
      <c r="L227" s="43" t="s">
        <v>454</v>
      </c>
      <c r="M227" s="10" t="s">
        <v>503</v>
      </c>
      <c r="N227" s="10" t="s">
        <v>504</v>
      </c>
      <c r="O227" s="11" t="s">
        <v>505</v>
      </c>
      <c r="P227" s="12">
        <v>39837</v>
      </c>
      <c r="Q227" s="13">
        <f t="shared" ca="1" si="133"/>
        <v>16.659822039698838</v>
      </c>
      <c r="R227" s="14">
        <v>9</v>
      </c>
      <c r="S227" s="15">
        <v>872</v>
      </c>
      <c r="T227" s="8">
        <v>872</v>
      </c>
      <c r="U227" s="16">
        <v>45017</v>
      </c>
      <c r="V227" s="17">
        <v>1</v>
      </c>
      <c r="W227" s="16">
        <v>45382</v>
      </c>
      <c r="X227" s="14">
        <v>192</v>
      </c>
      <c r="Y227" s="18">
        <f t="shared" si="124"/>
        <v>192</v>
      </c>
      <c r="Z227" s="18">
        <f t="shared" si="128"/>
        <v>1</v>
      </c>
      <c r="AA227" s="18" t="s">
        <v>36</v>
      </c>
      <c r="AB227" s="26">
        <v>24</v>
      </c>
      <c r="AC227" s="26"/>
      <c r="AD227" s="26"/>
      <c r="AE227" s="147" t="str">
        <f t="shared" si="134"/>
        <v>1</v>
      </c>
      <c r="AF227" s="147" t="str">
        <f t="shared" si="135"/>
        <v>0</v>
      </c>
      <c r="AG227" s="147" t="str">
        <f t="shared" si="136"/>
        <v>0</v>
      </c>
      <c r="AH227" s="147" t="str">
        <f t="shared" si="137"/>
        <v>NO</v>
      </c>
      <c r="AI227" s="147" t="str">
        <f t="shared" si="138"/>
        <v>NO</v>
      </c>
      <c r="AJ227" s="147" t="str">
        <f t="shared" si="139"/>
        <v>NO</v>
      </c>
      <c r="AK227" s="147" t="str">
        <f t="shared" si="140"/>
        <v>NO</v>
      </c>
      <c r="AL227" s="21"/>
      <c r="AM227" s="21">
        <f t="shared" si="144"/>
        <v>5346.48</v>
      </c>
      <c r="AN227" s="27" t="s">
        <v>43</v>
      </c>
      <c r="AO227" s="21">
        <v>1</v>
      </c>
      <c r="AP227" s="21">
        <f t="shared" si="143"/>
        <v>1</v>
      </c>
      <c r="AQ227" s="149">
        <f t="shared" si="125"/>
        <v>5346.48</v>
      </c>
      <c r="AR227" s="21">
        <v>5346.48</v>
      </c>
      <c r="AS227" s="610">
        <v>5346.48</v>
      </c>
      <c r="AT227" s="112">
        <v>5346.48</v>
      </c>
      <c r="AU227" s="4"/>
      <c r="AV227" s="4"/>
      <c r="AW227" s="23" t="e">
        <f>VLOOKUP(K227,#REF!,8,FALSE)</f>
        <v>#REF!</v>
      </c>
      <c r="AX227" s="23" t="e">
        <f>VLOOKUP(K227,#REF!,8,FALSE)</f>
        <v>#REF!</v>
      </c>
      <c r="AY227" s="23" t="e">
        <f>VLOOKUP(K227,#REF!,8,FALSE)</f>
        <v>#REF!</v>
      </c>
      <c r="AZ227" s="4"/>
      <c r="BA227" s="272"/>
      <c r="BB227" s="313">
        <f t="shared" si="126"/>
        <v>0</v>
      </c>
      <c r="BC227" s="269">
        <f t="shared" si="118"/>
        <v>5346.48</v>
      </c>
      <c r="BD227" t="str">
        <f t="shared" si="132"/>
        <v/>
      </c>
      <c r="BP227" s="166">
        <f t="shared" si="141"/>
        <v>5346.48</v>
      </c>
      <c r="BS227" s="165"/>
      <c r="BX227" s="495">
        <f t="shared" si="142"/>
        <v>5346.48</v>
      </c>
      <c r="BZ227" s="636">
        <f t="shared" si="122"/>
        <v>0</v>
      </c>
      <c r="CA227" s="633">
        <f t="shared" si="123"/>
        <v>0</v>
      </c>
    </row>
    <row r="228" spans="1:79" x14ac:dyDescent="0.2">
      <c r="A228" s="4">
        <v>1</v>
      </c>
      <c r="B228" s="4">
        <v>1</v>
      </c>
      <c r="C228" s="5">
        <f t="shared" si="145"/>
        <v>41202</v>
      </c>
      <c r="D228" s="6">
        <v>41202</v>
      </c>
      <c r="E228" s="121">
        <v>43012</v>
      </c>
      <c r="F228" s="6" t="s">
        <v>1606</v>
      </c>
      <c r="G228" s="7" t="s">
        <v>75</v>
      </c>
      <c r="H228" s="7"/>
      <c r="I228" s="7" t="s">
        <v>157</v>
      </c>
      <c r="J228" s="7"/>
      <c r="K228" s="29">
        <v>395215</v>
      </c>
      <c r="L228" s="43" t="s">
        <v>454</v>
      </c>
      <c r="M228" s="10" t="s">
        <v>506</v>
      </c>
      <c r="N228" s="10" t="s">
        <v>507</v>
      </c>
      <c r="O228" s="11" t="s">
        <v>508</v>
      </c>
      <c r="P228" s="12">
        <v>40629</v>
      </c>
      <c r="Q228" s="13">
        <f t="shared" ca="1" si="133"/>
        <v>14.491444216290212</v>
      </c>
      <c r="R228" s="14">
        <v>7</v>
      </c>
      <c r="S228" s="15">
        <v>872</v>
      </c>
      <c r="T228" s="8">
        <v>872</v>
      </c>
      <c r="U228" s="16">
        <v>45017</v>
      </c>
      <c r="V228" s="17">
        <v>1</v>
      </c>
      <c r="W228" s="16">
        <v>45382</v>
      </c>
      <c r="X228" s="14">
        <v>192</v>
      </c>
      <c r="Y228" s="18">
        <f t="shared" si="124"/>
        <v>192</v>
      </c>
      <c r="Z228" s="18">
        <f t="shared" si="128"/>
        <v>1</v>
      </c>
      <c r="AA228" s="18" t="s">
        <v>36</v>
      </c>
      <c r="AB228" s="26">
        <v>28</v>
      </c>
      <c r="AC228" s="26"/>
      <c r="AD228" s="26"/>
      <c r="AE228" s="147" t="str">
        <f t="shared" si="134"/>
        <v>0</v>
      </c>
      <c r="AF228" s="147" t="str">
        <f t="shared" si="135"/>
        <v>1</v>
      </c>
      <c r="AG228" s="147" t="str">
        <f t="shared" si="136"/>
        <v>0</v>
      </c>
      <c r="AH228" s="147" t="str">
        <f t="shared" si="137"/>
        <v>NO</v>
      </c>
      <c r="AI228" s="147" t="str">
        <f t="shared" si="138"/>
        <v>NO</v>
      </c>
      <c r="AJ228" s="147" t="str">
        <f t="shared" si="139"/>
        <v>NO</v>
      </c>
      <c r="AK228" s="147" t="str">
        <f t="shared" si="140"/>
        <v>NO</v>
      </c>
      <c r="AL228" s="21"/>
      <c r="AM228" s="21">
        <f t="shared" si="144"/>
        <v>7237.5599999999995</v>
      </c>
      <c r="AN228" s="27" t="s">
        <v>37</v>
      </c>
      <c r="AO228" s="21">
        <v>1</v>
      </c>
      <c r="AP228" s="21">
        <f t="shared" si="143"/>
        <v>1</v>
      </c>
      <c r="AQ228" s="149">
        <f t="shared" ref="AQ228:AQ254" si="146">AP228*AM228</f>
        <v>7237.5599999999995</v>
      </c>
      <c r="AR228" s="21">
        <v>7237.5599999999995</v>
      </c>
      <c r="AS228" s="610">
        <v>7237.5599999999995</v>
      </c>
      <c r="AT228" s="112">
        <v>7237.5599999999995</v>
      </c>
      <c r="AU228" s="4"/>
      <c r="AV228" s="4"/>
      <c r="AW228" s="23" t="e">
        <f>VLOOKUP(K228,#REF!,8,FALSE)</f>
        <v>#REF!</v>
      </c>
      <c r="AX228" s="23" t="e">
        <f>VLOOKUP(K228,#REF!,8,FALSE)</f>
        <v>#REF!</v>
      </c>
      <c r="AY228" s="23" t="e">
        <f>VLOOKUP(K228,#REF!,8,FALSE)</f>
        <v>#REF!</v>
      </c>
      <c r="AZ228" s="4"/>
      <c r="BA228" s="272"/>
      <c r="BB228" s="313">
        <f t="shared" ref="BB228:BB259" si="147">BC228-AT228</f>
        <v>0</v>
      </c>
      <c r="BC228" s="269">
        <f t="shared" si="118"/>
        <v>7237.5599999999995</v>
      </c>
      <c r="BD228" t="str">
        <f t="shared" si="132"/>
        <v/>
      </c>
      <c r="BP228" s="166">
        <f t="shared" si="141"/>
        <v>7237.5599999999995</v>
      </c>
      <c r="BS228" s="165"/>
      <c r="BX228" s="495">
        <f t="shared" si="142"/>
        <v>7237.5599999999995</v>
      </c>
      <c r="BZ228" s="636">
        <f t="shared" si="122"/>
        <v>0</v>
      </c>
      <c r="CA228" s="633">
        <f t="shared" si="123"/>
        <v>0</v>
      </c>
    </row>
    <row r="229" spans="1:79" x14ac:dyDescent="0.2">
      <c r="A229" s="4">
        <v>1</v>
      </c>
      <c r="B229" s="4">
        <v>1</v>
      </c>
      <c r="C229" s="5">
        <f t="shared" si="145"/>
        <v>41202</v>
      </c>
      <c r="D229" s="6">
        <v>41202</v>
      </c>
      <c r="E229" s="121">
        <v>43012</v>
      </c>
      <c r="F229" s="6" t="s">
        <v>1606</v>
      </c>
      <c r="G229" s="7" t="s">
        <v>75</v>
      </c>
      <c r="H229" s="7"/>
      <c r="I229" s="7" t="s">
        <v>157</v>
      </c>
      <c r="J229" s="7"/>
      <c r="K229" s="29">
        <v>367489</v>
      </c>
      <c r="L229" s="10" t="s">
        <v>454</v>
      </c>
      <c r="M229" s="10" t="s">
        <v>509</v>
      </c>
      <c r="N229" s="10" t="s">
        <v>510</v>
      </c>
      <c r="O229" s="11" t="s">
        <v>511</v>
      </c>
      <c r="P229" s="12">
        <v>39030</v>
      </c>
      <c r="Q229" s="13">
        <f t="shared" ca="1" si="133"/>
        <v>18.869267624914443</v>
      </c>
      <c r="R229" s="14">
        <v>11</v>
      </c>
      <c r="S229" s="15">
        <v>872</v>
      </c>
      <c r="T229" s="8">
        <v>872</v>
      </c>
      <c r="U229" s="16">
        <v>45017</v>
      </c>
      <c r="V229" s="17">
        <v>1</v>
      </c>
      <c r="W229" s="16">
        <v>45128</v>
      </c>
      <c r="X229" s="14">
        <v>63</v>
      </c>
      <c r="Y229" s="18">
        <f t="shared" si="124"/>
        <v>63</v>
      </c>
      <c r="Z229" s="18">
        <f t="shared" si="128"/>
        <v>0.328125</v>
      </c>
      <c r="AA229" s="16" t="s">
        <v>166</v>
      </c>
      <c r="AB229" s="26">
        <v>21</v>
      </c>
      <c r="AC229" s="80"/>
      <c r="AD229" s="80"/>
      <c r="AE229" s="147" t="str">
        <f t="shared" si="134"/>
        <v>1</v>
      </c>
      <c r="AF229" s="147" t="str">
        <f t="shared" si="135"/>
        <v>0</v>
      </c>
      <c r="AG229" s="147" t="str">
        <f t="shared" si="136"/>
        <v>0</v>
      </c>
      <c r="AH229" s="147" t="str">
        <f t="shared" si="137"/>
        <v>NO</v>
      </c>
      <c r="AI229" s="147" t="str">
        <f t="shared" si="138"/>
        <v>NO</v>
      </c>
      <c r="AJ229" s="147" t="str">
        <f t="shared" si="139"/>
        <v>NO</v>
      </c>
      <c r="AK229" s="147" t="str">
        <f t="shared" si="140"/>
        <v>NO</v>
      </c>
      <c r="AL229" s="44"/>
      <c r="AM229" s="21">
        <f t="shared" si="144"/>
        <v>3928.17</v>
      </c>
      <c r="AN229" s="27" t="s">
        <v>43</v>
      </c>
      <c r="AO229" s="21">
        <v>1</v>
      </c>
      <c r="AP229" s="21">
        <f t="shared" si="143"/>
        <v>0.328125</v>
      </c>
      <c r="AQ229" s="149">
        <f t="shared" si="146"/>
        <v>1288.9307812500001</v>
      </c>
      <c r="AR229" s="21">
        <v>1288.9307812500001</v>
      </c>
      <c r="AS229" s="610">
        <v>1288.9307812500001</v>
      </c>
      <c r="AT229" s="112">
        <v>1288.9307812500001</v>
      </c>
      <c r="AU229" s="4"/>
      <c r="AV229" s="4"/>
      <c r="AW229" s="23" t="e">
        <f>VLOOKUP(K229,#REF!,8,FALSE)</f>
        <v>#REF!</v>
      </c>
      <c r="AX229" s="23" t="e">
        <f>VLOOKUP(K229,#REF!,8,FALSE)</f>
        <v>#REF!</v>
      </c>
      <c r="AY229" s="266" t="s">
        <v>2235</v>
      </c>
      <c r="AZ229" s="268" t="s">
        <v>75</v>
      </c>
      <c r="BA229" s="274">
        <f>AM229/3*2</f>
        <v>2618.7800000000002</v>
      </c>
      <c r="BB229" s="313">
        <f t="shared" si="147"/>
        <v>0</v>
      </c>
      <c r="BC229" s="269">
        <f t="shared" si="118"/>
        <v>1288.9307812500001</v>
      </c>
      <c r="BD229" t="e">
        <f t="shared" si="132"/>
        <v>#REF!</v>
      </c>
      <c r="BE229" t="s">
        <v>2351</v>
      </c>
      <c r="BI229" t="e">
        <f>VLOOKUP(K229,#REF!,8,FALSE)</f>
        <v>#REF!</v>
      </c>
      <c r="BK229" s="269"/>
      <c r="BN229" s="353" t="s">
        <v>75</v>
      </c>
      <c r="BO229" s="106"/>
      <c r="BP229" s="166">
        <f t="shared" si="141"/>
        <v>1288.9307812500001</v>
      </c>
      <c r="BQ229" t="s">
        <v>2351</v>
      </c>
      <c r="BS229" s="165"/>
      <c r="BX229" s="495">
        <f t="shared" si="142"/>
        <v>1288.9307812500001</v>
      </c>
      <c r="BZ229" s="636">
        <f t="shared" si="122"/>
        <v>0</v>
      </c>
      <c r="CA229" s="633">
        <f t="shared" si="123"/>
        <v>0</v>
      </c>
    </row>
    <row r="230" spans="1:79" x14ac:dyDescent="0.2">
      <c r="A230" s="4">
        <v>0</v>
      </c>
      <c r="B230" s="4">
        <v>1</v>
      </c>
      <c r="C230" s="5">
        <f t="shared" si="145"/>
        <v>41202</v>
      </c>
      <c r="D230" s="6">
        <v>41202</v>
      </c>
      <c r="E230" s="121">
        <v>43012</v>
      </c>
      <c r="F230" s="6" t="s">
        <v>1606</v>
      </c>
      <c r="G230" s="7" t="s">
        <v>75</v>
      </c>
      <c r="H230" s="7"/>
      <c r="I230" s="7" t="s">
        <v>157</v>
      </c>
      <c r="J230" s="7" t="s">
        <v>142</v>
      </c>
      <c r="K230" s="29">
        <v>367489</v>
      </c>
      <c r="L230" s="10" t="s">
        <v>454</v>
      </c>
      <c r="M230" s="10" t="s">
        <v>509</v>
      </c>
      <c r="N230" s="10" t="s">
        <v>510</v>
      </c>
      <c r="O230" s="11" t="s">
        <v>511</v>
      </c>
      <c r="P230" s="12">
        <v>39030</v>
      </c>
      <c r="Q230" s="13">
        <f t="shared" ca="1" si="133"/>
        <v>18.869267624914443</v>
      </c>
      <c r="R230" s="14">
        <v>11</v>
      </c>
      <c r="S230" s="15">
        <v>872</v>
      </c>
      <c r="T230" s="8">
        <v>872</v>
      </c>
      <c r="U230" s="16">
        <v>45017</v>
      </c>
      <c r="V230" s="17">
        <v>1</v>
      </c>
      <c r="W230" s="16">
        <v>45128</v>
      </c>
      <c r="X230" s="14">
        <v>63</v>
      </c>
      <c r="Y230" s="18">
        <f t="shared" si="124"/>
        <v>63</v>
      </c>
      <c r="Z230" s="18">
        <f t="shared" si="128"/>
        <v>0.328125</v>
      </c>
      <c r="AA230" s="16">
        <v>45138</v>
      </c>
      <c r="AB230" s="26">
        <v>922.48</v>
      </c>
      <c r="AC230" s="26"/>
      <c r="AD230" s="26"/>
      <c r="AE230" s="147" t="str">
        <f t="shared" si="134"/>
        <v>0</v>
      </c>
      <c r="AF230" s="147" t="str">
        <f t="shared" si="135"/>
        <v>0</v>
      </c>
      <c r="AG230" s="147" t="str">
        <f t="shared" si="136"/>
        <v>1</v>
      </c>
      <c r="AH230" s="147" t="str">
        <f t="shared" si="137"/>
        <v>NO</v>
      </c>
      <c r="AI230" s="147" t="str">
        <f t="shared" si="138"/>
        <v>NO</v>
      </c>
      <c r="AJ230" s="147" t="str">
        <f t="shared" si="139"/>
        <v>NO</v>
      </c>
      <c r="AK230" s="147" t="str">
        <f t="shared" si="140"/>
        <v>NO</v>
      </c>
      <c r="AL230" s="21"/>
      <c r="AM230" s="21">
        <v>922.48</v>
      </c>
      <c r="AN230" s="27" t="s">
        <v>56</v>
      </c>
      <c r="AO230" s="21">
        <v>1</v>
      </c>
      <c r="AP230" s="21">
        <f t="shared" si="143"/>
        <v>0.328125</v>
      </c>
      <c r="AQ230" s="149">
        <f t="shared" si="146"/>
        <v>302.68875000000003</v>
      </c>
      <c r="AR230" s="21">
        <v>302.68875000000003</v>
      </c>
      <c r="AS230" s="610">
        <v>302.68875000000003</v>
      </c>
      <c r="AT230" s="112">
        <v>302.68875000000003</v>
      </c>
      <c r="AU230" s="4"/>
      <c r="AV230" s="4"/>
      <c r="AW230" s="23" t="e">
        <f>VLOOKUP(K230,#REF!,8,FALSE)</f>
        <v>#REF!</v>
      </c>
      <c r="AX230" s="23" t="e">
        <f>VLOOKUP(K230,#REF!,8,FALSE)</f>
        <v>#REF!</v>
      </c>
      <c r="AY230" s="23" t="e">
        <f>VLOOKUP(K230,#REF!,8,FALSE)</f>
        <v>#REF!</v>
      </c>
      <c r="AZ230" s="4"/>
      <c r="BA230" s="272"/>
      <c r="BB230" s="313">
        <f t="shared" si="147"/>
        <v>0</v>
      </c>
      <c r="BC230" s="269">
        <f t="shared" si="118"/>
        <v>302.68875000000003</v>
      </c>
      <c r="BD230" t="e">
        <f t="shared" si="132"/>
        <v>#REF!</v>
      </c>
      <c r="BE230" t="s">
        <v>2351</v>
      </c>
      <c r="BI230" t="e">
        <f>VLOOKUP(K230,#REF!,8,FALSE)</f>
        <v>#REF!</v>
      </c>
      <c r="BK230" s="269"/>
      <c r="BN230" s="353" t="s">
        <v>75</v>
      </c>
      <c r="BO230" s="106"/>
      <c r="BP230" s="166">
        <f t="shared" si="141"/>
        <v>302.68875000000003</v>
      </c>
      <c r="BQ230" t="s">
        <v>2351</v>
      </c>
      <c r="BS230" s="165"/>
      <c r="BX230" s="495">
        <f t="shared" si="142"/>
        <v>302.68875000000003</v>
      </c>
      <c r="BZ230" s="636">
        <f t="shared" si="122"/>
        <v>0</v>
      </c>
      <c r="CA230" s="633">
        <f t="shared" si="123"/>
        <v>0</v>
      </c>
    </row>
    <row r="231" spans="1:79" x14ac:dyDescent="0.2">
      <c r="A231" s="4">
        <v>1</v>
      </c>
      <c r="B231" s="4">
        <v>1</v>
      </c>
      <c r="C231" s="5">
        <f t="shared" si="145"/>
        <v>41202</v>
      </c>
      <c r="D231" s="6">
        <v>41202</v>
      </c>
      <c r="E231" s="121">
        <v>43012</v>
      </c>
      <c r="F231" s="6" t="s">
        <v>1606</v>
      </c>
      <c r="G231" s="7" t="s">
        <v>75</v>
      </c>
      <c r="H231" s="7"/>
      <c r="I231" s="7" t="s">
        <v>157</v>
      </c>
      <c r="J231" s="7"/>
      <c r="K231" s="29">
        <v>421085</v>
      </c>
      <c r="L231" s="43" t="s">
        <v>454</v>
      </c>
      <c r="M231" s="10" t="s">
        <v>512</v>
      </c>
      <c r="N231" s="10" t="s">
        <v>513</v>
      </c>
      <c r="O231" s="11" t="s">
        <v>514</v>
      </c>
      <c r="P231" s="12">
        <v>40463</v>
      </c>
      <c r="Q231" s="13">
        <f t="shared" ca="1" si="133"/>
        <v>14.945927446954141</v>
      </c>
      <c r="R231" s="14">
        <v>7</v>
      </c>
      <c r="S231" s="15">
        <v>872</v>
      </c>
      <c r="T231" s="8">
        <v>872</v>
      </c>
      <c r="U231" s="16">
        <v>45017</v>
      </c>
      <c r="V231" s="17">
        <v>1</v>
      </c>
      <c r="W231" s="16">
        <v>45382</v>
      </c>
      <c r="X231" s="14">
        <v>192</v>
      </c>
      <c r="Y231" s="18">
        <f t="shared" si="124"/>
        <v>192</v>
      </c>
      <c r="Z231" s="18">
        <f t="shared" si="128"/>
        <v>1</v>
      </c>
      <c r="AA231" s="18" t="s">
        <v>36</v>
      </c>
      <c r="AB231" s="26">
        <v>28</v>
      </c>
      <c r="AC231" s="26"/>
      <c r="AD231" s="26"/>
      <c r="AE231" s="147" t="str">
        <f t="shared" si="134"/>
        <v>0</v>
      </c>
      <c r="AF231" s="147" t="str">
        <f t="shared" si="135"/>
        <v>1</v>
      </c>
      <c r="AG231" s="147" t="str">
        <f t="shared" si="136"/>
        <v>0</v>
      </c>
      <c r="AH231" s="147" t="str">
        <f t="shared" si="137"/>
        <v>NO</v>
      </c>
      <c r="AI231" s="147" t="str">
        <f t="shared" si="138"/>
        <v>NO</v>
      </c>
      <c r="AJ231" s="147" t="str">
        <f t="shared" si="139"/>
        <v>NO</v>
      </c>
      <c r="AK231" s="147" t="str">
        <f t="shared" si="140"/>
        <v>NO</v>
      </c>
      <c r="AL231" s="21"/>
      <c r="AM231" s="21">
        <f>IF(H231="Y",AL231,((AB231*$O$902)-6000))</f>
        <v>7237.5599999999995</v>
      </c>
      <c r="AN231" s="27" t="s">
        <v>43</v>
      </c>
      <c r="AO231" s="21">
        <v>1</v>
      </c>
      <c r="AP231" s="21">
        <f t="shared" si="143"/>
        <v>1</v>
      </c>
      <c r="AQ231" s="149">
        <f t="shared" si="146"/>
        <v>7237.5599999999995</v>
      </c>
      <c r="AR231" s="21">
        <v>7237.5599999999995</v>
      </c>
      <c r="AS231" s="610">
        <v>7237.5599999999995</v>
      </c>
      <c r="AT231" s="112">
        <v>7237.5599999999995</v>
      </c>
      <c r="AU231" s="4"/>
      <c r="AV231" s="4"/>
      <c r="AW231" s="23" t="e">
        <f>VLOOKUP(K231,#REF!,8,FALSE)</f>
        <v>#REF!</v>
      </c>
      <c r="AX231" s="23" t="e">
        <f>VLOOKUP(K231,#REF!,8,FALSE)</f>
        <v>#REF!</v>
      </c>
      <c r="AY231" s="23" t="e">
        <f>VLOOKUP(K231,#REF!,8,FALSE)</f>
        <v>#REF!</v>
      </c>
      <c r="AZ231" s="4"/>
      <c r="BA231" s="272"/>
      <c r="BB231" s="313">
        <f t="shared" si="147"/>
        <v>0</v>
      </c>
      <c r="BC231" s="269">
        <f t="shared" si="118"/>
        <v>7237.5599999999995</v>
      </c>
      <c r="BD231" t="str">
        <f t="shared" si="132"/>
        <v/>
      </c>
      <c r="BP231" s="166">
        <f t="shared" si="141"/>
        <v>7237.5599999999995</v>
      </c>
      <c r="BS231" s="165"/>
      <c r="BX231" s="495">
        <f t="shared" si="142"/>
        <v>7237.5599999999995</v>
      </c>
      <c r="BZ231" s="636">
        <f t="shared" si="122"/>
        <v>0</v>
      </c>
      <c r="CA231" s="633">
        <f t="shared" si="123"/>
        <v>0</v>
      </c>
    </row>
    <row r="232" spans="1:79" x14ac:dyDescent="0.2">
      <c r="A232" s="4">
        <v>0</v>
      </c>
      <c r="B232" s="4">
        <v>1</v>
      </c>
      <c r="C232" s="5">
        <f t="shared" si="145"/>
        <v>41202</v>
      </c>
      <c r="D232" s="6">
        <v>41202</v>
      </c>
      <c r="E232" s="121">
        <v>43012</v>
      </c>
      <c r="F232" s="6" t="s">
        <v>1606</v>
      </c>
      <c r="G232" s="7" t="s">
        <v>75</v>
      </c>
      <c r="H232" s="7"/>
      <c r="I232" s="7" t="s">
        <v>157</v>
      </c>
      <c r="J232" s="7" t="s">
        <v>142</v>
      </c>
      <c r="K232" s="29">
        <v>421085</v>
      </c>
      <c r="L232" s="43" t="s">
        <v>454</v>
      </c>
      <c r="M232" s="10" t="s">
        <v>512</v>
      </c>
      <c r="N232" s="10" t="s">
        <v>513</v>
      </c>
      <c r="O232" s="11" t="s">
        <v>514</v>
      </c>
      <c r="P232" s="12">
        <v>40463</v>
      </c>
      <c r="Q232" s="13">
        <f t="shared" ca="1" si="133"/>
        <v>14.945927446954141</v>
      </c>
      <c r="R232" s="14">
        <v>7</v>
      </c>
      <c r="S232" s="15">
        <v>872</v>
      </c>
      <c r="T232" s="8">
        <v>872</v>
      </c>
      <c r="U232" s="16">
        <v>45017</v>
      </c>
      <c r="V232" s="17">
        <v>1</v>
      </c>
      <c r="W232" s="16">
        <v>45077</v>
      </c>
      <c r="X232" s="14">
        <v>28</v>
      </c>
      <c r="Y232" s="18">
        <f t="shared" si="124"/>
        <v>28</v>
      </c>
      <c r="Z232" s="18">
        <v>1</v>
      </c>
      <c r="AA232" s="16">
        <v>45077</v>
      </c>
      <c r="AB232" s="26">
        <v>7380</v>
      </c>
      <c r="AC232" s="26"/>
      <c r="AD232" s="26"/>
      <c r="AE232" s="147" t="str">
        <f t="shared" si="134"/>
        <v>0</v>
      </c>
      <c r="AF232" s="147" t="str">
        <f t="shared" si="135"/>
        <v>0</v>
      </c>
      <c r="AG232" s="147" t="str">
        <f t="shared" si="136"/>
        <v>1</v>
      </c>
      <c r="AH232" s="147" t="str">
        <f t="shared" si="137"/>
        <v>NO</v>
      </c>
      <c r="AI232" s="147" t="str">
        <f t="shared" si="138"/>
        <v>NO</v>
      </c>
      <c r="AJ232" s="147" t="str">
        <f t="shared" si="139"/>
        <v>NO</v>
      </c>
      <c r="AK232" s="147" t="str">
        <f t="shared" si="140"/>
        <v>NO</v>
      </c>
      <c r="AL232" s="21"/>
      <c r="AM232" s="21">
        <v>7380</v>
      </c>
      <c r="AN232" s="27" t="s">
        <v>43</v>
      </c>
      <c r="AO232" s="21">
        <v>1</v>
      </c>
      <c r="AP232" s="21">
        <f t="shared" si="143"/>
        <v>1</v>
      </c>
      <c r="AQ232" s="149">
        <f t="shared" si="146"/>
        <v>7380</v>
      </c>
      <c r="AR232" s="21">
        <v>7380</v>
      </c>
      <c r="AS232" s="610">
        <v>0</v>
      </c>
      <c r="AT232" s="112">
        <v>7380</v>
      </c>
      <c r="AU232" s="4"/>
      <c r="AV232" s="4"/>
      <c r="AW232" s="23" t="e">
        <f>VLOOKUP(K232,#REF!,8,FALSE)</f>
        <v>#REF!</v>
      </c>
      <c r="AX232" s="23" t="e">
        <f>VLOOKUP(K232,#REF!,8,FALSE)</f>
        <v>#REF!</v>
      </c>
      <c r="AY232" s="23" t="e">
        <f>VLOOKUP(K232,#REF!,8,FALSE)</f>
        <v>#REF!</v>
      </c>
      <c r="AZ232" s="4"/>
      <c r="BA232" s="272"/>
      <c r="BB232" s="313">
        <f t="shared" si="147"/>
        <v>0</v>
      </c>
      <c r="BC232" s="269">
        <f t="shared" si="118"/>
        <v>7380</v>
      </c>
      <c r="BD232" t="str">
        <f t="shared" si="132"/>
        <v/>
      </c>
      <c r="BP232" s="166">
        <f t="shared" si="141"/>
        <v>7380</v>
      </c>
      <c r="BS232" s="165"/>
      <c r="BX232" s="495">
        <f t="shared" si="142"/>
        <v>7380</v>
      </c>
      <c r="BZ232" s="636">
        <f t="shared" si="122"/>
        <v>0</v>
      </c>
      <c r="CA232" s="633">
        <f t="shared" si="123"/>
        <v>7380</v>
      </c>
    </row>
    <row r="233" spans="1:79" x14ac:dyDescent="0.2">
      <c r="A233" s="4">
        <v>1</v>
      </c>
      <c r="B233" s="4">
        <v>1</v>
      </c>
      <c r="C233" s="5">
        <f t="shared" si="145"/>
        <v>41202</v>
      </c>
      <c r="D233" s="6">
        <v>41202</v>
      </c>
      <c r="E233" s="121">
        <v>43012</v>
      </c>
      <c r="F233" s="6" t="s">
        <v>1606</v>
      </c>
      <c r="G233" s="7" t="s">
        <v>75</v>
      </c>
      <c r="H233" s="7"/>
      <c r="I233" s="7" t="s">
        <v>157</v>
      </c>
      <c r="J233" s="7"/>
      <c r="K233" s="29">
        <v>381574</v>
      </c>
      <c r="L233" s="43" t="s">
        <v>454</v>
      </c>
      <c r="M233" s="10" t="s">
        <v>515</v>
      </c>
      <c r="N233" s="10" t="s">
        <v>516</v>
      </c>
      <c r="O233" s="11" t="s">
        <v>517</v>
      </c>
      <c r="P233" s="12">
        <v>40212</v>
      </c>
      <c r="Q233" s="13">
        <f t="shared" ca="1" si="133"/>
        <v>15.633127994524298</v>
      </c>
      <c r="R233" s="14">
        <v>8</v>
      </c>
      <c r="S233" s="15">
        <v>872</v>
      </c>
      <c r="T233" s="8">
        <v>872</v>
      </c>
      <c r="U233" s="16">
        <v>45017</v>
      </c>
      <c r="V233" s="17">
        <v>1</v>
      </c>
      <c r="W233" s="16">
        <v>45382</v>
      </c>
      <c r="X233" s="14">
        <v>192</v>
      </c>
      <c r="Y233" s="18">
        <f t="shared" si="124"/>
        <v>192</v>
      </c>
      <c r="Z233" s="18">
        <f t="shared" ref="Z233:Z243" si="148">Y233/192</f>
        <v>1</v>
      </c>
      <c r="AA233" s="18" t="s">
        <v>36</v>
      </c>
      <c r="AB233" s="26">
        <v>25</v>
      </c>
      <c r="AC233" s="26"/>
      <c r="AD233" s="26"/>
      <c r="AE233" s="147" t="str">
        <f t="shared" si="134"/>
        <v>1</v>
      </c>
      <c r="AF233" s="147" t="str">
        <f t="shared" si="135"/>
        <v>0</v>
      </c>
      <c r="AG233" s="147" t="str">
        <f t="shared" si="136"/>
        <v>0</v>
      </c>
      <c r="AH233" s="147" t="str">
        <f t="shared" si="137"/>
        <v>NO</v>
      </c>
      <c r="AI233" s="147" t="str">
        <f t="shared" si="138"/>
        <v>NO</v>
      </c>
      <c r="AJ233" s="147" t="str">
        <f t="shared" si="139"/>
        <v>NO</v>
      </c>
      <c r="AK233" s="147" t="str">
        <f t="shared" si="140"/>
        <v>NO</v>
      </c>
      <c r="AL233" s="21"/>
      <c r="AM233" s="21">
        <f t="shared" ref="AM233:AM238" si="149">IF(H233="Y",AL233,((AB233*$O$902)-6000))</f>
        <v>5819.25</v>
      </c>
      <c r="AN233" s="27"/>
      <c r="AO233" s="21">
        <v>1</v>
      </c>
      <c r="AP233" s="21">
        <f t="shared" si="143"/>
        <v>1</v>
      </c>
      <c r="AQ233" s="149">
        <f t="shared" si="146"/>
        <v>5819.25</v>
      </c>
      <c r="AR233" s="21">
        <v>5819.25</v>
      </c>
      <c r="AS233" s="610">
        <v>5819.25</v>
      </c>
      <c r="AT233" s="112">
        <v>5819.25</v>
      </c>
      <c r="AU233" s="4"/>
      <c r="AV233" s="4"/>
      <c r="AW233" s="23" t="e">
        <f>VLOOKUP(K233,#REF!,8,FALSE)</f>
        <v>#REF!</v>
      </c>
      <c r="AX233" s="23" t="e">
        <f>VLOOKUP(K233,#REF!,8,FALSE)</f>
        <v>#REF!</v>
      </c>
      <c r="AY233" s="23" t="e">
        <f>VLOOKUP(K233,#REF!,8,FALSE)</f>
        <v>#REF!</v>
      </c>
      <c r="AZ233" s="4"/>
      <c r="BA233" s="272"/>
      <c r="BB233" s="313">
        <f t="shared" si="147"/>
        <v>0</v>
      </c>
      <c r="BC233" s="269">
        <f t="shared" si="118"/>
        <v>5819.25</v>
      </c>
      <c r="BD233" t="str">
        <f t="shared" si="132"/>
        <v/>
      </c>
      <c r="BP233" s="166">
        <f t="shared" si="141"/>
        <v>5819.25</v>
      </c>
      <c r="BS233" s="165"/>
      <c r="BX233" s="495">
        <f t="shared" si="142"/>
        <v>5819.25</v>
      </c>
      <c r="BZ233" s="636">
        <f t="shared" si="122"/>
        <v>0</v>
      </c>
      <c r="CA233" s="633">
        <f t="shared" si="123"/>
        <v>0</v>
      </c>
    </row>
    <row r="234" spans="1:79" x14ac:dyDescent="0.2">
      <c r="A234" s="4">
        <v>1</v>
      </c>
      <c r="B234" s="4">
        <v>1</v>
      </c>
      <c r="C234" s="5">
        <f t="shared" si="145"/>
        <v>41202</v>
      </c>
      <c r="D234" s="6">
        <v>41202</v>
      </c>
      <c r="E234" s="121">
        <v>43012</v>
      </c>
      <c r="F234" s="6" t="s">
        <v>1606</v>
      </c>
      <c r="G234" s="7" t="s">
        <v>75</v>
      </c>
      <c r="H234" s="7"/>
      <c r="I234" s="7" t="s">
        <v>157</v>
      </c>
      <c r="J234" s="7"/>
      <c r="K234" s="29">
        <v>389977</v>
      </c>
      <c r="L234" s="43" t="s">
        <v>454</v>
      </c>
      <c r="M234" s="10" t="s">
        <v>518</v>
      </c>
      <c r="N234" s="10" t="s">
        <v>519</v>
      </c>
      <c r="O234" s="11" t="s">
        <v>520</v>
      </c>
      <c r="P234" s="12">
        <v>40391</v>
      </c>
      <c r="Q234" s="13">
        <f t="shared" ca="1" si="133"/>
        <v>15.143052703627653</v>
      </c>
      <c r="R234" s="14">
        <v>8</v>
      </c>
      <c r="S234" s="15">
        <v>872</v>
      </c>
      <c r="T234" s="8">
        <v>872</v>
      </c>
      <c r="U234" s="16">
        <v>45017</v>
      </c>
      <c r="V234" s="17">
        <v>1</v>
      </c>
      <c r="W234" s="16">
        <v>45382</v>
      </c>
      <c r="X234" s="14">
        <v>192</v>
      </c>
      <c r="Y234" s="18">
        <f t="shared" si="124"/>
        <v>192</v>
      </c>
      <c r="Z234" s="18">
        <f t="shared" si="148"/>
        <v>1</v>
      </c>
      <c r="AA234" s="18" t="s">
        <v>36</v>
      </c>
      <c r="AB234" s="26">
        <v>27</v>
      </c>
      <c r="AC234" s="26"/>
      <c r="AD234" s="26"/>
      <c r="AE234" s="147" t="str">
        <f t="shared" si="134"/>
        <v>0</v>
      </c>
      <c r="AF234" s="147" t="str">
        <f t="shared" si="135"/>
        <v>1</v>
      </c>
      <c r="AG234" s="147" t="str">
        <f t="shared" si="136"/>
        <v>0</v>
      </c>
      <c r="AH234" s="147" t="str">
        <f t="shared" si="137"/>
        <v>NO</v>
      </c>
      <c r="AI234" s="147" t="str">
        <f t="shared" si="138"/>
        <v>NO</v>
      </c>
      <c r="AJ234" s="147" t="str">
        <f t="shared" si="139"/>
        <v>NO</v>
      </c>
      <c r="AK234" s="147" t="str">
        <f t="shared" si="140"/>
        <v>NO</v>
      </c>
      <c r="AL234" s="21"/>
      <c r="AM234" s="21">
        <f t="shared" si="149"/>
        <v>6764.7899999999991</v>
      </c>
      <c r="AN234" s="27" t="s">
        <v>56</v>
      </c>
      <c r="AO234" s="21">
        <v>1</v>
      </c>
      <c r="AP234" s="21">
        <f t="shared" si="143"/>
        <v>1</v>
      </c>
      <c r="AQ234" s="149">
        <f t="shared" si="146"/>
        <v>6764.7899999999991</v>
      </c>
      <c r="AR234" s="21">
        <v>6764.7899999999991</v>
      </c>
      <c r="AS234" s="610">
        <v>6764.7899999999991</v>
      </c>
      <c r="AT234" s="112">
        <v>6764.7899999999991</v>
      </c>
      <c r="AU234" s="4"/>
      <c r="AV234" s="4"/>
      <c r="AW234" s="23" t="e">
        <f>VLOOKUP(K234,#REF!,8,FALSE)</f>
        <v>#REF!</v>
      </c>
      <c r="AX234" s="23" t="e">
        <f>VLOOKUP(K234,#REF!,8,FALSE)</f>
        <v>#REF!</v>
      </c>
      <c r="AY234" s="23" t="e">
        <f>VLOOKUP(K234,#REF!,8,FALSE)</f>
        <v>#REF!</v>
      </c>
      <c r="AZ234" s="4"/>
      <c r="BA234" s="272"/>
      <c r="BB234" s="313">
        <f t="shared" si="147"/>
        <v>0</v>
      </c>
      <c r="BC234" s="269">
        <f t="shared" si="118"/>
        <v>6764.7899999999991</v>
      </c>
      <c r="BD234" t="str">
        <f t="shared" si="132"/>
        <v/>
      </c>
      <c r="BP234" s="166">
        <f t="shared" si="141"/>
        <v>6764.7899999999991</v>
      </c>
      <c r="BS234" s="165"/>
      <c r="BX234" s="495">
        <f t="shared" si="142"/>
        <v>6764.7899999999991</v>
      </c>
      <c r="BZ234" s="636">
        <f t="shared" si="122"/>
        <v>0</v>
      </c>
      <c r="CA234" s="633">
        <f t="shared" si="123"/>
        <v>0</v>
      </c>
    </row>
    <row r="235" spans="1:79" x14ac:dyDescent="0.2">
      <c r="A235" s="4">
        <v>1</v>
      </c>
      <c r="B235" s="4">
        <v>1</v>
      </c>
      <c r="C235" s="5">
        <f t="shared" si="145"/>
        <v>41202</v>
      </c>
      <c r="D235" s="6">
        <v>41202</v>
      </c>
      <c r="E235" s="121">
        <v>43012</v>
      </c>
      <c r="F235" s="6" t="s">
        <v>1606</v>
      </c>
      <c r="G235" s="7" t="s">
        <v>75</v>
      </c>
      <c r="H235" s="7"/>
      <c r="I235" s="7" t="s">
        <v>157</v>
      </c>
      <c r="J235" s="7"/>
      <c r="K235" s="29">
        <v>436292</v>
      </c>
      <c r="L235" s="43" t="s">
        <v>454</v>
      </c>
      <c r="M235" s="10" t="s">
        <v>521</v>
      </c>
      <c r="N235" s="10" t="s">
        <v>522</v>
      </c>
      <c r="O235" s="11" t="s">
        <v>523</v>
      </c>
      <c r="P235" s="12">
        <v>39392</v>
      </c>
      <c r="Q235" s="13">
        <f t="shared" ca="1" si="133"/>
        <v>17.878165639972622</v>
      </c>
      <c r="R235" s="14">
        <v>10</v>
      </c>
      <c r="S235" s="15">
        <v>872</v>
      </c>
      <c r="T235" s="8">
        <v>872</v>
      </c>
      <c r="U235" s="16">
        <v>45017</v>
      </c>
      <c r="V235" s="17">
        <v>1</v>
      </c>
      <c r="W235" s="16">
        <v>45382</v>
      </c>
      <c r="X235" s="14">
        <v>192</v>
      </c>
      <c r="Y235" s="18">
        <f t="shared" si="124"/>
        <v>192</v>
      </c>
      <c r="Z235" s="18">
        <f t="shared" si="148"/>
        <v>1</v>
      </c>
      <c r="AA235" s="18" t="s">
        <v>36</v>
      </c>
      <c r="AB235" s="26">
        <v>28</v>
      </c>
      <c r="AC235" s="26"/>
      <c r="AD235" s="26"/>
      <c r="AE235" s="147" t="str">
        <f t="shared" si="134"/>
        <v>0</v>
      </c>
      <c r="AF235" s="147" t="str">
        <f t="shared" si="135"/>
        <v>1</v>
      </c>
      <c r="AG235" s="147" t="str">
        <f t="shared" si="136"/>
        <v>0</v>
      </c>
      <c r="AH235" s="147" t="str">
        <f t="shared" si="137"/>
        <v>NO</v>
      </c>
      <c r="AI235" s="147" t="str">
        <f t="shared" si="138"/>
        <v>NO</v>
      </c>
      <c r="AJ235" s="147" t="str">
        <f t="shared" si="139"/>
        <v>NO</v>
      </c>
      <c r="AK235" s="147" t="str">
        <f t="shared" si="140"/>
        <v>NO</v>
      </c>
      <c r="AL235" s="21"/>
      <c r="AM235" s="21">
        <f t="shared" si="149"/>
        <v>7237.5599999999995</v>
      </c>
      <c r="AN235" s="27" t="s">
        <v>56</v>
      </c>
      <c r="AO235" s="21">
        <v>1</v>
      </c>
      <c r="AP235" s="21">
        <f t="shared" si="143"/>
        <v>1</v>
      </c>
      <c r="AQ235" s="149">
        <f t="shared" si="146"/>
        <v>7237.5599999999995</v>
      </c>
      <c r="AR235" s="21">
        <v>7237.5599999999995</v>
      </c>
      <c r="AS235" s="610">
        <v>7237.5599999999995</v>
      </c>
      <c r="AT235" s="112">
        <v>7237.5599999999995</v>
      </c>
      <c r="AU235" s="4"/>
      <c r="AV235" s="4"/>
      <c r="AW235" s="23" t="e">
        <f>VLOOKUP(K235,#REF!,8,FALSE)</f>
        <v>#REF!</v>
      </c>
      <c r="AX235" s="23" t="e">
        <f>VLOOKUP(K235,#REF!,8,FALSE)</f>
        <v>#REF!</v>
      </c>
      <c r="AY235" s="23" t="e">
        <f>VLOOKUP(K235,#REF!,8,FALSE)</f>
        <v>#REF!</v>
      </c>
      <c r="AZ235" s="4"/>
      <c r="BA235" s="272"/>
      <c r="BB235" s="313">
        <f t="shared" si="147"/>
        <v>0</v>
      </c>
      <c r="BC235" s="269">
        <f t="shared" si="118"/>
        <v>7237.5599999999995</v>
      </c>
      <c r="BD235" t="str">
        <f t="shared" si="132"/>
        <v/>
      </c>
      <c r="BP235" s="166">
        <f t="shared" si="141"/>
        <v>7237.5599999999995</v>
      </c>
      <c r="BS235" s="165"/>
      <c r="BX235" s="495">
        <f t="shared" si="142"/>
        <v>7237.5599999999995</v>
      </c>
      <c r="BZ235" s="636">
        <f t="shared" si="122"/>
        <v>0</v>
      </c>
      <c r="CA235" s="633">
        <f t="shared" si="123"/>
        <v>0</v>
      </c>
    </row>
    <row r="236" spans="1:79" x14ac:dyDescent="0.2">
      <c r="A236" s="4">
        <v>1</v>
      </c>
      <c r="B236" s="4">
        <v>1</v>
      </c>
      <c r="C236" s="5">
        <f t="shared" si="145"/>
        <v>41202</v>
      </c>
      <c r="D236" s="6">
        <v>41202</v>
      </c>
      <c r="E236" s="121">
        <v>43012</v>
      </c>
      <c r="F236" s="6" t="s">
        <v>1606</v>
      </c>
      <c r="G236" s="7" t="s">
        <v>75</v>
      </c>
      <c r="H236" s="7"/>
      <c r="I236" s="7" t="s">
        <v>157</v>
      </c>
      <c r="J236" s="7"/>
      <c r="K236" s="29">
        <v>374732</v>
      </c>
      <c r="L236" s="43" t="s">
        <v>454</v>
      </c>
      <c r="M236" s="10" t="s">
        <v>99</v>
      </c>
      <c r="N236" s="10" t="s">
        <v>524</v>
      </c>
      <c r="O236" s="11" t="s">
        <v>525</v>
      </c>
      <c r="P236" s="12">
        <v>39123</v>
      </c>
      <c r="Q236" s="13">
        <f t="shared" ca="1" si="133"/>
        <v>18.614647501711158</v>
      </c>
      <c r="R236" s="14">
        <v>11</v>
      </c>
      <c r="S236" s="15">
        <v>872</v>
      </c>
      <c r="T236" s="8">
        <v>872</v>
      </c>
      <c r="U236" s="16">
        <v>45017</v>
      </c>
      <c r="V236" s="17">
        <v>1</v>
      </c>
      <c r="W236" s="16">
        <v>45128</v>
      </c>
      <c r="X236" s="14">
        <v>63</v>
      </c>
      <c r="Y236" s="18">
        <f t="shared" si="124"/>
        <v>63</v>
      </c>
      <c r="Z236" s="18">
        <f t="shared" si="148"/>
        <v>0.328125</v>
      </c>
      <c r="AA236" s="16" t="s">
        <v>166</v>
      </c>
      <c r="AB236" s="26">
        <v>25</v>
      </c>
      <c r="AC236" s="26"/>
      <c r="AD236" s="26"/>
      <c r="AE236" s="147" t="str">
        <f t="shared" si="134"/>
        <v>1</v>
      </c>
      <c r="AF236" s="147" t="str">
        <f t="shared" si="135"/>
        <v>0</v>
      </c>
      <c r="AG236" s="147" t="str">
        <f t="shared" si="136"/>
        <v>0</v>
      </c>
      <c r="AH236" s="147" t="str">
        <f t="shared" si="137"/>
        <v>NO</v>
      </c>
      <c r="AI236" s="147" t="str">
        <f t="shared" si="138"/>
        <v>NO</v>
      </c>
      <c r="AJ236" s="147" t="str">
        <f t="shared" si="139"/>
        <v>NO</v>
      </c>
      <c r="AK236" s="147" t="str">
        <f t="shared" si="140"/>
        <v>NO</v>
      </c>
      <c r="AL236" s="21"/>
      <c r="AM236" s="21">
        <f t="shared" si="149"/>
        <v>5819.25</v>
      </c>
      <c r="AN236" s="27" t="s">
        <v>43</v>
      </c>
      <c r="AO236" s="21">
        <v>1</v>
      </c>
      <c r="AP236" s="21">
        <f t="shared" si="143"/>
        <v>0.328125</v>
      </c>
      <c r="AQ236" s="149">
        <f t="shared" si="146"/>
        <v>1909.44140625</v>
      </c>
      <c r="AR236" s="21">
        <v>1909.44140625</v>
      </c>
      <c r="AS236" s="610">
        <v>1909.44140625</v>
      </c>
      <c r="AT236" s="112">
        <v>1909.44140625</v>
      </c>
      <c r="AU236" s="4"/>
      <c r="AV236" s="4"/>
      <c r="AW236" s="23" t="e">
        <f>VLOOKUP(K236,#REF!,8,FALSE)</f>
        <v>#REF!</v>
      </c>
      <c r="AX236" s="23" t="e">
        <f>VLOOKUP(K236,#REF!,8,FALSE)</f>
        <v>#REF!</v>
      </c>
      <c r="AY236" s="266" t="s">
        <v>2244</v>
      </c>
      <c r="AZ236" s="268" t="s">
        <v>75</v>
      </c>
      <c r="BA236" s="274">
        <f>AM236/3*2</f>
        <v>3879.5</v>
      </c>
      <c r="BB236" s="313">
        <f t="shared" si="147"/>
        <v>0</v>
      </c>
      <c r="BC236" s="269">
        <f t="shared" ref="BC236:BC276" si="150">AR236</f>
        <v>1909.44140625</v>
      </c>
      <c r="BD236" t="e">
        <f t="shared" si="132"/>
        <v>#REF!</v>
      </c>
      <c r="BE236" t="s">
        <v>2351</v>
      </c>
      <c r="BI236" t="e">
        <f>VLOOKUP(K236,#REF!,8,FALSE)</f>
        <v>#REF!</v>
      </c>
      <c r="BK236" s="269"/>
      <c r="BN236" s="353" t="s">
        <v>75</v>
      </c>
      <c r="BO236" s="106"/>
      <c r="BP236" s="166">
        <f t="shared" si="141"/>
        <v>1909.44140625</v>
      </c>
      <c r="BQ236" t="s">
        <v>2351</v>
      </c>
      <c r="BS236" s="165"/>
      <c r="BX236" s="495">
        <f t="shared" si="142"/>
        <v>1909.44140625</v>
      </c>
      <c r="BZ236" s="636">
        <f t="shared" si="122"/>
        <v>0</v>
      </c>
      <c r="CA236" s="633">
        <f t="shared" si="123"/>
        <v>0</v>
      </c>
    </row>
    <row r="237" spans="1:79" x14ac:dyDescent="0.2">
      <c r="A237" s="4">
        <v>1</v>
      </c>
      <c r="B237" s="4">
        <v>1</v>
      </c>
      <c r="C237" s="5">
        <f t="shared" si="145"/>
        <v>41202</v>
      </c>
      <c r="D237" s="6">
        <v>41202</v>
      </c>
      <c r="E237" s="121">
        <v>43012</v>
      </c>
      <c r="F237" s="6" t="s">
        <v>1606</v>
      </c>
      <c r="G237" s="7" t="s">
        <v>75</v>
      </c>
      <c r="H237" s="7"/>
      <c r="I237" s="7" t="s">
        <v>157</v>
      </c>
      <c r="J237" s="7"/>
      <c r="K237" s="29">
        <v>437805</v>
      </c>
      <c r="L237" s="43" t="s">
        <v>454</v>
      </c>
      <c r="M237" s="10" t="s">
        <v>526</v>
      </c>
      <c r="N237" s="10" t="s">
        <v>527</v>
      </c>
      <c r="O237" s="11" t="s">
        <v>528</v>
      </c>
      <c r="P237" s="12">
        <v>39920</v>
      </c>
      <c r="Q237" s="13">
        <f t="shared" ca="1" si="133"/>
        <v>16.432580424366872</v>
      </c>
      <c r="R237" s="14">
        <v>9</v>
      </c>
      <c r="S237" s="15">
        <v>872</v>
      </c>
      <c r="T237" s="8">
        <v>872</v>
      </c>
      <c r="U237" s="16">
        <v>45017</v>
      </c>
      <c r="V237" s="17">
        <v>1</v>
      </c>
      <c r="W237" s="16">
        <v>45382</v>
      </c>
      <c r="X237" s="14">
        <v>192</v>
      </c>
      <c r="Y237" s="18">
        <f t="shared" si="124"/>
        <v>192</v>
      </c>
      <c r="Z237" s="18">
        <f t="shared" si="148"/>
        <v>1</v>
      </c>
      <c r="AA237" s="18" t="s">
        <v>36</v>
      </c>
      <c r="AB237" s="26">
        <v>25</v>
      </c>
      <c r="AC237" s="26"/>
      <c r="AD237" s="26"/>
      <c r="AE237" s="147" t="str">
        <f t="shared" si="134"/>
        <v>1</v>
      </c>
      <c r="AF237" s="147" t="str">
        <f t="shared" si="135"/>
        <v>0</v>
      </c>
      <c r="AG237" s="147" t="str">
        <f t="shared" si="136"/>
        <v>0</v>
      </c>
      <c r="AH237" s="147" t="str">
        <f t="shared" si="137"/>
        <v>NO</v>
      </c>
      <c r="AI237" s="147" t="str">
        <f t="shared" si="138"/>
        <v>NO</v>
      </c>
      <c r="AJ237" s="147" t="str">
        <f t="shared" si="139"/>
        <v>NO</v>
      </c>
      <c r="AK237" s="147" t="str">
        <f t="shared" si="140"/>
        <v>NO</v>
      </c>
      <c r="AL237" s="21"/>
      <c r="AM237" s="21">
        <f t="shared" si="149"/>
        <v>5819.25</v>
      </c>
      <c r="AN237" s="27" t="s">
        <v>43</v>
      </c>
      <c r="AO237" s="21">
        <v>1</v>
      </c>
      <c r="AP237" s="21">
        <f t="shared" si="143"/>
        <v>1</v>
      </c>
      <c r="AQ237" s="149">
        <f t="shared" si="146"/>
        <v>5819.25</v>
      </c>
      <c r="AR237" s="21">
        <v>5819.25</v>
      </c>
      <c r="AS237" s="610">
        <v>5819.25</v>
      </c>
      <c r="AT237" s="112">
        <v>5819.25</v>
      </c>
      <c r="AU237" s="4"/>
      <c r="AV237" s="4"/>
      <c r="AW237" s="23" t="e">
        <f>VLOOKUP(K237,#REF!,8,FALSE)</f>
        <v>#REF!</v>
      </c>
      <c r="AX237" s="23" t="e">
        <f>VLOOKUP(K237,#REF!,8,FALSE)</f>
        <v>#REF!</v>
      </c>
      <c r="AY237" s="23" t="e">
        <f>VLOOKUP(K237,#REF!,8,FALSE)</f>
        <v>#REF!</v>
      </c>
      <c r="AZ237" s="4"/>
      <c r="BA237" s="272"/>
      <c r="BB237" s="313">
        <f t="shared" si="147"/>
        <v>0</v>
      </c>
      <c r="BC237" s="269">
        <f t="shared" si="150"/>
        <v>5819.25</v>
      </c>
      <c r="BD237" t="str">
        <f t="shared" ref="BD237:BD265" si="151">BG237&amp;BH237&amp;BI237</f>
        <v/>
      </c>
      <c r="BP237" s="166">
        <f t="shared" si="141"/>
        <v>5819.25</v>
      </c>
      <c r="BS237" s="165"/>
      <c r="BX237" s="495">
        <f t="shared" si="142"/>
        <v>5819.25</v>
      </c>
      <c r="BZ237" s="636">
        <f t="shared" si="122"/>
        <v>0</v>
      </c>
      <c r="CA237" s="633">
        <f t="shared" si="123"/>
        <v>0</v>
      </c>
    </row>
    <row r="238" spans="1:79" x14ac:dyDescent="0.2">
      <c r="A238" s="4">
        <v>1</v>
      </c>
      <c r="B238" s="4">
        <v>1</v>
      </c>
      <c r="C238" s="5">
        <f t="shared" si="145"/>
        <v>41202</v>
      </c>
      <c r="D238" s="6">
        <v>41202</v>
      </c>
      <c r="E238" s="121">
        <v>43012</v>
      </c>
      <c r="F238" s="6" t="s">
        <v>1606</v>
      </c>
      <c r="G238" s="7" t="s">
        <v>75</v>
      </c>
      <c r="H238" s="7"/>
      <c r="I238" s="7" t="s">
        <v>157</v>
      </c>
      <c r="J238" s="7"/>
      <c r="K238" s="29">
        <v>378540</v>
      </c>
      <c r="L238" s="43" t="s">
        <v>454</v>
      </c>
      <c r="M238" s="10" t="s">
        <v>443</v>
      </c>
      <c r="N238" s="10" t="s">
        <v>529</v>
      </c>
      <c r="O238" s="11" t="s">
        <v>530</v>
      </c>
      <c r="P238" s="12">
        <v>39832</v>
      </c>
      <c r="Q238" s="13">
        <f t="shared" ca="1" si="133"/>
        <v>16.673511293634498</v>
      </c>
      <c r="R238" s="14">
        <v>9</v>
      </c>
      <c r="S238" s="15">
        <v>872</v>
      </c>
      <c r="T238" s="8">
        <v>872</v>
      </c>
      <c r="U238" s="16">
        <v>45017</v>
      </c>
      <c r="V238" s="17">
        <v>1</v>
      </c>
      <c r="W238" s="16">
        <v>45382</v>
      </c>
      <c r="X238" s="14">
        <v>192</v>
      </c>
      <c r="Y238" s="18">
        <f t="shared" si="124"/>
        <v>192</v>
      </c>
      <c r="Z238" s="18">
        <f t="shared" si="148"/>
        <v>1</v>
      </c>
      <c r="AA238" s="18" t="s">
        <v>36</v>
      </c>
      <c r="AB238" s="26">
        <v>30</v>
      </c>
      <c r="AC238" s="26"/>
      <c r="AD238" s="26"/>
      <c r="AE238" s="147" t="str">
        <f t="shared" si="134"/>
        <v>0</v>
      </c>
      <c r="AF238" s="147" t="str">
        <f t="shared" si="135"/>
        <v>1</v>
      </c>
      <c r="AG238" s="147" t="str">
        <f t="shared" si="136"/>
        <v>0</v>
      </c>
      <c r="AH238" s="147" t="str">
        <f t="shared" si="137"/>
        <v>NO</v>
      </c>
      <c r="AI238" s="147" t="str">
        <f t="shared" si="138"/>
        <v>NO</v>
      </c>
      <c r="AJ238" s="147" t="str">
        <f t="shared" si="139"/>
        <v>NO</v>
      </c>
      <c r="AK238" s="147" t="str">
        <f t="shared" si="140"/>
        <v>NO</v>
      </c>
      <c r="AL238" s="21"/>
      <c r="AM238" s="21">
        <f t="shared" si="149"/>
        <v>8183.0999999999985</v>
      </c>
      <c r="AN238" s="27" t="s">
        <v>56</v>
      </c>
      <c r="AO238" s="21">
        <v>1</v>
      </c>
      <c r="AP238" s="21">
        <f t="shared" si="143"/>
        <v>1</v>
      </c>
      <c r="AQ238" s="149">
        <f t="shared" si="146"/>
        <v>8183.0999999999985</v>
      </c>
      <c r="AR238" s="21">
        <v>8183.0999999999985</v>
      </c>
      <c r="AS238" s="610">
        <v>8183.0999999999985</v>
      </c>
      <c r="AT238" s="112">
        <v>8183.0999999999985</v>
      </c>
      <c r="AU238" s="4"/>
      <c r="AV238" s="4"/>
      <c r="AW238" s="23" t="e">
        <f>VLOOKUP(K238,#REF!,8,FALSE)</f>
        <v>#REF!</v>
      </c>
      <c r="AX238" s="23" t="e">
        <f>VLOOKUP(K238,#REF!,8,FALSE)</f>
        <v>#REF!</v>
      </c>
      <c r="AY238" s="23" t="e">
        <f>VLOOKUP(K238,#REF!,8,FALSE)</f>
        <v>#REF!</v>
      </c>
      <c r="AZ238" s="4"/>
      <c r="BA238" s="272"/>
      <c r="BB238" s="313">
        <f t="shared" si="147"/>
        <v>0</v>
      </c>
      <c r="BC238" s="269">
        <f t="shared" si="150"/>
        <v>8183.0999999999985</v>
      </c>
      <c r="BD238" t="str">
        <f t="shared" si="151"/>
        <v/>
      </c>
      <c r="BP238" s="166">
        <f t="shared" si="141"/>
        <v>8183.0999999999985</v>
      </c>
      <c r="BS238" s="165"/>
      <c r="BX238" s="495">
        <f t="shared" si="142"/>
        <v>8183.0999999999985</v>
      </c>
      <c r="BZ238" s="636">
        <f t="shared" si="122"/>
        <v>0</v>
      </c>
      <c r="CA238" s="633">
        <f t="shared" si="123"/>
        <v>0</v>
      </c>
    </row>
    <row r="239" spans="1:79" x14ac:dyDescent="0.2">
      <c r="A239" s="4">
        <v>0</v>
      </c>
      <c r="B239" s="4">
        <v>1</v>
      </c>
      <c r="C239" s="5">
        <f t="shared" si="145"/>
        <v>41202</v>
      </c>
      <c r="D239" s="6">
        <v>41202</v>
      </c>
      <c r="E239" s="121">
        <v>43012</v>
      </c>
      <c r="F239" s="6" t="s">
        <v>1606</v>
      </c>
      <c r="G239" s="7" t="s">
        <v>75</v>
      </c>
      <c r="H239" s="7"/>
      <c r="I239" s="7" t="s">
        <v>157</v>
      </c>
      <c r="J239" s="7" t="s">
        <v>142</v>
      </c>
      <c r="K239" s="29">
        <v>378540</v>
      </c>
      <c r="L239" s="43" t="s">
        <v>454</v>
      </c>
      <c r="M239" s="10" t="s">
        <v>443</v>
      </c>
      <c r="N239" s="10" t="s">
        <v>529</v>
      </c>
      <c r="O239" s="11" t="s">
        <v>530</v>
      </c>
      <c r="P239" s="12">
        <v>39832</v>
      </c>
      <c r="Q239" s="13">
        <f t="shared" ca="1" si="133"/>
        <v>16.673511293634498</v>
      </c>
      <c r="R239" s="14">
        <v>9</v>
      </c>
      <c r="S239" s="15">
        <v>872</v>
      </c>
      <c r="T239" s="8">
        <v>872</v>
      </c>
      <c r="U239" s="16">
        <v>45017</v>
      </c>
      <c r="V239" s="17">
        <v>1</v>
      </c>
      <c r="W239" s="16">
        <v>45138</v>
      </c>
      <c r="X239" s="14">
        <v>63</v>
      </c>
      <c r="Y239" s="18">
        <f t="shared" si="124"/>
        <v>63</v>
      </c>
      <c r="Z239" s="18">
        <f t="shared" si="148"/>
        <v>0.328125</v>
      </c>
      <c r="AA239" s="16">
        <v>45138</v>
      </c>
      <c r="AB239" s="26">
        <v>4980.1499999999996</v>
      </c>
      <c r="AC239" s="26"/>
      <c r="AD239" s="26"/>
      <c r="AE239" s="147" t="str">
        <f t="shared" si="134"/>
        <v>0</v>
      </c>
      <c r="AF239" s="147" t="str">
        <f t="shared" si="135"/>
        <v>0</v>
      </c>
      <c r="AG239" s="147" t="str">
        <f t="shared" si="136"/>
        <v>1</v>
      </c>
      <c r="AH239" s="147" t="str">
        <f t="shared" si="137"/>
        <v>NO</v>
      </c>
      <c r="AI239" s="147" t="str">
        <f t="shared" si="138"/>
        <v>NO</v>
      </c>
      <c r="AJ239" s="147" t="str">
        <f t="shared" si="139"/>
        <v>NO</v>
      </c>
      <c r="AK239" s="147" t="str">
        <f t="shared" si="140"/>
        <v>NO</v>
      </c>
      <c r="AL239" s="21"/>
      <c r="AM239" s="21">
        <v>4980.1499999999996</v>
      </c>
      <c r="AN239" s="27" t="s">
        <v>56</v>
      </c>
      <c r="AO239" s="21">
        <v>1</v>
      </c>
      <c r="AP239" s="21">
        <f t="shared" si="143"/>
        <v>0.328125</v>
      </c>
      <c r="AQ239" s="149">
        <f t="shared" si="146"/>
        <v>1634.1117187499999</v>
      </c>
      <c r="AR239" s="21">
        <v>1634.1117187499999</v>
      </c>
      <c r="AS239" s="610">
        <v>1634.1117187499999</v>
      </c>
      <c r="AT239" s="112">
        <v>1634.1117187499999</v>
      </c>
      <c r="AU239" s="4"/>
      <c r="AV239" s="4"/>
      <c r="AW239" s="23" t="e">
        <f>VLOOKUP(K239,#REF!,8,FALSE)</f>
        <v>#REF!</v>
      </c>
      <c r="AX239" s="23" t="e">
        <f>VLOOKUP(K239,#REF!,8,FALSE)</f>
        <v>#REF!</v>
      </c>
      <c r="AY239" s="23" t="e">
        <f>VLOOKUP(K239,#REF!,8,FALSE)</f>
        <v>#REF!</v>
      </c>
      <c r="AZ239" s="4"/>
      <c r="BA239" s="272"/>
      <c r="BB239" s="313">
        <f t="shared" si="147"/>
        <v>0</v>
      </c>
      <c r="BC239" s="269">
        <f t="shared" si="150"/>
        <v>1634.1117187499999</v>
      </c>
      <c r="BD239" t="str">
        <f t="shared" si="151"/>
        <v/>
      </c>
      <c r="BJ239">
        <f>AB239</f>
        <v>4980.1499999999996</v>
      </c>
      <c r="BK239" s="269">
        <f>AM239</f>
        <v>4980.1499999999996</v>
      </c>
      <c r="BO239" s="106">
        <f>BK239/192*127</f>
        <v>3294.1617187500001</v>
      </c>
      <c r="BP239" s="166">
        <f t="shared" si="141"/>
        <v>4928.2734375</v>
      </c>
      <c r="BS239" s="165"/>
      <c r="BX239" s="495">
        <f t="shared" si="142"/>
        <v>4928.2734375</v>
      </c>
      <c r="BZ239" s="636">
        <f t="shared" si="122"/>
        <v>0</v>
      </c>
      <c r="CA239" s="633">
        <f t="shared" si="123"/>
        <v>3294.1617187500001</v>
      </c>
    </row>
    <row r="240" spans="1:79" x14ac:dyDescent="0.2">
      <c r="A240" s="4">
        <v>1</v>
      </c>
      <c r="B240" s="4">
        <v>1</v>
      </c>
      <c r="C240" s="5">
        <f t="shared" si="145"/>
        <v>41202</v>
      </c>
      <c r="D240" s="6">
        <v>41202</v>
      </c>
      <c r="E240" s="121">
        <v>43012</v>
      </c>
      <c r="F240" s="6" t="s">
        <v>1606</v>
      </c>
      <c r="G240" s="7" t="s">
        <v>75</v>
      </c>
      <c r="H240" s="7"/>
      <c r="I240" s="7" t="s">
        <v>157</v>
      </c>
      <c r="J240" s="7"/>
      <c r="K240" s="29">
        <v>377087</v>
      </c>
      <c r="L240" s="43" t="s">
        <v>454</v>
      </c>
      <c r="M240" s="10" t="s">
        <v>531</v>
      </c>
      <c r="N240" s="10" t="s">
        <v>532</v>
      </c>
      <c r="O240" s="11" t="s">
        <v>533</v>
      </c>
      <c r="P240" s="12">
        <v>39613</v>
      </c>
      <c r="Q240" s="13">
        <f t="shared" ca="1" si="133"/>
        <v>17.273100616016428</v>
      </c>
      <c r="R240" s="14">
        <v>10</v>
      </c>
      <c r="S240" s="15">
        <v>872</v>
      </c>
      <c r="T240" s="8">
        <v>872</v>
      </c>
      <c r="U240" s="16">
        <v>45017</v>
      </c>
      <c r="V240" s="17">
        <v>1</v>
      </c>
      <c r="W240" s="16">
        <v>45382</v>
      </c>
      <c r="X240" s="14">
        <v>192</v>
      </c>
      <c r="Y240" s="18">
        <f t="shared" si="124"/>
        <v>192</v>
      </c>
      <c r="Z240" s="18">
        <f t="shared" si="148"/>
        <v>1</v>
      </c>
      <c r="AA240" s="18" t="s">
        <v>36</v>
      </c>
      <c r="AB240" s="26">
        <v>25</v>
      </c>
      <c r="AC240" s="26"/>
      <c r="AD240" s="26"/>
      <c r="AE240" s="147" t="str">
        <f t="shared" si="134"/>
        <v>1</v>
      </c>
      <c r="AF240" s="147" t="str">
        <f t="shared" si="135"/>
        <v>0</v>
      </c>
      <c r="AG240" s="147" t="str">
        <f t="shared" si="136"/>
        <v>0</v>
      </c>
      <c r="AH240" s="147" t="str">
        <f t="shared" si="137"/>
        <v>NO</v>
      </c>
      <c r="AI240" s="147" t="str">
        <f t="shared" si="138"/>
        <v>NO</v>
      </c>
      <c r="AJ240" s="147" t="str">
        <f t="shared" si="139"/>
        <v>NO</v>
      </c>
      <c r="AK240" s="147" t="str">
        <f t="shared" si="140"/>
        <v>NO</v>
      </c>
      <c r="AL240" s="21"/>
      <c r="AM240" s="21">
        <f>IF(H240="Y",AL240,((AB240*$O$902)-6000))</f>
        <v>5819.25</v>
      </c>
      <c r="AN240" s="27" t="s">
        <v>43</v>
      </c>
      <c r="AO240" s="21">
        <v>1</v>
      </c>
      <c r="AP240" s="21">
        <f t="shared" si="143"/>
        <v>1</v>
      </c>
      <c r="AQ240" s="149">
        <f t="shared" si="146"/>
        <v>5819.25</v>
      </c>
      <c r="AR240" s="21">
        <v>5819.25</v>
      </c>
      <c r="AS240" s="610">
        <v>5819.25</v>
      </c>
      <c r="AT240" s="112">
        <v>5819.25</v>
      </c>
      <c r="AU240" s="4"/>
      <c r="AV240" s="4"/>
      <c r="AW240" s="23" t="e">
        <f>VLOOKUP(K240,#REF!,8,FALSE)</f>
        <v>#REF!</v>
      </c>
      <c r="AX240" s="23" t="e">
        <f>VLOOKUP(K240,#REF!,8,FALSE)</f>
        <v>#REF!</v>
      </c>
      <c r="AY240" s="23" t="e">
        <f>VLOOKUP(K240,#REF!,8,FALSE)</f>
        <v>#REF!</v>
      </c>
      <c r="AZ240" s="4"/>
      <c r="BA240" s="272"/>
      <c r="BB240" s="313">
        <f t="shared" si="147"/>
        <v>0</v>
      </c>
      <c r="BC240" s="269">
        <f t="shared" si="150"/>
        <v>5819.25</v>
      </c>
      <c r="BD240" t="str">
        <f t="shared" si="151"/>
        <v/>
      </c>
      <c r="BP240" s="166">
        <f t="shared" si="141"/>
        <v>5819.25</v>
      </c>
      <c r="BS240" s="165"/>
      <c r="BX240" s="495">
        <f t="shared" si="142"/>
        <v>5819.25</v>
      </c>
      <c r="BZ240" s="636">
        <f t="shared" si="122"/>
        <v>0</v>
      </c>
      <c r="CA240" s="633">
        <f t="shared" si="123"/>
        <v>0</v>
      </c>
    </row>
    <row r="241" spans="1:79" x14ac:dyDescent="0.2">
      <c r="A241" s="4">
        <v>1</v>
      </c>
      <c r="B241" s="4">
        <v>1</v>
      </c>
      <c r="C241" s="5">
        <f t="shared" si="145"/>
        <v>41202</v>
      </c>
      <c r="D241" s="6">
        <v>41202</v>
      </c>
      <c r="E241" s="121">
        <v>43012</v>
      </c>
      <c r="F241" s="6" t="s">
        <v>1606</v>
      </c>
      <c r="G241" s="7" t="s">
        <v>75</v>
      </c>
      <c r="H241" s="7"/>
      <c r="I241" s="7" t="s">
        <v>157</v>
      </c>
      <c r="J241" s="7"/>
      <c r="K241" s="29">
        <v>380936</v>
      </c>
      <c r="L241" s="43" t="s">
        <v>454</v>
      </c>
      <c r="M241" s="10" t="s">
        <v>463</v>
      </c>
      <c r="N241" s="10" t="s">
        <v>534</v>
      </c>
      <c r="O241" s="11" t="s">
        <v>535</v>
      </c>
      <c r="P241" s="12">
        <v>39824</v>
      </c>
      <c r="Q241" s="13">
        <f t="shared" ca="1" si="133"/>
        <v>16.695414099931554</v>
      </c>
      <c r="R241" s="14">
        <v>9</v>
      </c>
      <c r="S241" s="15">
        <v>872</v>
      </c>
      <c r="T241" s="8">
        <v>872</v>
      </c>
      <c r="U241" s="16">
        <v>45017</v>
      </c>
      <c r="V241" s="17">
        <v>1</v>
      </c>
      <c r="W241" s="16">
        <v>45382</v>
      </c>
      <c r="X241" s="14">
        <v>192</v>
      </c>
      <c r="Y241" s="18">
        <f t="shared" si="124"/>
        <v>192</v>
      </c>
      <c r="Z241" s="18">
        <f t="shared" si="148"/>
        <v>1</v>
      </c>
      <c r="AA241" s="18" t="s">
        <v>36</v>
      </c>
      <c r="AB241" s="26">
        <v>28</v>
      </c>
      <c r="AC241" s="26"/>
      <c r="AD241" s="26"/>
      <c r="AE241" s="147" t="str">
        <f t="shared" si="134"/>
        <v>0</v>
      </c>
      <c r="AF241" s="147" t="str">
        <f t="shared" si="135"/>
        <v>1</v>
      </c>
      <c r="AG241" s="147" t="str">
        <f t="shared" si="136"/>
        <v>0</v>
      </c>
      <c r="AH241" s="147" t="str">
        <f t="shared" si="137"/>
        <v>NO</v>
      </c>
      <c r="AI241" s="147" t="str">
        <f t="shared" si="138"/>
        <v>NO</v>
      </c>
      <c r="AJ241" s="147" t="str">
        <f t="shared" si="139"/>
        <v>NO</v>
      </c>
      <c r="AK241" s="147" t="str">
        <f t="shared" si="140"/>
        <v>NO</v>
      </c>
      <c r="AL241" s="21"/>
      <c r="AM241" s="21">
        <f>IF(H241="Y",AL241,((AB241*$O$902)-6000))</f>
        <v>7237.5599999999995</v>
      </c>
      <c r="AN241" s="27" t="s">
        <v>536</v>
      </c>
      <c r="AO241" s="21">
        <v>1</v>
      </c>
      <c r="AP241" s="21">
        <f t="shared" si="143"/>
        <v>1</v>
      </c>
      <c r="AQ241" s="149">
        <f t="shared" si="146"/>
        <v>7237.5599999999995</v>
      </c>
      <c r="AR241" s="21">
        <v>7237.5599999999995</v>
      </c>
      <c r="AS241" s="610">
        <v>7237.5599999999995</v>
      </c>
      <c r="AT241" s="112">
        <v>7237.5599999999995</v>
      </c>
      <c r="AU241" s="4"/>
      <c r="AV241" s="4"/>
      <c r="AW241" s="23" t="e">
        <f>VLOOKUP(K241,#REF!,8,FALSE)</f>
        <v>#REF!</v>
      </c>
      <c r="AX241" s="23" t="e">
        <f>VLOOKUP(K241,#REF!,8,FALSE)</f>
        <v>#REF!</v>
      </c>
      <c r="AY241" s="23" t="e">
        <f>VLOOKUP(K241,#REF!,8,FALSE)</f>
        <v>#REF!</v>
      </c>
      <c r="AZ241" s="4"/>
      <c r="BA241" s="272"/>
      <c r="BB241" s="313">
        <f t="shared" si="147"/>
        <v>0</v>
      </c>
      <c r="BC241" s="269">
        <f t="shared" si="150"/>
        <v>7237.5599999999995</v>
      </c>
      <c r="BD241" t="str">
        <f t="shared" si="151"/>
        <v/>
      </c>
      <c r="BP241" s="166">
        <f t="shared" si="141"/>
        <v>7237.5599999999995</v>
      </c>
      <c r="BS241" s="165"/>
      <c r="BX241" s="495">
        <f t="shared" si="142"/>
        <v>7237.5599999999995</v>
      </c>
      <c r="BZ241" s="636">
        <f t="shared" si="122"/>
        <v>0</v>
      </c>
      <c r="CA241" s="633">
        <f t="shared" si="123"/>
        <v>0</v>
      </c>
    </row>
    <row r="242" spans="1:79" x14ac:dyDescent="0.2">
      <c r="A242" s="4">
        <v>1</v>
      </c>
      <c r="B242" s="4">
        <v>1</v>
      </c>
      <c r="C242" s="5">
        <f t="shared" si="145"/>
        <v>41202</v>
      </c>
      <c r="D242" s="6">
        <v>41202</v>
      </c>
      <c r="E242" s="121">
        <v>43012</v>
      </c>
      <c r="F242" s="6" t="s">
        <v>1606</v>
      </c>
      <c r="G242" s="7" t="s">
        <v>75</v>
      </c>
      <c r="H242" s="7"/>
      <c r="I242" s="7" t="s">
        <v>157</v>
      </c>
      <c r="J242" s="7"/>
      <c r="K242" s="29">
        <v>375542</v>
      </c>
      <c r="L242" s="43" t="s">
        <v>454</v>
      </c>
      <c r="M242" s="10" t="s">
        <v>755</v>
      </c>
      <c r="N242" s="10" t="s">
        <v>2292</v>
      </c>
      <c r="O242" s="11" t="s">
        <v>2293</v>
      </c>
      <c r="P242" s="12">
        <v>39698</v>
      </c>
      <c r="Q242" s="13">
        <f t="shared" ca="1" si="133"/>
        <v>17.0403832991102</v>
      </c>
      <c r="R242" s="14">
        <v>9</v>
      </c>
      <c r="S242" s="15">
        <v>872</v>
      </c>
      <c r="T242" s="8">
        <v>872</v>
      </c>
      <c r="U242" s="16">
        <v>45067</v>
      </c>
      <c r="V242" s="17">
        <v>24</v>
      </c>
      <c r="W242" s="16">
        <v>45382</v>
      </c>
      <c r="X242" s="14">
        <v>192</v>
      </c>
      <c r="Y242" s="18">
        <f t="shared" si="124"/>
        <v>169</v>
      </c>
      <c r="Z242" s="18">
        <f t="shared" si="148"/>
        <v>0.88020833333333337</v>
      </c>
      <c r="AA242" s="18" t="s">
        <v>36</v>
      </c>
      <c r="AB242" s="26">
        <v>26</v>
      </c>
      <c r="AC242" s="26"/>
      <c r="AD242" s="26"/>
      <c r="AE242" s="147" t="str">
        <f t="shared" si="134"/>
        <v>0</v>
      </c>
      <c r="AF242" s="147" t="str">
        <f t="shared" si="135"/>
        <v>1</v>
      </c>
      <c r="AG242" s="147" t="str">
        <f t="shared" si="136"/>
        <v>0</v>
      </c>
      <c r="AH242" s="147" t="str">
        <f t="shared" si="137"/>
        <v>NO</v>
      </c>
      <c r="AI242" s="147" t="str">
        <f t="shared" si="138"/>
        <v>NO</v>
      </c>
      <c r="AJ242" s="147" t="str">
        <f t="shared" si="139"/>
        <v>NO</v>
      </c>
      <c r="AK242" s="147" t="str">
        <f t="shared" si="140"/>
        <v>NO</v>
      </c>
      <c r="AL242" s="21"/>
      <c r="AM242" s="21">
        <f>IF(H242="Y",AL242,((AB242*$O$902)-6000))</f>
        <v>6292.02</v>
      </c>
      <c r="AN242" s="27" t="s">
        <v>56</v>
      </c>
      <c r="AO242" s="21">
        <v>1</v>
      </c>
      <c r="AP242" s="21">
        <f t="shared" si="143"/>
        <v>0.88020833333333337</v>
      </c>
      <c r="AQ242" s="149">
        <f t="shared" si="146"/>
        <v>5538.2884375000003</v>
      </c>
      <c r="AR242" s="21">
        <v>5538.2884375000003</v>
      </c>
      <c r="AS242" s="610">
        <v>0</v>
      </c>
      <c r="AT242" s="112">
        <v>0</v>
      </c>
      <c r="AU242" s="4"/>
      <c r="AV242" s="4"/>
      <c r="AW242" s="23"/>
      <c r="AX242" s="23"/>
      <c r="AY242" s="23"/>
      <c r="AZ242" s="4"/>
      <c r="BA242" s="272"/>
      <c r="BB242" s="313">
        <f t="shared" si="147"/>
        <v>5538.2884375000003</v>
      </c>
      <c r="BC242" s="269">
        <f t="shared" si="150"/>
        <v>5538.2884375000003</v>
      </c>
      <c r="BD242" t="str">
        <f t="shared" si="151"/>
        <v/>
      </c>
      <c r="BP242" s="166">
        <f t="shared" si="141"/>
        <v>5538.2884375000003</v>
      </c>
      <c r="BS242" s="165"/>
      <c r="BX242" s="495">
        <f t="shared" si="142"/>
        <v>5538.2884375000003</v>
      </c>
      <c r="BZ242" s="636">
        <f t="shared" si="122"/>
        <v>0</v>
      </c>
      <c r="CA242" s="633">
        <f t="shared" si="123"/>
        <v>5538.2884375000003</v>
      </c>
    </row>
    <row r="243" spans="1:79" x14ac:dyDescent="0.2">
      <c r="A243" s="4">
        <v>1</v>
      </c>
      <c r="B243" s="4">
        <v>1</v>
      </c>
      <c r="C243" s="5">
        <f t="shared" si="145"/>
        <v>41202</v>
      </c>
      <c r="D243" s="6">
        <v>41202</v>
      </c>
      <c r="E243" s="121">
        <v>43012</v>
      </c>
      <c r="F243" s="6" t="s">
        <v>1606</v>
      </c>
      <c r="G243" s="7" t="s">
        <v>75</v>
      </c>
      <c r="H243" s="7"/>
      <c r="I243" s="7" t="s">
        <v>157</v>
      </c>
      <c r="J243" s="7"/>
      <c r="K243" s="29">
        <v>368463</v>
      </c>
      <c r="L243" s="43" t="s">
        <v>454</v>
      </c>
      <c r="M243" s="10" t="s">
        <v>537</v>
      </c>
      <c r="N243" s="10" t="s">
        <v>538</v>
      </c>
      <c r="O243" s="11" t="s">
        <v>539</v>
      </c>
      <c r="P243" s="12">
        <v>39146</v>
      </c>
      <c r="Q243" s="13">
        <f t="shared" ca="1" si="133"/>
        <v>18.551676933607119</v>
      </c>
      <c r="R243" s="14">
        <v>11</v>
      </c>
      <c r="S243" s="15">
        <v>872</v>
      </c>
      <c r="T243" s="8">
        <v>872</v>
      </c>
      <c r="U243" s="16">
        <v>45017</v>
      </c>
      <c r="V243" s="17">
        <v>1</v>
      </c>
      <c r="W243" s="16">
        <v>45128</v>
      </c>
      <c r="X243" s="14">
        <v>63</v>
      </c>
      <c r="Y243" s="18">
        <f t="shared" si="124"/>
        <v>63</v>
      </c>
      <c r="Z243" s="18">
        <f t="shared" si="148"/>
        <v>0.328125</v>
      </c>
      <c r="AA243" s="16" t="s">
        <v>166</v>
      </c>
      <c r="AB243" s="26">
        <v>25</v>
      </c>
      <c r="AC243" s="26"/>
      <c r="AD243" s="26"/>
      <c r="AE243" s="147" t="str">
        <f t="shared" si="134"/>
        <v>1</v>
      </c>
      <c r="AF243" s="147" t="str">
        <f t="shared" si="135"/>
        <v>0</v>
      </c>
      <c r="AG243" s="147" t="str">
        <f t="shared" si="136"/>
        <v>0</v>
      </c>
      <c r="AH243" s="147" t="str">
        <f t="shared" si="137"/>
        <v>NO</v>
      </c>
      <c r="AI243" s="147" t="str">
        <f t="shared" si="138"/>
        <v>NO</v>
      </c>
      <c r="AJ243" s="147" t="str">
        <f t="shared" si="139"/>
        <v>NO</v>
      </c>
      <c r="AK243" s="147" t="str">
        <f t="shared" si="140"/>
        <v>NO</v>
      </c>
      <c r="AL243" s="21"/>
      <c r="AM243" s="21">
        <f>IF(H243="Y",AL243,((AB243*$O$902)-6000))</f>
        <v>5819.25</v>
      </c>
      <c r="AN243" s="27" t="s">
        <v>43</v>
      </c>
      <c r="AO243" s="21">
        <v>1</v>
      </c>
      <c r="AP243" s="21">
        <f t="shared" si="143"/>
        <v>0.328125</v>
      </c>
      <c r="AQ243" s="149">
        <f t="shared" si="146"/>
        <v>1909.44140625</v>
      </c>
      <c r="AR243" s="21">
        <v>1909.44140625</v>
      </c>
      <c r="AS243" s="610">
        <v>1909.44140625</v>
      </c>
      <c r="AT243" s="112">
        <v>1909.44140625</v>
      </c>
      <c r="AU243" s="4"/>
      <c r="AV243" s="4"/>
      <c r="AW243" s="23" t="e">
        <f>VLOOKUP(K243,#REF!,8,FALSE)</f>
        <v>#REF!</v>
      </c>
      <c r="AX243" s="23" t="e">
        <f>VLOOKUP(K243,#REF!,8,FALSE)</f>
        <v>#REF!</v>
      </c>
      <c r="AY243" s="266" t="s">
        <v>2235</v>
      </c>
      <c r="AZ243" s="268" t="s">
        <v>75</v>
      </c>
      <c r="BA243" s="274">
        <f>AM243/3*2</f>
        <v>3879.5</v>
      </c>
      <c r="BB243" s="313">
        <f t="shared" si="147"/>
        <v>0</v>
      </c>
      <c r="BC243" s="269">
        <f t="shared" si="150"/>
        <v>1909.44140625</v>
      </c>
      <c r="BD243" t="e">
        <f t="shared" si="151"/>
        <v>#REF!</v>
      </c>
      <c r="BE243" t="s">
        <v>2351</v>
      </c>
      <c r="BI243" t="e">
        <f>VLOOKUP(K243,#REF!,8,FALSE)</f>
        <v>#REF!</v>
      </c>
      <c r="BK243" s="269"/>
      <c r="BN243" s="353" t="s">
        <v>75</v>
      </c>
      <c r="BO243" s="106"/>
      <c r="BP243" s="166">
        <f t="shared" si="141"/>
        <v>1909.44140625</v>
      </c>
      <c r="BQ243" t="s">
        <v>2351</v>
      </c>
      <c r="BS243" s="165"/>
      <c r="BX243" s="495">
        <f t="shared" si="142"/>
        <v>1909.44140625</v>
      </c>
      <c r="BZ243" s="636">
        <f t="shared" si="122"/>
        <v>0</v>
      </c>
      <c r="CA243" s="633">
        <f t="shared" si="123"/>
        <v>0</v>
      </c>
    </row>
    <row r="244" spans="1:79" x14ac:dyDescent="0.2">
      <c r="A244" s="4">
        <v>1</v>
      </c>
      <c r="B244" s="4">
        <v>1</v>
      </c>
      <c r="C244" s="5">
        <f t="shared" si="145"/>
        <v>41202</v>
      </c>
      <c r="D244" s="6">
        <v>41202</v>
      </c>
      <c r="E244" s="121">
        <v>43012</v>
      </c>
      <c r="F244" s="6" t="s">
        <v>1606</v>
      </c>
      <c r="G244" s="7" t="s">
        <v>75</v>
      </c>
      <c r="H244" s="7"/>
      <c r="I244" s="7" t="s">
        <v>157</v>
      </c>
      <c r="J244" s="7"/>
      <c r="K244" s="29">
        <v>371168</v>
      </c>
      <c r="L244" s="43" t="s">
        <v>454</v>
      </c>
      <c r="M244" s="10" t="s">
        <v>540</v>
      </c>
      <c r="N244" s="10" t="s">
        <v>541</v>
      </c>
      <c r="O244" s="11" t="s">
        <v>542</v>
      </c>
      <c r="P244" s="12">
        <v>39295</v>
      </c>
      <c r="Q244" s="13">
        <f t="shared" ca="1" si="133"/>
        <v>18.143737166324435</v>
      </c>
      <c r="R244" s="14">
        <v>11</v>
      </c>
      <c r="S244" s="15">
        <v>872</v>
      </c>
      <c r="T244" s="8">
        <v>872</v>
      </c>
      <c r="U244" s="16">
        <v>45017</v>
      </c>
      <c r="V244" s="17">
        <v>1</v>
      </c>
      <c r="W244" s="16">
        <v>45128</v>
      </c>
      <c r="X244" s="14">
        <v>63</v>
      </c>
      <c r="Y244" s="18">
        <f t="shared" si="124"/>
        <v>63</v>
      </c>
      <c r="Z244" s="18">
        <v>1</v>
      </c>
      <c r="AA244" s="16" t="s">
        <v>166</v>
      </c>
      <c r="AB244" s="26">
        <v>9831.24</v>
      </c>
      <c r="AC244" s="26"/>
      <c r="AD244" s="26"/>
      <c r="AE244" s="147" t="str">
        <f t="shared" si="134"/>
        <v>0</v>
      </c>
      <c r="AF244" s="147" t="str">
        <f t="shared" si="135"/>
        <v>0</v>
      </c>
      <c r="AG244" s="147" t="str">
        <f t="shared" si="136"/>
        <v>1</v>
      </c>
      <c r="AH244" s="147" t="str">
        <f t="shared" si="137"/>
        <v>NO</v>
      </c>
      <c r="AI244" s="147" t="str">
        <f t="shared" si="138"/>
        <v>NO</v>
      </c>
      <c r="AJ244" s="147" t="str">
        <f t="shared" si="139"/>
        <v>NO</v>
      </c>
      <c r="AK244" s="147" t="str">
        <f t="shared" si="140"/>
        <v>NO</v>
      </c>
      <c r="AL244" s="21"/>
      <c r="AM244" s="21">
        <v>9831.24</v>
      </c>
      <c r="AN244" s="27" t="s">
        <v>66</v>
      </c>
      <c r="AO244" s="21">
        <v>1</v>
      </c>
      <c r="AP244" s="21">
        <f t="shared" si="143"/>
        <v>1</v>
      </c>
      <c r="AQ244" s="149">
        <f t="shared" si="146"/>
        <v>9831.24</v>
      </c>
      <c r="AR244" s="21">
        <v>9831.24</v>
      </c>
      <c r="AS244" s="610">
        <v>0</v>
      </c>
      <c r="AT244" s="112">
        <v>9831.24</v>
      </c>
      <c r="AU244" s="4"/>
      <c r="AV244" s="4"/>
      <c r="AW244" s="23" t="e">
        <f>VLOOKUP(K244,#REF!,8,FALSE)</f>
        <v>#REF!</v>
      </c>
      <c r="AX244" s="23" t="e">
        <f>VLOOKUP(K244,#REF!,8,FALSE)</f>
        <v>#REF!</v>
      </c>
      <c r="AY244" s="266" t="s">
        <v>2243</v>
      </c>
      <c r="AZ244" s="268" t="s">
        <v>75</v>
      </c>
      <c r="BA244" s="274">
        <f>AM244/3*2</f>
        <v>6554.16</v>
      </c>
      <c r="BB244" s="313">
        <f t="shared" si="147"/>
        <v>0</v>
      </c>
      <c r="BC244" s="269">
        <f t="shared" si="150"/>
        <v>9831.24</v>
      </c>
      <c r="BD244" t="e">
        <f t="shared" si="151"/>
        <v>#REF!</v>
      </c>
      <c r="BE244" t="s">
        <v>2351</v>
      </c>
      <c r="BI244" t="e">
        <f>VLOOKUP(K244,#REF!,8,FALSE)</f>
        <v>#REF!</v>
      </c>
      <c r="BK244" s="269"/>
      <c r="BN244" s="353" t="s">
        <v>75</v>
      </c>
      <c r="BO244" s="106"/>
      <c r="BP244" s="166">
        <f t="shared" si="141"/>
        <v>9831.24</v>
      </c>
      <c r="BQ244" t="s">
        <v>2351</v>
      </c>
      <c r="BS244" s="165"/>
      <c r="BX244" s="495">
        <f t="shared" si="142"/>
        <v>9831.24</v>
      </c>
      <c r="BZ244" s="636">
        <f t="shared" si="122"/>
        <v>0</v>
      </c>
      <c r="CA244" s="633">
        <f t="shared" si="123"/>
        <v>9831.24</v>
      </c>
    </row>
    <row r="245" spans="1:79" x14ac:dyDescent="0.2">
      <c r="A245" s="4">
        <v>1</v>
      </c>
      <c r="B245" s="4">
        <v>1</v>
      </c>
      <c r="C245" s="5">
        <f t="shared" si="145"/>
        <v>41202</v>
      </c>
      <c r="D245" s="6">
        <v>41202</v>
      </c>
      <c r="E245" s="121">
        <v>43012</v>
      </c>
      <c r="F245" s="6" t="s">
        <v>1606</v>
      </c>
      <c r="G245" s="7" t="s">
        <v>75</v>
      </c>
      <c r="H245" s="7"/>
      <c r="I245" s="7" t="s">
        <v>157</v>
      </c>
      <c r="J245" s="7"/>
      <c r="K245" s="29">
        <v>389282</v>
      </c>
      <c r="L245" s="43" t="s">
        <v>454</v>
      </c>
      <c r="M245" s="10" t="s">
        <v>231</v>
      </c>
      <c r="N245" s="10" t="s">
        <v>543</v>
      </c>
      <c r="O245" s="11" t="s">
        <v>544</v>
      </c>
      <c r="P245" s="12">
        <v>40277</v>
      </c>
      <c r="Q245" s="13">
        <f t="shared" ca="1" si="133"/>
        <v>15.455167693360712</v>
      </c>
      <c r="R245" s="14">
        <v>8</v>
      </c>
      <c r="S245" s="15">
        <v>872</v>
      </c>
      <c r="T245" s="8">
        <v>872</v>
      </c>
      <c r="U245" s="16">
        <v>45017</v>
      </c>
      <c r="V245" s="17">
        <v>1</v>
      </c>
      <c r="W245" s="16">
        <v>45382</v>
      </c>
      <c r="X245" s="14">
        <v>192</v>
      </c>
      <c r="Y245" s="18">
        <f t="shared" si="124"/>
        <v>192</v>
      </c>
      <c r="Z245" s="18">
        <f>Y245/192</f>
        <v>1</v>
      </c>
      <c r="AA245" s="18" t="s">
        <v>36</v>
      </c>
      <c r="AB245" s="26">
        <v>25</v>
      </c>
      <c r="AC245" s="26"/>
      <c r="AD245" s="26"/>
      <c r="AE245" s="147" t="str">
        <f t="shared" si="134"/>
        <v>1</v>
      </c>
      <c r="AF245" s="147" t="str">
        <f t="shared" si="135"/>
        <v>0</v>
      </c>
      <c r="AG245" s="147" t="str">
        <f t="shared" si="136"/>
        <v>0</v>
      </c>
      <c r="AH245" s="147" t="str">
        <f t="shared" si="137"/>
        <v>NO</v>
      </c>
      <c r="AI245" s="147" t="str">
        <f t="shared" si="138"/>
        <v>NO</v>
      </c>
      <c r="AJ245" s="147" t="str">
        <f t="shared" si="139"/>
        <v>NO</v>
      </c>
      <c r="AK245" s="147" t="str">
        <f t="shared" si="140"/>
        <v>NO</v>
      </c>
      <c r="AL245" s="21"/>
      <c r="AM245" s="21">
        <f>IF(H245="Y",AL245,((AB245*$O$902)-6000))</f>
        <v>5819.25</v>
      </c>
      <c r="AN245" s="27" t="s">
        <v>37</v>
      </c>
      <c r="AO245" s="21">
        <v>1</v>
      </c>
      <c r="AP245" s="21">
        <f t="shared" si="143"/>
        <v>1</v>
      </c>
      <c r="AQ245" s="149">
        <f t="shared" si="146"/>
        <v>5819.25</v>
      </c>
      <c r="AR245" s="21">
        <v>5819.25</v>
      </c>
      <c r="AS245" s="610">
        <v>5819.25</v>
      </c>
      <c r="AT245" s="112">
        <v>5819.25</v>
      </c>
      <c r="AU245" s="4"/>
      <c r="AV245" s="4"/>
      <c r="AW245" s="23" t="e">
        <f>VLOOKUP(K245,#REF!,8,FALSE)</f>
        <v>#REF!</v>
      </c>
      <c r="AX245" s="23" t="e">
        <f>VLOOKUP(K245,#REF!,8,FALSE)</f>
        <v>#REF!</v>
      </c>
      <c r="AY245" s="23" t="e">
        <f>VLOOKUP(K245,#REF!,8,FALSE)</f>
        <v>#REF!</v>
      </c>
      <c r="AZ245" s="4"/>
      <c r="BA245" s="272"/>
      <c r="BB245" s="313">
        <f t="shared" si="147"/>
        <v>0</v>
      </c>
      <c r="BC245" s="269">
        <f t="shared" si="150"/>
        <v>5819.25</v>
      </c>
      <c r="BD245" t="str">
        <f t="shared" si="151"/>
        <v/>
      </c>
      <c r="BP245" s="166">
        <f t="shared" si="141"/>
        <v>5819.25</v>
      </c>
      <c r="BS245" s="165"/>
      <c r="BX245" s="495">
        <f t="shared" si="142"/>
        <v>5819.25</v>
      </c>
      <c r="BZ245" s="636">
        <f t="shared" si="122"/>
        <v>0</v>
      </c>
      <c r="CA245" s="633">
        <f t="shared" si="123"/>
        <v>0</v>
      </c>
    </row>
    <row r="246" spans="1:79" x14ac:dyDescent="0.2">
      <c r="A246" s="4">
        <v>0</v>
      </c>
      <c r="B246" s="4">
        <v>1</v>
      </c>
      <c r="C246" s="5">
        <f t="shared" si="145"/>
        <v>41202</v>
      </c>
      <c r="D246" s="6">
        <v>41202</v>
      </c>
      <c r="E246" s="121">
        <v>43012</v>
      </c>
      <c r="F246" s="6" t="s">
        <v>1606</v>
      </c>
      <c r="G246" s="7" t="s">
        <v>75</v>
      </c>
      <c r="H246" s="7"/>
      <c r="I246" s="7" t="s">
        <v>157</v>
      </c>
      <c r="J246" s="7" t="s">
        <v>142</v>
      </c>
      <c r="K246" s="29">
        <v>389282</v>
      </c>
      <c r="L246" s="43" t="s">
        <v>454</v>
      </c>
      <c r="M246" s="10" t="s">
        <v>231</v>
      </c>
      <c r="N246" s="10" t="s">
        <v>543</v>
      </c>
      <c r="O246" s="11" t="s">
        <v>544</v>
      </c>
      <c r="P246" s="12">
        <v>40277</v>
      </c>
      <c r="Q246" s="13">
        <f t="shared" ca="1" si="133"/>
        <v>15.455167693360712</v>
      </c>
      <c r="R246" s="14">
        <v>8</v>
      </c>
      <c r="S246" s="15">
        <v>872</v>
      </c>
      <c r="T246" s="8">
        <v>872</v>
      </c>
      <c r="U246" s="16">
        <v>45017</v>
      </c>
      <c r="V246" s="17">
        <v>1</v>
      </c>
      <c r="W246" s="16">
        <v>45017</v>
      </c>
      <c r="X246" s="14">
        <v>0</v>
      </c>
      <c r="Y246" s="18">
        <f t="shared" si="124"/>
        <v>0</v>
      </c>
      <c r="Z246" s="18">
        <v>1</v>
      </c>
      <c r="AA246" s="16">
        <v>45017</v>
      </c>
      <c r="AB246" s="26">
        <v>1380</v>
      </c>
      <c r="AC246" s="26"/>
      <c r="AD246" s="26"/>
      <c r="AE246" s="147" t="str">
        <f t="shared" si="134"/>
        <v>0</v>
      </c>
      <c r="AF246" s="147" t="str">
        <f t="shared" si="135"/>
        <v>0</v>
      </c>
      <c r="AG246" s="147" t="str">
        <f t="shared" si="136"/>
        <v>1</v>
      </c>
      <c r="AH246" s="147" t="str">
        <f t="shared" si="137"/>
        <v>NO</v>
      </c>
      <c r="AI246" s="147" t="str">
        <f t="shared" si="138"/>
        <v>NO</v>
      </c>
      <c r="AJ246" s="147" t="str">
        <f t="shared" si="139"/>
        <v>NO</v>
      </c>
      <c r="AK246" s="147" t="str">
        <f t="shared" si="140"/>
        <v>NO</v>
      </c>
      <c r="AL246" s="21"/>
      <c r="AM246" s="21">
        <v>1380</v>
      </c>
      <c r="AN246" s="27" t="s">
        <v>37</v>
      </c>
      <c r="AO246" s="21">
        <v>1</v>
      </c>
      <c r="AP246" s="21">
        <f t="shared" si="143"/>
        <v>1</v>
      </c>
      <c r="AQ246" s="149">
        <f t="shared" si="146"/>
        <v>1380</v>
      </c>
      <c r="AR246" s="21">
        <v>1380</v>
      </c>
      <c r="AS246" s="610">
        <v>0</v>
      </c>
      <c r="AT246" s="112">
        <v>1380</v>
      </c>
      <c r="AU246" s="4"/>
      <c r="AV246" s="4"/>
      <c r="AW246" s="23" t="e">
        <f>VLOOKUP(K246,#REF!,8,FALSE)</f>
        <v>#REF!</v>
      </c>
      <c r="AX246" s="23" t="e">
        <f>VLOOKUP(K246,#REF!,8,FALSE)</f>
        <v>#REF!</v>
      </c>
      <c r="AY246" s="23" t="e">
        <f>VLOOKUP(K246,#REF!,8,FALSE)</f>
        <v>#REF!</v>
      </c>
      <c r="AZ246" s="4"/>
      <c r="BA246" s="272"/>
      <c r="BB246" s="313">
        <f t="shared" si="147"/>
        <v>0</v>
      </c>
      <c r="BC246" s="269">
        <f t="shared" si="150"/>
        <v>1380</v>
      </c>
      <c r="BD246" t="str">
        <f t="shared" si="151"/>
        <v/>
      </c>
      <c r="BP246" s="166">
        <f t="shared" si="141"/>
        <v>1380</v>
      </c>
      <c r="BS246" s="165"/>
      <c r="BX246" s="495">
        <f t="shared" si="142"/>
        <v>1380</v>
      </c>
      <c r="BZ246" s="636">
        <f t="shared" si="122"/>
        <v>0</v>
      </c>
      <c r="CA246" s="633">
        <f t="shared" si="123"/>
        <v>1380</v>
      </c>
    </row>
    <row r="247" spans="1:79" x14ac:dyDescent="0.2">
      <c r="A247" s="4">
        <v>1</v>
      </c>
      <c r="B247" s="4">
        <v>1</v>
      </c>
      <c r="C247" s="5">
        <f t="shared" si="145"/>
        <v>41202</v>
      </c>
      <c r="D247" s="6">
        <v>41202</v>
      </c>
      <c r="E247" s="121">
        <v>43012</v>
      </c>
      <c r="F247" s="6" t="s">
        <v>1606</v>
      </c>
      <c r="G247" s="7" t="s">
        <v>75</v>
      </c>
      <c r="H247" s="7"/>
      <c r="I247" s="7" t="s">
        <v>157</v>
      </c>
      <c r="J247" s="7"/>
      <c r="K247" s="29">
        <v>373467</v>
      </c>
      <c r="L247" s="43" t="s">
        <v>454</v>
      </c>
      <c r="M247" s="10" t="s">
        <v>545</v>
      </c>
      <c r="N247" s="10" t="s">
        <v>546</v>
      </c>
      <c r="O247" s="11" t="s">
        <v>547</v>
      </c>
      <c r="P247" s="12">
        <v>39377</v>
      </c>
      <c r="Q247" s="13">
        <f t="shared" ca="1" si="133"/>
        <v>17.919233401779604</v>
      </c>
      <c r="R247" s="14">
        <v>10</v>
      </c>
      <c r="S247" s="15">
        <v>872</v>
      </c>
      <c r="T247" s="8">
        <v>872</v>
      </c>
      <c r="U247" s="16">
        <v>45017</v>
      </c>
      <c r="V247" s="17">
        <v>1</v>
      </c>
      <c r="W247" s="16">
        <v>45382</v>
      </c>
      <c r="X247" s="14">
        <v>192</v>
      </c>
      <c r="Y247" s="18">
        <f t="shared" si="124"/>
        <v>192</v>
      </c>
      <c r="Z247" s="18">
        <f>Y247/192</f>
        <v>1</v>
      </c>
      <c r="AA247" s="18" t="s">
        <v>36</v>
      </c>
      <c r="AB247" s="26">
        <v>28</v>
      </c>
      <c r="AC247" s="26"/>
      <c r="AD247" s="26"/>
      <c r="AE247" s="147" t="str">
        <f t="shared" si="134"/>
        <v>0</v>
      </c>
      <c r="AF247" s="147" t="str">
        <f t="shared" si="135"/>
        <v>1</v>
      </c>
      <c r="AG247" s="147" t="str">
        <f t="shared" si="136"/>
        <v>0</v>
      </c>
      <c r="AH247" s="147" t="str">
        <f t="shared" si="137"/>
        <v>NO</v>
      </c>
      <c r="AI247" s="147" t="str">
        <f t="shared" si="138"/>
        <v>NO</v>
      </c>
      <c r="AJ247" s="147" t="str">
        <f t="shared" si="139"/>
        <v>NO</v>
      </c>
      <c r="AK247" s="147" t="str">
        <f t="shared" si="140"/>
        <v>NO</v>
      </c>
      <c r="AL247" s="21"/>
      <c r="AM247" s="21">
        <f>IF(H247="Y",AL247,((AB247*$O$902)-6000))</f>
        <v>7237.5599999999995</v>
      </c>
      <c r="AN247" s="27" t="s">
        <v>43</v>
      </c>
      <c r="AO247" s="21">
        <v>1</v>
      </c>
      <c r="AP247" s="21">
        <f t="shared" si="143"/>
        <v>1</v>
      </c>
      <c r="AQ247" s="149">
        <f t="shared" si="146"/>
        <v>7237.5599999999995</v>
      </c>
      <c r="AR247" s="21">
        <v>7237.5599999999995</v>
      </c>
      <c r="AS247" s="610">
        <v>7237.5599999999995</v>
      </c>
      <c r="AT247" s="112">
        <v>7237.5599999999995</v>
      </c>
      <c r="AU247" s="4"/>
      <c r="AV247" s="4"/>
      <c r="AW247" s="23" t="e">
        <f>VLOOKUP(K247,#REF!,8,FALSE)</f>
        <v>#REF!</v>
      </c>
      <c r="AX247" s="23" t="e">
        <f>VLOOKUP(K247,#REF!,8,FALSE)</f>
        <v>#REF!</v>
      </c>
      <c r="AY247" s="23" t="e">
        <f>VLOOKUP(K247,#REF!,8,FALSE)</f>
        <v>#REF!</v>
      </c>
      <c r="AZ247" s="4"/>
      <c r="BA247" s="272"/>
      <c r="BB247" s="313">
        <f t="shared" si="147"/>
        <v>0</v>
      </c>
      <c r="BC247" s="269">
        <f t="shared" si="150"/>
        <v>7237.5599999999995</v>
      </c>
      <c r="BD247" t="str">
        <f t="shared" si="151"/>
        <v/>
      </c>
      <c r="BP247" s="166">
        <f t="shared" si="141"/>
        <v>7237.5599999999995</v>
      </c>
      <c r="BS247" s="165"/>
      <c r="BX247" s="495">
        <f t="shared" si="142"/>
        <v>7237.5599999999995</v>
      </c>
      <c r="BZ247" s="636">
        <f t="shared" si="122"/>
        <v>0</v>
      </c>
      <c r="CA247" s="633">
        <f t="shared" si="123"/>
        <v>0</v>
      </c>
    </row>
    <row r="248" spans="1:79" x14ac:dyDescent="0.2">
      <c r="A248" s="4">
        <v>1</v>
      </c>
      <c r="B248" s="4">
        <v>1</v>
      </c>
      <c r="C248" s="5">
        <f t="shared" si="145"/>
        <v>41202</v>
      </c>
      <c r="D248" s="6">
        <v>41202</v>
      </c>
      <c r="E248" s="121">
        <v>43012</v>
      </c>
      <c r="F248" s="6" t="s">
        <v>1606</v>
      </c>
      <c r="G248" s="7" t="s">
        <v>75</v>
      </c>
      <c r="H248" s="7"/>
      <c r="I248" s="7" t="s">
        <v>157</v>
      </c>
      <c r="J248" s="7"/>
      <c r="K248" s="29">
        <v>373511</v>
      </c>
      <c r="L248" s="43" t="s">
        <v>454</v>
      </c>
      <c r="M248" s="10" t="s">
        <v>72</v>
      </c>
      <c r="N248" s="10" t="s">
        <v>548</v>
      </c>
      <c r="O248" s="11" t="s">
        <v>549</v>
      </c>
      <c r="P248" s="12">
        <v>39341</v>
      </c>
      <c r="Q248" s="13">
        <f t="shared" ca="1" si="133"/>
        <v>18.017796030116358</v>
      </c>
      <c r="R248" s="14">
        <v>10</v>
      </c>
      <c r="S248" s="15">
        <v>872</v>
      </c>
      <c r="T248" s="8">
        <v>872</v>
      </c>
      <c r="U248" s="16">
        <v>45033</v>
      </c>
      <c r="V248" s="17">
        <v>1</v>
      </c>
      <c r="W248" s="16">
        <v>45128</v>
      </c>
      <c r="X248" s="14">
        <v>63</v>
      </c>
      <c r="Y248" s="18">
        <f t="shared" si="124"/>
        <v>63</v>
      </c>
      <c r="Z248" s="18">
        <v>1</v>
      </c>
      <c r="AA248" s="16">
        <v>45128</v>
      </c>
      <c r="AB248" s="26">
        <v>2520</v>
      </c>
      <c r="AC248" s="26"/>
      <c r="AD248" s="26"/>
      <c r="AE248" s="147" t="str">
        <f t="shared" si="134"/>
        <v>0</v>
      </c>
      <c r="AF248" s="147" t="str">
        <f t="shared" si="135"/>
        <v>0</v>
      </c>
      <c r="AG248" s="147" t="str">
        <f t="shared" si="136"/>
        <v>1</v>
      </c>
      <c r="AH248" s="147" t="str">
        <f t="shared" si="137"/>
        <v>NO</v>
      </c>
      <c r="AI248" s="147" t="str">
        <f t="shared" si="138"/>
        <v>NO</v>
      </c>
      <c r="AJ248" s="147" t="str">
        <f t="shared" si="139"/>
        <v>NO</v>
      </c>
      <c r="AK248" s="147" t="str">
        <f t="shared" si="140"/>
        <v>NO</v>
      </c>
      <c r="AL248" s="21"/>
      <c r="AM248" s="21">
        <v>2520</v>
      </c>
      <c r="AN248" s="27" t="s">
        <v>56</v>
      </c>
      <c r="AO248" s="21">
        <v>1</v>
      </c>
      <c r="AP248" s="21">
        <f t="shared" ref="AP248:AP279" si="152">AO248*Z248</f>
        <v>1</v>
      </c>
      <c r="AQ248" s="149">
        <f t="shared" si="146"/>
        <v>2520</v>
      </c>
      <c r="AR248" s="21">
        <v>2520</v>
      </c>
      <c r="AS248" s="610">
        <v>0</v>
      </c>
      <c r="AT248" s="112">
        <v>2520</v>
      </c>
      <c r="AU248" s="4" t="s">
        <v>2194</v>
      </c>
      <c r="AV248" s="4"/>
      <c r="AW248" s="23" t="e">
        <f>VLOOKUP(K248,#REF!,8,FALSE)</f>
        <v>#REF!</v>
      </c>
      <c r="AX248" s="23" t="e">
        <f>VLOOKUP(K248,#REF!,8,FALSE)</f>
        <v>#REF!</v>
      </c>
      <c r="AY248" s="23" t="e">
        <f>VLOOKUP(K248,#REF!,8,FALSE)</f>
        <v>#REF!</v>
      </c>
      <c r="AZ248" s="4"/>
      <c r="BA248" s="272"/>
      <c r="BB248" s="313">
        <f t="shared" si="147"/>
        <v>0</v>
      </c>
      <c r="BC248" s="269">
        <f t="shared" si="150"/>
        <v>2520</v>
      </c>
      <c r="BD248" t="str">
        <f t="shared" si="151"/>
        <v/>
      </c>
      <c r="BJ248">
        <f>AB248</f>
        <v>2520</v>
      </c>
      <c r="BK248" s="269">
        <f>AM248</f>
        <v>2520</v>
      </c>
      <c r="BO248" s="106">
        <f>BK248/192*127</f>
        <v>1666.875</v>
      </c>
      <c r="BP248" s="166">
        <f t="shared" si="141"/>
        <v>4186.875</v>
      </c>
      <c r="BS248" s="165"/>
      <c r="BX248" s="495">
        <f t="shared" si="142"/>
        <v>4186.875</v>
      </c>
      <c r="BZ248" s="636">
        <f t="shared" si="122"/>
        <v>0</v>
      </c>
      <c r="CA248" s="633">
        <f t="shared" si="123"/>
        <v>4186.875</v>
      </c>
    </row>
    <row r="249" spans="1:79" x14ac:dyDescent="0.2">
      <c r="A249" s="4">
        <v>0</v>
      </c>
      <c r="B249" s="4">
        <v>1</v>
      </c>
      <c r="C249" s="5">
        <f t="shared" si="145"/>
        <v>41202</v>
      </c>
      <c r="D249" s="6">
        <v>41202</v>
      </c>
      <c r="E249" s="121">
        <v>43012</v>
      </c>
      <c r="F249" s="6" t="s">
        <v>1606</v>
      </c>
      <c r="G249" s="7" t="s">
        <v>75</v>
      </c>
      <c r="H249" s="7"/>
      <c r="I249" s="7" t="s">
        <v>157</v>
      </c>
      <c r="J249" s="7" t="s">
        <v>142</v>
      </c>
      <c r="K249" s="29">
        <v>373511</v>
      </c>
      <c r="L249" s="43" t="s">
        <v>454</v>
      </c>
      <c r="M249" s="10" t="s">
        <v>72</v>
      </c>
      <c r="N249" s="10" t="s">
        <v>548</v>
      </c>
      <c r="O249" s="11" t="s">
        <v>549</v>
      </c>
      <c r="P249" s="12">
        <v>39341</v>
      </c>
      <c r="Q249" s="13">
        <f t="shared" ca="1" si="133"/>
        <v>18.017796030116358</v>
      </c>
      <c r="R249" s="14">
        <v>10</v>
      </c>
      <c r="S249" s="15">
        <v>872</v>
      </c>
      <c r="T249" s="8">
        <v>872</v>
      </c>
      <c r="U249" s="16">
        <v>45017</v>
      </c>
      <c r="V249" s="17">
        <v>1</v>
      </c>
      <c r="W249" s="16">
        <v>45077</v>
      </c>
      <c r="X249" s="14">
        <v>28</v>
      </c>
      <c r="Y249" s="18">
        <f t="shared" si="124"/>
        <v>28</v>
      </c>
      <c r="Z249" s="18">
        <v>1</v>
      </c>
      <c r="AA249" s="16">
        <v>45077</v>
      </c>
      <c r="AB249" s="26">
        <v>2520</v>
      </c>
      <c r="AC249" s="26"/>
      <c r="AD249" s="26"/>
      <c r="AE249" s="147" t="str">
        <f t="shared" si="134"/>
        <v>0</v>
      </c>
      <c r="AF249" s="147" t="str">
        <f t="shared" si="135"/>
        <v>0</v>
      </c>
      <c r="AG249" s="147" t="str">
        <f t="shared" si="136"/>
        <v>1</v>
      </c>
      <c r="AH249" s="147" t="str">
        <f t="shared" si="137"/>
        <v>NO</v>
      </c>
      <c r="AI249" s="147" t="str">
        <f t="shared" si="138"/>
        <v>NO</v>
      </c>
      <c r="AJ249" s="147" t="str">
        <f t="shared" si="139"/>
        <v>NO</v>
      </c>
      <c r="AK249" s="147" t="str">
        <f t="shared" si="140"/>
        <v>NO</v>
      </c>
      <c r="AL249" s="21"/>
      <c r="AM249" s="21">
        <v>2520</v>
      </c>
      <c r="AN249" s="27" t="s">
        <v>56</v>
      </c>
      <c r="AO249" s="21">
        <v>1</v>
      </c>
      <c r="AP249" s="21">
        <f t="shared" si="152"/>
        <v>1</v>
      </c>
      <c r="AQ249" s="149">
        <f t="shared" si="146"/>
        <v>2520</v>
      </c>
      <c r="AR249" s="21">
        <v>2520</v>
      </c>
      <c r="AS249" s="610">
        <v>0</v>
      </c>
      <c r="AT249" s="112">
        <v>2520</v>
      </c>
      <c r="AU249" s="4"/>
      <c r="AV249" s="4"/>
      <c r="AW249" s="23" t="e">
        <f>VLOOKUP(K249,#REF!,8,FALSE)</f>
        <v>#REF!</v>
      </c>
      <c r="AX249" s="23" t="e">
        <f>VLOOKUP(K249,#REF!,8,FALSE)</f>
        <v>#REF!</v>
      </c>
      <c r="AY249" s="23" t="e">
        <f>VLOOKUP(K249,#REF!,8,FALSE)</f>
        <v>#REF!</v>
      </c>
      <c r="AZ249" s="4"/>
      <c r="BA249" s="272"/>
      <c r="BB249" s="313">
        <f t="shared" si="147"/>
        <v>0</v>
      </c>
      <c r="BC249" s="269">
        <f t="shared" si="150"/>
        <v>2520</v>
      </c>
      <c r="BD249" t="str">
        <f t="shared" si="151"/>
        <v/>
      </c>
      <c r="BP249" s="166">
        <f t="shared" si="141"/>
        <v>2520</v>
      </c>
      <c r="BS249" s="165"/>
      <c r="BX249" s="495">
        <f t="shared" si="142"/>
        <v>2520</v>
      </c>
      <c r="BZ249" s="636">
        <f t="shared" si="122"/>
        <v>0</v>
      </c>
      <c r="CA249" s="633">
        <f t="shared" si="123"/>
        <v>2520</v>
      </c>
    </row>
    <row r="250" spans="1:79" x14ac:dyDescent="0.2">
      <c r="A250" s="4">
        <v>1</v>
      </c>
      <c r="B250" s="4">
        <v>1</v>
      </c>
      <c r="C250" s="5">
        <f t="shared" si="145"/>
        <v>2002</v>
      </c>
      <c r="D250" s="6">
        <v>2002</v>
      </c>
      <c r="E250" s="121">
        <v>43012</v>
      </c>
      <c r="F250" s="6" t="s">
        <v>1606</v>
      </c>
      <c r="G250" s="7" t="s">
        <v>75</v>
      </c>
      <c r="H250" s="33"/>
      <c r="I250" s="7" t="s">
        <v>32</v>
      </c>
      <c r="J250" s="7"/>
      <c r="K250" s="29">
        <v>422048</v>
      </c>
      <c r="L250" s="45" t="s">
        <v>550</v>
      </c>
      <c r="M250" s="10" t="s">
        <v>174</v>
      </c>
      <c r="N250" s="10" t="s">
        <v>551</v>
      </c>
      <c r="O250" s="11" t="s">
        <v>552</v>
      </c>
      <c r="P250" s="12">
        <v>42182</v>
      </c>
      <c r="Q250" s="13">
        <f t="shared" ca="1" si="133"/>
        <v>10.239561943874058</v>
      </c>
      <c r="R250" s="14">
        <v>3</v>
      </c>
      <c r="S250" s="15">
        <v>872</v>
      </c>
      <c r="T250" s="8">
        <v>872</v>
      </c>
      <c r="U250" s="16">
        <v>45017</v>
      </c>
      <c r="V250" s="17">
        <v>1</v>
      </c>
      <c r="W250" s="16">
        <v>45382</v>
      </c>
      <c r="X250" s="14">
        <v>192</v>
      </c>
      <c r="Y250" s="18">
        <f t="shared" si="124"/>
        <v>192</v>
      </c>
      <c r="Z250" s="18">
        <f t="shared" ref="Z250:Z289" si="153">Y250/192</f>
        <v>1</v>
      </c>
      <c r="AA250" s="18" t="s">
        <v>36</v>
      </c>
      <c r="AB250" s="26">
        <v>7606.58</v>
      </c>
      <c r="AC250" s="26"/>
      <c r="AD250" s="26"/>
      <c r="AE250" s="147" t="str">
        <f t="shared" si="134"/>
        <v>0</v>
      </c>
      <c r="AF250" s="147" t="str">
        <f t="shared" si="135"/>
        <v>0</v>
      </c>
      <c r="AG250" s="147" t="str">
        <f t="shared" si="136"/>
        <v>1</v>
      </c>
      <c r="AH250" s="147" t="str">
        <f t="shared" si="137"/>
        <v>NO</v>
      </c>
      <c r="AI250" s="147" t="str">
        <f t="shared" si="138"/>
        <v>NO</v>
      </c>
      <c r="AJ250" s="147" t="str">
        <f t="shared" si="139"/>
        <v>NO</v>
      </c>
      <c r="AK250" s="147" t="str">
        <f t="shared" si="140"/>
        <v>NO</v>
      </c>
      <c r="AL250" s="21"/>
      <c r="AM250" s="21">
        <v>7606.58</v>
      </c>
      <c r="AN250" s="27" t="s">
        <v>37</v>
      </c>
      <c r="AO250" s="21">
        <v>1</v>
      </c>
      <c r="AP250" s="21">
        <f t="shared" si="152"/>
        <v>1</v>
      </c>
      <c r="AQ250" s="149">
        <f t="shared" si="146"/>
        <v>7606.58</v>
      </c>
      <c r="AR250" s="21">
        <v>7606.58</v>
      </c>
      <c r="AS250" s="610">
        <v>0</v>
      </c>
      <c r="AT250" s="112">
        <v>7606.58</v>
      </c>
      <c r="AU250" s="4"/>
      <c r="AV250" s="4"/>
      <c r="AW250" s="23" t="e">
        <f>VLOOKUP(K250,#REF!,8,FALSE)</f>
        <v>#REF!</v>
      </c>
      <c r="AX250" s="23" t="e">
        <f>VLOOKUP(K250,#REF!,8,FALSE)</f>
        <v>#REF!</v>
      </c>
      <c r="AY250" s="23" t="e">
        <f>VLOOKUP(K250,#REF!,8,FALSE)</f>
        <v>#REF!</v>
      </c>
      <c r="AZ250" s="4"/>
      <c r="BA250" s="272"/>
      <c r="BB250" s="313">
        <f t="shared" si="147"/>
        <v>0</v>
      </c>
      <c r="BC250" s="269">
        <f t="shared" si="150"/>
        <v>7606.58</v>
      </c>
      <c r="BD250" t="str">
        <f t="shared" si="151"/>
        <v/>
      </c>
      <c r="BP250" s="166">
        <f t="shared" si="141"/>
        <v>7606.58</v>
      </c>
      <c r="BS250" s="165"/>
      <c r="BX250" s="495">
        <f t="shared" si="142"/>
        <v>7606.58</v>
      </c>
      <c r="BZ250" s="636">
        <f t="shared" si="122"/>
        <v>0</v>
      </c>
      <c r="CA250" s="633">
        <f t="shared" si="123"/>
        <v>7606.58</v>
      </c>
    </row>
    <row r="251" spans="1:79" x14ac:dyDescent="0.2">
      <c r="A251" s="4">
        <v>1</v>
      </c>
      <c r="B251" s="4">
        <v>1</v>
      </c>
      <c r="C251" s="5">
        <f t="shared" si="145"/>
        <v>2002</v>
      </c>
      <c r="D251" s="6">
        <v>2002</v>
      </c>
      <c r="E251" s="121">
        <v>43012</v>
      </c>
      <c r="F251" s="6" t="s">
        <v>1606</v>
      </c>
      <c r="G251" s="7" t="s">
        <v>75</v>
      </c>
      <c r="H251" s="33"/>
      <c r="I251" s="7" t="s">
        <v>32</v>
      </c>
      <c r="J251" s="7"/>
      <c r="K251" s="29">
        <v>422423</v>
      </c>
      <c r="L251" s="45" t="s">
        <v>550</v>
      </c>
      <c r="M251" s="10" t="s">
        <v>553</v>
      </c>
      <c r="N251" s="10" t="s">
        <v>554</v>
      </c>
      <c r="O251" s="11" t="s">
        <v>555</v>
      </c>
      <c r="P251" s="12">
        <v>41947</v>
      </c>
      <c r="Q251" s="13">
        <f t="shared" ca="1" si="133"/>
        <v>10.882956878850102</v>
      </c>
      <c r="R251" s="14">
        <v>3</v>
      </c>
      <c r="S251" s="15">
        <v>872</v>
      </c>
      <c r="T251" s="8">
        <v>872</v>
      </c>
      <c r="U251" s="16">
        <v>45017</v>
      </c>
      <c r="V251" s="17">
        <v>1</v>
      </c>
      <c r="W251" s="16">
        <v>45382</v>
      </c>
      <c r="X251" s="14">
        <v>192</v>
      </c>
      <c r="Y251" s="18">
        <f t="shared" si="124"/>
        <v>192</v>
      </c>
      <c r="Z251" s="18">
        <f t="shared" si="153"/>
        <v>1</v>
      </c>
      <c r="AA251" s="18" t="s">
        <v>36</v>
      </c>
      <c r="AB251" s="26">
        <v>27.5</v>
      </c>
      <c r="AC251" s="26"/>
      <c r="AD251" s="26"/>
      <c r="AE251" s="147" t="str">
        <f t="shared" si="134"/>
        <v>0</v>
      </c>
      <c r="AF251" s="147" t="str">
        <f t="shared" si="135"/>
        <v>1</v>
      </c>
      <c r="AG251" s="147" t="str">
        <f t="shared" si="136"/>
        <v>0</v>
      </c>
      <c r="AH251" s="147" t="str">
        <f t="shared" si="137"/>
        <v>NO</v>
      </c>
      <c r="AI251" s="147" t="str">
        <f t="shared" si="138"/>
        <v>NO</v>
      </c>
      <c r="AJ251" s="147" t="str">
        <f t="shared" si="139"/>
        <v>NO</v>
      </c>
      <c r="AK251" s="147" t="str">
        <f t="shared" si="140"/>
        <v>NO</v>
      </c>
      <c r="AL251" s="21"/>
      <c r="AM251" s="21">
        <f>IF(H251="Y",AL251,((AB251*$O$902)-6000))</f>
        <v>7001.1749999999993</v>
      </c>
      <c r="AN251" s="27" t="s">
        <v>384</v>
      </c>
      <c r="AO251" s="21">
        <v>1</v>
      </c>
      <c r="AP251" s="21">
        <f t="shared" si="152"/>
        <v>1</v>
      </c>
      <c r="AQ251" s="149">
        <f t="shared" si="146"/>
        <v>7001.1749999999993</v>
      </c>
      <c r="AR251" s="21">
        <v>7001.1749999999993</v>
      </c>
      <c r="AS251" s="610">
        <v>7001.1749999999993</v>
      </c>
      <c r="AT251" s="112">
        <v>7001.1749999999993</v>
      </c>
      <c r="AU251" s="4"/>
      <c r="AV251" s="4"/>
      <c r="AW251" s="23" t="e">
        <f>VLOOKUP(K251,#REF!,8,FALSE)</f>
        <v>#REF!</v>
      </c>
      <c r="AX251" s="23" t="e">
        <f>VLOOKUP(K251,#REF!,8,FALSE)</f>
        <v>#REF!</v>
      </c>
      <c r="AY251" s="23" t="e">
        <f>VLOOKUP(K251,#REF!,8,FALSE)</f>
        <v>#REF!</v>
      </c>
      <c r="AZ251" s="4"/>
      <c r="BA251" s="272"/>
      <c r="BB251" s="313">
        <f t="shared" si="147"/>
        <v>0</v>
      </c>
      <c r="BC251" s="269">
        <f t="shared" si="150"/>
        <v>7001.1749999999993</v>
      </c>
      <c r="BD251" t="str">
        <f t="shared" si="151"/>
        <v/>
      </c>
      <c r="BP251" s="166">
        <f t="shared" si="141"/>
        <v>7001.1749999999993</v>
      </c>
      <c r="BS251" s="165"/>
      <c r="BX251" s="495">
        <f t="shared" si="142"/>
        <v>7001.1749999999993</v>
      </c>
      <c r="BZ251" s="636">
        <f t="shared" si="122"/>
        <v>0</v>
      </c>
      <c r="CA251" s="633">
        <f t="shared" si="123"/>
        <v>0</v>
      </c>
    </row>
    <row r="252" spans="1:79" x14ac:dyDescent="0.2">
      <c r="A252" s="4">
        <v>1</v>
      </c>
      <c r="B252" s="4">
        <v>1</v>
      </c>
      <c r="C252" s="5">
        <f t="shared" si="145"/>
        <v>2002</v>
      </c>
      <c r="D252" s="6">
        <v>2002</v>
      </c>
      <c r="E252" s="121">
        <v>43012</v>
      </c>
      <c r="F252" s="6" t="s">
        <v>1606</v>
      </c>
      <c r="G252" s="7" t="s">
        <v>75</v>
      </c>
      <c r="H252" s="7"/>
      <c r="I252" s="7" t="s">
        <v>32</v>
      </c>
      <c r="J252" s="7"/>
      <c r="K252" s="14">
        <v>440650</v>
      </c>
      <c r="L252" s="45" t="s">
        <v>550</v>
      </c>
      <c r="M252" s="10" t="s">
        <v>556</v>
      </c>
      <c r="N252" s="10" t="s">
        <v>557</v>
      </c>
      <c r="O252" s="11" t="s">
        <v>558</v>
      </c>
      <c r="P252" s="12">
        <v>42112</v>
      </c>
      <c r="Q252" s="13">
        <f t="shared" ca="1" si="133"/>
        <v>10.431211498973306</v>
      </c>
      <c r="R252" s="14">
        <v>2</v>
      </c>
      <c r="S252" s="15">
        <v>872</v>
      </c>
      <c r="T252" s="8">
        <v>872</v>
      </c>
      <c r="U252" s="16">
        <v>45017</v>
      </c>
      <c r="V252" s="17">
        <v>1</v>
      </c>
      <c r="W252" s="16">
        <v>45382</v>
      </c>
      <c r="X252" s="14">
        <v>192</v>
      </c>
      <c r="Y252" s="18">
        <f t="shared" si="124"/>
        <v>192</v>
      </c>
      <c r="Z252" s="18">
        <f t="shared" si="153"/>
        <v>1</v>
      </c>
      <c r="AA252" s="18" t="s">
        <v>36</v>
      </c>
      <c r="AB252" s="26">
        <v>30</v>
      </c>
      <c r="AC252" s="26"/>
      <c r="AD252" s="26"/>
      <c r="AE252" s="147" t="str">
        <f t="shared" si="134"/>
        <v>0</v>
      </c>
      <c r="AF252" s="147" t="str">
        <f t="shared" si="135"/>
        <v>1</v>
      </c>
      <c r="AG252" s="147" t="str">
        <f t="shared" si="136"/>
        <v>0</v>
      </c>
      <c r="AH252" s="147" t="str">
        <f t="shared" si="137"/>
        <v>NO</v>
      </c>
      <c r="AI252" s="147" t="str">
        <f t="shared" si="138"/>
        <v>NO</v>
      </c>
      <c r="AJ252" s="147" t="str">
        <f t="shared" si="139"/>
        <v>NO</v>
      </c>
      <c r="AK252" s="147" t="str">
        <f t="shared" si="140"/>
        <v>NO</v>
      </c>
      <c r="AL252" s="21"/>
      <c r="AM252" s="21">
        <f>IF(H252="Y",AL252,((AB252*$O$902)-6000))</f>
        <v>8183.0999999999985</v>
      </c>
      <c r="AN252" s="27" t="s">
        <v>81</v>
      </c>
      <c r="AO252" s="21">
        <v>1</v>
      </c>
      <c r="AP252" s="21">
        <f t="shared" si="152"/>
        <v>1</v>
      </c>
      <c r="AQ252" s="149">
        <f t="shared" si="146"/>
        <v>8183.0999999999985</v>
      </c>
      <c r="AR252" s="21">
        <v>8183.0999999999985</v>
      </c>
      <c r="AS252" s="610">
        <v>8183.0999999999985</v>
      </c>
      <c r="AT252" s="112">
        <v>8183.0999999999985</v>
      </c>
      <c r="AU252" s="4"/>
      <c r="AV252" s="4"/>
      <c r="AW252" s="23" t="e">
        <f>VLOOKUP(K252,#REF!,8,FALSE)</f>
        <v>#REF!</v>
      </c>
      <c r="AX252" s="23" t="e">
        <f>VLOOKUP(K252,#REF!,8,FALSE)</f>
        <v>#REF!</v>
      </c>
      <c r="AY252" s="23" t="e">
        <f>VLOOKUP(K252,#REF!,8,FALSE)</f>
        <v>#REF!</v>
      </c>
      <c r="AZ252" s="4"/>
      <c r="BA252" s="272"/>
      <c r="BB252" s="313">
        <f t="shared" si="147"/>
        <v>0</v>
      </c>
      <c r="BC252" s="269">
        <f t="shared" si="150"/>
        <v>8183.0999999999985</v>
      </c>
      <c r="BD252" t="str">
        <f t="shared" si="151"/>
        <v/>
      </c>
      <c r="BP252" s="166">
        <f t="shared" si="141"/>
        <v>8183.0999999999985</v>
      </c>
      <c r="BS252" s="165"/>
      <c r="BX252" s="495">
        <f t="shared" si="142"/>
        <v>8183.0999999999985</v>
      </c>
      <c r="BZ252" s="636">
        <f t="shared" si="122"/>
        <v>0</v>
      </c>
      <c r="CA252" s="633">
        <f t="shared" si="123"/>
        <v>0</v>
      </c>
    </row>
    <row r="253" spans="1:79" x14ac:dyDescent="0.2">
      <c r="A253" s="4">
        <v>0</v>
      </c>
      <c r="B253" s="4">
        <v>1</v>
      </c>
      <c r="C253" s="5">
        <f t="shared" si="145"/>
        <v>2002</v>
      </c>
      <c r="D253" s="6">
        <v>2002</v>
      </c>
      <c r="E253" s="121">
        <v>43012</v>
      </c>
      <c r="F253" s="6" t="s">
        <v>1606</v>
      </c>
      <c r="G253" s="7" t="s">
        <v>75</v>
      </c>
      <c r="H253" s="7"/>
      <c r="I253" s="7" t="s">
        <v>32</v>
      </c>
      <c r="J253" s="7" t="s">
        <v>142</v>
      </c>
      <c r="K253" s="14">
        <v>440650</v>
      </c>
      <c r="L253" s="45" t="s">
        <v>550</v>
      </c>
      <c r="M253" s="43" t="s">
        <v>556</v>
      </c>
      <c r="N253" s="43" t="s">
        <v>557</v>
      </c>
      <c r="O253" s="11" t="s">
        <v>558</v>
      </c>
      <c r="P253" s="12">
        <v>42112</v>
      </c>
      <c r="Q253" s="13">
        <f t="shared" ca="1" si="133"/>
        <v>10.431211498973306</v>
      </c>
      <c r="R253" s="14">
        <v>2</v>
      </c>
      <c r="S253" s="15">
        <v>872</v>
      </c>
      <c r="T253" s="8">
        <v>872</v>
      </c>
      <c r="U253" s="16">
        <v>45017</v>
      </c>
      <c r="V253" s="17">
        <v>1</v>
      </c>
      <c r="W253" s="16">
        <v>45382</v>
      </c>
      <c r="X253" s="14">
        <v>192</v>
      </c>
      <c r="Y253" s="18">
        <f t="shared" si="124"/>
        <v>192</v>
      </c>
      <c r="Z253" s="18">
        <f t="shared" si="153"/>
        <v>1</v>
      </c>
      <c r="AA253" s="18" t="s">
        <v>36</v>
      </c>
      <c r="AB253" s="26">
        <v>2962.52</v>
      </c>
      <c r="AC253" s="26"/>
      <c r="AD253" s="26"/>
      <c r="AE253" s="147" t="str">
        <f t="shared" si="134"/>
        <v>0</v>
      </c>
      <c r="AF253" s="147" t="str">
        <f t="shared" si="135"/>
        <v>0</v>
      </c>
      <c r="AG253" s="147" t="str">
        <f t="shared" si="136"/>
        <v>1</v>
      </c>
      <c r="AH253" s="147" t="str">
        <f t="shared" si="137"/>
        <v>NO</v>
      </c>
      <c r="AI253" s="147" t="str">
        <f t="shared" si="138"/>
        <v>NO</v>
      </c>
      <c r="AJ253" s="147" t="str">
        <f t="shared" si="139"/>
        <v>NO</v>
      </c>
      <c r="AK253" s="147" t="str">
        <f t="shared" si="140"/>
        <v>NO</v>
      </c>
      <c r="AL253" s="21"/>
      <c r="AM253" s="21">
        <f>AB253</f>
        <v>2962.52</v>
      </c>
      <c r="AN253" s="27" t="s">
        <v>81</v>
      </c>
      <c r="AO253" s="21">
        <v>1</v>
      </c>
      <c r="AP253" s="21">
        <f t="shared" si="152"/>
        <v>1</v>
      </c>
      <c r="AQ253" s="149">
        <f t="shared" si="146"/>
        <v>2962.52</v>
      </c>
      <c r="AR253" s="21">
        <v>2962.52</v>
      </c>
      <c r="AS253" s="610">
        <v>2962.52</v>
      </c>
      <c r="AT253" s="112">
        <v>2962.52</v>
      </c>
      <c r="AU253" s="4"/>
      <c r="AV253" s="4"/>
      <c r="AW253" s="23" t="e">
        <f>VLOOKUP(K253,#REF!,8,FALSE)</f>
        <v>#REF!</v>
      </c>
      <c r="AX253" s="23" t="e">
        <f>VLOOKUP(K253,#REF!,8,FALSE)</f>
        <v>#REF!</v>
      </c>
      <c r="AY253" s="23" t="e">
        <f>VLOOKUP(K253,#REF!,8,FALSE)</f>
        <v>#REF!</v>
      </c>
      <c r="AZ253" s="4"/>
      <c r="BA253" s="272"/>
      <c r="BB253" s="313">
        <f t="shared" si="147"/>
        <v>0</v>
      </c>
      <c r="BC253" s="269">
        <f t="shared" si="150"/>
        <v>2962.52</v>
      </c>
      <c r="BD253" t="str">
        <f t="shared" si="151"/>
        <v/>
      </c>
      <c r="BP253" s="166">
        <f t="shared" si="141"/>
        <v>2962.52</v>
      </c>
      <c r="BS253" s="165"/>
      <c r="BX253" s="495">
        <f t="shared" si="142"/>
        <v>2962.52</v>
      </c>
      <c r="BZ253" s="636">
        <f t="shared" si="122"/>
        <v>0</v>
      </c>
      <c r="CA253" s="633">
        <f t="shared" si="123"/>
        <v>0</v>
      </c>
    </row>
    <row r="254" spans="1:79" x14ac:dyDescent="0.2">
      <c r="A254" s="4">
        <v>1</v>
      </c>
      <c r="B254" s="4">
        <v>1</v>
      </c>
      <c r="C254" s="5">
        <f t="shared" si="145"/>
        <v>2002</v>
      </c>
      <c r="D254" s="6">
        <v>2002</v>
      </c>
      <c r="E254" s="121">
        <v>43012</v>
      </c>
      <c r="F254" s="6" t="s">
        <v>1606</v>
      </c>
      <c r="G254" s="7" t="s">
        <v>75</v>
      </c>
      <c r="H254" s="7"/>
      <c r="I254" s="7" t="s">
        <v>32</v>
      </c>
      <c r="J254" s="7"/>
      <c r="K254" s="14">
        <v>424759</v>
      </c>
      <c r="L254" s="45" t="s">
        <v>550</v>
      </c>
      <c r="M254" s="43" t="s">
        <v>559</v>
      </c>
      <c r="N254" s="43" t="s">
        <v>560</v>
      </c>
      <c r="O254" s="11" t="s">
        <v>561</v>
      </c>
      <c r="P254" s="12">
        <v>42549</v>
      </c>
      <c r="Q254" s="13">
        <f t="shared" ca="1" si="133"/>
        <v>9.2347707049965777</v>
      </c>
      <c r="R254" s="14">
        <v>1</v>
      </c>
      <c r="S254" s="15">
        <v>872</v>
      </c>
      <c r="T254" s="8">
        <v>872</v>
      </c>
      <c r="U254" s="16">
        <v>45017</v>
      </c>
      <c r="V254" s="17">
        <v>1</v>
      </c>
      <c r="W254" s="16">
        <v>45382</v>
      </c>
      <c r="X254" s="14">
        <v>192</v>
      </c>
      <c r="Y254" s="18">
        <f t="shared" si="124"/>
        <v>192</v>
      </c>
      <c r="Z254" s="18">
        <f t="shared" si="153"/>
        <v>1</v>
      </c>
      <c r="AA254" s="18" t="s">
        <v>36</v>
      </c>
      <c r="AB254" s="26">
        <v>32</v>
      </c>
      <c r="AC254" s="26"/>
      <c r="AD254" s="26"/>
      <c r="AE254" s="147" t="str">
        <f t="shared" si="134"/>
        <v>0</v>
      </c>
      <c r="AF254" s="147" t="str">
        <f t="shared" si="135"/>
        <v>0</v>
      </c>
      <c r="AG254" s="147" t="str">
        <f t="shared" si="136"/>
        <v>1</v>
      </c>
      <c r="AH254" s="147" t="str">
        <f t="shared" si="137"/>
        <v>NO</v>
      </c>
      <c r="AI254" s="147" t="str">
        <f t="shared" si="138"/>
        <v>NO</v>
      </c>
      <c r="AJ254" s="147" t="str">
        <f t="shared" si="139"/>
        <v>NO</v>
      </c>
      <c r="AK254" s="147" t="str">
        <f t="shared" si="140"/>
        <v>NO</v>
      </c>
      <c r="AL254" s="21"/>
      <c r="AM254" s="21">
        <f>IF(H254="Y",AL254,((AB254*$O$902)-6000))</f>
        <v>9128.64</v>
      </c>
      <c r="AN254" s="27" t="s">
        <v>56</v>
      </c>
      <c r="AO254" s="21">
        <v>1</v>
      </c>
      <c r="AP254" s="21">
        <f t="shared" si="152"/>
        <v>1</v>
      </c>
      <c r="AQ254" s="149">
        <f t="shared" si="146"/>
        <v>9128.64</v>
      </c>
      <c r="AR254" s="21">
        <v>9128.64</v>
      </c>
      <c r="AS254" s="610">
        <v>9128.64</v>
      </c>
      <c r="AT254" s="112">
        <v>9128.64</v>
      </c>
      <c r="AU254" s="4"/>
      <c r="AV254" s="4"/>
      <c r="AW254" s="23" t="e">
        <f>VLOOKUP(K254,#REF!,8,FALSE)</f>
        <v>#REF!</v>
      </c>
      <c r="AX254" s="23" t="e">
        <f>VLOOKUP(K254,#REF!,8,FALSE)</f>
        <v>#REF!</v>
      </c>
      <c r="AY254" s="23" t="e">
        <f>VLOOKUP(K254,#REF!,8,FALSE)</f>
        <v>#REF!</v>
      </c>
      <c r="AZ254" s="4"/>
      <c r="BA254" s="272"/>
      <c r="BB254" s="313">
        <f t="shared" si="147"/>
        <v>0</v>
      </c>
      <c r="BC254" s="269">
        <f t="shared" si="150"/>
        <v>9128.64</v>
      </c>
      <c r="BD254" t="str">
        <f t="shared" si="151"/>
        <v/>
      </c>
      <c r="BP254" s="166">
        <f t="shared" si="141"/>
        <v>9128.64</v>
      </c>
      <c r="BS254" s="165"/>
      <c r="BX254" s="495">
        <f t="shared" si="142"/>
        <v>9128.64</v>
      </c>
      <c r="BZ254" s="636">
        <f t="shared" si="122"/>
        <v>0</v>
      </c>
      <c r="CA254" s="633">
        <f t="shared" si="123"/>
        <v>0</v>
      </c>
    </row>
    <row r="255" spans="1:79" x14ac:dyDescent="0.2">
      <c r="A255" s="4">
        <v>0</v>
      </c>
      <c r="B255" s="4">
        <v>1</v>
      </c>
      <c r="C255" s="5">
        <f t="shared" si="145"/>
        <v>2002</v>
      </c>
      <c r="D255" s="6">
        <v>2002</v>
      </c>
      <c r="E255" s="121">
        <v>43012</v>
      </c>
      <c r="F255" s="6" t="s">
        <v>1606</v>
      </c>
      <c r="G255" s="7" t="s">
        <v>75</v>
      </c>
      <c r="H255" s="7"/>
      <c r="I255" s="7" t="s">
        <v>32</v>
      </c>
      <c r="J255" s="7" t="s">
        <v>142</v>
      </c>
      <c r="K255" s="14">
        <v>424759</v>
      </c>
      <c r="L255" s="45" t="s">
        <v>550</v>
      </c>
      <c r="M255" s="10" t="s">
        <v>559</v>
      </c>
      <c r="N255" s="10" t="s">
        <v>560</v>
      </c>
      <c r="O255" s="11" t="s">
        <v>561</v>
      </c>
      <c r="P255" s="12">
        <v>42549</v>
      </c>
      <c r="Q255" s="13">
        <f t="shared" ca="1" si="133"/>
        <v>9.2347707049965777</v>
      </c>
      <c r="R255" s="14">
        <v>1</v>
      </c>
      <c r="S255" s="15">
        <v>872</v>
      </c>
      <c r="T255" s="8">
        <v>872</v>
      </c>
      <c r="U255" s="16">
        <v>45017</v>
      </c>
      <c r="V255" s="17">
        <v>1</v>
      </c>
      <c r="W255" s="16">
        <v>45128</v>
      </c>
      <c r="X255" s="14">
        <v>63</v>
      </c>
      <c r="Y255" s="18">
        <f t="shared" si="124"/>
        <v>63</v>
      </c>
      <c r="Z255" s="18">
        <f t="shared" si="153"/>
        <v>0.328125</v>
      </c>
      <c r="AA255" s="39">
        <v>45128</v>
      </c>
      <c r="AB255" s="26">
        <v>22643</v>
      </c>
      <c r="AC255" s="26"/>
      <c r="AD255" s="26"/>
      <c r="AE255" s="147" t="str">
        <f t="shared" si="134"/>
        <v>0</v>
      </c>
      <c r="AF255" s="147" t="str">
        <f t="shared" si="135"/>
        <v>0</v>
      </c>
      <c r="AG255" s="147" t="str">
        <f t="shared" si="136"/>
        <v>1</v>
      </c>
      <c r="AH255" s="147" t="str">
        <f t="shared" si="137"/>
        <v>NO</v>
      </c>
      <c r="AI255" s="147" t="str">
        <f t="shared" si="138"/>
        <v>NO</v>
      </c>
      <c r="AJ255" s="147" t="str">
        <f t="shared" si="139"/>
        <v>NO</v>
      </c>
      <c r="AK255" s="147" t="str">
        <f t="shared" si="140"/>
        <v>NO</v>
      </c>
      <c r="AL255" s="21"/>
      <c r="AM255" s="21">
        <v>22643</v>
      </c>
      <c r="AN255" s="27" t="s">
        <v>56</v>
      </c>
      <c r="AO255" s="21">
        <v>1</v>
      </c>
      <c r="AP255" s="21">
        <f t="shared" si="152"/>
        <v>0.328125</v>
      </c>
      <c r="AQ255" s="149">
        <v>12540.738461538465</v>
      </c>
      <c r="AR255" s="21">
        <v>7429.734375</v>
      </c>
      <c r="AS255" s="610">
        <v>7429.734375</v>
      </c>
      <c r="AT255" s="112">
        <v>7429.734375</v>
      </c>
      <c r="AU255" s="4"/>
      <c r="AV255" s="4"/>
      <c r="AW255" s="23" t="e">
        <f>VLOOKUP(K255,#REF!,8,FALSE)</f>
        <v>#REF!</v>
      </c>
      <c r="AX255" s="23" t="e">
        <f>VLOOKUP(K255,#REF!,8,FALSE)</f>
        <v>#REF!</v>
      </c>
      <c r="AY255" s="23" t="e">
        <f>VLOOKUP(K255,#REF!,8,FALSE)</f>
        <v>#REF!</v>
      </c>
      <c r="AZ255" s="4"/>
      <c r="BA255" s="272"/>
      <c r="BB255" s="313">
        <f t="shared" si="147"/>
        <v>0</v>
      </c>
      <c r="BC255" s="269">
        <f t="shared" si="150"/>
        <v>7429.734375</v>
      </c>
      <c r="BD255" t="str">
        <f t="shared" si="151"/>
        <v/>
      </c>
      <c r="BJ255">
        <f>AB255</f>
        <v>22643</v>
      </c>
      <c r="BK255" s="269">
        <f>AM255</f>
        <v>22643</v>
      </c>
      <c r="BO255" s="106">
        <f>BK255/192*127</f>
        <v>14977.401041666668</v>
      </c>
      <c r="BP255" s="166">
        <f t="shared" si="141"/>
        <v>22407.135416666668</v>
      </c>
      <c r="BS255" s="165"/>
      <c r="BX255" s="495">
        <f t="shared" si="142"/>
        <v>27518.139503205133</v>
      </c>
      <c r="BZ255" s="636">
        <f t="shared" si="122"/>
        <v>5111.0040865384653</v>
      </c>
      <c r="CA255" s="633">
        <f t="shared" si="123"/>
        <v>20088.405128205133</v>
      </c>
    </row>
    <row r="256" spans="1:79" x14ac:dyDescent="0.2">
      <c r="A256" s="4">
        <v>1</v>
      </c>
      <c r="B256" s="4">
        <v>1</v>
      </c>
      <c r="C256" s="5">
        <f t="shared" si="145"/>
        <v>2002</v>
      </c>
      <c r="D256" s="6">
        <v>2002</v>
      </c>
      <c r="E256" s="121">
        <v>43012</v>
      </c>
      <c r="F256" s="6" t="s">
        <v>1606</v>
      </c>
      <c r="G256" s="7" t="s">
        <v>75</v>
      </c>
      <c r="H256" s="7"/>
      <c r="I256" s="7" t="s">
        <v>32</v>
      </c>
      <c r="J256" s="7"/>
      <c r="K256" s="14">
        <v>415627</v>
      </c>
      <c r="L256" s="45" t="s">
        <v>550</v>
      </c>
      <c r="M256" s="10" t="s">
        <v>562</v>
      </c>
      <c r="N256" s="10" t="s">
        <v>563</v>
      </c>
      <c r="O256" s="11" t="s">
        <v>564</v>
      </c>
      <c r="P256" s="12">
        <v>41450</v>
      </c>
      <c r="Q256" s="13">
        <f t="shared" ca="1" si="133"/>
        <v>12.243668720054757</v>
      </c>
      <c r="R256" s="14">
        <v>5</v>
      </c>
      <c r="S256" s="15">
        <v>872</v>
      </c>
      <c r="T256" s="8">
        <v>872</v>
      </c>
      <c r="U256" s="16">
        <v>45017</v>
      </c>
      <c r="V256" s="17">
        <v>1</v>
      </c>
      <c r="W256" s="16">
        <v>45382</v>
      </c>
      <c r="X256" s="14">
        <v>192</v>
      </c>
      <c r="Y256" s="18">
        <f t="shared" si="124"/>
        <v>192</v>
      </c>
      <c r="Z256" s="18">
        <f t="shared" si="153"/>
        <v>1</v>
      </c>
      <c r="AA256" s="18" t="s">
        <v>36</v>
      </c>
      <c r="AB256" s="26">
        <v>30</v>
      </c>
      <c r="AC256" s="26"/>
      <c r="AD256" s="26"/>
      <c r="AE256" s="147" t="str">
        <f t="shared" si="134"/>
        <v>0</v>
      </c>
      <c r="AF256" s="147" t="str">
        <f t="shared" si="135"/>
        <v>1</v>
      </c>
      <c r="AG256" s="147" t="str">
        <f t="shared" si="136"/>
        <v>0</v>
      </c>
      <c r="AH256" s="147" t="str">
        <f t="shared" si="137"/>
        <v>NO</v>
      </c>
      <c r="AI256" s="147" t="str">
        <f t="shared" si="138"/>
        <v>NO</v>
      </c>
      <c r="AJ256" s="147" t="str">
        <f t="shared" si="139"/>
        <v>NO</v>
      </c>
      <c r="AK256" s="147" t="str">
        <f t="shared" si="140"/>
        <v>NO</v>
      </c>
      <c r="AL256" s="21"/>
      <c r="AM256" s="21">
        <f>IF(H256="Y",AL256,((AB256*$O$902)-6000))</f>
        <v>8183.0999999999985</v>
      </c>
      <c r="AN256" s="27"/>
      <c r="AO256" s="21">
        <v>1</v>
      </c>
      <c r="AP256" s="21">
        <f t="shared" si="152"/>
        <v>1</v>
      </c>
      <c r="AQ256" s="149">
        <f t="shared" ref="AQ256:AQ319" si="154">AP256*AM256</f>
        <v>8183.0999999999985</v>
      </c>
      <c r="AR256" s="21">
        <v>8183.0999999999985</v>
      </c>
      <c r="AS256" s="610">
        <v>0</v>
      </c>
      <c r="AT256" s="112">
        <v>8183.0999999999985</v>
      </c>
      <c r="AU256" s="4"/>
      <c r="AV256" s="4"/>
      <c r="AW256" s="23" t="e">
        <f>VLOOKUP(K256,#REF!,8,FALSE)</f>
        <v>#REF!</v>
      </c>
      <c r="AX256" s="23" t="e">
        <f>VLOOKUP(K256,#REF!,8,FALSE)</f>
        <v>#REF!</v>
      </c>
      <c r="AY256" s="23" t="e">
        <f>VLOOKUP(K256,#REF!,8,FALSE)</f>
        <v>#REF!</v>
      </c>
      <c r="AZ256" s="4"/>
      <c r="BA256" s="272"/>
      <c r="BB256" s="313">
        <f t="shared" si="147"/>
        <v>0</v>
      </c>
      <c r="BC256" s="269">
        <f t="shared" si="150"/>
        <v>8183.0999999999985</v>
      </c>
      <c r="BD256" t="str">
        <f t="shared" si="151"/>
        <v/>
      </c>
      <c r="BP256" s="166">
        <f t="shared" si="141"/>
        <v>8183.0999999999985</v>
      </c>
      <c r="BS256" s="165"/>
      <c r="BX256" s="495">
        <f t="shared" si="142"/>
        <v>8183.0999999999985</v>
      </c>
      <c r="BZ256" s="636">
        <f t="shared" si="122"/>
        <v>0</v>
      </c>
      <c r="CA256" s="633">
        <f t="shared" si="123"/>
        <v>8183.0999999999985</v>
      </c>
    </row>
    <row r="257" spans="1:79" x14ac:dyDescent="0.2">
      <c r="A257" s="4">
        <v>1</v>
      </c>
      <c r="B257" s="4">
        <v>1</v>
      </c>
      <c r="C257" s="5">
        <f t="shared" si="145"/>
        <v>2002</v>
      </c>
      <c r="D257" s="6">
        <v>2002</v>
      </c>
      <c r="E257" s="121">
        <v>43012</v>
      </c>
      <c r="F257" s="6" t="s">
        <v>1606</v>
      </c>
      <c r="G257" s="7" t="s">
        <v>75</v>
      </c>
      <c r="H257" s="7"/>
      <c r="I257" s="7" t="s">
        <v>32</v>
      </c>
      <c r="J257" s="7"/>
      <c r="K257" s="14">
        <v>437343</v>
      </c>
      <c r="L257" s="45" t="s">
        <v>550</v>
      </c>
      <c r="M257" s="10" t="s">
        <v>565</v>
      </c>
      <c r="N257" s="10" t="s">
        <v>566</v>
      </c>
      <c r="O257" s="11" t="s">
        <v>567</v>
      </c>
      <c r="P257" s="12">
        <v>43292</v>
      </c>
      <c r="Q257" s="13">
        <f t="shared" ca="1" si="133"/>
        <v>7.2005475701574264</v>
      </c>
      <c r="R257" s="14">
        <v>0</v>
      </c>
      <c r="S257" s="15">
        <v>872</v>
      </c>
      <c r="T257" s="8">
        <v>872</v>
      </c>
      <c r="U257" s="16">
        <v>45017</v>
      </c>
      <c r="V257" s="17">
        <v>1</v>
      </c>
      <c r="W257" s="16">
        <v>45382</v>
      </c>
      <c r="X257" s="14">
        <v>192</v>
      </c>
      <c r="Y257" s="18">
        <f t="shared" si="124"/>
        <v>192</v>
      </c>
      <c r="Z257" s="18">
        <f t="shared" si="153"/>
        <v>1</v>
      </c>
      <c r="AA257" s="18" t="s">
        <v>36</v>
      </c>
      <c r="AB257" s="26">
        <v>37</v>
      </c>
      <c r="AC257" s="26"/>
      <c r="AD257" s="26"/>
      <c r="AE257" s="147" t="str">
        <f t="shared" si="134"/>
        <v>0</v>
      </c>
      <c r="AF257" s="147" t="str">
        <f t="shared" si="135"/>
        <v>0</v>
      </c>
      <c r="AG257" s="147" t="str">
        <f t="shared" si="136"/>
        <v>1</v>
      </c>
      <c r="AH257" s="147" t="str">
        <f t="shared" si="137"/>
        <v>NO</v>
      </c>
      <c r="AI257" s="147" t="str">
        <f t="shared" si="138"/>
        <v>NO</v>
      </c>
      <c r="AJ257" s="147" t="str">
        <f t="shared" si="139"/>
        <v>NO</v>
      </c>
      <c r="AK257" s="147" t="str">
        <f t="shared" si="140"/>
        <v>NO</v>
      </c>
      <c r="AL257" s="21"/>
      <c r="AM257" s="21">
        <f>IF(H257="Y",AL257,((AB257*$O$902)-6000))</f>
        <v>11492.489999999998</v>
      </c>
      <c r="AN257" s="27" t="s">
        <v>185</v>
      </c>
      <c r="AO257" s="21">
        <v>1</v>
      </c>
      <c r="AP257" s="21">
        <f t="shared" si="152"/>
        <v>1</v>
      </c>
      <c r="AQ257" s="149">
        <f t="shared" si="154"/>
        <v>11492.489999999998</v>
      </c>
      <c r="AR257" s="21">
        <v>11492.489999999998</v>
      </c>
      <c r="AS257" s="610">
        <v>11492.489999999998</v>
      </c>
      <c r="AT257" s="112">
        <v>11492.489999999998</v>
      </c>
      <c r="AU257" s="4"/>
      <c r="AV257" s="4"/>
      <c r="AW257" s="23" t="e">
        <f>VLOOKUP(K257,#REF!,8,FALSE)</f>
        <v>#REF!</v>
      </c>
      <c r="AX257" s="23" t="e">
        <f>VLOOKUP(K257,#REF!,8,FALSE)</f>
        <v>#REF!</v>
      </c>
      <c r="AY257" s="23" t="e">
        <f>VLOOKUP(K257,#REF!,8,FALSE)</f>
        <v>#REF!</v>
      </c>
      <c r="AZ257" s="4"/>
      <c r="BA257" s="272"/>
      <c r="BB257" s="313">
        <f t="shared" si="147"/>
        <v>0</v>
      </c>
      <c r="BC257" s="269">
        <f t="shared" si="150"/>
        <v>11492.489999999998</v>
      </c>
      <c r="BD257" t="str">
        <f t="shared" si="151"/>
        <v/>
      </c>
      <c r="BP257" s="166">
        <f t="shared" si="141"/>
        <v>11492.489999999998</v>
      </c>
      <c r="BS257" s="165"/>
      <c r="BX257" s="495">
        <f t="shared" si="142"/>
        <v>11492.489999999998</v>
      </c>
      <c r="BZ257" s="636">
        <f t="shared" si="122"/>
        <v>0</v>
      </c>
      <c r="CA257" s="633">
        <f t="shared" si="123"/>
        <v>0</v>
      </c>
    </row>
    <row r="258" spans="1:79" x14ac:dyDescent="0.2">
      <c r="A258" s="4">
        <v>1</v>
      </c>
      <c r="B258" s="4">
        <v>1</v>
      </c>
      <c r="C258" s="5">
        <f t="shared" si="145"/>
        <v>2002</v>
      </c>
      <c r="D258" s="6">
        <v>2002</v>
      </c>
      <c r="E258" s="121">
        <v>43012</v>
      </c>
      <c r="F258" s="6" t="s">
        <v>1606</v>
      </c>
      <c r="G258" s="7" t="s">
        <v>75</v>
      </c>
      <c r="H258" s="7"/>
      <c r="I258" s="7" t="s">
        <v>32</v>
      </c>
      <c r="J258" s="7"/>
      <c r="K258" s="14">
        <v>401992</v>
      </c>
      <c r="L258" s="45" t="s">
        <v>550</v>
      </c>
      <c r="M258" s="10" t="s">
        <v>189</v>
      </c>
      <c r="N258" s="10" t="s">
        <v>568</v>
      </c>
      <c r="O258" s="11" t="s">
        <v>569</v>
      </c>
      <c r="P258" s="12">
        <v>41303</v>
      </c>
      <c r="Q258" s="13">
        <f t="shared" ca="1" si="133"/>
        <v>12.646132785763175</v>
      </c>
      <c r="R258" s="14">
        <v>5</v>
      </c>
      <c r="S258" s="15">
        <v>872</v>
      </c>
      <c r="T258" s="8">
        <v>872</v>
      </c>
      <c r="U258" s="16">
        <v>45017</v>
      </c>
      <c r="V258" s="17">
        <v>1</v>
      </c>
      <c r="W258" s="16">
        <v>45382</v>
      </c>
      <c r="X258" s="14">
        <v>192</v>
      </c>
      <c r="Y258" s="18">
        <f t="shared" si="124"/>
        <v>192</v>
      </c>
      <c r="Z258" s="18">
        <f t="shared" si="153"/>
        <v>1</v>
      </c>
      <c r="AA258" s="18" t="s">
        <v>36</v>
      </c>
      <c r="AB258" s="26">
        <v>28</v>
      </c>
      <c r="AC258" s="26"/>
      <c r="AD258" s="26"/>
      <c r="AE258" s="147" t="str">
        <f t="shared" si="134"/>
        <v>0</v>
      </c>
      <c r="AF258" s="147" t="str">
        <f t="shared" si="135"/>
        <v>1</v>
      </c>
      <c r="AG258" s="147" t="str">
        <f t="shared" si="136"/>
        <v>0</v>
      </c>
      <c r="AH258" s="147" t="str">
        <f t="shared" si="137"/>
        <v>NO</v>
      </c>
      <c r="AI258" s="147" t="str">
        <f t="shared" si="138"/>
        <v>NO</v>
      </c>
      <c r="AJ258" s="147" t="str">
        <f t="shared" si="139"/>
        <v>NO</v>
      </c>
      <c r="AK258" s="147" t="str">
        <f t="shared" si="140"/>
        <v>NO</v>
      </c>
      <c r="AL258" s="21"/>
      <c r="AM258" s="21">
        <f>IF(H258="Y",AL258,((AB258*$O$902)-6000))</f>
        <v>7237.5599999999995</v>
      </c>
      <c r="AN258" s="27" t="s">
        <v>43</v>
      </c>
      <c r="AO258" s="21">
        <v>1</v>
      </c>
      <c r="AP258" s="21">
        <f t="shared" si="152"/>
        <v>1</v>
      </c>
      <c r="AQ258" s="149">
        <f t="shared" si="154"/>
        <v>7237.5599999999995</v>
      </c>
      <c r="AR258" s="21">
        <v>7237.5599999999995</v>
      </c>
      <c r="AS258" s="610">
        <v>7237.5599999999995</v>
      </c>
      <c r="AT258" s="112">
        <v>7237.5599999999995</v>
      </c>
      <c r="AU258" s="4"/>
      <c r="AV258" s="4"/>
      <c r="AW258" s="23" t="e">
        <f>VLOOKUP(K258,#REF!,8,FALSE)</f>
        <v>#REF!</v>
      </c>
      <c r="AX258" s="23" t="e">
        <f>VLOOKUP(K258,#REF!,8,FALSE)</f>
        <v>#REF!</v>
      </c>
      <c r="AY258" s="23" t="e">
        <f>VLOOKUP(K258,#REF!,8,FALSE)</f>
        <v>#REF!</v>
      </c>
      <c r="AZ258" s="4"/>
      <c r="BA258" s="272"/>
      <c r="BB258" s="313">
        <f t="shared" si="147"/>
        <v>0</v>
      </c>
      <c r="BC258" s="269">
        <f t="shared" si="150"/>
        <v>7237.5599999999995</v>
      </c>
      <c r="BD258" t="str">
        <f t="shared" si="151"/>
        <v/>
      </c>
      <c r="BP258" s="166">
        <f t="shared" si="141"/>
        <v>7237.5599999999995</v>
      </c>
      <c r="BS258" s="165"/>
      <c r="BX258" s="495">
        <f t="shared" si="142"/>
        <v>7237.5599999999995</v>
      </c>
      <c r="BZ258" s="636">
        <f t="shared" si="122"/>
        <v>0</v>
      </c>
      <c r="CA258" s="633">
        <f t="shared" si="123"/>
        <v>0</v>
      </c>
    </row>
    <row r="259" spans="1:79" x14ac:dyDescent="0.2">
      <c r="A259" s="4">
        <v>1</v>
      </c>
      <c r="B259" s="4">
        <v>1</v>
      </c>
      <c r="C259" s="5">
        <f t="shared" si="145"/>
        <v>2002</v>
      </c>
      <c r="D259" s="6">
        <v>2002</v>
      </c>
      <c r="E259" s="121">
        <v>43012</v>
      </c>
      <c r="F259" s="6" t="s">
        <v>1606</v>
      </c>
      <c r="G259" s="7" t="s">
        <v>75</v>
      </c>
      <c r="H259" s="7"/>
      <c r="I259" s="7" t="s">
        <v>32</v>
      </c>
      <c r="J259" s="7"/>
      <c r="K259" s="29">
        <v>407845</v>
      </c>
      <c r="L259" s="45" t="s">
        <v>550</v>
      </c>
      <c r="M259" s="10" t="s">
        <v>189</v>
      </c>
      <c r="N259" s="10" t="s">
        <v>571</v>
      </c>
      <c r="O259" s="11" t="s">
        <v>572</v>
      </c>
      <c r="P259" s="12">
        <v>41617</v>
      </c>
      <c r="Q259" s="13">
        <f t="shared" ca="1" si="133"/>
        <v>11.786447638603697</v>
      </c>
      <c r="R259" s="14">
        <v>4</v>
      </c>
      <c r="S259" s="15">
        <v>872</v>
      </c>
      <c r="T259" s="8">
        <v>872</v>
      </c>
      <c r="U259" s="16">
        <v>45017</v>
      </c>
      <c r="V259" s="17">
        <v>1</v>
      </c>
      <c r="W259" s="16">
        <v>45382</v>
      </c>
      <c r="X259" s="14">
        <v>192</v>
      </c>
      <c r="Y259" s="18">
        <f t="shared" si="124"/>
        <v>192</v>
      </c>
      <c r="Z259" s="18">
        <f t="shared" si="153"/>
        <v>1</v>
      </c>
      <c r="AA259" s="18" t="s">
        <v>36</v>
      </c>
      <c r="AB259" s="26">
        <v>9389.25</v>
      </c>
      <c r="AC259" s="26"/>
      <c r="AD259" s="26"/>
      <c r="AE259" s="147" t="str">
        <f t="shared" si="134"/>
        <v>0</v>
      </c>
      <c r="AF259" s="147" t="str">
        <f t="shared" si="135"/>
        <v>0</v>
      </c>
      <c r="AG259" s="147" t="str">
        <f t="shared" si="136"/>
        <v>1</v>
      </c>
      <c r="AH259" s="147" t="str">
        <f t="shared" si="137"/>
        <v>NO</v>
      </c>
      <c r="AI259" s="147" t="str">
        <f t="shared" si="138"/>
        <v>NO</v>
      </c>
      <c r="AJ259" s="147" t="str">
        <f t="shared" si="139"/>
        <v>NO</v>
      </c>
      <c r="AK259" s="147" t="str">
        <f t="shared" si="140"/>
        <v>NO</v>
      </c>
      <c r="AL259" s="21"/>
      <c r="AM259" s="21">
        <f>AB259</f>
        <v>9389.25</v>
      </c>
      <c r="AN259" s="22" t="s">
        <v>37</v>
      </c>
      <c r="AO259" s="21">
        <v>1</v>
      </c>
      <c r="AP259" s="21">
        <f t="shared" si="152"/>
        <v>1</v>
      </c>
      <c r="AQ259" s="149">
        <f t="shared" si="154"/>
        <v>9389.25</v>
      </c>
      <c r="AR259" s="21">
        <v>9389.25</v>
      </c>
      <c r="AS259" s="610">
        <v>9389.25</v>
      </c>
      <c r="AT259" s="112">
        <v>9389.25</v>
      </c>
      <c r="AU259" s="4"/>
      <c r="AV259" s="4"/>
      <c r="AW259" s="23" t="e">
        <f>VLOOKUP(K259,#REF!,8,FALSE)</f>
        <v>#REF!</v>
      </c>
      <c r="AX259" s="23" t="e">
        <f>VLOOKUP(K259,#REF!,8,FALSE)</f>
        <v>#REF!</v>
      </c>
      <c r="AY259" s="23" t="e">
        <f>VLOOKUP(K259,#REF!,8,FALSE)</f>
        <v>#REF!</v>
      </c>
      <c r="AZ259" s="4"/>
      <c r="BA259" s="272"/>
      <c r="BB259" s="313">
        <f t="shared" si="147"/>
        <v>0</v>
      </c>
      <c r="BC259" s="269">
        <f t="shared" si="150"/>
        <v>9389.25</v>
      </c>
      <c r="BD259" t="str">
        <f t="shared" si="151"/>
        <v/>
      </c>
      <c r="BP259" s="166">
        <f t="shared" si="141"/>
        <v>9389.25</v>
      </c>
      <c r="BS259" s="165"/>
      <c r="BX259" s="495">
        <f t="shared" si="142"/>
        <v>9389.25</v>
      </c>
      <c r="BZ259" s="636">
        <f t="shared" ref="BZ259:BZ322" si="155">BX259-BP259</f>
        <v>0</v>
      </c>
      <c r="CA259" s="633">
        <f t="shared" ref="CA259:CA322" si="156">BX259-AS259</f>
        <v>0</v>
      </c>
    </row>
    <row r="260" spans="1:79" x14ac:dyDescent="0.2">
      <c r="A260" s="4">
        <v>1</v>
      </c>
      <c r="B260" s="4">
        <v>1</v>
      </c>
      <c r="C260" s="5">
        <f t="shared" si="145"/>
        <v>2002</v>
      </c>
      <c r="D260" s="6">
        <v>2002</v>
      </c>
      <c r="E260" s="121">
        <v>43012</v>
      </c>
      <c r="F260" s="6" t="s">
        <v>1606</v>
      </c>
      <c r="G260" s="7" t="s">
        <v>75</v>
      </c>
      <c r="H260" s="7"/>
      <c r="I260" s="7" t="s">
        <v>32</v>
      </c>
      <c r="J260" s="7"/>
      <c r="K260" s="30">
        <v>416343</v>
      </c>
      <c r="L260" s="45" t="s">
        <v>550</v>
      </c>
      <c r="M260" s="31" t="s">
        <v>132</v>
      </c>
      <c r="N260" s="31" t="s">
        <v>573</v>
      </c>
      <c r="O260" s="31" t="str">
        <f>M260 &amp; N260</f>
        <v>HarryGallina</v>
      </c>
      <c r="P260" s="32">
        <v>41837</v>
      </c>
      <c r="Q260" s="13">
        <f t="shared" ca="1" si="133"/>
        <v>11.184120465434633</v>
      </c>
      <c r="R260" s="14">
        <v>4</v>
      </c>
      <c r="S260" s="15">
        <v>872</v>
      </c>
      <c r="T260" s="8">
        <v>872</v>
      </c>
      <c r="U260" s="16">
        <v>45017</v>
      </c>
      <c r="V260" s="17">
        <v>1</v>
      </c>
      <c r="W260" s="16">
        <v>45382</v>
      </c>
      <c r="X260" s="14">
        <v>192</v>
      </c>
      <c r="Y260" s="18">
        <f t="shared" ref="Y260:Y323" si="157">X260-V260+1</f>
        <v>192</v>
      </c>
      <c r="Z260" s="18">
        <f t="shared" si="153"/>
        <v>1</v>
      </c>
      <c r="AA260" s="18" t="s">
        <v>36</v>
      </c>
      <c r="AB260" s="26">
        <v>25</v>
      </c>
      <c r="AC260" s="26"/>
      <c r="AD260" s="26"/>
      <c r="AE260" s="147" t="str">
        <f t="shared" si="134"/>
        <v>1</v>
      </c>
      <c r="AF260" s="147" t="str">
        <f t="shared" si="135"/>
        <v>0</v>
      </c>
      <c r="AG260" s="147" t="str">
        <f t="shared" si="136"/>
        <v>0</v>
      </c>
      <c r="AH260" s="147" t="str">
        <f t="shared" si="137"/>
        <v>NO</v>
      </c>
      <c r="AI260" s="147" t="str">
        <f t="shared" si="138"/>
        <v>NO</v>
      </c>
      <c r="AJ260" s="147" t="str">
        <f t="shared" si="139"/>
        <v>NO</v>
      </c>
      <c r="AK260" s="147" t="str">
        <f t="shared" si="140"/>
        <v>NO</v>
      </c>
      <c r="AL260" s="21"/>
      <c r="AM260" s="21">
        <f>IF(H260="Y",AL260,((AB260*$O$902)-6000))</f>
        <v>5819.25</v>
      </c>
      <c r="AN260" s="22" t="s">
        <v>574</v>
      </c>
      <c r="AO260" s="21">
        <v>1</v>
      </c>
      <c r="AP260" s="21">
        <f t="shared" si="152"/>
        <v>1</v>
      </c>
      <c r="AQ260" s="149">
        <f t="shared" si="154"/>
        <v>5819.25</v>
      </c>
      <c r="AR260" s="21">
        <v>5819.25</v>
      </c>
      <c r="AS260" s="610">
        <v>5819.25</v>
      </c>
      <c r="AT260" s="112">
        <v>5819.25</v>
      </c>
      <c r="AU260" s="4"/>
      <c r="AV260" s="4"/>
      <c r="AW260" s="23" t="e">
        <f>VLOOKUP(K260,#REF!,8,FALSE)</f>
        <v>#REF!</v>
      </c>
      <c r="AX260" s="23" t="e">
        <f>VLOOKUP(K260,#REF!,8,FALSE)</f>
        <v>#REF!</v>
      </c>
      <c r="AY260" s="23" t="e">
        <f>VLOOKUP(K260,#REF!,8,FALSE)</f>
        <v>#REF!</v>
      </c>
      <c r="AZ260" s="4"/>
      <c r="BA260" s="272"/>
      <c r="BB260" s="313">
        <f t="shared" ref="BB260:BB276" si="158">BC260-AT260</f>
        <v>0</v>
      </c>
      <c r="BC260" s="269">
        <f t="shared" si="150"/>
        <v>5819.25</v>
      </c>
      <c r="BD260" t="str">
        <f t="shared" si="151"/>
        <v/>
      </c>
      <c r="BP260" s="166">
        <f t="shared" si="141"/>
        <v>5819.25</v>
      </c>
      <c r="BS260" s="165"/>
      <c r="BX260" s="495">
        <f t="shared" si="142"/>
        <v>5819.25</v>
      </c>
      <c r="BZ260" s="636">
        <f t="shared" si="155"/>
        <v>0</v>
      </c>
      <c r="CA260" s="633">
        <f t="shared" si="156"/>
        <v>0</v>
      </c>
    </row>
    <row r="261" spans="1:79" x14ac:dyDescent="0.2">
      <c r="A261" s="4">
        <v>1</v>
      </c>
      <c r="B261" s="4">
        <v>1</v>
      </c>
      <c r="C261" s="5">
        <f t="shared" si="145"/>
        <v>2002</v>
      </c>
      <c r="D261" s="6">
        <v>2002</v>
      </c>
      <c r="E261" s="121">
        <v>43012</v>
      </c>
      <c r="F261" s="6" t="s">
        <v>1606</v>
      </c>
      <c r="G261" s="7" t="s">
        <v>75</v>
      </c>
      <c r="H261" s="7"/>
      <c r="I261" s="7" t="s">
        <v>32</v>
      </c>
      <c r="J261" s="7"/>
      <c r="K261" s="30">
        <v>418445</v>
      </c>
      <c r="L261" s="45" t="s">
        <v>550</v>
      </c>
      <c r="M261" s="31" t="s">
        <v>575</v>
      </c>
      <c r="N261" s="31" t="s">
        <v>576</v>
      </c>
      <c r="O261" s="31" t="s">
        <v>577</v>
      </c>
      <c r="P261" s="32">
        <v>41954</v>
      </c>
      <c r="Q261" s="13">
        <f t="shared" ca="1" si="133"/>
        <v>10.863791923340179</v>
      </c>
      <c r="R261" s="14">
        <v>3</v>
      </c>
      <c r="S261" s="15">
        <v>872</v>
      </c>
      <c r="T261" s="8">
        <v>872</v>
      </c>
      <c r="U261" s="16">
        <v>45017</v>
      </c>
      <c r="V261" s="17">
        <v>1</v>
      </c>
      <c r="W261" s="16">
        <v>45382</v>
      </c>
      <c r="X261" s="14">
        <v>192</v>
      </c>
      <c r="Y261" s="18">
        <f t="shared" si="157"/>
        <v>192</v>
      </c>
      <c r="Z261" s="18">
        <f t="shared" si="153"/>
        <v>1</v>
      </c>
      <c r="AA261" s="18" t="s">
        <v>36</v>
      </c>
      <c r="AB261" s="26">
        <v>8696.8799999999992</v>
      </c>
      <c r="AC261" s="26"/>
      <c r="AD261" s="26"/>
      <c r="AE261" s="147" t="str">
        <f t="shared" si="134"/>
        <v>0</v>
      </c>
      <c r="AF261" s="147" t="str">
        <f t="shared" si="135"/>
        <v>0</v>
      </c>
      <c r="AG261" s="147" t="str">
        <f t="shared" si="136"/>
        <v>1</v>
      </c>
      <c r="AH261" s="147" t="str">
        <f t="shared" si="137"/>
        <v>NO</v>
      </c>
      <c r="AI261" s="147" t="str">
        <f t="shared" si="138"/>
        <v>NO</v>
      </c>
      <c r="AJ261" s="147" t="str">
        <f t="shared" si="139"/>
        <v>NO</v>
      </c>
      <c r="AK261" s="147" t="str">
        <f t="shared" si="140"/>
        <v>NO</v>
      </c>
      <c r="AL261" s="21"/>
      <c r="AM261" s="21">
        <v>8696.8799999999992</v>
      </c>
      <c r="AN261" s="22" t="s">
        <v>56</v>
      </c>
      <c r="AO261" s="21">
        <v>1</v>
      </c>
      <c r="AP261" s="21">
        <f t="shared" si="152"/>
        <v>1</v>
      </c>
      <c r="AQ261" s="149">
        <f t="shared" si="154"/>
        <v>8696.8799999999992</v>
      </c>
      <c r="AR261" s="21">
        <v>8696.8799999999992</v>
      </c>
      <c r="AS261" s="610">
        <v>0</v>
      </c>
      <c r="AT261" s="112">
        <v>8696.8799999999992</v>
      </c>
      <c r="AU261" s="4"/>
      <c r="AV261" s="4"/>
      <c r="AW261" s="23" t="e">
        <f>VLOOKUP(K261,#REF!,8,FALSE)</f>
        <v>#REF!</v>
      </c>
      <c r="AX261" s="23" t="e">
        <f>VLOOKUP(K261,#REF!,8,FALSE)</f>
        <v>#REF!</v>
      </c>
      <c r="AY261" s="23" t="e">
        <f>VLOOKUP(K261,#REF!,8,FALSE)</f>
        <v>#REF!</v>
      </c>
      <c r="AZ261" s="4"/>
      <c r="BA261" s="272"/>
      <c r="BB261" s="313">
        <f t="shared" si="158"/>
        <v>0</v>
      </c>
      <c r="BC261" s="269">
        <f t="shared" si="150"/>
        <v>8696.8799999999992</v>
      </c>
      <c r="BD261" t="str">
        <f t="shared" si="151"/>
        <v/>
      </c>
      <c r="BP261" s="166">
        <f t="shared" si="141"/>
        <v>8696.8799999999992</v>
      </c>
      <c r="BS261" s="165"/>
      <c r="BX261" s="495">
        <f t="shared" si="142"/>
        <v>8696.8799999999992</v>
      </c>
      <c r="BZ261" s="636">
        <f t="shared" si="155"/>
        <v>0</v>
      </c>
      <c r="CA261" s="633">
        <f t="shared" si="156"/>
        <v>8696.8799999999992</v>
      </c>
    </row>
    <row r="262" spans="1:79" x14ac:dyDescent="0.2">
      <c r="A262" s="4">
        <v>1</v>
      </c>
      <c r="B262" s="4">
        <v>1</v>
      </c>
      <c r="C262" s="5">
        <f t="shared" si="145"/>
        <v>2002</v>
      </c>
      <c r="D262" s="6">
        <v>2002</v>
      </c>
      <c r="E262" s="121">
        <v>43012</v>
      </c>
      <c r="F262" s="6" t="s">
        <v>1606</v>
      </c>
      <c r="G262" s="7" t="s">
        <v>75</v>
      </c>
      <c r="H262" s="7"/>
      <c r="I262" s="7" t="s">
        <v>32</v>
      </c>
      <c r="J262" s="7"/>
      <c r="K262" s="29">
        <v>409995</v>
      </c>
      <c r="L262" s="45" t="s">
        <v>550</v>
      </c>
      <c r="M262" s="10" t="s">
        <v>578</v>
      </c>
      <c r="N262" s="10" t="s">
        <v>579</v>
      </c>
      <c r="O262" s="11" t="s">
        <v>580</v>
      </c>
      <c r="P262" s="12">
        <v>41470</v>
      </c>
      <c r="Q262" s="13">
        <f t="shared" ca="1" si="133"/>
        <v>12.188911704312115</v>
      </c>
      <c r="R262" s="14">
        <v>5</v>
      </c>
      <c r="S262" s="15">
        <v>872</v>
      </c>
      <c r="T262" s="8">
        <v>872</v>
      </c>
      <c r="U262" s="16">
        <v>45017</v>
      </c>
      <c r="V262" s="17">
        <v>1</v>
      </c>
      <c r="W262" s="16">
        <v>45382</v>
      </c>
      <c r="X262" s="14">
        <v>192</v>
      </c>
      <c r="Y262" s="18">
        <f t="shared" si="157"/>
        <v>192</v>
      </c>
      <c r="Z262" s="18">
        <f t="shared" si="153"/>
        <v>1</v>
      </c>
      <c r="AA262" s="18" t="s">
        <v>36</v>
      </c>
      <c r="AB262" s="26">
        <v>31.5</v>
      </c>
      <c r="AC262" s="26"/>
      <c r="AD262" s="26"/>
      <c r="AE262" s="147" t="str">
        <f t="shared" si="134"/>
        <v>0</v>
      </c>
      <c r="AF262" s="147" t="str">
        <f t="shared" si="135"/>
        <v>0</v>
      </c>
      <c r="AG262" s="147" t="str">
        <f t="shared" si="136"/>
        <v>1</v>
      </c>
      <c r="AH262" s="147" t="str">
        <f t="shared" si="137"/>
        <v>NO</v>
      </c>
      <c r="AI262" s="147" t="str">
        <f t="shared" si="138"/>
        <v>NO</v>
      </c>
      <c r="AJ262" s="147" t="str">
        <f t="shared" si="139"/>
        <v>NO</v>
      </c>
      <c r="AK262" s="147" t="str">
        <f t="shared" si="140"/>
        <v>NO</v>
      </c>
      <c r="AL262" s="21"/>
      <c r="AM262" s="21">
        <f>IF(H262="Y",AL262,((AB262*$O$902)-6000))</f>
        <v>8892.2549999999992</v>
      </c>
      <c r="AN262" s="27" t="s">
        <v>56</v>
      </c>
      <c r="AO262" s="21">
        <v>1</v>
      </c>
      <c r="AP262" s="21">
        <f t="shared" si="152"/>
        <v>1</v>
      </c>
      <c r="AQ262" s="149">
        <f t="shared" si="154"/>
        <v>8892.2549999999992</v>
      </c>
      <c r="AR262" s="21">
        <v>8892.2549999999992</v>
      </c>
      <c r="AS262" s="610">
        <v>8892.2549999999992</v>
      </c>
      <c r="AT262" s="112">
        <v>8892.2549999999992</v>
      </c>
      <c r="AU262" s="4"/>
      <c r="AV262" s="4"/>
      <c r="AW262" s="23" t="e">
        <f>VLOOKUP(K262,#REF!,8,FALSE)</f>
        <v>#REF!</v>
      </c>
      <c r="AX262" s="23" t="e">
        <f>VLOOKUP(K262,#REF!,8,FALSE)</f>
        <v>#REF!</v>
      </c>
      <c r="AY262" s="23" t="e">
        <f>VLOOKUP(K262,#REF!,8,FALSE)</f>
        <v>#REF!</v>
      </c>
      <c r="AZ262" s="4"/>
      <c r="BA262" s="272"/>
      <c r="BB262" s="313">
        <f t="shared" si="158"/>
        <v>0</v>
      </c>
      <c r="BC262" s="269">
        <f t="shared" si="150"/>
        <v>8892.2549999999992</v>
      </c>
      <c r="BD262" t="str">
        <f t="shared" si="151"/>
        <v/>
      </c>
      <c r="BP262" s="166">
        <f t="shared" si="141"/>
        <v>8892.2549999999992</v>
      </c>
      <c r="BS262" s="165"/>
      <c r="BX262" s="495">
        <f t="shared" si="142"/>
        <v>8892.2549999999992</v>
      </c>
      <c r="BZ262" s="636">
        <f t="shared" si="155"/>
        <v>0</v>
      </c>
      <c r="CA262" s="633">
        <f t="shared" si="156"/>
        <v>0</v>
      </c>
    </row>
    <row r="263" spans="1:79" x14ac:dyDescent="0.2">
      <c r="A263" s="4">
        <v>1</v>
      </c>
      <c r="B263" s="4">
        <v>1</v>
      </c>
      <c r="C263" s="5">
        <f t="shared" si="145"/>
        <v>2002</v>
      </c>
      <c r="D263" s="6">
        <v>2002</v>
      </c>
      <c r="E263" s="121">
        <v>43012</v>
      </c>
      <c r="F263" s="6" t="s">
        <v>1606</v>
      </c>
      <c r="G263" s="7" t="s">
        <v>75</v>
      </c>
      <c r="H263" s="7"/>
      <c r="I263" s="7" t="s">
        <v>32</v>
      </c>
      <c r="J263" s="7"/>
      <c r="K263" s="29">
        <v>411810</v>
      </c>
      <c r="L263" s="45" t="s">
        <v>550</v>
      </c>
      <c r="M263" s="10" t="s">
        <v>578</v>
      </c>
      <c r="N263" s="10" t="s">
        <v>581</v>
      </c>
      <c r="O263" s="11" t="str">
        <f>M263&amp;N263</f>
        <v>JackNewton</v>
      </c>
      <c r="P263" s="12">
        <v>40850</v>
      </c>
      <c r="Q263" s="13">
        <f t="shared" ca="1" si="133"/>
        <v>13.886379192334017</v>
      </c>
      <c r="R263" s="14">
        <v>6</v>
      </c>
      <c r="S263" s="15">
        <v>872</v>
      </c>
      <c r="T263" s="8">
        <v>872</v>
      </c>
      <c r="U263" s="16">
        <v>45017</v>
      </c>
      <c r="V263" s="17">
        <v>1</v>
      </c>
      <c r="W263" s="16">
        <v>45128</v>
      </c>
      <c r="X263" s="14">
        <v>63</v>
      </c>
      <c r="Y263" s="18">
        <f t="shared" si="157"/>
        <v>63</v>
      </c>
      <c r="Z263" s="18">
        <f t="shared" si="153"/>
        <v>0.328125</v>
      </c>
      <c r="AA263" s="18" t="s">
        <v>48</v>
      </c>
      <c r="AB263" s="26">
        <v>25</v>
      </c>
      <c r="AC263" s="26"/>
      <c r="AD263" s="26"/>
      <c r="AE263" s="147" t="str">
        <f t="shared" si="134"/>
        <v>1</v>
      </c>
      <c r="AF263" s="147" t="str">
        <f t="shared" si="135"/>
        <v>0</v>
      </c>
      <c r="AG263" s="147" t="str">
        <f t="shared" si="136"/>
        <v>0</v>
      </c>
      <c r="AH263" s="147" t="str">
        <f t="shared" si="137"/>
        <v>NO</v>
      </c>
      <c r="AI263" s="147" t="str">
        <f t="shared" si="138"/>
        <v>NO</v>
      </c>
      <c r="AJ263" s="147" t="str">
        <f t="shared" si="139"/>
        <v>NO</v>
      </c>
      <c r="AK263" s="147" t="str">
        <f t="shared" si="140"/>
        <v>NO</v>
      </c>
      <c r="AL263" s="21"/>
      <c r="AM263" s="21">
        <f>IF(H263="Y",AL263,((AB263*$O$902)-6000))</f>
        <v>5819.25</v>
      </c>
      <c r="AN263" s="27" t="s">
        <v>582</v>
      </c>
      <c r="AO263" s="21">
        <v>1</v>
      </c>
      <c r="AP263" s="21">
        <f t="shared" si="152"/>
        <v>0.328125</v>
      </c>
      <c r="AQ263" s="149">
        <f t="shared" si="154"/>
        <v>1909.44140625</v>
      </c>
      <c r="AR263" s="21">
        <v>1909.44140625</v>
      </c>
      <c r="AS263" s="610">
        <v>1909.44140625</v>
      </c>
      <c r="AT263" s="112">
        <v>1909.44140625</v>
      </c>
      <c r="AU263" s="4"/>
      <c r="AV263" s="4"/>
      <c r="AW263" s="23" t="e">
        <f>VLOOKUP(K263,#REF!,8,FALSE)</f>
        <v>#REF!</v>
      </c>
      <c r="AX263" s="265" t="s">
        <v>2217</v>
      </c>
      <c r="AY263" s="23" t="e">
        <f>VLOOKUP(K263,#REF!,8,FALSE)</f>
        <v>#REF!</v>
      </c>
      <c r="AZ263" s="23" t="s">
        <v>75</v>
      </c>
      <c r="BA263" s="273">
        <f>AM263/3*2</f>
        <v>3879.5</v>
      </c>
      <c r="BB263" s="313">
        <f t="shared" si="158"/>
        <v>0</v>
      </c>
      <c r="BC263" s="269">
        <f t="shared" si="150"/>
        <v>1909.44140625</v>
      </c>
      <c r="BD263" t="e">
        <f t="shared" si="151"/>
        <v>#REF!</v>
      </c>
      <c r="BE263" t="s">
        <v>2398</v>
      </c>
      <c r="BH263" t="e">
        <f>VLOOKUP(K263,#REF!,8,FALSE)</f>
        <v>#REF!</v>
      </c>
      <c r="BJ263">
        <f>AB263</f>
        <v>25</v>
      </c>
      <c r="BK263" s="269">
        <f>AM263</f>
        <v>5819.25</v>
      </c>
      <c r="BL263" s="353"/>
      <c r="BM263" s="353" t="s">
        <v>75</v>
      </c>
      <c r="BN263" s="353"/>
      <c r="BO263" s="106">
        <f>BK263/192*127</f>
        <v>3849.19140625</v>
      </c>
      <c r="BP263" s="166">
        <f t="shared" si="141"/>
        <v>5758.6328125</v>
      </c>
      <c r="BQ263" s="106">
        <v>3849.19140625</v>
      </c>
      <c r="BR263" t="s">
        <v>2446</v>
      </c>
      <c r="BS263" s="165"/>
      <c r="BX263" s="495">
        <f t="shared" si="142"/>
        <v>5758.6328125</v>
      </c>
      <c r="BZ263" s="636">
        <f t="shared" si="155"/>
        <v>0</v>
      </c>
      <c r="CA263" s="633">
        <f t="shared" si="156"/>
        <v>3849.19140625</v>
      </c>
    </row>
    <row r="264" spans="1:79" x14ac:dyDescent="0.2">
      <c r="A264" s="4">
        <v>1</v>
      </c>
      <c r="B264" s="4">
        <v>1</v>
      </c>
      <c r="C264" s="5">
        <f t="shared" si="145"/>
        <v>2002</v>
      </c>
      <c r="D264" s="6">
        <v>2002</v>
      </c>
      <c r="E264" s="121">
        <v>43012</v>
      </c>
      <c r="F264" s="6" t="s">
        <v>1606</v>
      </c>
      <c r="G264" s="7" t="s">
        <v>75</v>
      </c>
      <c r="H264" s="7"/>
      <c r="I264" s="7" t="s">
        <v>32</v>
      </c>
      <c r="J264" s="7"/>
      <c r="K264" s="29">
        <v>437297</v>
      </c>
      <c r="L264" s="45" t="s">
        <v>550</v>
      </c>
      <c r="M264" s="10" t="s">
        <v>583</v>
      </c>
      <c r="N264" s="10" t="s">
        <v>584</v>
      </c>
      <c r="O264" s="11" t="s">
        <v>585</v>
      </c>
      <c r="P264" s="12">
        <v>43091</v>
      </c>
      <c r="Q264" s="13">
        <f t="shared" ca="1" si="133"/>
        <v>7.7508555783709792</v>
      </c>
      <c r="R264" s="14">
        <v>1</v>
      </c>
      <c r="S264" s="15">
        <v>872</v>
      </c>
      <c r="T264" s="8">
        <v>872</v>
      </c>
      <c r="U264" s="16">
        <v>45017</v>
      </c>
      <c r="V264" s="17">
        <v>1</v>
      </c>
      <c r="W264" s="16">
        <v>45382</v>
      </c>
      <c r="X264" s="14">
        <v>192</v>
      </c>
      <c r="Y264" s="18">
        <f t="shared" si="157"/>
        <v>192</v>
      </c>
      <c r="Z264" s="18">
        <f t="shared" si="153"/>
        <v>1</v>
      </c>
      <c r="AA264" s="18" t="s">
        <v>36</v>
      </c>
      <c r="AB264" s="26">
        <v>15136.2</v>
      </c>
      <c r="AC264" s="26"/>
      <c r="AD264" s="26"/>
      <c r="AE264" s="147" t="str">
        <f t="shared" si="134"/>
        <v>0</v>
      </c>
      <c r="AF264" s="147" t="str">
        <f t="shared" si="135"/>
        <v>0</v>
      </c>
      <c r="AG264" s="147" t="str">
        <f t="shared" si="136"/>
        <v>1</v>
      </c>
      <c r="AH264" s="147" t="str">
        <f t="shared" si="137"/>
        <v>NO</v>
      </c>
      <c r="AI264" s="147" t="str">
        <f t="shared" si="138"/>
        <v>NO</v>
      </c>
      <c r="AJ264" s="147" t="str">
        <f t="shared" si="139"/>
        <v>NO</v>
      </c>
      <c r="AK264" s="147" t="str">
        <f t="shared" si="140"/>
        <v>NO</v>
      </c>
      <c r="AL264" s="21"/>
      <c r="AM264" s="21">
        <v>15136.2</v>
      </c>
      <c r="AN264" s="27"/>
      <c r="AO264" s="21">
        <v>1</v>
      </c>
      <c r="AP264" s="21">
        <f t="shared" si="152"/>
        <v>1</v>
      </c>
      <c r="AQ264" s="149">
        <f t="shared" si="154"/>
        <v>15136.2</v>
      </c>
      <c r="AR264" s="21">
        <v>15136.2</v>
      </c>
      <c r="AS264" s="610">
        <v>15136.2</v>
      </c>
      <c r="AT264" s="112">
        <v>15136.2</v>
      </c>
      <c r="AU264" s="4"/>
      <c r="AV264" s="4"/>
      <c r="AW264" s="23" t="e">
        <f>VLOOKUP(K264,#REF!,8,FALSE)</f>
        <v>#REF!</v>
      </c>
      <c r="AX264" s="23" t="e">
        <f>VLOOKUP(K264,#REF!,8,FALSE)</f>
        <v>#REF!</v>
      </c>
      <c r="AY264" s="23" t="e">
        <f>VLOOKUP(K264,#REF!,8,FALSE)</f>
        <v>#REF!</v>
      </c>
      <c r="AZ264" s="4"/>
      <c r="BA264" s="272"/>
      <c r="BB264" s="313">
        <f t="shared" si="158"/>
        <v>0</v>
      </c>
      <c r="BC264" s="269">
        <f t="shared" si="150"/>
        <v>15136.2</v>
      </c>
      <c r="BD264" t="str">
        <f t="shared" si="151"/>
        <v/>
      </c>
      <c r="BP264" s="166">
        <f t="shared" si="141"/>
        <v>15136.2</v>
      </c>
      <c r="BS264" s="165"/>
      <c r="BX264" s="495">
        <f t="shared" si="142"/>
        <v>15136.2</v>
      </c>
      <c r="BZ264" s="636">
        <f t="shared" si="155"/>
        <v>0</v>
      </c>
      <c r="CA264" s="633">
        <f t="shared" si="156"/>
        <v>0</v>
      </c>
    </row>
    <row r="265" spans="1:79" x14ac:dyDescent="0.2">
      <c r="A265" s="4">
        <v>1</v>
      </c>
      <c r="B265" s="4">
        <v>1</v>
      </c>
      <c r="C265" s="5">
        <f t="shared" si="145"/>
        <v>2002</v>
      </c>
      <c r="D265" s="6">
        <v>2002</v>
      </c>
      <c r="E265" s="121">
        <v>43012</v>
      </c>
      <c r="F265" s="6" t="s">
        <v>1606</v>
      </c>
      <c r="G265" s="7" t="s">
        <v>75</v>
      </c>
      <c r="H265" s="7"/>
      <c r="I265" s="7" t="s">
        <v>32</v>
      </c>
      <c r="J265" s="7"/>
      <c r="K265" s="29">
        <v>409688</v>
      </c>
      <c r="L265" s="45" t="s">
        <v>550</v>
      </c>
      <c r="M265" s="10" t="s">
        <v>427</v>
      </c>
      <c r="N265" s="10" t="s">
        <v>586</v>
      </c>
      <c r="O265" s="11" t="s">
        <v>587</v>
      </c>
      <c r="P265" s="12">
        <v>41787</v>
      </c>
      <c r="Q265" s="13">
        <f t="shared" ca="1" si="133"/>
        <v>11.321013004791238</v>
      </c>
      <c r="R265" s="14">
        <v>4</v>
      </c>
      <c r="S265" s="15">
        <v>872</v>
      </c>
      <c r="T265" s="8">
        <v>872</v>
      </c>
      <c r="U265" s="16">
        <v>45017</v>
      </c>
      <c r="V265" s="17">
        <v>1</v>
      </c>
      <c r="W265" s="16">
        <v>45382</v>
      </c>
      <c r="X265" s="14">
        <v>192</v>
      </c>
      <c r="Y265" s="18">
        <f t="shared" si="157"/>
        <v>192</v>
      </c>
      <c r="Z265" s="18">
        <f t="shared" si="153"/>
        <v>1</v>
      </c>
      <c r="AA265" s="18" t="s">
        <v>36</v>
      </c>
      <c r="AB265" s="26">
        <v>22</v>
      </c>
      <c r="AC265" s="26"/>
      <c r="AD265" s="26"/>
      <c r="AE265" s="147" t="str">
        <f t="shared" si="134"/>
        <v>1</v>
      </c>
      <c r="AF265" s="147" t="str">
        <f t="shared" si="135"/>
        <v>0</v>
      </c>
      <c r="AG265" s="147" t="str">
        <f t="shared" si="136"/>
        <v>0</v>
      </c>
      <c r="AH265" s="147" t="str">
        <f t="shared" si="137"/>
        <v>NO</v>
      </c>
      <c r="AI265" s="147" t="str">
        <f t="shared" si="138"/>
        <v>NO</v>
      </c>
      <c r="AJ265" s="147" t="str">
        <f t="shared" si="139"/>
        <v>NO</v>
      </c>
      <c r="AK265" s="147" t="str">
        <f t="shared" si="140"/>
        <v>NO</v>
      </c>
      <c r="AL265" s="21"/>
      <c r="AM265" s="21">
        <f t="shared" ref="AM265:AM279" si="159">IF(H265="Y",AL265,((AB265*$O$902)-6000))</f>
        <v>4400.9399999999987</v>
      </c>
      <c r="AN265" s="27" t="s">
        <v>43</v>
      </c>
      <c r="AO265" s="21">
        <v>1</v>
      </c>
      <c r="AP265" s="21">
        <f t="shared" si="152"/>
        <v>1</v>
      </c>
      <c r="AQ265" s="149">
        <f t="shared" si="154"/>
        <v>4400.9399999999987</v>
      </c>
      <c r="AR265" s="21">
        <v>4400.9399999999987</v>
      </c>
      <c r="AS265" s="610">
        <v>4400.9399999999987</v>
      </c>
      <c r="AT265" s="112">
        <v>4400.9399999999987</v>
      </c>
      <c r="AU265" s="4"/>
      <c r="AV265" s="4"/>
      <c r="AW265" s="23" t="e">
        <f>VLOOKUP(K265,#REF!,8,FALSE)</f>
        <v>#REF!</v>
      </c>
      <c r="AX265" s="23" t="e">
        <f>VLOOKUP(K265,#REF!,8,FALSE)</f>
        <v>#REF!</v>
      </c>
      <c r="AY265" s="23" t="e">
        <f>VLOOKUP(K265,#REF!,8,FALSE)</f>
        <v>#REF!</v>
      </c>
      <c r="AZ265" s="4"/>
      <c r="BA265" s="272"/>
      <c r="BB265" s="313">
        <f t="shared" si="158"/>
        <v>0</v>
      </c>
      <c r="BC265" s="269">
        <f t="shared" si="150"/>
        <v>4400.9399999999987</v>
      </c>
      <c r="BD265" t="str">
        <f t="shared" si="151"/>
        <v/>
      </c>
      <c r="BP265" s="166">
        <f t="shared" si="141"/>
        <v>4400.9399999999987</v>
      </c>
      <c r="BS265" s="165"/>
      <c r="BX265" s="495">
        <f t="shared" si="142"/>
        <v>4400.9399999999987</v>
      </c>
      <c r="BZ265" s="636">
        <f t="shared" si="155"/>
        <v>0</v>
      </c>
      <c r="CA265" s="633">
        <f t="shared" si="156"/>
        <v>0</v>
      </c>
    </row>
    <row r="266" spans="1:79" x14ac:dyDescent="0.2">
      <c r="A266" s="4">
        <v>1</v>
      </c>
      <c r="B266" s="4">
        <v>1</v>
      </c>
      <c r="C266" s="5">
        <f t="shared" si="145"/>
        <v>2002</v>
      </c>
      <c r="D266" s="6">
        <v>2002</v>
      </c>
      <c r="E266" s="121">
        <v>43012</v>
      </c>
      <c r="F266" s="6" t="s">
        <v>1606</v>
      </c>
      <c r="G266" s="7" t="s">
        <v>75</v>
      </c>
      <c r="H266" s="7"/>
      <c r="I266" s="7" t="s">
        <v>32</v>
      </c>
      <c r="J266" s="7"/>
      <c r="K266" s="29">
        <v>406258</v>
      </c>
      <c r="L266" s="45" t="s">
        <v>550</v>
      </c>
      <c r="M266" s="10" t="s">
        <v>588</v>
      </c>
      <c r="N266" s="10" t="s">
        <v>490</v>
      </c>
      <c r="O266" s="11" t="s">
        <v>589</v>
      </c>
      <c r="P266" s="12">
        <v>41228</v>
      </c>
      <c r="Q266" s="13">
        <f t="shared" ca="1" si="133"/>
        <v>12.851471594798083</v>
      </c>
      <c r="R266" s="14">
        <v>6</v>
      </c>
      <c r="S266" s="15">
        <v>872</v>
      </c>
      <c r="T266" s="8">
        <v>872</v>
      </c>
      <c r="U266" s="16">
        <v>45017</v>
      </c>
      <c r="V266" s="17">
        <v>1</v>
      </c>
      <c r="W266" s="39">
        <v>45138</v>
      </c>
      <c r="X266" s="14">
        <v>63</v>
      </c>
      <c r="Y266" s="18">
        <f t="shared" si="157"/>
        <v>63</v>
      </c>
      <c r="Z266" s="18">
        <f t="shared" si="153"/>
        <v>0.328125</v>
      </c>
      <c r="AA266" s="39">
        <v>45138</v>
      </c>
      <c r="AB266" s="26">
        <v>27</v>
      </c>
      <c r="AC266" s="26"/>
      <c r="AD266" s="26"/>
      <c r="AE266" s="147" t="str">
        <f t="shared" si="134"/>
        <v>0</v>
      </c>
      <c r="AF266" s="147" t="str">
        <f t="shared" si="135"/>
        <v>1</v>
      </c>
      <c r="AG266" s="147" t="str">
        <f t="shared" si="136"/>
        <v>0</v>
      </c>
      <c r="AH266" s="147" t="str">
        <f t="shared" si="137"/>
        <v>NO</v>
      </c>
      <c r="AI266" s="147" t="str">
        <f t="shared" si="138"/>
        <v>NO</v>
      </c>
      <c r="AJ266" s="147" t="str">
        <f t="shared" si="139"/>
        <v>NO</v>
      </c>
      <c r="AK266" s="147" t="str">
        <f t="shared" si="140"/>
        <v>NO</v>
      </c>
      <c r="AL266" s="21"/>
      <c r="AM266" s="21">
        <f t="shared" si="159"/>
        <v>6764.7899999999991</v>
      </c>
      <c r="AN266" s="27" t="s">
        <v>574</v>
      </c>
      <c r="AO266" s="21">
        <v>1</v>
      </c>
      <c r="AP266" s="21">
        <f t="shared" si="152"/>
        <v>0.328125</v>
      </c>
      <c r="AQ266" s="149">
        <f t="shared" si="154"/>
        <v>2219.6967187499995</v>
      </c>
      <c r="AR266" s="21">
        <v>2219.6967187499995</v>
      </c>
      <c r="AS266" s="610">
        <v>2219.6967187499995</v>
      </c>
      <c r="AT266" s="112">
        <v>2219.6967187499995</v>
      </c>
      <c r="AU266" s="4"/>
      <c r="AV266" s="4"/>
      <c r="AW266" s="23" t="e">
        <f>VLOOKUP(K266,#REF!,8,FALSE)</f>
        <v>#REF!</v>
      </c>
      <c r="AX266" s="23" t="e">
        <f>VLOOKUP(K266,#REF!,8,FALSE)</f>
        <v>#REF!</v>
      </c>
      <c r="AY266" s="23" t="e">
        <f>VLOOKUP(K266,#REF!,8,FALSE)</f>
        <v>#REF!</v>
      </c>
      <c r="AZ266" s="4"/>
      <c r="BA266" s="272"/>
      <c r="BB266" s="313">
        <f t="shared" si="158"/>
        <v>0</v>
      </c>
      <c r="BC266" s="269">
        <f t="shared" si="150"/>
        <v>2219.6967187499995</v>
      </c>
      <c r="BD266" s="110" t="s">
        <v>2405</v>
      </c>
      <c r="BJ266">
        <f>AB266</f>
        <v>27</v>
      </c>
      <c r="BK266" s="269">
        <f>AM266</f>
        <v>6764.7899999999991</v>
      </c>
      <c r="BO266" s="106">
        <f>BK266/192*127</f>
        <v>4474.6267187499998</v>
      </c>
      <c r="BP266" s="166">
        <f t="shared" si="141"/>
        <v>6694.3234374999993</v>
      </c>
      <c r="BS266" s="165" t="s">
        <v>1495</v>
      </c>
      <c r="BT266" t="s">
        <v>1495</v>
      </c>
      <c r="BX266" s="495">
        <f t="shared" si="142"/>
        <v>6694.3234374999993</v>
      </c>
      <c r="BZ266" s="636">
        <f t="shared" si="155"/>
        <v>0</v>
      </c>
      <c r="CA266" s="633">
        <f t="shared" si="156"/>
        <v>4474.6267187499998</v>
      </c>
    </row>
    <row r="267" spans="1:79" x14ac:dyDescent="0.2">
      <c r="A267" s="4">
        <v>1</v>
      </c>
      <c r="B267" s="4">
        <v>1</v>
      </c>
      <c r="C267" s="5">
        <f t="shared" si="145"/>
        <v>2002</v>
      </c>
      <c r="D267" s="6">
        <v>2002</v>
      </c>
      <c r="E267" s="121">
        <v>43012</v>
      </c>
      <c r="F267" s="6" t="s">
        <v>1606</v>
      </c>
      <c r="G267" s="7" t="s">
        <v>75</v>
      </c>
      <c r="H267" s="7"/>
      <c r="I267" s="7" t="s">
        <v>32</v>
      </c>
      <c r="J267" s="7"/>
      <c r="K267" s="29">
        <v>426835</v>
      </c>
      <c r="L267" s="45" t="s">
        <v>550</v>
      </c>
      <c r="M267" s="10" t="s">
        <v>506</v>
      </c>
      <c r="N267" s="10" t="s">
        <v>590</v>
      </c>
      <c r="O267" s="11" t="s">
        <v>591</v>
      </c>
      <c r="P267" s="12">
        <v>42376</v>
      </c>
      <c r="Q267" s="13">
        <f t="shared" ca="1" si="133"/>
        <v>9.7084188911704317</v>
      </c>
      <c r="R267" s="14">
        <v>2</v>
      </c>
      <c r="S267" s="15">
        <v>872</v>
      </c>
      <c r="T267" s="8">
        <v>872</v>
      </c>
      <c r="U267" s="16">
        <v>45017</v>
      </c>
      <c r="V267" s="17">
        <v>1</v>
      </c>
      <c r="W267" s="16">
        <v>45382</v>
      </c>
      <c r="X267" s="14">
        <v>192</v>
      </c>
      <c r="Y267" s="18">
        <f t="shared" si="157"/>
        <v>192</v>
      </c>
      <c r="Z267" s="18">
        <f t="shared" si="153"/>
        <v>1</v>
      </c>
      <c r="AA267" s="39" t="s">
        <v>36</v>
      </c>
      <c r="AB267" s="26">
        <v>30</v>
      </c>
      <c r="AC267" s="26"/>
      <c r="AD267" s="26"/>
      <c r="AE267" s="147" t="str">
        <f t="shared" si="134"/>
        <v>0</v>
      </c>
      <c r="AF267" s="147" t="str">
        <f t="shared" si="135"/>
        <v>1</v>
      </c>
      <c r="AG267" s="147" t="str">
        <f t="shared" si="136"/>
        <v>0</v>
      </c>
      <c r="AH267" s="147" t="str">
        <f t="shared" si="137"/>
        <v>NO</v>
      </c>
      <c r="AI267" s="147" t="str">
        <f t="shared" si="138"/>
        <v>NO</v>
      </c>
      <c r="AJ267" s="147" t="str">
        <f t="shared" si="139"/>
        <v>NO</v>
      </c>
      <c r="AK267" s="147" t="str">
        <f t="shared" si="140"/>
        <v>NO</v>
      </c>
      <c r="AL267" s="21"/>
      <c r="AM267" s="21">
        <f t="shared" si="159"/>
        <v>8183.0999999999985</v>
      </c>
      <c r="AN267" s="27" t="s">
        <v>37</v>
      </c>
      <c r="AO267" s="21">
        <v>1</v>
      </c>
      <c r="AP267" s="21">
        <f t="shared" si="152"/>
        <v>1</v>
      </c>
      <c r="AQ267" s="149">
        <f t="shared" si="154"/>
        <v>8183.0999999999985</v>
      </c>
      <c r="AR267" s="21">
        <v>8183.0999999999985</v>
      </c>
      <c r="AS267" s="610">
        <v>0</v>
      </c>
      <c r="AT267" s="112">
        <v>8183.0999999999985</v>
      </c>
      <c r="AU267" s="4"/>
      <c r="AV267" s="4"/>
      <c r="AW267" s="23" t="e">
        <f>VLOOKUP(K267,#REF!,8,FALSE)</f>
        <v>#REF!</v>
      </c>
      <c r="AX267" s="23" t="e">
        <f>VLOOKUP(K267,#REF!,8,FALSE)</f>
        <v>#REF!</v>
      </c>
      <c r="AY267" s="23" t="e">
        <f>VLOOKUP(K267,#REF!,8,FALSE)</f>
        <v>#REF!</v>
      </c>
      <c r="AZ267" s="4"/>
      <c r="BA267" s="272"/>
      <c r="BB267" s="313">
        <f t="shared" si="158"/>
        <v>0</v>
      </c>
      <c r="BC267" s="269">
        <f t="shared" si="150"/>
        <v>8183.0999999999985</v>
      </c>
      <c r="BD267" t="str">
        <f>BG267&amp;BH267&amp;BI267</f>
        <v/>
      </c>
      <c r="BP267" s="166">
        <f t="shared" si="141"/>
        <v>8183.0999999999985</v>
      </c>
      <c r="BS267" s="165"/>
      <c r="BX267" s="495">
        <f t="shared" si="142"/>
        <v>8183.0999999999985</v>
      </c>
      <c r="BZ267" s="636">
        <f t="shared" si="155"/>
        <v>0</v>
      </c>
      <c r="CA267" s="633">
        <f t="shared" si="156"/>
        <v>8183.0999999999985</v>
      </c>
    </row>
    <row r="268" spans="1:79" x14ac:dyDescent="0.2">
      <c r="A268" s="4">
        <v>1</v>
      </c>
      <c r="B268" s="4">
        <v>1</v>
      </c>
      <c r="C268" s="5">
        <f t="shared" si="145"/>
        <v>2002</v>
      </c>
      <c r="D268" s="6">
        <v>2002</v>
      </c>
      <c r="E268" s="121">
        <v>43012</v>
      </c>
      <c r="F268" s="6" t="s">
        <v>1606</v>
      </c>
      <c r="G268" s="7" t="s">
        <v>75</v>
      </c>
      <c r="H268" s="7"/>
      <c r="I268" s="7" t="s">
        <v>32</v>
      </c>
      <c r="J268" s="7"/>
      <c r="K268" s="29">
        <v>409993</v>
      </c>
      <c r="L268" s="45" t="s">
        <v>550</v>
      </c>
      <c r="M268" s="10" t="s">
        <v>592</v>
      </c>
      <c r="N268" s="10" t="s">
        <v>593</v>
      </c>
      <c r="O268" s="11" t="s">
        <v>594</v>
      </c>
      <c r="P268" s="12">
        <v>41830</v>
      </c>
      <c r="Q268" s="13">
        <f t="shared" ca="1" si="133"/>
        <v>11.203285420944558</v>
      </c>
      <c r="R268" s="14">
        <v>4</v>
      </c>
      <c r="S268" s="15">
        <v>872</v>
      </c>
      <c r="T268" s="8">
        <v>872</v>
      </c>
      <c r="U268" s="16">
        <v>45017</v>
      </c>
      <c r="V268" s="17">
        <v>1</v>
      </c>
      <c r="W268" s="16">
        <v>45382</v>
      </c>
      <c r="X268" s="14">
        <v>192</v>
      </c>
      <c r="Y268" s="18">
        <f t="shared" si="157"/>
        <v>192</v>
      </c>
      <c r="Z268" s="18">
        <f t="shared" si="153"/>
        <v>1</v>
      </c>
      <c r="AA268" s="18" t="s">
        <v>36</v>
      </c>
      <c r="AB268" s="26">
        <v>30</v>
      </c>
      <c r="AC268" s="26"/>
      <c r="AD268" s="26"/>
      <c r="AE268" s="147" t="str">
        <f t="shared" si="134"/>
        <v>0</v>
      </c>
      <c r="AF268" s="147" t="str">
        <f t="shared" si="135"/>
        <v>1</v>
      </c>
      <c r="AG268" s="147" t="str">
        <f t="shared" si="136"/>
        <v>0</v>
      </c>
      <c r="AH268" s="147" t="str">
        <f t="shared" si="137"/>
        <v>NO</v>
      </c>
      <c r="AI268" s="147" t="str">
        <f t="shared" si="138"/>
        <v>NO</v>
      </c>
      <c r="AJ268" s="147" t="str">
        <f t="shared" si="139"/>
        <v>NO</v>
      </c>
      <c r="AK268" s="147" t="str">
        <f t="shared" si="140"/>
        <v>NO</v>
      </c>
      <c r="AL268" s="21"/>
      <c r="AM268" s="21">
        <f t="shared" si="159"/>
        <v>8183.0999999999985</v>
      </c>
      <c r="AN268" s="27" t="s">
        <v>56</v>
      </c>
      <c r="AO268" s="21">
        <v>1</v>
      </c>
      <c r="AP268" s="21">
        <f t="shared" si="152"/>
        <v>1</v>
      </c>
      <c r="AQ268" s="149">
        <f t="shared" si="154"/>
        <v>8183.0999999999985</v>
      </c>
      <c r="AR268" s="21">
        <v>8183.0999999999985</v>
      </c>
      <c r="AS268" s="610">
        <v>8183.0999999999985</v>
      </c>
      <c r="AT268" s="112">
        <v>8183.0999999999985</v>
      </c>
      <c r="AU268" s="4"/>
      <c r="AV268" s="4"/>
      <c r="AW268" s="23" t="e">
        <f>VLOOKUP(K268,#REF!,8,FALSE)</f>
        <v>#REF!</v>
      </c>
      <c r="AX268" s="23" t="e">
        <f>VLOOKUP(K268,#REF!,8,FALSE)</f>
        <v>#REF!</v>
      </c>
      <c r="AY268" s="23" t="e">
        <f>VLOOKUP(K268,#REF!,8,FALSE)</f>
        <v>#REF!</v>
      </c>
      <c r="AZ268" s="4"/>
      <c r="BA268" s="272"/>
      <c r="BB268" s="313">
        <f t="shared" si="158"/>
        <v>0</v>
      </c>
      <c r="BC268" s="269">
        <f t="shared" si="150"/>
        <v>8183.0999999999985</v>
      </c>
      <c r="BD268" t="str">
        <f>BG268&amp;BH268&amp;BI268</f>
        <v/>
      </c>
      <c r="BP268" s="166">
        <f t="shared" si="141"/>
        <v>8183.0999999999985</v>
      </c>
      <c r="BS268" s="165"/>
      <c r="BX268" s="495">
        <f t="shared" si="142"/>
        <v>8183.0999999999985</v>
      </c>
      <c r="BZ268" s="636">
        <f t="shared" si="155"/>
        <v>0</v>
      </c>
      <c r="CA268" s="633">
        <f t="shared" si="156"/>
        <v>0</v>
      </c>
    </row>
    <row r="269" spans="1:79" x14ac:dyDescent="0.2">
      <c r="A269" s="4">
        <v>1</v>
      </c>
      <c r="B269" s="4">
        <v>1</v>
      </c>
      <c r="C269" s="5">
        <f t="shared" si="145"/>
        <v>2002</v>
      </c>
      <c r="D269" s="6">
        <v>2002</v>
      </c>
      <c r="E269" s="121">
        <v>43012</v>
      </c>
      <c r="F269" s="6" t="s">
        <v>1606</v>
      </c>
      <c r="G269" s="7" t="s">
        <v>75</v>
      </c>
      <c r="H269" s="7"/>
      <c r="I269" s="7" t="s">
        <v>32</v>
      </c>
      <c r="J269" s="7"/>
      <c r="K269" s="29">
        <v>418234</v>
      </c>
      <c r="L269" s="45" t="s">
        <v>550</v>
      </c>
      <c r="M269" s="10" t="s">
        <v>2473</v>
      </c>
      <c r="N269" s="10" t="s">
        <v>2474</v>
      </c>
      <c r="O269" s="11" t="s">
        <v>2475</v>
      </c>
      <c r="P269" s="12">
        <v>41890</v>
      </c>
      <c r="Q269" s="13">
        <f t="shared" ca="1" si="133"/>
        <v>11.039014373716633</v>
      </c>
      <c r="R269" s="14">
        <v>4</v>
      </c>
      <c r="S269" s="15">
        <v>872</v>
      </c>
      <c r="T269" s="8">
        <v>872</v>
      </c>
      <c r="U269" s="16">
        <v>45118</v>
      </c>
      <c r="V269" s="17">
        <v>55</v>
      </c>
      <c r="W269" s="16">
        <v>45382</v>
      </c>
      <c r="X269" s="14">
        <v>192</v>
      </c>
      <c r="Y269" s="18">
        <f t="shared" si="157"/>
        <v>138</v>
      </c>
      <c r="Z269" s="18">
        <f t="shared" si="153"/>
        <v>0.71875</v>
      </c>
      <c r="AA269" s="18" t="s">
        <v>36</v>
      </c>
      <c r="AB269" s="26">
        <v>25</v>
      </c>
      <c r="AC269" s="26"/>
      <c r="AD269" s="26"/>
      <c r="AE269" s="147" t="str">
        <f t="shared" si="134"/>
        <v>1</v>
      </c>
      <c r="AF269" s="147" t="str">
        <f t="shared" si="135"/>
        <v>0</v>
      </c>
      <c r="AG269" s="147" t="str">
        <f t="shared" si="136"/>
        <v>0</v>
      </c>
      <c r="AH269" s="147" t="str">
        <f t="shared" si="137"/>
        <v>NO</v>
      </c>
      <c r="AI269" s="147" t="str">
        <f t="shared" si="138"/>
        <v>NO</v>
      </c>
      <c r="AJ269" s="147" t="str">
        <f t="shared" si="139"/>
        <v>NO</v>
      </c>
      <c r="AK269" s="147" t="str">
        <f t="shared" si="140"/>
        <v>NO</v>
      </c>
      <c r="AL269" s="21"/>
      <c r="AM269" s="21">
        <f t="shared" si="159"/>
        <v>5819.25</v>
      </c>
      <c r="AN269" s="27" t="s">
        <v>56</v>
      </c>
      <c r="AO269" s="21">
        <v>1</v>
      </c>
      <c r="AP269" s="21">
        <f t="shared" si="152"/>
        <v>0.71875</v>
      </c>
      <c r="AQ269" s="149">
        <f t="shared" si="154"/>
        <v>4182.5859375</v>
      </c>
      <c r="AR269" s="21">
        <v>0</v>
      </c>
      <c r="AS269" s="610">
        <v>0</v>
      </c>
      <c r="AT269" s="112">
        <v>0</v>
      </c>
      <c r="AU269" s="4"/>
      <c r="AV269" s="4"/>
      <c r="AW269" s="23" t="e">
        <f>VLOOKUP(K269,#REF!,8,FALSE)</f>
        <v>#REF!</v>
      </c>
      <c r="AX269" s="23" t="e">
        <f>VLOOKUP(K269,#REF!,8,FALSE)</f>
        <v>#REF!</v>
      </c>
      <c r="AY269" s="23" t="e">
        <f>VLOOKUP(K269,#REF!,8,FALSE)</f>
        <v>#REF!</v>
      </c>
      <c r="AZ269" s="4"/>
      <c r="BA269" s="272"/>
      <c r="BB269" s="313">
        <f t="shared" si="158"/>
        <v>0</v>
      </c>
      <c r="BC269" s="269">
        <f t="shared" si="150"/>
        <v>0</v>
      </c>
      <c r="BO269" s="106">
        <f>BK269/192*127</f>
        <v>0</v>
      </c>
      <c r="BP269" s="166">
        <f t="shared" si="141"/>
        <v>0</v>
      </c>
      <c r="BS269" s="165"/>
      <c r="BX269" s="495">
        <f t="shared" si="142"/>
        <v>4182.5859375</v>
      </c>
      <c r="BZ269" s="636">
        <f t="shared" si="155"/>
        <v>4182.5859375</v>
      </c>
      <c r="CA269" s="633">
        <f t="shared" si="156"/>
        <v>4182.5859375</v>
      </c>
    </row>
    <row r="270" spans="1:79" x14ac:dyDescent="0.2">
      <c r="A270" s="4">
        <v>1</v>
      </c>
      <c r="B270" s="4">
        <v>1</v>
      </c>
      <c r="C270" s="5">
        <f t="shared" si="145"/>
        <v>2002</v>
      </c>
      <c r="D270" s="6">
        <v>2002</v>
      </c>
      <c r="E270" s="121">
        <v>43012</v>
      </c>
      <c r="F270" s="6" t="s">
        <v>1606</v>
      </c>
      <c r="G270" s="7" t="s">
        <v>75</v>
      </c>
      <c r="H270" s="7"/>
      <c r="I270" s="7" t="s">
        <v>32</v>
      </c>
      <c r="J270" s="7"/>
      <c r="K270" s="29">
        <v>402670</v>
      </c>
      <c r="L270" s="45" t="s">
        <v>550</v>
      </c>
      <c r="M270" s="10" t="s">
        <v>293</v>
      </c>
      <c r="N270" s="10" t="s">
        <v>595</v>
      </c>
      <c r="O270" s="11" t="s">
        <v>596</v>
      </c>
      <c r="P270" s="12">
        <v>41058</v>
      </c>
      <c r="Q270" s="13">
        <f t="shared" ca="1" si="133"/>
        <v>13.316906228610542</v>
      </c>
      <c r="R270" s="14">
        <v>6</v>
      </c>
      <c r="S270" s="15">
        <v>872</v>
      </c>
      <c r="T270" s="8">
        <v>872</v>
      </c>
      <c r="U270" s="16">
        <v>45017</v>
      </c>
      <c r="V270" s="17">
        <v>1</v>
      </c>
      <c r="W270" s="16">
        <v>45128</v>
      </c>
      <c r="X270" s="14">
        <v>63</v>
      </c>
      <c r="Y270" s="18">
        <f t="shared" si="157"/>
        <v>63</v>
      </c>
      <c r="Z270" s="18">
        <f t="shared" si="153"/>
        <v>0.328125</v>
      </c>
      <c r="AA270" s="18" t="s">
        <v>48</v>
      </c>
      <c r="AB270" s="26">
        <v>24</v>
      </c>
      <c r="AC270" s="26"/>
      <c r="AD270" s="26"/>
      <c r="AE270" s="147" t="str">
        <f t="shared" si="134"/>
        <v>1</v>
      </c>
      <c r="AF270" s="147" t="str">
        <f t="shared" si="135"/>
        <v>0</v>
      </c>
      <c r="AG270" s="147" t="str">
        <f t="shared" si="136"/>
        <v>0</v>
      </c>
      <c r="AH270" s="147" t="str">
        <f t="shared" si="137"/>
        <v>NO</v>
      </c>
      <c r="AI270" s="147" t="str">
        <f t="shared" si="138"/>
        <v>NO</v>
      </c>
      <c r="AJ270" s="147" t="str">
        <f t="shared" si="139"/>
        <v>NO</v>
      </c>
      <c r="AK270" s="147" t="str">
        <f t="shared" si="140"/>
        <v>NO</v>
      </c>
      <c r="AL270" s="21"/>
      <c r="AM270" s="21">
        <f t="shared" si="159"/>
        <v>5346.48</v>
      </c>
      <c r="AN270" s="27" t="s">
        <v>66</v>
      </c>
      <c r="AO270" s="21">
        <v>1</v>
      </c>
      <c r="AP270" s="21">
        <f t="shared" si="152"/>
        <v>0.328125</v>
      </c>
      <c r="AQ270" s="149">
        <f t="shared" si="154"/>
        <v>1754.3137499999998</v>
      </c>
      <c r="AR270" s="21">
        <v>1754.3137499999998</v>
      </c>
      <c r="AS270" s="610">
        <v>1754.3137499999998</v>
      </c>
      <c r="AT270" s="112">
        <v>1754.3137499999998</v>
      </c>
      <c r="AU270" s="4"/>
      <c r="AV270" s="4"/>
      <c r="AW270" s="23" t="e">
        <f>VLOOKUP(K270,#REF!,8,FALSE)</f>
        <v>#REF!</v>
      </c>
      <c r="AX270" s="23" t="s">
        <v>2237</v>
      </c>
      <c r="AY270" s="23" t="e">
        <f>VLOOKUP(K270,#REF!,8,FALSE)</f>
        <v>#REF!</v>
      </c>
      <c r="AZ270" s="4"/>
      <c r="BA270" s="272"/>
      <c r="BB270" s="313">
        <f t="shared" si="158"/>
        <v>0</v>
      </c>
      <c r="BC270" s="269">
        <f t="shared" si="150"/>
        <v>1754.3137499999998</v>
      </c>
      <c r="BD270" t="e">
        <f t="shared" ref="BD270:BD278" si="160">BG270&amp;BH270&amp;BI270</f>
        <v>#REF!</v>
      </c>
      <c r="BE270" t="s">
        <v>2394</v>
      </c>
      <c r="BF270">
        <v>43012</v>
      </c>
      <c r="BH270" t="e">
        <f>VLOOKUP(K270,#REF!,8,FALSE)</f>
        <v>#REF!</v>
      </c>
      <c r="BJ270">
        <f>AB270</f>
        <v>24</v>
      </c>
      <c r="BK270" s="269">
        <f>AM270</f>
        <v>5346.48</v>
      </c>
      <c r="BL270" s="353"/>
      <c r="BM270" s="353" t="s">
        <v>75</v>
      </c>
      <c r="BN270" s="353"/>
      <c r="BO270" s="106">
        <f>BK270/192*127</f>
        <v>3536.4737499999997</v>
      </c>
      <c r="BP270" s="166">
        <f t="shared" si="141"/>
        <v>5290.7874999999995</v>
      </c>
      <c r="BS270" s="165"/>
      <c r="BX270" s="495">
        <f t="shared" si="142"/>
        <v>5290.7874999999995</v>
      </c>
      <c r="BZ270" s="636">
        <f t="shared" si="155"/>
        <v>0</v>
      </c>
      <c r="CA270" s="633">
        <f t="shared" si="156"/>
        <v>3536.4737499999997</v>
      </c>
    </row>
    <row r="271" spans="1:79" x14ac:dyDescent="0.2">
      <c r="A271" s="4">
        <v>1</v>
      </c>
      <c r="B271" s="4">
        <v>1</v>
      </c>
      <c r="C271" s="5">
        <f t="shared" si="145"/>
        <v>2002</v>
      </c>
      <c r="D271" s="6">
        <v>2002</v>
      </c>
      <c r="E271" s="121">
        <v>43012</v>
      </c>
      <c r="F271" s="6" t="s">
        <v>1606</v>
      </c>
      <c r="G271" s="7" t="s">
        <v>75</v>
      </c>
      <c r="H271" s="7"/>
      <c r="I271" s="7" t="s">
        <v>32</v>
      </c>
      <c r="J271" s="7"/>
      <c r="K271" s="29">
        <v>410417</v>
      </c>
      <c r="L271" s="45" t="s">
        <v>550</v>
      </c>
      <c r="M271" s="31" t="s">
        <v>67</v>
      </c>
      <c r="N271" s="31" t="s">
        <v>597</v>
      </c>
      <c r="O271" s="11" t="str">
        <f>M271&amp;N271</f>
        <v>SebastianHaycock</v>
      </c>
      <c r="P271" s="12">
        <v>41412</v>
      </c>
      <c r="Q271" s="13">
        <f t="shared" ca="1" si="133"/>
        <v>12.347707049965777</v>
      </c>
      <c r="R271" s="14">
        <v>5</v>
      </c>
      <c r="S271" s="15">
        <v>872</v>
      </c>
      <c r="T271" s="8">
        <v>872</v>
      </c>
      <c r="U271" s="16">
        <v>45017</v>
      </c>
      <c r="V271" s="17">
        <v>1</v>
      </c>
      <c r="W271" s="16">
        <v>45382</v>
      </c>
      <c r="X271" s="14">
        <v>192</v>
      </c>
      <c r="Y271" s="18">
        <f t="shared" si="157"/>
        <v>192</v>
      </c>
      <c r="Z271" s="18">
        <f t="shared" si="153"/>
        <v>1</v>
      </c>
      <c r="AA271" s="18" t="s">
        <v>36</v>
      </c>
      <c r="AB271" s="26">
        <v>22</v>
      </c>
      <c r="AC271" s="26"/>
      <c r="AD271" s="26"/>
      <c r="AE271" s="147" t="str">
        <f t="shared" si="134"/>
        <v>1</v>
      </c>
      <c r="AF271" s="147" t="str">
        <f t="shared" si="135"/>
        <v>0</v>
      </c>
      <c r="AG271" s="147" t="str">
        <f t="shared" si="136"/>
        <v>0</v>
      </c>
      <c r="AH271" s="147" t="str">
        <f t="shared" si="137"/>
        <v>NO</v>
      </c>
      <c r="AI271" s="147" t="str">
        <f t="shared" si="138"/>
        <v>NO</v>
      </c>
      <c r="AJ271" s="147" t="str">
        <f t="shared" si="139"/>
        <v>NO</v>
      </c>
      <c r="AK271" s="147" t="str">
        <f t="shared" si="140"/>
        <v>NO</v>
      </c>
      <c r="AL271" s="21"/>
      <c r="AM271" s="21">
        <f t="shared" si="159"/>
        <v>4400.9399999999987</v>
      </c>
      <c r="AN271" s="27" t="s">
        <v>56</v>
      </c>
      <c r="AO271" s="21">
        <v>1</v>
      </c>
      <c r="AP271" s="21">
        <f t="shared" si="152"/>
        <v>1</v>
      </c>
      <c r="AQ271" s="149">
        <f t="shared" si="154"/>
        <v>4400.9399999999987</v>
      </c>
      <c r="AR271" s="21">
        <v>4400.9399999999987</v>
      </c>
      <c r="AS271" s="610">
        <v>4400.9399999999987</v>
      </c>
      <c r="AT271" s="112">
        <v>4400.9399999999987</v>
      </c>
      <c r="AU271" s="4"/>
      <c r="AV271" s="4"/>
      <c r="AW271" s="23" t="e">
        <f>VLOOKUP(K271,#REF!,8,FALSE)</f>
        <v>#REF!</v>
      </c>
      <c r="AX271" s="23" t="e">
        <f>VLOOKUP(K271,#REF!,8,FALSE)</f>
        <v>#REF!</v>
      </c>
      <c r="AY271" s="23" t="e">
        <f>VLOOKUP(K271,#REF!,8,FALSE)</f>
        <v>#REF!</v>
      </c>
      <c r="AZ271" s="4"/>
      <c r="BA271" s="272"/>
      <c r="BB271" s="313">
        <f t="shared" si="158"/>
        <v>0</v>
      </c>
      <c r="BC271" s="269">
        <f t="shared" si="150"/>
        <v>4400.9399999999987</v>
      </c>
      <c r="BD271" t="str">
        <f t="shared" si="160"/>
        <v/>
      </c>
      <c r="BP271" s="166">
        <f t="shared" si="141"/>
        <v>4400.9399999999987</v>
      </c>
      <c r="BS271" s="165"/>
      <c r="BX271" s="495">
        <f t="shared" si="142"/>
        <v>4400.9399999999987</v>
      </c>
      <c r="BZ271" s="636">
        <f t="shared" si="155"/>
        <v>0</v>
      </c>
      <c r="CA271" s="633">
        <f t="shared" si="156"/>
        <v>0</v>
      </c>
    </row>
    <row r="272" spans="1:79" x14ac:dyDescent="0.2">
      <c r="A272" s="4">
        <v>1</v>
      </c>
      <c r="B272" s="4">
        <v>1</v>
      </c>
      <c r="C272" s="5">
        <f t="shared" si="145"/>
        <v>2002</v>
      </c>
      <c r="D272" s="6">
        <v>2002</v>
      </c>
      <c r="E272" s="121">
        <v>43012</v>
      </c>
      <c r="F272" s="6" t="s">
        <v>1606</v>
      </c>
      <c r="G272" s="7" t="s">
        <v>75</v>
      </c>
      <c r="H272" s="33"/>
      <c r="I272" s="7" t="s">
        <v>32</v>
      </c>
      <c r="J272" s="7"/>
      <c r="K272" s="29">
        <v>436869</v>
      </c>
      <c r="L272" s="45" t="s">
        <v>550</v>
      </c>
      <c r="M272" s="10" t="s">
        <v>598</v>
      </c>
      <c r="N272" s="10" t="s">
        <v>599</v>
      </c>
      <c r="O272" s="11" t="s">
        <v>600</v>
      </c>
      <c r="P272" s="12">
        <v>42875</v>
      </c>
      <c r="Q272" s="13">
        <f t="shared" ca="1" si="133"/>
        <v>8.3422313483915129</v>
      </c>
      <c r="R272" s="14">
        <v>1</v>
      </c>
      <c r="S272" s="15">
        <v>872</v>
      </c>
      <c r="T272" s="8">
        <v>872</v>
      </c>
      <c r="U272" s="16">
        <v>45017</v>
      </c>
      <c r="V272" s="17">
        <v>1</v>
      </c>
      <c r="W272" s="16">
        <v>45382</v>
      </c>
      <c r="X272" s="14">
        <v>192</v>
      </c>
      <c r="Y272" s="18">
        <f t="shared" si="157"/>
        <v>192</v>
      </c>
      <c r="Z272" s="18">
        <f t="shared" si="153"/>
        <v>1</v>
      </c>
      <c r="AA272" s="18" t="s">
        <v>36</v>
      </c>
      <c r="AB272" s="26">
        <v>30</v>
      </c>
      <c r="AC272" s="26"/>
      <c r="AD272" s="26"/>
      <c r="AE272" s="147" t="str">
        <f t="shared" si="134"/>
        <v>0</v>
      </c>
      <c r="AF272" s="147" t="str">
        <f t="shared" si="135"/>
        <v>1</v>
      </c>
      <c r="AG272" s="147" t="str">
        <f t="shared" si="136"/>
        <v>0</v>
      </c>
      <c r="AH272" s="147" t="str">
        <f t="shared" si="137"/>
        <v>NO</v>
      </c>
      <c r="AI272" s="147" t="str">
        <f t="shared" si="138"/>
        <v>NO</v>
      </c>
      <c r="AJ272" s="147" t="str">
        <f t="shared" si="139"/>
        <v>NO</v>
      </c>
      <c r="AK272" s="147" t="str">
        <f t="shared" si="140"/>
        <v>NO</v>
      </c>
      <c r="AL272" s="21"/>
      <c r="AM272" s="21">
        <f t="shared" si="159"/>
        <v>8183.0999999999985</v>
      </c>
      <c r="AN272" s="27" t="s">
        <v>37</v>
      </c>
      <c r="AO272" s="21">
        <v>1</v>
      </c>
      <c r="AP272" s="21">
        <f t="shared" si="152"/>
        <v>1</v>
      </c>
      <c r="AQ272" s="149">
        <f t="shared" si="154"/>
        <v>8183.0999999999985</v>
      </c>
      <c r="AR272" s="21">
        <v>8183.0999999999985</v>
      </c>
      <c r="AS272" s="610">
        <v>8183.0999999999985</v>
      </c>
      <c r="AT272" s="112">
        <v>8183.0999999999985</v>
      </c>
      <c r="AU272" s="4"/>
      <c r="AV272" s="4"/>
      <c r="AW272" s="23" t="e">
        <f>VLOOKUP(K272,#REF!,8,FALSE)</f>
        <v>#REF!</v>
      </c>
      <c r="AX272" s="23" t="e">
        <f>VLOOKUP(K272,#REF!,8,FALSE)</f>
        <v>#REF!</v>
      </c>
      <c r="AY272" s="23" t="e">
        <f>VLOOKUP(K272,#REF!,8,FALSE)</f>
        <v>#REF!</v>
      </c>
      <c r="AZ272" s="4"/>
      <c r="BA272" s="272"/>
      <c r="BB272" s="313">
        <f t="shared" si="158"/>
        <v>0</v>
      </c>
      <c r="BC272" s="269">
        <f t="shared" si="150"/>
        <v>8183.0999999999985</v>
      </c>
      <c r="BD272" t="str">
        <f t="shared" si="160"/>
        <v/>
      </c>
      <c r="BP272" s="166">
        <f t="shared" si="141"/>
        <v>8183.0999999999985</v>
      </c>
      <c r="BS272" s="165"/>
      <c r="BX272" s="495">
        <f t="shared" si="142"/>
        <v>8183.0999999999985</v>
      </c>
      <c r="BZ272" s="636">
        <f t="shared" si="155"/>
        <v>0</v>
      </c>
      <c r="CA272" s="633">
        <f t="shared" si="156"/>
        <v>0</v>
      </c>
    </row>
    <row r="273" spans="1:79" x14ac:dyDescent="0.2">
      <c r="A273" s="4">
        <v>1</v>
      </c>
      <c r="B273" s="4">
        <v>1</v>
      </c>
      <c r="C273" s="5">
        <f t="shared" si="145"/>
        <v>2002</v>
      </c>
      <c r="D273" s="6">
        <v>2002</v>
      </c>
      <c r="E273" s="121">
        <v>43012</v>
      </c>
      <c r="F273" s="6" t="s">
        <v>1606</v>
      </c>
      <c r="G273" s="7" t="s">
        <v>75</v>
      </c>
      <c r="H273" s="33"/>
      <c r="I273" s="7" t="s">
        <v>32</v>
      </c>
      <c r="J273" s="7"/>
      <c r="K273" s="30">
        <v>399468</v>
      </c>
      <c r="L273" s="45" t="s">
        <v>550</v>
      </c>
      <c r="M273" s="31" t="s">
        <v>381</v>
      </c>
      <c r="N273" s="31" t="s">
        <v>601</v>
      </c>
      <c r="O273" s="31" t="str">
        <f>M273 &amp; N273</f>
        <v>WilliamCummings</v>
      </c>
      <c r="P273" s="32">
        <v>40845</v>
      </c>
      <c r="Q273" s="13">
        <f t="shared" ca="1" si="133"/>
        <v>13.900068446269678</v>
      </c>
      <c r="R273" s="14">
        <v>6</v>
      </c>
      <c r="S273" s="15">
        <v>872</v>
      </c>
      <c r="T273" s="8">
        <v>872</v>
      </c>
      <c r="U273" s="16">
        <v>45017</v>
      </c>
      <c r="V273" s="17">
        <v>1</v>
      </c>
      <c r="W273" s="16">
        <v>45128</v>
      </c>
      <c r="X273" s="14">
        <v>63</v>
      </c>
      <c r="Y273" s="18">
        <f t="shared" si="157"/>
        <v>63</v>
      </c>
      <c r="Z273" s="18">
        <f t="shared" si="153"/>
        <v>0.328125</v>
      </c>
      <c r="AA273" s="18" t="s">
        <v>48</v>
      </c>
      <c r="AB273" s="26">
        <v>24</v>
      </c>
      <c r="AC273" s="26"/>
      <c r="AD273" s="26"/>
      <c r="AE273" s="147" t="str">
        <f t="shared" si="134"/>
        <v>1</v>
      </c>
      <c r="AF273" s="147" t="str">
        <f t="shared" si="135"/>
        <v>0</v>
      </c>
      <c r="AG273" s="147" t="str">
        <f t="shared" si="136"/>
        <v>0</v>
      </c>
      <c r="AH273" s="147" t="str">
        <f t="shared" si="137"/>
        <v>NO</v>
      </c>
      <c r="AI273" s="147" t="str">
        <f t="shared" si="138"/>
        <v>NO</v>
      </c>
      <c r="AJ273" s="147" t="str">
        <f t="shared" si="139"/>
        <v>NO</v>
      </c>
      <c r="AK273" s="147" t="str">
        <f t="shared" si="140"/>
        <v>NO</v>
      </c>
      <c r="AL273" s="21"/>
      <c r="AM273" s="21">
        <f t="shared" si="159"/>
        <v>5346.48</v>
      </c>
      <c r="AN273" s="27"/>
      <c r="AO273" s="21">
        <v>1</v>
      </c>
      <c r="AP273" s="21">
        <f t="shared" si="152"/>
        <v>0.328125</v>
      </c>
      <c r="AQ273" s="149">
        <f t="shared" si="154"/>
        <v>1754.3137499999998</v>
      </c>
      <c r="AR273" s="21">
        <v>1754.3137499999998</v>
      </c>
      <c r="AS273" s="610">
        <v>1754.3137499999998</v>
      </c>
      <c r="AT273" s="112">
        <v>1754.3137499999998</v>
      </c>
      <c r="AU273" s="4"/>
      <c r="AV273" s="4"/>
      <c r="AW273" s="23" t="e">
        <f>VLOOKUP(K273,#REF!,8,FALSE)</f>
        <v>#REF!</v>
      </c>
      <c r="AX273" s="23" t="s">
        <v>2237</v>
      </c>
      <c r="AY273" s="23" t="e">
        <f>VLOOKUP(K273,#REF!,8,FALSE)</f>
        <v>#REF!</v>
      </c>
      <c r="AZ273" s="4"/>
      <c r="BA273" s="272"/>
      <c r="BB273" s="313">
        <f t="shared" si="158"/>
        <v>0</v>
      </c>
      <c r="BC273" s="269">
        <f t="shared" si="150"/>
        <v>1754.3137499999998</v>
      </c>
      <c r="BD273" t="e">
        <f t="shared" si="160"/>
        <v>#REF!</v>
      </c>
      <c r="BE273" t="s">
        <v>2394</v>
      </c>
      <c r="BF273">
        <v>43012</v>
      </c>
      <c r="BH273" t="e">
        <f>VLOOKUP(K273,#REF!,8,FALSE)</f>
        <v>#REF!</v>
      </c>
      <c r="BJ273">
        <f>AB273</f>
        <v>24</v>
      </c>
      <c r="BK273" s="269">
        <f>AM273</f>
        <v>5346.48</v>
      </c>
      <c r="BL273" s="353"/>
      <c r="BM273" s="353" t="s">
        <v>75</v>
      </c>
      <c r="BN273" s="353"/>
      <c r="BO273" s="106">
        <f>BK273/192*127</f>
        <v>3536.4737499999997</v>
      </c>
      <c r="BP273" s="166">
        <f t="shared" si="141"/>
        <v>5290.7874999999995</v>
      </c>
      <c r="BS273" s="165"/>
      <c r="BX273" s="495">
        <f t="shared" si="142"/>
        <v>5290.7874999999995</v>
      </c>
      <c r="BZ273" s="636">
        <f t="shared" si="155"/>
        <v>0</v>
      </c>
      <c r="CA273" s="633">
        <f t="shared" si="156"/>
        <v>3536.4737499999997</v>
      </c>
    </row>
    <row r="274" spans="1:79" x14ac:dyDescent="0.2">
      <c r="A274" s="4">
        <v>1</v>
      </c>
      <c r="B274" s="4">
        <v>1</v>
      </c>
      <c r="C274" s="5">
        <f t="shared" si="145"/>
        <v>41111</v>
      </c>
      <c r="D274" s="6">
        <v>41111</v>
      </c>
      <c r="E274" s="6">
        <v>43011</v>
      </c>
      <c r="F274" s="6" t="s">
        <v>1606</v>
      </c>
      <c r="G274" s="7"/>
      <c r="H274" s="7"/>
      <c r="I274" s="7" t="s">
        <v>32</v>
      </c>
      <c r="J274" s="7"/>
      <c r="K274" s="29">
        <v>429908</v>
      </c>
      <c r="L274" s="43" t="s">
        <v>602</v>
      </c>
      <c r="M274" s="10" t="s">
        <v>247</v>
      </c>
      <c r="N274" s="10" t="s">
        <v>603</v>
      </c>
      <c r="O274" s="11" t="s">
        <v>604</v>
      </c>
      <c r="P274" s="12">
        <v>42593</v>
      </c>
      <c r="Q274" s="13">
        <f t="shared" ca="1" si="133"/>
        <v>9.1143052703627649</v>
      </c>
      <c r="R274" s="14">
        <v>1</v>
      </c>
      <c r="S274" s="15">
        <v>872</v>
      </c>
      <c r="T274" s="8">
        <v>872</v>
      </c>
      <c r="U274" s="16">
        <v>45017</v>
      </c>
      <c r="V274" s="17">
        <v>1</v>
      </c>
      <c r="W274" s="16">
        <v>45382</v>
      </c>
      <c r="X274" s="14">
        <v>192</v>
      </c>
      <c r="Y274" s="18">
        <f t="shared" si="157"/>
        <v>192</v>
      </c>
      <c r="Z274" s="18">
        <f t="shared" si="153"/>
        <v>1</v>
      </c>
      <c r="AA274" s="18" t="s">
        <v>36</v>
      </c>
      <c r="AB274" s="26">
        <v>33</v>
      </c>
      <c r="AC274" s="26"/>
      <c r="AD274" s="26"/>
      <c r="AE274" s="147" t="str">
        <f t="shared" si="134"/>
        <v>0</v>
      </c>
      <c r="AF274" s="147" t="str">
        <f t="shared" si="135"/>
        <v>0</v>
      </c>
      <c r="AG274" s="147" t="str">
        <f t="shared" si="136"/>
        <v>1</v>
      </c>
      <c r="AH274" s="147" t="str">
        <f t="shared" si="137"/>
        <v>NO</v>
      </c>
      <c r="AI274" s="147" t="str">
        <f t="shared" si="138"/>
        <v>NO</v>
      </c>
      <c r="AJ274" s="147" t="str">
        <f t="shared" si="139"/>
        <v>NO</v>
      </c>
      <c r="AK274" s="147" t="str">
        <f t="shared" si="140"/>
        <v>NO</v>
      </c>
      <c r="AL274" s="21"/>
      <c r="AM274" s="21">
        <f t="shared" si="159"/>
        <v>9601.41</v>
      </c>
      <c r="AN274" s="27" t="s">
        <v>56</v>
      </c>
      <c r="AO274" s="21">
        <v>1</v>
      </c>
      <c r="AP274" s="21">
        <f t="shared" si="152"/>
        <v>1</v>
      </c>
      <c r="AQ274" s="149">
        <f t="shared" si="154"/>
        <v>9601.41</v>
      </c>
      <c r="AR274" s="21">
        <v>9601.41</v>
      </c>
      <c r="AS274" s="610">
        <v>9601.41</v>
      </c>
      <c r="AT274" s="112">
        <v>9601.41</v>
      </c>
      <c r="AU274" s="4"/>
      <c r="AV274" s="4"/>
      <c r="AW274" s="23" t="e">
        <f>VLOOKUP(K274,#REF!,8,FALSE)</f>
        <v>#REF!</v>
      </c>
      <c r="AX274" s="23" t="e">
        <f>VLOOKUP(K274,#REF!,8,FALSE)</f>
        <v>#REF!</v>
      </c>
      <c r="AY274" s="23" t="e">
        <f>VLOOKUP(K274,#REF!,8,FALSE)</f>
        <v>#REF!</v>
      </c>
      <c r="AZ274" s="4"/>
      <c r="BA274" s="272"/>
      <c r="BB274" s="313">
        <f t="shared" si="158"/>
        <v>0</v>
      </c>
      <c r="BC274" s="269">
        <f t="shared" si="150"/>
        <v>9601.41</v>
      </c>
      <c r="BD274" t="str">
        <f t="shared" si="160"/>
        <v/>
      </c>
      <c r="BP274" s="166">
        <f t="shared" si="141"/>
        <v>9601.41</v>
      </c>
      <c r="BS274" s="165"/>
      <c r="BX274" s="495">
        <f t="shared" si="142"/>
        <v>9601.41</v>
      </c>
      <c r="BZ274" s="636">
        <f t="shared" si="155"/>
        <v>0</v>
      </c>
      <c r="CA274" s="633">
        <f t="shared" si="156"/>
        <v>0</v>
      </c>
    </row>
    <row r="275" spans="1:79" x14ac:dyDescent="0.2">
      <c r="A275" s="4">
        <v>1</v>
      </c>
      <c r="B275" s="4">
        <v>1</v>
      </c>
      <c r="C275" s="5">
        <f t="shared" si="145"/>
        <v>41111</v>
      </c>
      <c r="D275" s="6">
        <v>41111</v>
      </c>
      <c r="E275" s="6">
        <v>43011</v>
      </c>
      <c r="F275" s="6" t="s">
        <v>1606</v>
      </c>
      <c r="G275" s="7"/>
      <c r="H275" s="7"/>
      <c r="I275" s="7" t="s">
        <v>32</v>
      </c>
      <c r="J275" s="7"/>
      <c r="K275" s="29">
        <v>426767</v>
      </c>
      <c r="L275" s="43" t="s">
        <v>602</v>
      </c>
      <c r="M275" s="10" t="s">
        <v>605</v>
      </c>
      <c r="N275" s="10" t="s">
        <v>606</v>
      </c>
      <c r="O275" s="11" t="s">
        <v>607</v>
      </c>
      <c r="P275" s="12">
        <v>42429</v>
      </c>
      <c r="Q275" s="13">
        <f t="shared" ref="Q275:Q338" ca="1" si="161">(TODAY()-P275)/365.25</f>
        <v>9.5633127994524294</v>
      </c>
      <c r="R275" s="14">
        <v>2</v>
      </c>
      <c r="S275" s="15">
        <v>872</v>
      </c>
      <c r="T275" s="8">
        <v>872</v>
      </c>
      <c r="U275" s="16">
        <v>45017</v>
      </c>
      <c r="V275" s="17">
        <v>1</v>
      </c>
      <c r="W275" s="16">
        <v>45382</v>
      </c>
      <c r="X275" s="14">
        <v>192</v>
      </c>
      <c r="Y275" s="18">
        <f t="shared" si="157"/>
        <v>192</v>
      </c>
      <c r="Z275" s="18">
        <f t="shared" si="153"/>
        <v>1</v>
      </c>
      <c r="AA275" s="18" t="s">
        <v>36</v>
      </c>
      <c r="AB275" s="26">
        <v>30</v>
      </c>
      <c r="AC275" s="26"/>
      <c r="AD275" s="26"/>
      <c r="AE275" s="147" t="str">
        <f t="shared" ref="AE275:AE319" si="162">IF(AND(AB275&lt;=25,AB275&gt;=20),"1","0")</f>
        <v>0</v>
      </c>
      <c r="AF275" s="147" t="str">
        <f t="shared" ref="AF275:AF338" si="163">IF(AND(AB275&lt;=30,AB275&gt;=26),"1","0")</f>
        <v>1</v>
      </c>
      <c r="AG275" s="147" t="str">
        <f t="shared" ref="AG275:AG319" si="164">IF(AB275&gt;=31,"1","0")</f>
        <v>0</v>
      </c>
      <c r="AH275" s="147" t="str">
        <f t="shared" ref="AH275:AH338" si="165">IF(AD275="BAND3","YES","NO")</f>
        <v>NO</v>
      </c>
      <c r="AI275" s="147" t="str">
        <f t="shared" ref="AI275:AI338" si="166">IF(AD275="BAND4","YES","NO")</f>
        <v>NO</v>
      </c>
      <c r="AJ275" s="147" t="str">
        <f t="shared" ref="AJ275:AJ338" si="167">IF(AD275="BAND5","YES","NO")</f>
        <v>NO</v>
      </c>
      <c r="AK275" s="147" t="str">
        <f t="shared" ref="AK275:AK338" si="168">IF(AD275="BAND6","YES","NO")</f>
        <v>NO</v>
      </c>
      <c r="AL275" s="21"/>
      <c r="AM275" s="21">
        <f t="shared" si="159"/>
        <v>8183.0999999999985</v>
      </c>
      <c r="AN275" s="27" t="s">
        <v>37</v>
      </c>
      <c r="AO275" s="21">
        <v>1</v>
      </c>
      <c r="AP275" s="21">
        <f t="shared" si="152"/>
        <v>1</v>
      </c>
      <c r="AQ275" s="149">
        <f t="shared" si="154"/>
        <v>8183.0999999999985</v>
      </c>
      <c r="AR275" s="21">
        <v>8183.0999999999985</v>
      </c>
      <c r="AS275" s="610">
        <v>8183.0999999999985</v>
      </c>
      <c r="AT275" s="112">
        <v>8183.0999999999985</v>
      </c>
      <c r="AU275" s="4"/>
      <c r="AV275" s="4"/>
      <c r="AW275" s="23" t="e">
        <f>VLOOKUP(K275,#REF!,8,FALSE)</f>
        <v>#REF!</v>
      </c>
      <c r="AX275" s="23" t="e">
        <f>VLOOKUP(K275,#REF!,8,FALSE)</f>
        <v>#REF!</v>
      </c>
      <c r="AY275" s="23" t="e">
        <f>VLOOKUP(K275,#REF!,8,FALSE)</f>
        <v>#REF!</v>
      </c>
      <c r="AZ275" s="4"/>
      <c r="BA275" s="272"/>
      <c r="BB275" s="313">
        <f t="shared" si="158"/>
        <v>0</v>
      </c>
      <c r="BC275" s="269">
        <f t="shared" si="150"/>
        <v>8183.0999999999985</v>
      </c>
      <c r="BD275" t="str">
        <f t="shared" si="160"/>
        <v/>
      </c>
      <c r="BP275" s="166">
        <f t="shared" ref="BP275:BP338" si="169">BC275+BO275</f>
        <v>8183.0999999999985</v>
      </c>
      <c r="BS275" s="165"/>
      <c r="BX275" s="495">
        <f t="shared" ref="BX275:BX338" si="170">AQ275+BO275+BU275</f>
        <v>8183.0999999999985</v>
      </c>
      <c r="BZ275" s="636">
        <f t="shared" si="155"/>
        <v>0</v>
      </c>
      <c r="CA275" s="633">
        <f t="shared" si="156"/>
        <v>0</v>
      </c>
    </row>
    <row r="276" spans="1:79" x14ac:dyDescent="0.2">
      <c r="A276" s="4">
        <v>1</v>
      </c>
      <c r="B276" s="4">
        <v>1</v>
      </c>
      <c r="C276" s="5">
        <f t="shared" si="145"/>
        <v>41111</v>
      </c>
      <c r="D276" s="6">
        <v>41111</v>
      </c>
      <c r="E276" s="6">
        <v>43011</v>
      </c>
      <c r="F276" s="6" t="s">
        <v>1606</v>
      </c>
      <c r="G276" s="7"/>
      <c r="H276" s="7"/>
      <c r="I276" s="7" t="s">
        <v>32</v>
      </c>
      <c r="J276" s="7"/>
      <c r="K276" s="29">
        <v>439494</v>
      </c>
      <c r="L276" s="43" t="s">
        <v>602</v>
      </c>
      <c r="M276" s="10" t="s">
        <v>578</v>
      </c>
      <c r="N276" s="10" t="s">
        <v>608</v>
      </c>
      <c r="O276" s="11" t="s">
        <v>609</v>
      </c>
      <c r="P276" s="12">
        <v>43146</v>
      </c>
      <c r="Q276" s="13">
        <f t="shared" ca="1" si="161"/>
        <v>7.6002737850787137</v>
      </c>
      <c r="R276" s="14">
        <v>0</v>
      </c>
      <c r="S276" s="15">
        <v>872</v>
      </c>
      <c r="T276" s="8">
        <v>872</v>
      </c>
      <c r="U276" s="16">
        <v>45017</v>
      </c>
      <c r="V276" s="17">
        <v>1</v>
      </c>
      <c r="W276" s="16">
        <v>45382</v>
      </c>
      <c r="X276" s="14">
        <v>192</v>
      </c>
      <c r="Y276" s="18">
        <f t="shared" si="157"/>
        <v>192</v>
      </c>
      <c r="Z276" s="18">
        <f t="shared" si="153"/>
        <v>1</v>
      </c>
      <c r="AA276" s="18" t="s">
        <v>36</v>
      </c>
      <c r="AB276" s="26">
        <v>30</v>
      </c>
      <c r="AC276" s="26"/>
      <c r="AD276" s="26"/>
      <c r="AE276" s="147" t="str">
        <f t="shared" si="162"/>
        <v>0</v>
      </c>
      <c r="AF276" s="147" t="str">
        <f t="shared" si="163"/>
        <v>1</v>
      </c>
      <c r="AG276" s="147" t="str">
        <f t="shared" si="164"/>
        <v>0</v>
      </c>
      <c r="AH276" s="147" t="str">
        <f t="shared" si="165"/>
        <v>NO</v>
      </c>
      <c r="AI276" s="147" t="str">
        <f t="shared" si="166"/>
        <v>NO</v>
      </c>
      <c r="AJ276" s="147" t="str">
        <f t="shared" si="167"/>
        <v>NO</v>
      </c>
      <c r="AK276" s="147" t="str">
        <f t="shared" si="168"/>
        <v>NO</v>
      </c>
      <c r="AL276" s="21"/>
      <c r="AM276" s="21">
        <f t="shared" si="159"/>
        <v>8183.0999999999985</v>
      </c>
      <c r="AN276" s="27"/>
      <c r="AO276" s="21">
        <v>1</v>
      </c>
      <c r="AP276" s="21">
        <f t="shared" si="152"/>
        <v>1</v>
      </c>
      <c r="AQ276" s="149">
        <f t="shared" si="154"/>
        <v>8183.0999999999985</v>
      </c>
      <c r="AR276" s="21">
        <v>8183.0999999999985</v>
      </c>
      <c r="AS276" s="610">
        <v>8183.0999999999985</v>
      </c>
      <c r="AT276" s="112">
        <v>8183.0999999999985</v>
      </c>
      <c r="AU276" s="4"/>
      <c r="AV276" s="4"/>
      <c r="AW276" s="23" t="e">
        <f>VLOOKUP(K276,#REF!,8,FALSE)</f>
        <v>#REF!</v>
      </c>
      <c r="AX276" s="23" t="e">
        <f>VLOOKUP(K276,#REF!,8,FALSE)</f>
        <v>#REF!</v>
      </c>
      <c r="AY276" s="23" t="e">
        <f>VLOOKUP(K276,#REF!,8,FALSE)</f>
        <v>#REF!</v>
      </c>
      <c r="AZ276" s="4"/>
      <c r="BA276" s="272"/>
      <c r="BB276" s="313">
        <f t="shared" si="158"/>
        <v>0</v>
      </c>
      <c r="BC276" s="269">
        <f t="shared" si="150"/>
        <v>8183.0999999999985</v>
      </c>
      <c r="BD276" t="str">
        <f t="shared" si="160"/>
        <v/>
      </c>
      <c r="BP276" s="166">
        <f t="shared" si="169"/>
        <v>8183.0999999999985</v>
      </c>
      <c r="BS276" s="165"/>
      <c r="BX276" s="495">
        <f t="shared" si="170"/>
        <v>8183.0999999999985</v>
      </c>
      <c r="BZ276" s="636">
        <f t="shared" si="155"/>
        <v>0</v>
      </c>
      <c r="CA276" s="633">
        <f t="shared" si="156"/>
        <v>0</v>
      </c>
    </row>
    <row r="277" spans="1:79" x14ac:dyDescent="0.2">
      <c r="A277" s="4">
        <v>0</v>
      </c>
      <c r="B277" s="4">
        <v>1</v>
      </c>
      <c r="C277" s="5">
        <f t="shared" si="145"/>
        <v>41111</v>
      </c>
      <c r="D277" s="6">
        <v>41111</v>
      </c>
      <c r="E277" s="6">
        <v>43011</v>
      </c>
      <c r="F277" s="6" t="s">
        <v>1606</v>
      </c>
      <c r="G277" s="7"/>
      <c r="H277" s="7"/>
      <c r="I277" s="7" t="s">
        <v>32</v>
      </c>
      <c r="J277" s="7"/>
      <c r="K277" s="29">
        <v>397422</v>
      </c>
      <c r="L277" s="43" t="s">
        <v>602</v>
      </c>
      <c r="M277" s="10" t="s">
        <v>519</v>
      </c>
      <c r="N277" s="10" t="s">
        <v>532</v>
      </c>
      <c r="O277" s="11" t="s">
        <v>610</v>
      </c>
      <c r="P277" s="12">
        <v>41109</v>
      </c>
      <c r="Q277" s="13">
        <f t="shared" ca="1" si="161"/>
        <v>13.177275838466803</v>
      </c>
      <c r="R277" s="14">
        <v>6</v>
      </c>
      <c r="S277" s="15">
        <v>872</v>
      </c>
      <c r="T277" s="8">
        <v>872</v>
      </c>
      <c r="U277" s="16">
        <v>45017</v>
      </c>
      <c r="V277" s="17">
        <v>1</v>
      </c>
      <c r="W277" s="16">
        <v>45017</v>
      </c>
      <c r="X277" s="14">
        <v>0</v>
      </c>
      <c r="Y277" s="18">
        <f t="shared" si="157"/>
        <v>0</v>
      </c>
      <c r="Z277" s="18">
        <f t="shared" si="153"/>
        <v>0</v>
      </c>
      <c r="AA277" s="18" t="s">
        <v>48</v>
      </c>
      <c r="AB277" s="26">
        <v>30</v>
      </c>
      <c r="AC277" s="26"/>
      <c r="AD277" s="26"/>
      <c r="AE277" s="147" t="str">
        <f t="shared" si="162"/>
        <v>0</v>
      </c>
      <c r="AF277" s="147" t="str">
        <f t="shared" si="163"/>
        <v>1</v>
      </c>
      <c r="AG277" s="147" t="str">
        <f t="shared" si="164"/>
        <v>0</v>
      </c>
      <c r="AH277" s="147" t="str">
        <f t="shared" si="165"/>
        <v>NO</v>
      </c>
      <c r="AI277" s="147" t="str">
        <f t="shared" si="166"/>
        <v>NO</v>
      </c>
      <c r="AJ277" s="147" t="str">
        <f t="shared" si="167"/>
        <v>NO</v>
      </c>
      <c r="AK277" s="147" t="str">
        <f t="shared" si="168"/>
        <v>NO</v>
      </c>
      <c r="AL277" s="21"/>
      <c r="AM277" s="21">
        <f t="shared" si="159"/>
        <v>8183.0999999999985</v>
      </c>
      <c r="AN277" s="27" t="s">
        <v>56</v>
      </c>
      <c r="AO277" s="21">
        <v>1</v>
      </c>
      <c r="AP277" s="21">
        <f t="shared" si="152"/>
        <v>0</v>
      </c>
      <c r="AQ277" s="149">
        <f t="shared" si="154"/>
        <v>0</v>
      </c>
      <c r="AR277" s="21">
        <v>0</v>
      </c>
      <c r="AS277" s="610">
        <v>2685.0796874999996</v>
      </c>
      <c r="AT277" s="112">
        <v>0</v>
      </c>
      <c r="AU277" s="4" t="s">
        <v>2197</v>
      </c>
      <c r="AV277" s="4"/>
      <c r="AW277" s="23" t="e">
        <f>VLOOKUP(K277,#REF!,8,FALSE)</f>
        <v>#REF!</v>
      </c>
      <c r="AX277" s="262" t="s">
        <v>2249</v>
      </c>
      <c r="AY277" s="23" t="e">
        <f>VLOOKUP(K277,#REF!,8,FALSE)</f>
        <v>#REF!</v>
      </c>
      <c r="AZ277" s="4"/>
      <c r="BA277" s="272"/>
      <c r="BB277" s="313">
        <v>-2685</v>
      </c>
      <c r="BC277" s="269">
        <v>-2685</v>
      </c>
      <c r="BD277" t="e">
        <f t="shared" si="160"/>
        <v>#REF!</v>
      </c>
      <c r="BE277" s="110" t="s">
        <v>2399</v>
      </c>
      <c r="BF277" s="110">
        <v>43009</v>
      </c>
      <c r="BH277" t="e">
        <f>VLOOKUP(K277,#REF!,8,FALSE)</f>
        <v>#REF!</v>
      </c>
      <c r="BP277" s="166">
        <f t="shared" si="169"/>
        <v>-2685</v>
      </c>
      <c r="BS277" s="165" t="s">
        <v>2450</v>
      </c>
      <c r="BX277" s="495">
        <f t="shared" si="170"/>
        <v>0</v>
      </c>
      <c r="BZ277" s="636">
        <f t="shared" si="155"/>
        <v>2685</v>
      </c>
      <c r="CA277" s="633">
        <f t="shared" si="156"/>
        <v>-2685.0796874999996</v>
      </c>
    </row>
    <row r="278" spans="1:79" x14ac:dyDescent="0.2">
      <c r="A278" s="4">
        <v>1</v>
      </c>
      <c r="B278" s="4">
        <v>1</v>
      </c>
      <c r="C278" s="5">
        <f t="shared" si="145"/>
        <v>41111</v>
      </c>
      <c r="D278" s="6">
        <v>41111</v>
      </c>
      <c r="E278" s="6">
        <v>43011</v>
      </c>
      <c r="F278" s="6" t="s">
        <v>1606</v>
      </c>
      <c r="G278" s="7"/>
      <c r="H278" s="7"/>
      <c r="I278" s="7" t="s">
        <v>32</v>
      </c>
      <c r="J278" s="7"/>
      <c r="K278" s="260">
        <v>449508</v>
      </c>
      <c r="L278" s="320" t="s">
        <v>602</v>
      </c>
      <c r="M278" s="261" t="s">
        <v>2296</v>
      </c>
      <c r="N278" s="261" t="s">
        <v>2297</v>
      </c>
      <c r="O278" s="11" t="s">
        <v>2298</v>
      </c>
      <c r="P278" s="12">
        <v>43463</v>
      </c>
      <c r="Q278" s="13">
        <f t="shared" ca="1" si="161"/>
        <v>6.7323750855578375</v>
      </c>
      <c r="R278" s="315">
        <v>0</v>
      </c>
      <c r="S278" s="15">
        <v>872</v>
      </c>
      <c r="T278" s="8">
        <v>872</v>
      </c>
      <c r="U278" s="16">
        <v>45086</v>
      </c>
      <c r="V278" s="17">
        <v>34</v>
      </c>
      <c r="W278" s="16">
        <v>45382</v>
      </c>
      <c r="X278" s="14">
        <v>192</v>
      </c>
      <c r="Y278" s="18">
        <f t="shared" si="157"/>
        <v>159</v>
      </c>
      <c r="Z278" s="18">
        <f t="shared" si="153"/>
        <v>0.828125</v>
      </c>
      <c r="AA278" s="18" t="s">
        <v>36</v>
      </c>
      <c r="AB278" s="26">
        <v>30</v>
      </c>
      <c r="AC278" s="26"/>
      <c r="AD278" s="26"/>
      <c r="AE278" s="147" t="str">
        <f t="shared" si="162"/>
        <v>0</v>
      </c>
      <c r="AF278" s="147" t="str">
        <f t="shared" si="163"/>
        <v>1</v>
      </c>
      <c r="AG278" s="147" t="str">
        <f t="shared" si="164"/>
        <v>0</v>
      </c>
      <c r="AH278" s="147" t="str">
        <f t="shared" si="165"/>
        <v>NO</v>
      </c>
      <c r="AI278" s="147" t="str">
        <f t="shared" si="166"/>
        <v>NO</v>
      </c>
      <c r="AJ278" s="147" t="str">
        <f t="shared" si="167"/>
        <v>NO</v>
      </c>
      <c r="AK278" s="147" t="str">
        <f t="shared" si="168"/>
        <v>NO</v>
      </c>
      <c r="AL278" s="21"/>
      <c r="AM278" s="21">
        <f t="shared" si="159"/>
        <v>8183.0999999999985</v>
      </c>
      <c r="AN278" s="27" t="s">
        <v>56</v>
      </c>
      <c r="AO278" s="21">
        <v>1</v>
      </c>
      <c r="AP278" s="21">
        <f t="shared" si="152"/>
        <v>0.828125</v>
      </c>
      <c r="AQ278" s="149">
        <f t="shared" si="154"/>
        <v>6776.6296874999989</v>
      </c>
      <c r="AR278" s="21">
        <v>6776.6296874999989</v>
      </c>
      <c r="AS278" s="610">
        <v>0</v>
      </c>
      <c r="AT278" s="112"/>
      <c r="AU278" s="4"/>
      <c r="AV278" s="4"/>
      <c r="AW278" s="23"/>
      <c r="AX278" s="262"/>
      <c r="AY278" s="23"/>
      <c r="AZ278" s="4"/>
      <c r="BA278" s="272"/>
      <c r="BB278" s="313">
        <f>BC278-AT278</f>
        <v>6776.6296874999989</v>
      </c>
      <c r="BC278" s="269">
        <f t="shared" ref="BC278:BC309" si="171">AR278</f>
        <v>6776.6296874999989</v>
      </c>
      <c r="BD278" t="str">
        <f t="shared" si="160"/>
        <v/>
      </c>
      <c r="BP278" s="166">
        <f t="shared" si="169"/>
        <v>6776.6296874999989</v>
      </c>
      <c r="BS278" s="165"/>
      <c r="BX278" s="495">
        <f t="shared" si="170"/>
        <v>6776.6296874999989</v>
      </c>
      <c r="BZ278" s="636">
        <f t="shared" si="155"/>
        <v>0</v>
      </c>
      <c r="CA278" s="633">
        <f t="shared" si="156"/>
        <v>6776.6296874999989</v>
      </c>
    </row>
    <row r="279" spans="1:79" x14ac:dyDescent="0.2">
      <c r="A279" s="4">
        <v>1</v>
      </c>
      <c r="B279" s="4">
        <v>1</v>
      </c>
      <c r="C279" s="5">
        <f t="shared" si="145"/>
        <v>41111</v>
      </c>
      <c r="D279" s="6">
        <v>41111</v>
      </c>
      <c r="E279" s="6">
        <v>43011</v>
      </c>
      <c r="F279" s="6" t="s">
        <v>1606</v>
      </c>
      <c r="G279" s="7"/>
      <c r="H279" s="7"/>
      <c r="I279" s="7" t="s">
        <v>32</v>
      </c>
      <c r="J279" s="7"/>
      <c r="K279" s="29">
        <v>422097</v>
      </c>
      <c r="L279" s="43" t="s">
        <v>602</v>
      </c>
      <c r="M279" s="10" t="s">
        <v>356</v>
      </c>
      <c r="N279" s="10" t="s">
        <v>231</v>
      </c>
      <c r="O279" s="11" t="s">
        <v>357</v>
      </c>
      <c r="P279" s="12">
        <v>42245</v>
      </c>
      <c r="Q279" s="13">
        <f t="shared" ca="1" si="161"/>
        <v>10.067077344284737</v>
      </c>
      <c r="R279" s="14">
        <v>3</v>
      </c>
      <c r="S279" s="15">
        <v>872</v>
      </c>
      <c r="T279" s="8">
        <v>872</v>
      </c>
      <c r="U279" s="16">
        <v>45040</v>
      </c>
      <c r="V279" s="17">
        <v>6</v>
      </c>
      <c r="W279" s="16">
        <v>45382</v>
      </c>
      <c r="X279" s="14">
        <v>192</v>
      </c>
      <c r="Y279" s="18">
        <f t="shared" si="157"/>
        <v>187</v>
      </c>
      <c r="Z279" s="18">
        <f t="shared" si="153"/>
        <v>0.97395833333333337</v>
      </c>
      <c r="AA279" s="18" t="s">
        <v>36</v>
      </c>
      <c r="AB279" s="26">
        <v>35</v>
      </c>
      <c r="AC279" s="26"/>
      <c r="AD279" s="26"/>
      <c r="AE279" s="147" t="str">
        <f t="shared" si="162"/>
        <v>0</v>
      </c>
      <c r="AF279" s="147" t="str">
        <f t="shared" si="163"/>
        <v>0</v>
      </c>
      <c r="AG279" s="147" t="str">
        <f t="shared" si="164"/>
        <v>1</v>
      </c>
      <c r="AH279" s="147" t="str">
        <f t="shared" si="165"/>
        <v>NO</v>
      </c>
      <c r="AI279" s="147" t="str">
        <f t="shared" si="166"/>
        <v>NO</v>
      </c>
      <c r="AJ279" s="147" t="str">
        <f t="shared" si="167"/>
        <v>NO</v>
      </c>
      <c r="AK279" s="147" t="str">
        <f t="shared" si="168"/>
        <v>NO</v>
      </c>
      <c r="AL279" s="21"/>
      <c r="AM279" s="21">
        <f t="shared" si="159"/>
        <v>10546.95</v>
      </c>
      <c r="AN279" s="27" t="s">
        <v>66</v>
      </c>
      <c r="AO279" s="21">
        <v>1</v>
      </c>
      <c r="AP279" s="21">
        <f t="shared" si="152"/>
        <v>0.97395833333333337</v>
      </c>
      <c r="AQ279" s="149">
        <f t="shared" si="154"/>
        <v>10272.289843750001</v>
      </c>
      <c r="AR279" s="21">
        <v>0</v>
      </c>
      <c r="AS279" s="610">
        <v>0</v>
      </c>
      <c r="AT279" s="112"/>
      <c r="AU279" s="4"/>
      <c r="AV279" s="4"/>
      <c r="AW279" s="23" t="e">
        <f>VLOOKUP(K279,#REF!,8,FALSE)</f>
        <v>#REF!</v>
      </c>
      <c r="AX279" s="23" t="s">
        <v>158</v>
      </c>
      <c r="AY279" s="23" t="e">
        <f>VLOOKUP(K279,#REF!,8,FALSE)</f>
        <v>#REF!</v>
      </c>
      <c r="AZ279" s="4"/>
      <c r="BA279" s="272"/>
      <c r="BB279" s="313"/>
      <c r="BC279" s="269">
        <f t="shared" si="171"/>
        <v>0</v>
      </c>
      <c r="BP279" s="166">
        <f t="shared" si="169"/>
        <v>0</v>
      </c>
      <c r="BS279" s="165"/>
      <c r="BX279" s="495">
        <f t="shared" si="170"/>
        <v>10272.289843750001</v>
      </c>
      <c r="BY279" t="s">
        <v>2493</v>
      </c>
      <c r="BZ279" s="636">
        <f t="shared" si="155"/>
        <v>10272.289843750001</v>
      </c>
      <c r="CA279" s="633">
        <f t="shared" si="156"/>
        <v>10272.289843750001</v>
      </c>
    </row>
    <row r="280" spans="1:79" x14ac:dyDescent="0.2">
      <c r="A280" s="4">
        <v>1</v>
      </c>
      <c r="B280" s="4">
        <v>1</v>
      </c>
      <c r="C280" s="5">
        <f t="shared" si="145"/>
        <v>41112</v>
      </c>
      <c r="D280" s="6">
        <v>41112</v>
      </c>
      <c r="E280" s="6">
        <v>43011</v>
      </c>
      <c r="F280" s="6" t="s">
        <v>1606</v>
      </c>
      <c r="G280" s="7"/>
      <c r="H280" s="7"/>
      <c r="I280" s="7" t="s">
        <v>32</v>
      </c>
      <c r="J280" s="7"/>
      <c r="K280" s="28">
        <v>402002</v>
      </c>
      <c r="L280" s="43" t="s">
        <v>611</v>
      </c>
      <c r="M280" s="10" t="s">
        <v>612</v>
      </c>
      <c r="N280" s="10" t="s">
        <v>613</v>
      </c>
      <c r="O280" s="25" t="s">
        <v>614</v>
      </c>
      <c r="P280" s="12">
        <v>40955</v>
      </c>
      <c r="Q280" s="13">
        <f t="shared" ca="1" si="161"/>
        <v>13.598904859685147</v>
      </c>
      <c r="R280" s="14">
        <v>6</v>
      </c>
      <c r="S280" s="15">
        <v>872</v>
      </c>
      <c r="T280" s="8">
        <v>872</v>
      </c>
      <c r="U280" s="16">
        <v>45017</v>
      </c>
      <c r="V280" s="17">
        <v>1</v>
      </c>
      <c r="W280" s="16">
        <v>45128</v>
      </c>
      <c r="X280" s="14">
        <v>63</v>
      </c>
      <c r="Y280" s="18">
        <f t="shared" si="157"/>
        <v>63</v>
      </c>
      <c r="Z280" s="18">
        <f t="shared" si="153"/>
        <v>0.328125</v>
      </c>
      <c r="AA280" s="16" t="s">
        <v>48</v>
      </c>
      <c r="AB280" s="26">
        <v>4361</v>
      </c>
      <c r="AC280" s="26"/>
      <c r="AD280" s="26"/>
      <c r="AE280" s="147" t="str">
        <f t="shared" si="162"/>
        <v>0</v>
      </c>
      <c r="AF280" s="147" t="str">
        <f t="shared" si="163"/>
        <v>0</v>
      </c>
      <c r="AG280" s="147" t="str">
        <f t="shared" si="164"/>
        <v>1</v>
      </c>
      <c r="AH280" s="147" t="str">
        <f t="shared" si="165"/>
        <v>NO</v>
      </c>
      <c r="AI280" s="147" t="str">
        <f t="shared" si="166"/>
        <v>NO</v>
      </c>
      <c r="AJ280" s="147" t="str">
        <f t="shared" si="167"/>
        <v>NO</v>
      </c>
      <c r="AK280" s="147" t="str">
        <f t="shared" si="168"/>
        <v>NO</v>
      </c>
      <c r="AL280" s="21"/>
      <c r="AM280" s="21">
        <v>4361</v>
      </c>
      <c r="AN280" s="27" t="s">
        <v>536</v>
      </c>
      <c r="AO280" s="21">
        <v>1</v>
      </c>
      <c r="AP280" s="21">
        <f t="shared" ref="AP280:AP311" si="172">AO280*Z280</f>
        <v>0.328125</v>
      </c>
      <c r="AQ280" s="149">
        <f t="shared" si="154"/>
        <v>1430.953125</v>
      </c>
      <c r="AR280" s="21">
        <v>1430.953125</v>
      </c>
      <c r="AS280" s="610">
        <v>0</v>
      </c>
      <c r="AT280" s="112">
        <v>1430.953125</v>
      </c>
      <c r="AU280" s="4"/>
      <c r="AV280" s="4"/>
      <c r="AW280" s="23" t="e">
        <f>VLOOKUP(K280,#REF!,8,FALSE)</f>
        <v>#REF!</v>
      </c>
      <c r="AX280" s="23" t="s">
        <v>158</v>
      </c>
      <c r="AY280" s="23" t="e">
        <f>VLOOKUP(K280,#REF!,8,FALSE)</f>
        <v>#REF!</v>
      </c>
      <c r="AZ280" s="4"/>
      <c r="BA280" s="272"/>
      <c r="BB280" s="313">
        <f t="shared" ref="BB280:BB319" si="173">BC280-AT280</f>
        <v>0</v>
      </c>
      <c r="BC280" s="269">
        <f t="shared" si="171"/>
        <v>1430.953125</v>
      </c>
      <c r="BD280" t="e">
        <f>BG280&amp;BH280&amp;BI280</f>
        <v>#REF!</v>
      </c>
      <c r="BE280" t="s">
        <v>2394</v>
      </c>
      <c r="BF280">
        <v>43012</v>
      </c>
      <c r="BH280" t="e">
        <f>VLOOKUP(K280,#REF!,8,FALSE)</f>
        <v>#REF!</v>
      </c>
      <c r="BJ280">
        <f>AB280</f>
        <v>4361</v>
      </c>
      <c r="BK280" s="269">
        <f>AM280</f>
        <v>4361</v>
      </c>
      <c r="BL280" s="353"/>
      <c r="BM280" s="353" t="s">
        <v>75</v>
      </c>
      <c r="BN280" s="353"/>
      <c r="BO280" s="106">
        <f>BK280/192*127</f>
        <v>2884.619791666667</v>
      </c>
      <c r="BP280" s="166">
        <f t="shared" si="169"/>
        <v>4315.572916666667</v>
      </c>
      <c r="BS280" s="165"/>
      <c r="BX280" s="495">
        <f t="shared" si="170"/>
        <v>4315.572916666667</v>
      </c>
      <c r="BZ280" s="636">
        <f t="shared" si="155"/>
        <v>0</v>
      </c>
      <c r="CA280" s="633">
        <f t="shared" si="156"/>
        <v>4315.572916666667</v>
      </c>
    </row>
    <row r="281" spans="1:79" x14ac:dyDescent="0.2">
      <c r="A281" s="4">
        <v>1</v>
      </c>
      <c r="B281" s="4">
        <v>1</v>
      </c>
      <c r="C281" s="5">
        <f t="shared" si="145"/>
        <v>2003</v>
      </c>
      <c r="D281" s="6">
        <v>2003</v>
      </c>
      <c r="E281" s="121">
        <v>43012</v>
      </c>
      <c r="F281" s="6" t="s">
        <v>1606</v>
      </c>
      <c r="G281" s="7" t="s">
        <v>75</v>
      </c>
      <c r="H281" s="7"/>
      <c r="I281" s="7" t="s">
        <v>32</v>
      </c>
      <c r="J281" s="7"/>
      <c r="K281" s="28">
        <v>428492</v>
      </c>
      <c r="L281" s="43" t="s">
        <v>615</v>
      </c>
      <c r="M281" s="10" t="s">
        <v>616</v>
      </c>
      <c r="N281" s="10" t="s">
        <v>617</v>
      </c>
      <c r="O281" s="25" t="s">
        <v>618</v>
      </c>
      <c r="P281" s="12">
        <v>42273</v>
      </c>
      <c r="Q281" s="13">
        <f t="shared" ca="1" si="161"/>
        <v>9.9904175222450373</v>
      </c>
      <c r="R281" s="14">
        <v>2</v>
      </c>
      <c r="S281" s="15">
        <v>872</v>
      </c>
      <c r="T281" s="8">
        <v>872</v>
      </c>
      <c r="U281" s="16">
        <v>45017</v>
      </c>
      <c r="V281" s="17">
        <v>1</v>
      </c>
      <c r="W281" s="16">
        <v>45382</v>
      </c>
      <c r="X281" s="14">
        <v>192</v>
      </c>
      <c r="Y281" s="18">
        <f t="shared" si="157"/>
        <v>192</v>
      </c>
      <c r="Z281" s="18">
        <f t="shared" si="153"/>
        <v>1</v>
      </c>
      <c r="AA281" s="18" t="s">
        <v>36</v>
      </c>
      <c r="AB281" s="26">
        <v>25</v>
      </c>
      <c r="AC281" s="26"/>
      <c r="AD281" s="26"/>
      <c r="AE281" s="147" t="str">
        <f t="shared" si="162"/>
        <v>1</v>
      </c>
      <c r="AF281" s="147" t="str">
        <f t="shared" si="163"/>
        <v>0</v>
      </c>
      <c r="AG281" s="147" t="str">
        <f t="shared" si="164"/>
        <v>0</v>
      </c>
      <c r="AH281" s="147" t="str">
        <f t="shared" si="165"/>
        <v>NO</v>
      </c>
      <c r="AI281" s="147" t="str">
        <f t="shared" si="166"/>
        <v>NO</v>
      </c>
      <c r="AJ281" s="147" t="str">
        <f t="shared" si="167"/>
        <v>NO</v>
      </c>
      <c r="AK281" s="147" t="str">
        <f t="shared" si="168"/>
        <v>NO</v>
      </c>
      <c r="AL281" s="21"/>
      <c r="AM281" s="21">
        <f>IF(H281="Y",AL281,((AB281*$O$902)-6000))</f>
        <v>5819.25</v>
      </c>
      <c r="AN281" s="27" t="s">
        <v>56</v>
      </c>
      <c r="AO281" s="21">
        <v>1</v>
      </c>
      <c r="AP281" s="21">
        <f t="shared" si="172"/>
        <v>1</v>
      </c>
      <c r="AQ281" s="149">
        <f t="shared" si="154"/>
        <v>5819.25</v>
      </c>
      <c r="AR281" s="21">
        <v>5819.25</v>
      </c>
      <c r="AS281" s="610">
        <v>5819.25</v>
      </c>
      <c r="AT281" s="112">
        <v>5819.25</v>
      </c>
      <c r="AU281" s="4"/>
      <c r="AV281" s="4"/>
      <c r="AW281" s="23" t="e">
        <f>VLOOKUP(K281,#REF!,8,FALSE)</f>
        <v>#REF!</v>
      </c>
      <c r="AX281" s="23" t="e">
        <f>VLOOKUP(K281,#REF!,8,FALSE)</f>
        <v>#REF!</v>
      </c>
      <c r="AY281" s="23" t="e">
        <f>VLOOKUP(K281,#REF!,8,FALSE)</f>
        <v>#REF!</v>
      </c>
      <c r="AZ281" s="4"/>
      <c r="BA281" s="272"/>
      <c r="BB281" s="313">
        <f t="shared" si="173"/>
        <v>0</v>
      </c>
      <c r="BC281" s="269">
        <f t="shared" si="171"/>
        <v>5819.25</v>
      </c>
      <c r="BD281" t="str">
        <f>BG281&amp;BH281&amp;BI281</f>
        <v/>
      </c>
      <c r="BP281" s="166">
        <f t="shared" si="169"/>
        <v>5819.25</v>
      </c>
      <c r="BS281" s="165"/>
      <c r="BX281" s="495">
        <f t="shared" si="170"/>
        <v>5819.25</v>
      </c>
      <c r="BZ281" s="636">
        <f t="shared" si="155"/>
        <v>0</v>
      </c>
      <c r="CA281" s="633">
        <f t="shared" si="156"/>
        <v>0</v>
      </c>
    </row>
    <row r="282" spans="1:79" x14ac:dyDescent="0.2">
      <c r="A282" s="4">
        <v>0</v>
      </c>
      <c r="B282" s="4">
        <v>1</v>
      </c>
      <c r="C282" s="5">
        <f t="shared" si="145"/>
        <v>2003</v>
      </c>
      <c r="D282" s="6">
        <v>2003</v>
      </c>
      <c r="E282" s="121">
        <v>43012</v>
      </c>
      <c r="F282" s="6" t="s">
        <v>1606</v>
      </c>
      <c r="G282" s="7" t="s">
        <v>75</v>
      </c>
      <c r="H282" s="7"/>
      <c r="I282" s="7" t="s">
        <v>32</v>
      </c>
      <c r="J282" s="7" t="s">
        <v>142</v>
      </c>
      <c r="K282" s="28">
        <v>428492</v>
      </c>
      <c r="L282" s="43" t="s">
        <v>615</v>
      </c>
      <c r="M282" s="10" t="s">
        <v>616</v>
      </c>
      <c r="N282" s="10" t="s">
        <v>617</v>
      </c>
      <c r="O282" s="25" t="s">
        <v>618</v>
      </c>
      <c r="P282" s="12">
        <v>42273</v>
      </c>
      <c r="Q282" s="13">
        <f t="shared" ca="1" si="161"/>
        <v>9.9904175222450373</v>
      </c>
      <c r="R282" s="14">
        <v>2</v>
      </c>
      <c r="S282" s="15">
        <v>872</v>
      </c>
      <c r="T282" s="8">
        <v>872</v>
      </c>
      <c r="U282" s="16">
        <v>45017</v>
      </c>
      <c r="V282" s="17">
        <v>1</v>
      </c>
      <c r="W282" s="16">
        <v>45382</v>
      </c>
      <c r="X282" s="14">
        <v>192</v>
      </c>
      <c r="Y282" s="18">
        <f t="shared" si="157"/>
        <v>192</v>
      </c>
      <c r="Z282" s="18">
        <f t="shared" si="153"/>
        <v>1</v>
      </c>
      <c r="AA282" s="18" t="s">
        <v>36</v>
      </c>
      <c r="AB282" s="26">
        <v>14336.46</v>
      </c>
      <c r="AC282" s="26"/>
      <c r="AD282" s="26"/>
      <c r="AE282" s="147" t="str">
        <f t="shared" si="162"/>
        <v>0</v>
      </c>
      <c r="AF282" s="147" t="str">
        <f t="shared" si="163"/>
        <v>0</v>
      </c>
      <c r="AG282" s="147" t="str">
        <f t="shared" si="164"/>
        <v>1</v>
      </c>
      <c r="AH282" s="147" t="str">
        <f t="shared" si="165"/>
        <v>NO</v>
      </c>
      <c r="AI282" s="147" t="str">
        <f t="shared" si="166"/>
        <v>NO</v>
      </c>
      <c r="AJ282" s="147" t="str">
        <f t="shared" si="167"/>
        <v>NO</v>
      </c>
      <c r="AK282" s="147" t="str">
        <f t="shared" si="168"/>
        <v>NO</v>
      </c>
      <c r="AL282" s="21"/>
      <c r="AM282" s="21">
        <v>14336.46</v>
      </c>
      <c r="AN282" s="27" t="s">
        <v>56</v>
      </c>
      <c r="AO282" s="21">
        <v>1</v>
      </c>
      <c r="AP282" s="21">
        <f t="shared" si="172"/>
        <v>1</v>
      </c>
      <c r="AQ282" s="149">
        <f t="shared" si="154"/>
        <v>14336.46</v>
      </c>
      <c r="AR282" s="21">
        <v>14336.46</v>
      </c>
      <c r="AS282" s="610">
        <v>14336.46</v>
      </c>
      <c r="AT282" s="112">
        <v>14336.46</v>
      </c>
      <c r="AU282" s="4"/>
      <c r="AV282" s="4"/>
      <c r="AW282" s="23" t="e">
        <f>VLOOKUP(K282,#REF!,8,FALSE)</f>
        <v>#REF!</v>
      </c>
      <c r="AX282" s="23" t="e">
        <f>VLOOKUP(K282,#REF!,8,FALSE)</f>
        <v>#REF!</v>
      </c>
      <c r="AY282" s="23" t="e">
        <f>VLOOKUP(K282,#REF!,8,FALSE)</f>
        <v>#REF!</v>
      </c>
      <c r="AZ282" s="4"/>
      <c r="BA282" s="272"/>
      <c r="BB282" s="313">
        <f t="shared" si="173"/>
        <v>0</v>
      </c>
      <c r="BC282" s="269">
        <f t="shared" si="171"/>
        <v>14336.46</v>
      </c>
      <c r="BD282" t="str">
        <f>BG282&amp;BH282&amp;BI282</f>
        <v/>
      </c>
      <c r="BP282" s="166">
        <f t="shared" si="169"/>
        <v>14336.46</v>
      </c>
      <c r="BS282" s="165"/>
      <c r="BX282" s="495">
        <f t="shared" si="170"/>
        <v>14336.46</v>
      </c>
      <c r="BZ282" s="636">
        <f t="shared" si="155"/>
        <v>0</v>
      </c>
      <c r="CA282" s="633">
        <f t="shared" si="156"/>
        <v>0</v>
      </c>
    </row>
    <row r="283" spans="1:79" x14ac:dyDescent="0.2">
      <c r="A283" s="4">
        <v>1</v>
      </c>
      <c r="B283" s="4">
        <v>1</v>
      </c>
      <c r="C283" s="5">
        <f t="shared" si="145"/>
        <v>2003</v>
      </c>
      <c r="D283" s="6">
        <v>2003</v>
      </c>
      <c r="E283" s="121">
        <v>43012</v>
      </c>
      <c r="F283" s="6" t="s">
        <v>1606</v>
      </c>
      <c r="G283" s="7" t="s">
        <v>75</v>
      </c>
      <c r="H283" s="7"/>
      <c r="I283" s="7" t="s">
        <v>32</v>
      </c>
      <c r="J283" s="7"/>
      <c r="K283" s="28">
        <v>401647</v>
      </c>
      <c r="L283" s="43" t="s">
        <v>615</v>
      </c>
      <c r="M283" s="10" t="s">
        <v>619</v>
      </c>
      <c r="N283" s="10" t="s">
        <v>620</v>
      </c>
      <c r="O283" s="25" t="s">
        <v>621</v>
      </c>
      <c r="P283" s="12">
        <v>41061</v>
      </c>
      <c r="Q283" s="13">
        <f t="shared" ca="1" si="161"/>
        <v>13.308692676249144</v>
      </c>
      <c r="R283" s="14">
        <v>6</v>
      </c>
      <c r="S283" s="15">
        <v>872</v>
      </c>
      <c r="T283" s="8">
        <v>872</v>
      </c>
      <c r="U283" s="16">
        <v>45017</v>
      </c>
      <c r="V283" s="17">
        <v>1</v>
      </c>
      <c r="W283" s="16">
        <v>45128</v>
      </c>
      <c r="X283" s="14">
        <v>63</v>
      </c>
      <c r="Y283" s="18">
        <f t="shared" si="157"/>
        <v>63</v>
      </c>
      <c r="Z283" s="18">
        <f t="shared" si="153"/>
        <v>0.328125</v>
      </c>
      <c r="AA283" s="16" t="s">
        <v>48</v>
      </c>
      <c r="AB283" s="26">
        <v>26</v>
      </c>
      <c r="AC283" s="26"/>
      <c r="AD283" s="26"/>
      <c r="AE283" s="147" t="str">
        <f t="shared" si="162"/>
        <v>0</v>
      </c>
      <c r="AF283" s="147" t="str">
        <f t="shared" si="163"/>
        <v>1</v>
      </c>
      <c r="AG283" s="147" t="str">
        <f t="shared" si="164"/>
        <v>0</v>
      </c>
      <c r="AH283" s="147" t="str">
        <f t="shared" si="165"/>
        <v>NO</v>
      </c>
      <c r="AI283" s="147" t="str">
        <f t="shared" si="166"/>
        <v>NO</v>
      </c>
      <c r="AJ283" s="147" t="str">
        <f t="shared" si="167"/>
        <v>NO</v>
      </c>
      <c r="AK283" s="147" t="str">
        <f t="shared" si="168"/>
        <v>NO</v>
      </c>
      <c r="AL283" s="21"/>
      <c r="AM283" s="21">
        <f t="shared" ref="AM283:AM288" si="174">IF(H283="Y",AL283,((AB283*$O$902)-6000))</f>
        <v>6292.02</v>
      </c>
      <c r="AN283" s="27" t="s">
        <v>56</v>
      </c>
      <c r="AO283" s="21">
        <v>1</v>
      </c>
      <c r="AP283" s="21">
        <f t="shared" si="172"/>
        <v>0.328125</v>
      </c>
      <c r="AQ283" s="149">
        <f t="shared" si="154"/>
        <v>2064.5690625000002</v>
      </c>
      <c r="AR283" s="21">
        <v>2064.5690625000002</v>
      </c>
      <c r="AS283" s="610">
        <v>0</v>
      </c>
      <c r="AT283" s="112">
        <v>2064.5690625000002</v>
      </c>
      <c r="AU283" s="4"/>
      <c r="AV283" s="4"/>
      <c r="AW283" s="23" t="e">
        <f>VLOOKUP(K283,#REF!,8,FALSE)</f>
        <v>#REF!</v>
      </c>
      <c r="AX283" s="23" t="e">
        <f>VLOOKUP(K283,#REF!,8,FALSE)</f>
        <v>#REF!</v>
      </c>
      <c r="AY283" s="23" t="e">
        <f>VLOOKUP(K283,#REF!,8,FALSE)</f>
        <v>#REF!</v>
      </c>
      <c r="AZ283" s="4"/>
      <c r="BA283" s="272"/>
      <c r="BB283" s="313">
        <f t="shared" si="173"/>
        <v>0</v>
      </c>
      <c r="BC283" s="269">
        <f t="shared" si="171"/>
        <v>2064.5690625000002</v>
      </c>
      <c r="BD283" s="110" t="s">
        <v>2405</v>
      </c>
      <c r="BJ283">
        <f>AB283</f>
        <v>26</v>
      </c>
      <c r="BK283" s="269">
        <f>AM283</f>
        <v>6292.02</v>
      </c>
      <c r="BO283" s="106">
        <f>BK283/192*127</f>
        <v>4161.9090624999999</v>
      </c>
      <c r="BP283" s="166">
        <f t="shared" si="169"/>
        <v>6226.4781249999996</v>
      </c>
      <c r="BS283" s="165" t="s">
        <v>1495</v>
      </c>
      <c r="BT283" t="s">
        <v>1495</v>
      </c>
      <c r="BX283" s="495">
        <f t="shared" si="170"/>
        <v>6226.4781249999996</v>
      </c>
      <c r="BZ283" s="636">
        <f t="shared" si="155"/>
        <v>0</v>
      </c>
      <c r="CA283" s="633">
        <f t="shared" si="156"/>
        <v>6226.4781249999996</v>
      </c>
    </row>
    <row r="284" spans="1:79" x14ac:dyDescent="0.2">
      <c r="A284" s="4">
        <v>1</v>
      </c>
      <c r="B284" s="4">
        <v>1</v>
      </c>
      <c r="C284" s="5">
        <f t="shared" si="145"/>
        <v>2003</v>
      </c>
      <c r="D284" s="6">
        <v>2003</v>
      </c>
      <c r="E284" s="121">
        <v>43012</v>
      </c>
      <c r="F284" s="6" t="s">
        <v>1606</v>
      </c>
      <c r="G284" s="7" t="s">
        <v>75</v>
      </c>
      <c r="H284" s="7"/>
      <c r="I284" s="7" t="s">
        <v>32</v>
      </c>
      <c r="J284" s="7"/>
      <c r="K284" s="28">
        <v>409957</v>
      </c>
      <c r="L284" s="43" t="s">
        <v>615</v>
      </c>
      <c r="M284" s="10" t="s">
        <v>556</v>
      </c>
      <c r="N284" s="10" t="s">
        <v>622</v>
      </c>
      <c r="O284" s="25" t="str">
        <f>M284&amp;N284</f>
        <v>DylanColman</v>
      </c>
      <c r="P284" s="12">
        <v>41368</v>
      </c>
      <c r="Q284" s="13">
        <f t="shared" ca="1" si="161"/>
        <v>12.46817248459959</v>
      </c>
      <c r="R284" s="14">
        <v>5</v>
      </c>
      <c r="S284" s="15">
        <v>872</v>
      </c>
      <c r="T284" s="8">
        <v>872</v>
      </c>
      <c r="U284" s="16">
        <v>45017</v>
      </c>
      <c r="V284" s="17">
        <v>1</v>
      </c>
      <c r="W284" s="16">
        <v>45382</v>
      </c>
      <c r="X284" s="14">
        <v>192</v>
      </c>
      <c r="Y284" s="18">
        <f t="shared" si="157"/>
        <v>192</v>
      </c>
      <c r="Z284" s="18">
        <f t="shared" si="153"/>
        <v>1</v>
      </c>
      <c r="AA284" s="18" t="s">
        <v>36</v>
      </c>
      <c r="AB284" s="26">
        <v>31</v>
      </c>
      <c r="AC284" s="26"/>
      <c r="AD284" s="26"/>
      <c r="AE284" s="147" t="str">
        <f t="shared" si="162"/>
        <v>0</v>
      </c>
      <c r="AF284" s="147" t="str">
        <f t="shared" si="163"/>
        <v>0</v>
      </c>
      <c r="AG284" s="147" t="str">
        <f t="shared" si="164"/>
        <v>1</v>
      </c>
      <c r="AH284" s="147" t="str">
        <f t="shared" si="165"/>
        <v>NO</v>
      </c>
      <c r="AI284" s="147" t="str">
        <f t="shared" si="166"/>
        <v>NO</v>
      </c>
      <c r="AJ284" s="147" t="str">
        <f t="shared" si="167"/>
        <v>NO</v>
      </c>
      <c r="AK284" s="147" t="str">
        <f t="shared" si="168"/>
        <v>NO</v>
      </c>
      <c r="AL284" s="21"/>
      <c r="AM284" s="21">
        <f t="shared" si="174"/>
        <v>8655.869999999999</v>
      </c>
      <c r="AN284" s="27" t="s">
        <v>81</v>
      </c>
      <c r="AO284" s="21">
        <v>1</v>
      </c>
      <c r="AP284" s="21">
        <f t="shared" si="172"/>
        <v>1</v>
      </c>
      <c r="AQ284" s="149">
        <f t="shared" si="154"/>
        <v>8655.869999999999</v>
      </c>
      <c r="AR284" s="21">
        <v>8655.869999999999</v>
      </c>
      <c r="AS284" s="610">
        <v>8183.0999999999985</v>
      </c>
      <c r="AT284" s="112">
        <v>8655.869999999999</v>
      </c>
      <c r="AU284" s="4"/>
      <c r="AV284" s="4"/>
      <c r="AW284" s="23" t="e">
        <f>VLOOKUP(K284,#REF!,8,FALSE)</f>
        <v>#REF!</v>
      </c>
      <c r="AX284" s="23" t="e">
        <f>VLOOKUP(K284,#REF!,8,FALSE)</f>
        <v>#REF!</v>
      </c>
      <c r="AY284" s="23" t="e">
        <f>VLOOKUP(K284,#REF!,8,FALSE)</f>
        <v>#REF!</v>
      </c>
      <c r="AZ284" s="4"/>
      <c r="BA284" s="272"/>
      <c r="BB284" s="313">
        <f t="shared" si="173"/>
        <v>0</v>
      </c>
      <c r="BC284" s="269">
        <f t="shared" si="171"/>
        <v>8655.869999999999</v>
      </c>
      <c r="BD284" t="str">
        <f t="shared" ref="BD284:BD295" si="175">BG284&amp;BH284&amp;BI284</f>
        <v/>
      </c>
      <c r="BP284" s="166">
        <f t="shared" si="169"/>
        <v>8655.869999999999</v>
      </c>
      <c r="BS284" s="165"/>
      <c r="BX284" s="495">
        <f t="shared" si="170"/>
        <v>8655.869999999999</v>
      </c>
      <c r="BZ284" s="636">
        <f t="shared" si="155"/>
        <v>0</v>
      </c>
      <c r="CA284" s="633">
        <f t="shared" si="156"/>
        <v>472.77000000000044</v>
      </c>
    </row>
    <row r="285" spans="1:79" x14ac:dyDescent="0.2">
      <c r="A285" s="4">
        <v>1</v>
      </c>
      <c r="B285" s="4">
        <v>1</v>
      </c>
      <c r="C285" s="5">
        <f t="shared" si="145"/>
        <v>2003</v>
      </c>
      <c r="D285" s="6">
        <v>2003</v>
      </c>
      <c r="E285" s="121">
        <v>43012</v>
      </c>
      <c r="F285" s="6" t="s">
        <v>1606</v>
      </c>
      <c r="G285" s="7" t="s">
        <v>75</v>
      </c>
      <c r="H285" s="7"/>
      <c r="I285" s="7" t="s">
        <v>32</v>
      </c>
      <c r="J285" s="7"/>
      <c r="K285" s="28">
        <v>405892</v>
      </c>
      <c r="L285" s="43" t="s">
        <v>615</v>
      </c>
      <c r="M285" s="10" t="s">
        <v>623</v>
      </c>
      <c r="N285" s="10" t="s">
        <v>624</v>
      </c>
      <c r="O285" s="25" t="s">
        <v>625</v>
      </c>
      <c r="P285" s="12">
        <v>41155</v>
      </c>
      <c r="Q285" s="13">
        <f t="shared" ca="1" si="161"/>
        <v>13.051334702258726</v>
      </c>
      <c r="R285" s="14">
        <v>5</v>
      </c>
      <c r="S285" s="15">
        <v>872</v>
      </c>
      <c r="T285" s="8">
        <v>872</v>
      </c>
      <c r="U285" s="16">
        <v>45037</v>
      </c>
      <c r="V285" s="17">
        <v>6</v>
      </c>
      <c r="W285" s="16">
        <v>45382</v>
      </c>
      <c r="X285" s="14">
        <v>192</v>
      </c>
      <c r="Y285" s="18">
        <f t="shared" si="157"/>
        <v>187</v>
      </c>
      <c r="Z285" s="18">
        <f t="shared" si="153"/>
        <v>0.97395833333333337</v>
      </c>
      <c r="AA285" s="18" t="s">
        <v>36</v>
      </c>
      <c r="AB285" s="26">
        <v>25</v>
      </c>
      <c r="AC285" s="26"/>
      <c r="AD285" s="26"/>
      <c r="AE285" s="147" t="str">
        <f t="shared" si="162"/>
        <v>1</v>
      </c>
      <c r="AF285" s="147" t="str">
        <f t="shared" si="163"/>
        <v>0</v>
      </c>
      <c r="AG285" s="147" t="str">
        <f t="shared" si="164"/>
        <v>0</v>
      </c>
      <c r="AH285" s="147" t="str">
        <f t="shared" si="165"/>
        <v>NO</v>
      </c>
      <c r="AI285" s="147" t="str">
        <f t="shared" si="166"/>
        <v>NO</v>
      </c>
      <c r="AJ285" s="147" t="str">
        <f t="shared" si="167"/>
        <v>NO</v>
      </c>
      <c r="AK285" s="147" t="str">
        <f t="shared" si="168"/>
        <v>NO</v>
      </c>
      <c r="AL285" s="21"/>
      <c r="AM285" s="21">
        <f t="shared" si="174"/>
        <v>5819.25</v>
      </c>
      <c r="AN285" s="27" t="s">
        <v>185</v>
      </c>
      <c r="AO285" s="21">
        <v>1</v>
      </c>
      <c r="AP285" s="21">
        <f t="shared" si="172"/>
        <v>0.97395833333333337</v>
      </c>
      <c r="AQ285" s="149">
        <f t="shared" si="154"/>
        <v>5667.70703125</v>
      </c>
      <c r="AR285" s="21">
        <v>5667.70703125</v>
      </c>
      <c r="AS285" s="610">
        <v>0</v>
      </c>
      <c r="AT285" s="112">
        <v>5667.70703125</v>
      </c>
      <c r="AU285" s="4"/>
      <c r="AV285" s="4"/>
      <c r="AW285" s="23" t="e">
        <f>VLOOKUP(K285,#REF!,8,FALSE)</f>
        <v>#REF!</v>
      </c>
      <c r="AX285" s="23" t="e">
        <f>VLOOKUP(K285,#REF!,8,FALSE)</f>
        <v>#REF!</v>
      </c>
      <c r="AY285" s="23" t="e">
        <f>VLOOKUP(K285,#REF!,8,FALSE)</f>
        <v>#REF!</v>
      </c>
      <c r="AZ285" s="4"/>
      <c r="BA285" s="272"/>
      <c r="BB285" s="313">
        <f t="shared" si="173"/>
        <v>0</v>
      </c>
      <c r="BC285" s="269">
        <f t="shared" si="171"/>
        <v>5667.70703125</v>
      </c>
      <c r="BD285" t="str">
        <f t="shared" si="175"/>
        <v/>
      </c>
      <c r="BP285" s="166">
        <f t="shared" si="169"/>
        <v>5667.70703125</v>
      </c>
      <c r="BS285" s="165"/>
      <c r="BX285" s="495">
        <f t="shared" si="170"/>
        <v>5667.70703125</v>
      </c>
      <c r="BZ285" s="636">
        <f t="shared" si="155"/>
        <v>0</v>
      </c>
      <c r="CA285" s="633">
        <f t="shared" si="156"/>
        <v>5667.70703125</v>
      </c>
    </row>
    <row r="286" spans="1:79" x14ac:dyDescent="0.2">
      <c r="A286" s="4">
        <v>1</v>
      </c>
      <c r="B286" s="4">
        <v>1</v>
      </c>
      <c r="C286" s="5">
        <f t="shared" si="145"/>
        <v>2003</v>
      </c>
      <c r="D286" s="6">
        <v>2003</v>
      </c>
      <c r="E286" s="121">
        <v>43012</v>
      </c>
      <c r="F286" s="6" t="s">
        <v>1606</v>
      </c>
      <c r="G286" s="7" t="s">
        <v>75</v>
      </c>
      <c r="H286" s="7"/>
      <c r="I286" s="7" t="s">
        <v>32</v>
      </c>
      <c r="J286" s="7"/>
      <c r="K286" s="28">
        <v>437267</v>
      </c>
      <c r="L286" s="43" t="s">
        <v>615</v>
      </c>
      <c r="M286" s="10" t="s">
        <v>626</v>
      </c>
      <c r="N286" s="10" t="s">
        <v>627</v>
      </c>
      <c r="O286" s="25" t="s">
        <v>628</v>
      </c>
      <c r="P286" s="12">
        <v>42810</v>
      </c>
      <c r="Q286" s="13">
        <f t="shared" ca="1" si="161"/>
        <v>8.5201916495551</v>
      </c>
      <c r="R286" s="14">
        <v>1</v>
      </c>
      <c r="S286" s="15">
        <v>872</v>
      </c>
      <c r="T286" s="8">
        <v>872</v>
      </c>
      <c r="U286" s="16">
        <v>45017</v>
      </c>
      <c r="V286" s="17">
        <v>1</v>
      </c>
      <c r="W286" s="16">
        <v>45382</v>
      </c>
      <c r="X286" s="14">
        <v>192</v>
      </c>
      <c r="Y286" s="18">
        <f t="shared" si="157"/>
        <v>192</v>
      </c>
      <c r="Z286" s="18">
        <f t="shared" si="153"/>
        <v>1</v>
      </c>
      <c r="AA286" s="18" t="s">
        <v>36</v>
      </c>
      <c r="AB286" s="26">
        <v>30</v>
      </c>
      <c r="AC286" s="26"/>
      <c r="AD286" s="26"/>
      <c r="AE286" s="147" t="str">
        <f t="shared" si="162"/>
        <v>0</v>
      </c>
      <c r="AF286" s="147" t="str">
        <f t="shared" si="163"/>
        <v>1</v>
      </c>
      <c r="AG286" s="147" t="str">
        <f t="shared" si="164"/>
        <v>0</v>
      </c>
      <c r="AH286" s="147" t="str">
        <f t="shared" si="165"/>
        <v>NO</v>
      </c>
      <c r="AI286" s="147" t="str">
        <f t="shared" si="166"/>
        <v>NO</v>
      </c>
      <c r="AJ286" s="147" t="str">
        <f t="shared" si="167"/>
        <v>NO</v>
      </c>
      <c r="AK286" s="147" t="str">
        <f t="shared" si="168"/>
        <v>NO</v>
      </c>
      <c r="AL286" s="21"/>
      <c r="AM286" s="21">
        <f t="shared" si="174"/>
        <v>8183.0999999999985</v>
      </c>
      <c r="AN286" s="27" t="s">
        <v>43</v>
      </c>
      <c r="AO286" s="21">
        <v>1</v>
      </c>
      <c r="AP286" s="21">
        <f t="shared" si="172"/>
        <v>1</v>
      </c>
      <c r="AQ286" s="149">
        <f t="shared" si="154"/>
        <v>8183.0999999999985</v>
      </c>
      <c r="AR286" s="21">
        <v>8183.0999999999985</v>
      </c>
      <c r="AS286" s="610">
        <v>8183.0999999999985</v>
      </c>
      <c r="AT286" s="112">
        <v>8183.0999999999985</v>
      </c>
      <c r="AU286" s="4"/>
      <c r="AV286" s="4"/>
      <c r="AW286" s="23" t="e">
        <f>VLOOKUP(K286,#REF!,8,FALSE)</f>
        <v>#REF!</v>
      </c>
      <c r="AX286" s="23" t="e">
        <f>VLOOKUP(K286,#REF!,8,FALSE)</f>
        <v>#REF!</v>
      </c>
      <c r="AY286" s="23" t="e">
        <f>VLOOKUP(K286,#REF!,8,FALSE)</f>
        <v>#REF!</v>
      </c>
      <c r="AZ286" s="4"/>
      <c r="BA286" s="272"/>
      <c r="BB286" s="313">
        <f t="shared" si="173"/>
        <v>0</v>
      </c>
      <c r="BC286" s="269">
        <f t="shared" si="171"/>
        <v>8183.0999999999985</v>
      </c>
      <c r="BD286" t="str">
        <f t="shared" si="175"/>
        <v/>
      </c>
      <c r="BP286" s="166">
        <f t="shared" si="169"/>
        <v>8183.0999999999985</v>
      </c>
      <c r="BS286" s="165"/>
      <c r="BX286" s="495">
        <f t="shared" si="170"/>
        <v>8183.0999999999985</v>
      </c>
      <c r="BZ286" s="636">
        <f t="shared" si="155"/>
        <v>0</v>
      </c>
      <c r="CA286" s="633">
        <f t="shared" si="156"/>
        <v>0</v>
      </c>
    </row>
    <row r="287" spans="1:79" x14ac:dyDescent="0.2">
      <c r="A287" s="4">
        <v>1</v>
      </c>
      <c r="B287" s="4">
        <v>1</v>
      </c>
      <c r="C287" s="5">
        <f t="shared" ref="C287:C323" si="176">D287*1</f>
        <v>2003</v>
      </c>
      <c r="D287" s="6">
        <v>2003</v>
      </c>
      <c r="E287" s="121">
        <v>43012</v>
      </c>
      <c r="F287" s="6" t="s">
        <v>1606</v>
      </c>
      <c r="G287" s="7" t="s">
        <v>75</v>
      </c>
      <c r="H287" s="7"/>
      <c r="I287" s="7" t="s">
        <v>32</v>
      </c>
      <c r="J287" s="7"/>
      <c r="K287" s="28">
        <v>409818</v>
      </c>
      <c r="L287" s="43" t="s">
        <v>615</v>
      </c>
      <c r="M287" s="10" t="s">
        <v>427</v>
      </c>
      <c r="N287" s="10" t="s">
        <v>629</v>
      </c>
      <c r="O287" s="25" t="s">
        <v>630</v>
      </c>
      <c r="P287" s="12">
        <v>41695</v>
      </c>
      <c r="Q287" s="13">
        <f t="shared" ca="1" si="161"/>
        <v>11.572895277207392</v>
      </c>
      <c r="R287" s="14">
        <v>4</v>
      </c>
      <c r="S287" s="15">
        <v>872</v>
      </c>
      <c r="T287" s="8">
        <v>872</v>
      </c>
      <c r="U287" s="16">
        <v>45051</v>
      </c>
      <c r="V287" s="17">
        <v>14</v>
      </c>
      <c r="W287" s="16">
        <v>45382</v>
      </c>
      <c r="X287" s="14">
        <v>192</v>
      </c>
      <c r="Y287" s="18">
        <f t="shared" si="157"/>
        <v>179</v>
      </c>
      <c r="Z287" s="18">
        <f t="shared" si="153"/>
        <v>0.93229166666666663</v>
      </c>
      <c r="AA287" s="18" t="s">
        <v>36</v>
      </c>
      <c r="AB287" s="26">
        <v>27</v>
      </c>
      <c r="AC287" s="26"/>
      <c r="AD287" s="26"/>
      <c r="AE287" s="147" t="str">
        <f t="shared" si="162"/>
        <v>0</v>
      </c>
      <c r="AF287" s="147" t="str">
        <f t="shared" si="163"/>
        <v>1</v>
      </c>
      <c r="AG287" s="147" t="str">
        <f t="shared" si="164"/>
        <v>0</v>
      </c>
      <c r="AH287" s="147" t="str">
        <f t="shared" si="165"/>
        <v>NO</v>
      </c>
      <c r="AI287" s="147" t="str">
        <f t="shared" si="166"/>
        <v>NO</v>
      </c>
      <c r="AJ287" s="147" t="str">
        <f t="shared" si="167"/>
        <v>NO</v>
      </c>
      <c r="AK287" s="147" t="str">
        <f t="shared" si="168"/>
        <v>NO</v>
      </c>
      <c r="AL287" s="21"/>
      <c r="AM287" s="21">
        <f t="shared" si="174"/>
        <v>6764.7899999999991</v>
      </c>
      <c r="AN287" s="27" t="s">
        <v>37</v>
      </c>
      <c r="AO287" s="21">
        <v>1</v>
      </c>
      <c r="AP287" s="21">
        <f t="shared" si="172"/>
        <v>0.93229166666666663</v>
      </c>
      <c r="AQ287" s="149">
        <f t="shared" si="154"/>
        <v>6306.7573437499987</v>
      </c>
      <c r="AR287" s="21">
        <v>6306.7573437499987</v>
      </c>
      <c r="AS287" s="610">
        <v>0</v>
      </c>
      <c r="AT287" s="112">
        <v>6306.7573437499987</v>
      </c>
      <c r="AU287" s="4"/>
      <c r="AV287" s="4"/>
      <c r="AW287" s="23" t="e">
        <f>VLOOKUP(K287,#REF!,8,FALSE)</f>
        <v>#REF!</v>
      </c>
      <c r="AX287" s="23" t="e">
        <f>VLOOKUP(K287,#REF!,8,FALSE)</f>
        <v>#REF!</v>
      </c>
      <c r="AY287" s="23" t="e">
        <f>VLOOKUP(K287,#REF!,8,FALSE)</f>
        <v>#REF!</v>
      </c>
      <c r="AZ287" s="4"/>
      <c r="BA287" s="272"/>
      <c r="BB287" s="313">
        <f t="shared" si="173"/>
        <v>0</v>
      </c>
      <c r="BC287" s="269">
        <f t="shared" si="171"/>
        <v>6306.7573437499987</v>
      </c>
      <c r="BD287" t="str">
        <f t="shared" si="175"/>
        <v/>
      </c>
      <c r="BP287" s="166">
        <f t="shared" si="169"/>
        <v>6306.7573437499987</v>
      </c>
      <c r="BS287" s="165"/>
      <c r="BX287" s="495">
        <f t="shared" si="170"/>
        <v>6306.7573437499987</v>
      </c>
      <c r="BZ287" s="636">
        <f t="shared" si="155"/>
        <v>0</v>
      </c>
      <c r="CA287" s="633">
        <f t="shared" si="156"/>
        <v>6306.7573437499987</v>
      </c>
    </row>
    <row r="288" spans="1:79" x14ac:dyDescent="0.2">
      <c r="A288" s="4">
        <v>1</v>
      </c>
      <c r="B288" s="4">
        <v>1</v>
      </c>
      <c r="C288" s="5">
        <f t="shared" si="176"/>
        <v>2003</v>
      </c>
      <c r="D288" s="6">
        <v>2003</v>
      </c>
      <c r="E288" s="121">
        <v>43012</v>
      </c>
      <c r="F288" s="6" t="s">
        <v>1606</v>
      </c>
      <c r="G288" s="7" t="s">
        <v>75</v>
      </c>
      <c r="H288" s="7"/>
      <c r="I288" s="7" t="s">
        <v>32</v>
      </c>
      <c r="J288" s="7"/>
      <c r="K288" s="28">
        <v>431851</v>
      </c>
      <c r="L288" s="43" t="s">
        <v>615</v>
      </c>
      <c r="M288" s="10" t="s">
        <v>631</v>
      </c>
      <c r="N288" s="10" t="s">
        <v>632</v>
      </c>
      <c r="O288" s="25" t="s">
        <v>633</v>
      </c>
      <c r="P288" s="12">
        <v>42957</v>
      </c>
      <c r="Q288" s="13">
        <f t="shared" ca="1" si="161"/>
        <v>8.1177275838466798</v>
      </c>
      <c r="R288" s="14">
        <v>1</v>
      </c>
      <c r="S288" s="15">
        <v>872</v>
      </c>
      <c r="T288" s="8">
        <v>872</v>
      </c>
      <c r="U288" s="16">
        <v>45017</v>
      </c>
      <c r="V288" s="17">
        <v>1</v>
      </c>
      <c r="W288" s="16">
        <v>45382</v>
      </c>
      <c r="X288" s="14">
        <v>192</v>
      </c>
      <c r="Y288" s="18">
        <f t="shared" si="157"/>
        <v>192</v>
      </c>
      <c r="Z288" s="18">
        <f t="shared" si="153"/>
        <v>1</v>
      </c>
      <c r="AA288" s="18" t="s">
        <v>36</v>
      </c>
      <c r="AB288" s="26">
        <v>25</v>
      </c>
      <c r="AC288" s="26"/>
      <c r="AD288" s="26"/>
      <c r="AE288" s="147" t="str">
        <f t="shared" si="162"/>
        <v>1</v>
      </c>
      <c r="AF288" s="147" t="str">
        <f t="shared" si="163"/>
        <v>0</v>
      </c>
      <c r="AG288" s="147" t="str">
        <f t="shared" si="164"/>
        <v>0</v>
      </c>
      <c r="AH288" s="147" t="str">
        <f t="shared" si="165"/>
        <v>NO</v>
      </c>
      <c r="AI288" s="147" t="str">
        <f t="shared" si="166"/>
        <v>NO</v>
      </c>
      <c r="AJ288" s="147" t="str">
        <f t="shared" si="167"/>
        <v>NO</v>
      </c>
      <c r="AK288" s="147" t="str">
        <f t="shared" si="168"/>
        <v>NO</v>
      </c>
      <c r="AL288" s="21"/>
      <c r="AM288" s="21">
        <f t="shared" si="174"/>
        <v>5819.25</v>
      </c>
      <c r="AN288" s="27" t="s">
        <v>56</v>
      </c>
      <c r="AO288" s="21">
        <v>1</v>
      </c>
      <c r="AP288" s="21">
        <f t="shared" si="172"/>
        <v>1</v>
      </c>
      <c r="AQ288" s="149">
        <f t="shared" si="154"/>
        <v>5819.25</v>
      </c>
      <c r="AR288" s="21">
        <v>5819.25</v>
      </c>
      <c r="AS288" s="610">
        <v>5819.25</v>
      </c>
      <c r="AT288" s="112">
        <v>5819.25</v>
      </c>
      <c r="AU288" s="4"/>
      <c r="AV288" s="4"/>
      <c r="AW288" s="23" t="e">
        <f>VLOOKUP(K288,#REF!,8,FALSE)</f>
        <v>#REF!</v>
      </c>
      <c r="AX288" s="23" t="e">
        <f>VLOOKUP(K288,#REF!,8,FALSE)</f>
        <v>#REF!</v>
      </c>
      <c r="AY288" s="23" t="e">
        <f>VLOOKUP(K288,#REF!,8,FALSE)</f>
        <v>#REF!</v>
      </c>
      <c r="AZ288" s="4"/>
      <c r="BA288" s="272"/>
      <c r="BB288" s="313">
        <f t="shared" si="173"/>
        <v>0</v>
      </c>
      <c r="BC288" s="269">
        <f t="shared" si="171"/>
        <v>5819.25</v>
      </c>
      <c r="BD288" t="str">
        <f t="shared" si="175"/>
        <v/>
      </c>
      <c r="BP288" s="166">
        <f t="shared" si="169"/>
        <v>5819.25</v>
      </c>
      <c r="BS288" s="165"/>
      <c r="BX288" s="495">
        <f t="shared" si="170"/>
        <v>5819.25</v>
      </c>
      <c r="BZ288" s="636">
        <f t="shared" si="155"/>
        <v>0</v>
      </c>
      <c r="CA288" s="633">
        <f t="shared" si="156"/>
        <v>0</v>
      </c>
    </row>
    <row r="289" spans="1:79" x14ac:dyDescent="0.2">
      <c r="A289" s="4">
        <v>1</v>
      </c>
      <c r="B289" s="4">
        <v>1</v>
      </c>
      <c r="C289" s="5">
        <f t="shared" si="176"/>
        <v>2003</v>
      </c>
      <c r="D289" s="6">
        <v>2003</v>
      </c>
      <c r="E289" s="121">
        <v>43012</v>
      </c>
      <c r="F289" s="6" t="s">
        <v>1606</v>
      </c>
      <c r="G289" s="7" t="s">
        <v>75</v>
      </c>
      <c r="H289" s="7"/>
      <c r="I289" s="7" t="s">
        <v>32</v>
      </c>
      <c r="J289" s="7"/>
      <c r="K289" s="28">
        <v>407314</v>
      </c>
      <c r="L289" s="43" t="s">
        <v>615</v>
      </c>
      <c r="M289" s="10" t="s">
        <v>218</v>
      </c>
      <c r="N289" s="10" t="s">
        <v>634</v>
      </c>
      <c r="O289" s="25" t="s">
        <v>635</v>
      </c>
      <c r="P289" s="12">
        <v>41431</v>
      </c>
      <c r="Q289" s="13">
        <f t="shared" ca="1" si="161"/>
        <v>12.295687885010267</v>
      </c>
      <c r="R289" s="14">
        <v>5</v>
      </c>
      <c r="S289" s="15">
        <v>872</v>
      </c>
      <c r="T289" s="8">
        <v>872</v>
      </c>
      <c r="U289" s="16">
        <v>45017</v>
      </c>
      <c r="V289" s="17">
        <v>1</v>
      </c>
      <c r="W289" s="16">
        <v>45382</v>
      </c>
      <c r="X289" s="14">
        <v>192</v>
      </c>
      <c r="Y289" s="18">
        <f t="shared" si="157"/>
        <v>192</v>
      </c>
      <c r="Z289" s="18">
        <f t="shared" si="153"/>
        <v>1</v>
      </c>
      <c r="AA289" s="18" t="s">
        <v>36</v>
      </c>
      <c r="AB289" s="26">
        <v>8990.2999999999993</v>
      </c>
      <c r="AC289" s="26"/>
      <c r="AD289" s="26"/>
      <c r="AE289" s="147" t="str">
        <f t="shared" si="162"/>
        <v>0</v>
      </c>
      <c r="AF289" s="147" t="str">
        <f t="shared" si="163"/>
        <v>0</v>
      </c>
      <c r="AG289" s="147" t="str">
        <f t="shared" si="164"/>
        <v>1</v>
      </c>
      <c r="AH289" s="147" t="str">
        <f t="shared" si="165"/>
        <v>NO</v>
      </c>
      <c r="AI289" s="147" t="str">
        <f t="shared" si="166"/>
        <v>NO</v>
      </c>
      <c r="AJ289" s="147" t="str">
        <f t="shared" si="167"/>
        <v>NO</v>
      </c>
      <c r="AK289" s="147" t="str">
        <f t="shared" si="168"/>
        <v>NO</v>
      </c>
      <c r="AL289" s="21"/>
      <c r="AM289" s="21">
        <v>8990.2999999999993</v>
      </c>
      <c r="AN289" s="27" t="s">
        <v>56</v>
      </c>
      <c r="AO289" s="21">
        <v>1</v>
      </c>
      <c r="AP289" s="21">
        <f t="shared" si="172"/>
        <v>1</v>
      </c>
      <c r="AQ289" s="149">
        <f t="shared" si="154"/>
        <v>8990.2999999999993</v>
      </c>
      <c r="AR289" s="21">
        <v>8990.2999999999993</v>
      </c>
      <c r="AS289" s="610">
        <v>0</v>
      </c>
      <c r="AT289" s="112">
        <v>8990.2999999999993</v>
      </c>
      <c r="AU289" s="4"/>
      <c r="AV289" s="4"/>
      <c r="AW289" s="23" t="e">
        <f>VLOOKUP(K289,#REF!,8,FALSE)</f>
        <v>#REF!</v>
      </c>
      <c r="AX289" s="23" t="e">
        <f>VLOOKUP(K289,#REF!,8,FALSE)</f>
        <v>#REF!</v>
      </c>
      <c r="AY289" s="23" t="e">
        <f>VLOOKUP(K289,#REF!,8,FALSE)</f>
        <v>#REF!</v>
      </c>
      <c r="AZ289" s="4"/>
      <c r="BA289" s="272"/>
      <c r="BB289" s="313">
        <f t="shared" si="173"/>
        <v>0</v>
      </c>
      <c r="BC289" s="269">
        <f t="shared" si="171"/>
        <v>8990.2999999999993</v>
      </c>
      <c r="BD289" t="str">
        <f t="shared" si="175"/>
        <v/>
      </c>
      <c r="BP289" s="166">
        <f t="shared" si="169"/>
        <v>8990.2999999999993</v>
      </c>
      <c r="BS289" s="165"/>
      <c r="BX289" s="495">
        <f t="shared" si="170"/>
        <v>8990.2999999999993</v>
      </c>
      <c r="BZ289" s="636">
        <f t="shared" si="155"/>
        <v>0</v>
      </c>
      <c r="CA289" s="633">
        <f t="shared" si="156"/>
        <v>8990.2999999999993</v>
      </c>
    </row>
    <row r="290" spans="1:79" x14ac:dyDescent="0.2">
      <c r="A290" s="4">
        <v>0</v>
      </c>
      <c r="B290" s="4">
        <v>1</v>
      </c>
      <c r="C290" s="5">
        <f t="shared" si="176"/>
        <v>2003</v>
      </c>
      <c r="D290" s="6">
        <v>2003</v>
      </c>
      <c r="E290" s="121">
        <v>43012</v>
      </c>
      <c r="F290" s="6" t="s">
        <v>1606</v>
      </c>
      <c r="G290" s="7" t="s">
        <v>75</v>
      </c>
      <c r="H290" s="7"/>
      <c r="I290" s="7" t="s">
        <v>32</v>
      </c>
      <c r="J290" s="7" t="s">
        <v>142</v>
      </c>
      <c r="K290" s="28">
        <v>407314</v>
      </c>
      <c r="L290" s="43" t="s">
        <v>615</v>
      </c>
      <c r="M290" s="10" t="s">
        <v>218</v>
      </c>
      <c r="N290" s="10" t="s">
        <v>634</v>
      </c>
      <c r="O290" s="25" t="s">
        <v>635</v>
      </c>
      <c r="P290" s="12">
        <v>41431</v>
      </c>
      <c r="Q290" s="13">
        <f t="shared" ca="1" si="161"/>
        <v>12.295687885010267</v>
      </c>
      <c r="R290" s="14">
        <v>5</v>
      </c>
      <c r="S290" s="15">
        <v>872</v>
      </c>
      <c r="T290" s="8">
        <v>872</v>
      </c>
      <c r="U290" s="16">
        <v>45017</v>
      </c>
      <c r="V290" s="17">
        <v>1</v>
      </c>
      <c r="W290" s="16">
        <v>45017</v>
      </c>
      <c r="X290" s="14">
        <v>0</v>
      </c>
      <c r="Y290" s="18">
        <f t="shared" si="157"/>
        <v>0</v>
      </c>
      <c r="Z290" s="18">
        <v>1</v>
      </c>
      <c r="AA290" s="18" t="s">
        <v>36</v>
      </c>
      <c r="AB290" s="26">
        <v>750</v>
      </c>
      <c r="AC290" s="26"/>
      <c r="AD290" s="26"/>
      <c r="AE290" s="147" t="str">
        <f t="shared" si="162"/>
        <v>0</v>
      </c>
      <c r="AF290" s="147" t="str">
        <f t="shared" si="163"/>
        <v>0</v>
      </c>
      <c r="AG290" s="147" t="str">
        <f t="shared" si="164"/>
        <v>1</v>
      </c>
      <c r="AH290" s="147" t="str">
        <f t="shared" si="165"/>
        <v>NO</v>
      </c>
      <c r="AI290" s="147" t="str">
        <f t="shared" si="166"/>
        <v>NO</v>
      </c>
      <c r="AJ290" s="147" t="str">
        <f t="shared" si="167"/>
        <v>NO</v>
      </c>
      <c r="AK290" s="147" t="str">
        <f t="shared" si="168"/>
        <v>NO</v>
      </c>
      <c r="AL290" s="21"/>
      <c r="AM290" s="21">
        <v>750</v>
      </c>
      <c r="AN290" s="27" t="s">
        <v>56</v>
      </c>
      <c r="AO290" s="21">
        <v>1</v>
      </c>
      <c r="AP290" s="21">
        <f t="shared" si="172"/>
        <v>1</v>
      </c>
      <c r="AQ290" s="149">
        <f t="shared" si="154"/>
        <v>750</v>
      </c>
      <c r="AR290" s="21">
        <v>750</v>
      </c>
      <c r="AS290" s="610">
        <v>0</v>
      </c>
      <c r="AT290" s="112">
        <v>750</v>
      </c>
      <c r="AU290" s="4"/>
      <c r="AV290" s="4"/>
      <c r="AW290" s="23" t="e">
        <f>VLOOKUP(K290,#REF!,8,FALSE)</f>
        <v>#REF!</v>
      </c>
      <c r="AX290" s="23" t="e">
        <f>VLOOKUP(K290,#REF!,8,FALSE)</f>
        <v>#REF!</v>
      </c>
      <c r="AY290" s="23" t="e">
        <f>VLOOKUP(K290,#REF!,8,FALSE)</f>
        <v>#REF!</v>
      </c>
      <c r="AZ290" s="4"/>
      <c r="BA290" s="272"/>
      <c r="BB290" s="313">
        <f t="shared" si="173"/>
        <v>0</v>
      </c>
      <c r="BC290" s="269">
        <f t="shared" si="171"/>
        <v>750</v>
      </c>
      <c r="BD290" t="str">
        <f t="shared" si="175"/>
        <v/>
      </c>
      <c r="BP290" s="166">
        <f t="shared" si="169"/>
        <v>750</v>
      </c>
      <c r="BS290" s="165"/>
      <c r="BX290" s="495">
        <f t="shared" si="170"/>
        <v>750</v>
      </c>
      <c r="BZ290" s="636">
        <f t="shared" si="155"/>
        <v>0</v>
      </c>
      <c r="CA290" s="633">
        <f t="shared" si="156"/>
        <v>750</v>
      </c>
    </row>
    <row r="291" spans="1:79" x14ac:dyDescent="0.2">
      <c r="A291" s="4">
        <v>1</v>
      </c>
      <c r="B291" s="4">
        <v>1</v>
      </c>
      <c r="C291" s="5">
        <f t="shared" si="176"/>
        <v>2003</v>
      </c>
      <c r="D291" s="6">
        <v>2003</v>
      </c>
      <c r="E291" s="121">
        <v>43012</v>
      </c>
      <c r="F291" s="6" t="s">
        <v>1606</v>
      </c>
      <c r="G291" s="7" t="s">
        <v>75</v>
      </c>
      <c r="H291" s="7"/>
      <c r="I291" s="7" t="s">
        <v>32</v>
      </c>
      <c r="J291" s="7"/>
      <c r="K291" s="29">
        <v>421353</v>
      </c>
      <c r="L291" s="43" t="s">
        <v>615</v>
      </c>
      <c r="M291" s="10" t="s">
        <v>95</v>
      </c>
      <c r="N291" s="10" t="s">
        <v>636</v>
      </c>
      <c r="O291" s="11" t="s">
        <v>637</v>
      </c>
      <c r="P291" s="12">
        <v>42205</v>
      </c>
      <c r="Q291" s="13">
        <f t="shared" ca="1" si="161"/>
        <v>10.17659137577002</v>
      </c>
      <c r="R291" s="14">
        <v>2</v>
      </c>
      <c r="S291" s="15">
        <v>872</v>
      </c>
      <c r="T291" s="8">
        <v>872</v>
      </c>
      <c r="U291" s="16">
        <v>45017</v>
      </c>
      <c r="V291" s="17">
        <v>1</v>
      </c>
      <c r="W291" s="16">
        <v>45382</v>
      </c>
      <c r="X291" s="14">
        <v>192</v>
      </c>
      <c r="Y291" s="18">
        <f t="shared" si="157"/>
        <v>192</v>
      </c>
      <c r="Z291" s="18">
        <f t="shared" ref="Z291:Z313" si="177">Y291/192</f>
        <v>1</v>
      </c>
      <c r="AA291" s="18" t="s">
        <v>36</v>
      </c>
      <c r="AB291" s="26">
        <v>25</v>
      </c>
      <c r="AC291" s="26"/>
      <c r="AD291" s="26"/>
      <c r="AE291" s="147" t="str">
        <f t="shared" si="162"/>
        <v>1</v>
      </c>
      <c r="AF291" s="147" t="str">
        <f t="shared" si="163"/>
        <v>0</v>
      </c>
      <c r="AG291" s="147" t="str">
        <f t="shared" si="164"/>
        <v>0</v>
      </c>
      <c r="AH291" s="147" t="str">
        <f t="shared" si="165"/>
        <v>NO</v>
      </c>
      <c r="AI291" s="147" t="str">
        <f t="shared" si="166"/>
        <v>NO</v>
      </c>
      <c r="AJ291" s="147" t="str">
        <f t="shared" si="167"/>
        <v>NO</v>
      </c>
      <c r="AK291" s="147" t="str">
        <f t="shared" si="168"/>
        <v>NO</v>
      </c>
      <c r="AL291" s="21"/>
      <c r="AM291" s="21">
        <f>IF(H291="Y",AL291,((AB291*$O$902)-6000))</f>
        <v>5819.25</v>
      </c>
      <c r="AN291" s="27" t="s">
        <v>56</v>
      </c>
      <c r="AO291" s="21">
        <v>1</v>
      </c>
      <c r="AP291" s="21">
        <f t="shared" si="172"/>
        <v>1</v>
      </c>
      <c r="AQ291" s="149">
        <f t="shared" si="154"/>
        <v>5819.25</v>
      </c>
      <c r="AR291" s="21">
        <v>5819.25</v>
      </c>
      <c r="AS291" s="610">
        <v>5819.25</v>
      </c>
      <c r="AT291" s="112">
        <v>5819.25</v>
      </c>
      <c r="AU291" s="4"/>
      <c r="AV291" s="4"/>
      <c r="AW291" s="23" t="e">
        <f>VLOOKUP(K291,#REF!,8,FALSE)</f>
        <v>#REF!</v>
      </c>
      <c r="AX291" s="23" t="e">
        <f>VLOOKUP(K291,#REF!,8,FALSE)</f>
        <v>#REF!</v>
      </c>
      <c r="AY291" s="23" t="e">
        <f>VLOOKUP(K291,#REF!,8,FALSE)</f>
        <v>#REF!</v>
      </c>
      <c r="AZ291" s="4"/>
      <c r="BA291" s="272"/>
      <c r="BB291" s="313">
        <f t="shared" si="173"/>
        <v>0</v>
      </c>
      <c r="BC291" s="269">
        <f t="shared" si="171"/>
        <v>5819.25</v>
      </c>
      <c r="BD291" t="str">
        <f t="shared" si="175"/>
        <v/>
      </c>
      <c r="BP291" s="166">
        <f t="shared" si="169"/>
        <v>5819.25</v>
      </c>
      <c r="BS291" s="165"/>
      <c r="BX291" s="495">
        <f t="shared" si="170"/>
        <v>5819.25</v>
      </c>
      <c r="BZ291" s="636">
        <f t="shared" si="155"/>
        <v>0</v>
      </c>
      <c r="CA291" s="633">
        <f t="shared" si="156"/>
        <v>0</v>
      </c>
    </row>
    <row r="292" spans="1:79" x14ac:dyDescent="0.2">
      <c r="A292" s="4">
        <v>1</v>
      </c>
      <c r="B292" s="4">
        <v>1</v>
      </c>
      <c r="C292" s="5">
        <f t="shared" si="176"/>
        <v>2003</v>
      </c>
      <c r="D292" s="6">
        <v>2003</v>
      </c>
      <c r="E292" s="121">
        <v>43012</v>
      </c>
      <c r="F292" s="6" t="s">
        <v>1606</v>
      </c>
      <c r="G292" s="7" t="s">
        <v>75</v>
      </c>
      <c r="H292" s="7"/>
      <c r="I292" s="7" t="s">
        <v>32</v>
      </c>
      <c r="J292" s="7"/>
      <c r="K292" s="28">
        <v>436127</v>
      </c>
      <c r="L292" s="43" t="s">
        <v>615</v>
      </c>
      <c r="M292" s="10" t="s">
        <v>638</v>
      </c>
      <c r="N292" s="10" t="s">
        <v>639</v>
      </c>
      <c r="O292" s="25" t="s">
        <v>640</v>
      </c>
      <c r="P292" s="12">
        <v>43264</v>
      </c>
      <c r="Q292" s="13">
        <f t="shared" ca="1" si="161"/>
        <v>7.2772073921971252</v>
      </c>
      <c r="R292" s="14">
        <v>0</v>
      </c>
      <c r="S292" s="15">
        <v>872</v>
      </c>
      <c r="T292" s="8">
        <v>872</v>
      </c>
      <c r="U292" s="16">
        <v>45017</v>
      </c>
      <c r="V292" s="17">
        <v>1</v>
      </c>
      <c r="W292" s="16">
        <v>45382</v>
      </c>
      <c r="X292" s="14">
        <v>192</v>
      </c>
      <c r="Y292" s="18">
        <f t="shared" si="157"/>
        <v>192</v>
      </c>
      <c r="Z292" s="18">
        <f t="shared" si="177"/>
        <v>1</v>
      </c>
      <c r="AA292" s="18" t="s">
        <v>36</v>
      </c>
      <c r="AB292" s="26">
        <v>30</v>
      </c>
      <c r="AC292" s="26"/>
      <c r="AD292" s="26"/>
      <c r="AE292" s="147" t="str">
        <f t="shared" si="162"/>
        <v>0</v>
      </c>
      <c r="AF292" s="147" t="str">
        <f t="shared" si="163"/>
        <v>1</v>
      </c>
      <c r="AG292" s="147" t="str">
        <f t="shared" si="164"/>
        <v>0</v>
      </c>
      <c r="AH292" s="147" t="str">
        <f t="shared" si="165"/>
        <v>NO</v>
      </c>
      <c r="AI292" s="147" t="str">
        <f t="shared" si="166"/>
        <v>NO</v>
      </c>
      <c r="AJ292" s="147" t="str">
        <f t="shared" si="167"/>
        <v>NO</v>
      </c>
      <c r="AK292" s="147" t="str">
        <f t="shared" si="168"/>
        <v>NO</v>
      </c>
      <c r="AL292" s="21"/>
      <c r="AM292" s="21">
        <f>IF(H292="Y",AL292,((AB292*$O$902)-6000))</f>
        <v>8183.0999999999985</v>
      </c>
      <c r="AN292" s="27"/>
      <c r="AO292" s="21">
        <v>1</v>
      </c>
      <c r="AP292" s="21">
        <f t="shared" si="172"/>
        <v>1</v>
      </c>
      <c r="AQ292" s="149">
        <f t="shared" si="154"/>
        <v>8183.0999999999985</v>
      </c>
      <c r="AR292" s="21">
        <v>8183.0999999999985</v>
      </c>
      <c r="AS292" s="610">
        <v>8183.0999999999985</v>
      </c>
      <c r="AT292" s="112">
        <v>8183.0999999999985</v>
      </c>
      <c r="AU292" s="4"/>
      <c r="AV292" s="4"/>
      <c r="AW292" s="23" t="e">
        <f>VLOOKUP(K292,#REF!,8,FALSE)</f>
        <v>#REF!</v>
      </c>
      <c r="AX292" s="23" t="e">
        <f>VLOOKUP(K292,#REF!,8,FALSE)</f>
        <v>#REF!</v>
      </c>
      <c r="AY292" s="23" t="e">
        <f>VLOOKUP(K292,#REF!,8,FALSE)</f>
        <v>#REF!</v>
      </c>
      <c r="AZ292" s="4"/>
      <c r="BA292" s="272"/>
      <c r="BB292" s="313">
        <f t="shared" si="173"/>
        <v>0</v>
      </c>
      <c r="BC292" s="269">
        <f t="shared" si="171"/>
        <v>8183.0999999999985</v>
      </c>
      <c r="BD292" t="str">
        <f t="shared" si="175"/>
        <v/>
      </c>
      <c r="BP292" s="166">
        <f t="shared" si="169"/>
        <v>8183.0999999999985</v>
      </c>
      <c r="BS292" s="165"/>
      <c r="BX292" s="495">
        <f t="shared" si="170"/>
        <v>8183.0999999999985</v>
      </c>
      <c r="BZ292" s="636">
        <f t="shared" si="155"/>
        <v>0</v>
      </c>
      <c r="CA292" s="633">
        <f t="shared" si="156"/>
        <v>0</v>
      </c>
    </row>
    <row r="293" spans="1:79" x14ac:dyDescent="0.2">
      <c r="A293" s="4">
        <v>1</v>
      </c>
      <c r="B293" s="4">
        <v>1</v>
      </c>
      <c r="C293" s="5">
        <f t="shared" si="176"/>
        <v>2003</v>
      </c>
      <c r="D293" s="6">
        <v>2003</v>
      </c>
      <c r="E293" s="121">
        <v>43012</v>
      </c>
      <c r="F293" s="6" t="s">
        <v>1606</v>
      </c>
      <c r="G293" s="7" t="s">
        <v>75</v>
      </c>
      <c r="H293" s="7"/>
      <c r="I293" s="7" t="s">
        <v>32</v>
      </c>
      <c r="J293" s="7"/>
      <c r="K293" s="29">
        <v>424545</v>
      </c>
      <c r="L293" s="10" t="s">
        <v>615</v>
      </c>
      <c r="M293" s="10" t="s">
        <v>641</v>
      </c>
      <c r="N293" s="10" t="s">
        <v>642</v>
      </c>
      <c r="O293" s="11" t="s">
        <v>643</v>
      </c>
      <c r="P293" s="12">
        <v>42271</v>
      </c>
      <c r="Q293" s="13">
        <f t="shared" ca="1" si="161"/>
        <v>9.9958932238193015</v>
      </c>
      <c r="R293" s="14">
        <v>2</v>
      </c>
      <c r="S293" s="15">
        <v>872</v>
      </c>
      <c r="T293" s="8">
        <v>872</v>
      </c>
      <c r="U293" s="16">
        <v>45017</v>
      </c>
      <c r="V293" s="17">
        <v>1</v>
      </c>
      <c r="W293" s="16">
        <v>45382</v>
      </c>
      <c r="X293" s="14">
        <v>192</v>
      </c>
      <c r="Y293" s="18">
        <f t="shared" si="157"/>
        <v>192</v>
      </c>
      <c r="Z293" s="18">
        <f t="shared" si="177"/>
        <v>1</v>
      </c>
      <c r="AA293" s="18" t="s">
        <v>36</v>
      </c>
      <c r="AB293" s="26">
        <v>25</v>
      </c>
      <c r="AC293" s="26"/>
      <c r="AD293" s="26"/>
      <c r="AE293" s="147" t="str">
        <f t="shared" si="162"/>
        <v>1</v>
      </c>
      <c r="AF293" s="147" t="str">
        <f t="shared" si="163"/>
        <v>0</v>
      </c>
      <c r="AG293" s="147" t="str">
        <f t="shared" si="164"/>
        <v>0</v>
      </c>
      <c r="AH293" s="147" t="str">
        <f t="shared" si="165"/>
        <v>NO</v>
      </c>
      <c r="AI293" s="147" t="str">
        <f t="shared" si="166"/>
        <v>NO</v>
      </c>
      <c r="AJ293" s="147" t="str">
        <f t="shared" si="167"/>
        <v>NO</v>
      </c>
      <c r="AK293" s="147" t="str">
        <f t="shared" si="168"/>
        <v>NO</v>
      </c>
      <c r="AL293" s="21"/>
      <c r="AM293" s="21">
        <f>IF(H293="Y",AL293,((AB293*$O$902)-6000))</f>
        <v>5819.25</v>
      </c>
      <c r="AN293" s="27" t="s">
        <v>56</v>
      </c>
      <c r="AO293" s="21">
        <v>1</v>
      </c>
      <c r="AP293" s="21">
        <f t="shared" si="172"/>
        <v>1</v>
      </c>
      <c r="AQ293" s="149">
        <f t="shared" si="154"/>
        <v>5819.25</v>
      </c>
      <c r="AR293" s="21">
        <v>5819.25</v>
      </c>
      <c r="AS293" s="610">
        <v>5819.25</v>
      </c>
      <c r="AT293" s="112">
        <v>5819.25</v>
      </c>
      <c r="AU293" s="4"/>
      <c r="AV293" s="4"/>
      <c r="AW293" s="23" t="e">
        <f>VLOOKUP(K293,#REF!,8,FALSE)</f>
        <v>#REF!</v>
      </c>
      <c r="AX293" s="23" t="e">
        <f>VLOOKUP(K293,#REF!,8,FALSE)</f>
        <v>#REF!</v>
      </c>
      <c r="AY293" s="23" t="e">
        <f>VLOOKUP(K293,#REF!,8,FALSE)</f>
        <v>#REF!</v>
      </c>
      <c r="AZ293" s="4"/>
      <c r="BA293" s="272"/>
      <c r="BB293" s="313">
        <f t="shared" si="173"/>
        <v>0</v>
      </c>
      <c r="BC293" s="269">
        <f t="shared" si="171"/>
        <v>5819.25</v>
      </c>
      <c r="BD293" t="str">
        <f t="shared" si="175"/>
        <v/>
      </c>
      <c r="BP293" s="166">
        <f t="shared" si="169"/>
        <v>5819.25</v>
      </c>
      <c r="BS293" s="165"/>
      <c r="BX293" s="495">
        <f t="shared" si="170"/>
        <v>5819.25</v>
      </c>
      <c r="BZ293" s="636">
        <f t="shared" si="155"/>
        <v>0</v>
      </c>
      <c r="CA293" s="633">
        <f t="shared" si="156"/>
        <v>0</v>
      </c>
    </row>
    <row r="294" spans="1:79" x14ac:dyDescent="0.2">
      <c r="A294" s="4">
        <v>1</v>
      </c>
      <c r="B294" s="4">
        <v>1</v>
      </c>
      <c r="C294" s="5">
        <f t="shared" si="176"/>
        <v>2003</v>
      </c>
      <c r="D294" s="6">
        <v>2003</v>
      </c>
      <c r="E294" s="121">
        <v>43012</v>
      </c>
      <c r="F294" s="6" t="s">
        <v>1606</v>
      </c>
      <c r="G294" s="7" t="s">
        <v>75</v>
      </c>
      <c r="H294" s="7"/>
      <c r="I294" s="7" t="s">
        <v>32</v>
      </c>
      <c r="J294" s="7"/>
      <c r="K294" s="29">
        <v>433618</v>
      </c>
      <c r="L294" s="10" t="s">
        <v>615</v>
      </c>
      <c r="M294" s="10" t="s">
        <v>223</v>
      </c>
      <c r="N294" s="10" t="s">
        <v>644</v>
      </c>
      <c r="O294" s="11" t="s">
        <v>645</v>
      </c>
      <c r="P294" s="12">
        <v>42061</v>
      </c>
      <c r="Q294" s="13">
        <f t="shared" ca="1" si="161"/>
        <v>10.570841889117043</v>
      </c>
      <c r="R294" s="14">
        <v>3</v>
      </c>
      <c r="S294" s="15">
        <v>872</v>
      </c>
      <c r="T294" s="8">
        <v>872</v>
      </c>
      <c r="U294" s="16">
        <v>45017</v>
      </c>
      <c r="V294" s="17">
        <v>1</v>
      </c>
      <c r="W294" s="16">
        <v>45382</v>
      </c>
      <c r="X294" s="14">
        <v>192</v>
      </c>
      <c r="Y294" s="18">
        <f t="shared" si="157"/>
        <v>192</v>
      </c>
      <c r="Z294" s="18">
        <f t="shared" si="177"/>
        <v>1</v>
      </c>
      <c r="AA294" s="18" t="s">
        <v>36</v>
      </c>
      <c r="AB294" s="26">
        <v>32</v>
      </c>
      <c r="AC294" s="26"/>
      <c r="AD294" s="26"/>
      <c r="AE294" s="147" t="str">
        <f t="shared" si="162"/>
        <v>0</v>
      </c>
      <c r="AF294" s="147" t="str">
        <f t="shared" si="163"/>
        <v>0</v>
      </c>
      <c r="AG294" s="147" t="str">
        <f t="shared" si="164"/>
        <v>1</v>
      </c>
      <c r="AH294" s="147" t="str">
        <f t="shared" si="165"/>
        <v>NO</v>
      </c>
      <c r="AI294" s="147" t="str">
        <f t="shared" si="166"/>
        <v>NO</v>
      </c>
      <c r="AJ294" s="147" t="str">
        <f t="shared" si="167"/>
        <v>NO</v>
      </c>
      <c r="AK294" s="147" t="str">
        <f t="shared" si="168"/>
        <v>NO</v>
      </c>
      <c r="AL294" s="21"/>
      <c r="AM294" s="21">
        <f>IF(H294="Y",AL294,((AB294*$O$902)-6000))</f>
        <v>9128.64</v>
      </c>
      <c r="AN294" s="27" t="s">
        <v>43</v>
      </c>
      <c r="AO294" s="21">
        <v>1</v>
      </c>
      <c r="AP294" s="21">
        <f t="shared" si="172"/>
        <v>1</v>
      </c>
      <c r="AQ294" s="149">
        <f t="shared" si="154"/>
        <v>9128.64</v>
      </c>
      <c r="AR294" s="21">
        <v>9128.64</v>
      </c>
      <c r="AS294" s="610">
        <v>9128.64</v>
      </c>
      <c r="AT294" s="112">
        <v>9128.64</v>
      </c>
      <c r="AU294" s="4"/>
      <c r="AV294" s="4"/>
      <c r="AW294" s="23" t="e">
        <f>VLOOKUP(K294,#REF!,8,FALSE)</f>
        <v>#REF!</v>
      </c>
      <c r="AX294" s="23" t="e">
        <f>VLOOKUP(K294,#REF!,8,FALSE)</f>
        <v>#REF!</v>
      </c>
      <c r="AY294" s="23" t="e">
        <f>VLOOKUP(K294,#REF!,8,FALSE)</f>
        <v>#REF!</v>
      </c>
      <c r="AZ294" s="4"/>
      <c r="BA294" s="272"/>
      <c r="BB294" s="313">
        <f t="shared" si="173"/>
        <v>0</v>
      </c>
      <c r="BC294" s="269">
        <f t="shared" si="171"/>
        <v>9128.64</v>
      </c>
      <c r="BD294" t="str">
        <f t="shared" si="175"/>
        <v/>
      </c>
      <c r="BP294" s="166">
        <f t="shared" si="169"/>
        <v>9128.64</v>
      </c>
      <c r="BS294" s="165"/>
      <c r="BX294" s="495">
        <f t="shared" si="170"/>
        <v>9128.64</v>
      </c>
      <c r="BZ294" s="636">
        <f t="shared" si="155"/>
        <v>0</v>
      </c>
      <c r="CA294" s="633">
        <f t="shared" si="156"/>
        <v>0</v>
      </c>
    </row>
    <row r="295" spans="1:79" x14ac:dyDescent="0.2">
      <c r="A295" s="4">
        <v>1</v>
      </c>
      <c r="B295" s="4">
        <v>1</v>
      </c>
      <c r="C295" s="5">
        <f t="shared" si="176"/>
        <v>2003</v>
      </c>
      <c r="D295" s="6">
        <v>2003</v>
      </c>
      <c r="E295" s="121">
        <v>43012</v>
      </c>
      <c r="F295" s="6" t="s">
        <v>1606</v>
      </c>
      <c r="G295" s="7" t="s">
        <v>75</v>
      </c>
      <c r="H295" s="7"/>
      <c r="I295" s="7" t="s">
        <v>32</v>
      </c>
      <c r="J295" s="7"/>
      <c r="K295" s="29">
        <v>426522</v>
      </c>
      <c r="L295" s="10" t="s">
        <v>615</v>
      </c>
      <c r="M295" s="10" t="s">
        <v>72</v>
      </c>
      <c r="N295" s="10" t="s">
        <v>646</v>
      </c>
      <c r="O295" s="11" t="s">
        <v>647</v>
      </c>
      <c r="P295" s="12">
        <v>42394</v>
      </c>
      <c r="Q295" s="13">
        <f t="shared" ca="1" si="161"/>
        <v>9.6591375770020527</v>
      </c>
      <c r="R295" s="14">
        <v>2</v>
      </c>
      <c r="S295" s="15">
        <v>872</v>
      </c>
      <c r="T295" s="8">
        <v>872</v>
      </c>
      <c r="U295" s="16">
        <v>45017</v>
      </c>
      <c r="V295" s="17">
        <v>1</v>
      </c>
      <c r="W295" s="16">
        <v>45382</v>
      </c>
      <c r="X295" s="14">
        <v>192</v>
      </c>
      <c r="Y295" s="18">
        <f t="shared" si="157"/>
        <v>192</v>
      </c>
      <c r="Z295" s="18">
        <f t="shared" si="177"/>
        <v>1</v>
      </c>
      <c r="AA295" s="18" t="s">
        <v>36</v>
      </c>
      <c r="AB295" s="26">
        <v>10493.11</v>
      </c>
      <c r="AC295" s="26"/>
      <c r="AD295" s="26"/>
      <c r="AE295" s="147" t="str">
        <f t="shared" si="162"/>
        <v>0</v>
      </c>
      <c r="AF295" s="147" t="str">
        <f t="shared" si="163"/>
        <v>0</v>
      </c>
      <c r="AG295" s="147" t="str">
        <f t="shared" si="164"/>
        <v>1</v>
      </c>
      <c r="AH295" s="147" t="str">
        <f t="shared" si="165"/>
        <v>NO</v>
      </c>
      <c r="AI295" s="147" t="str">
        <f t="shared" si="166"/>
        <v>NO</v>
      </c>
      <c r="AJ295" s="147" t="str">
        <f t="shared" si="167"/>
        <v>NO</v>
      </c>
      <c r="AK295" s="147" t="str">
        <f t="shared" si="168"/>
        <v>NO</v>
      </c>
      <c r="AL295" s="21"/>
      <c r="AM295" s="21">
        <v>10493.11</v>
      </c>
      <c r="AN295" s="27" t="s">
        <v>56</v>
      </c>
      <c r="AO295" s="21">
        <v>1</v>
      </c>
      <c r="AP295" s="21">
        <f t="shared" si="172"/>
        <v>1</v>
      </c>
      <c r="AQ295" s="149">
        <f t="shared" si="154"/>
        <v>10493.11</v>
      </c>
      <c r="AR295" s="21">
        <v>10493.11</v>
      </c>
      <c r="AS295" s="610">
        <v>10493.11</v>
      </c>
      <c r="AT295" s="112">
        <v>10493.11</v>
      </c>
      <c r="AU295" s="4"/>
      <c r="AV295" s="4"/>
      <c r="AW295" s="23" t="e">
        <f>VLOOKUP(K295,#REF!,8,FALSE)</f>
        <v>#REF!</v>
      </c>
      <c r="AX295" s="23" t="e">
        <f>VLOOKUP(K295,#REF!,8,FALSE)</f>
        <v>#REF!</v>
      </c>
      <c r="AY295" s="23" t="e">
        <f>VLOOKUP(K295,#REF!,8,FALSE)</f>
        <v>#REF!</v>
      </c>
      <c r="AZ295" s="4"/>
      <c r="BA295" s="272"/>
      <c r="BB295" s="313">
        <f t="shared" si="173"/>
        <v>0</v>
      </c>
      <c r="BC295" s="269">
        <f t="shared" si="171"/>
        <v>10493.11</v>
      </c>
      <c r="BD295" t="str">
        <f t="shared" si="175"/>
        <v/>
      </c>
      <c r="BP295" s="166">
        <f t="shared" si="169"/>
        <v>10493.11</v>
      </c>
      <c r="BS295" s="165"/>
      <c r="BX295" s="495">
        <f t="shared" si="170"/>
        <v>10493.11</v>
      </c>
      <c r="BZ295" s="636">
        <f t="shared" si="155"/>
        <v>0</v>
      </c>
      <c r="CA295" s="633">
        <f t="shared" si="156"/>
        <v>0</v>
      </c>
    </row>
    <row r="296" spans="1:79" x14ac:dyDescent="0.2">
      <c r="A296" s="4">
        <v>0</v>
      </c>
      <c r="B296" s="4">
        <v>1</v>
      </c>
      <c r="C296" s="5">
        <f t="shared" si="176"/>
        <v>2003</v>
      </c>
      <c r="D296" s="6">
        <v>2003</v>
      </c>
      <c r="E296" s="121">
        <v>43012</v>
      </c>
      <c r="F296" s="6" t="s">
        <v>1606</v>
      </c>
      <c r="G296" s="7" t="s">
        <v>75</v>
      </c>
      <c r="H296" s="7"/>
      <c r="I296" s="7" t="s">
        <v>32</v>
      </c>
      <c r="J296" s="7"/>
      <c r="K296" s="29">
        <v>444584</v>
      </c>
      <c r="L296" s="10" t="s">
        <v>615</v>
      </c>
      <c r="M296" s="10" t="s">
        <v>1917</v>
      </c>
      <c r="N296" s="10" t="s">
        <v>1918</v>
      </c>
      <c r="O296" s="11" t="s">
        <v>1919</v>
      </c>
      <c r="P296" s="12">
        <v>43400</v>
      </c>
      <c r="Q296" s="13">
        <f t="shared" ca="1" si="161"/>
        <v>6.9048596851471595</v>
      </c>
      <c r="R296" s="14">
        <v>0</v>
      </c>
      <c r="S296" s="15">
        <v>872</v>
      </c>
      <c r="T296" s="8">
        <v>872</v>
      </c>
      <c r="U296" s="102">
        <v>45173</v>
      </c>
      <c r="V296" s="17">
        <v>66</v>
      </c>
      <c r="W296" s="16">
        <v>45382</v>
      </c>
      <c r="X296" s="14">
        <v>192</v>
      </c>
      <c r="Y296" s="18">
        <f t="shared" si="157"/>
        <v>127</v>
      </c>
      <c r="Z296" s="18">
        <f t="shared" si="177"/>
        <v>0.66145833333333337</v>
      </c>
      <c r="AA296" s="18" t="s">
        <v>36</v>
      </c>
      <c r="AB296" s="26">
        <v>30</v>
      </c>
      <c r="AC296" s="26"/>
      <c r="AD296" s="26"/>
      <c r="AE296" s="147" t="str">
        <f t="shared" si="162"/>
        <v>0</v>
      </c>
      <c r="AF296" s="147" t="str">
        <f t="shared" si="163"/>
        <v>1</v>
      </c>
      <c r="AG296" s="147" t="str">
        <f t="shared" si="164"/>
        <v>0</v>
      </c>
      <c r="AH296" s="147" t="str">
        <f t="shared" si="165"/>
        <v>NO</v>
      </c>
      <c r="AI296" s="147" t="str">
        <f t="shared" si="166"/>
        <v>NO</v>
      </c>
      <c r="AJ296" s="147" t="str">
        <f t="shared" si="167"/>
        <v>NO</v>
      </c>
      <c r="AK296" s="147" t="str">
        <f t="shared" si="168"/>
        <v>NO</v>
      </c>
      <c r="AL296" s="21"/>
      <c r="AM296" s="21">
        <f>IF(H296="Y",AL296,((AB296*$O$902)-6000))</f>
        <v>8183.0999999999985</v>
      </c>
      <c r="AN296" s="27" t="s">
        <v>56</v>
      </c>
      <c r="AO296" s="21">
        <v>1</v>
      </c>
      <c r="AP296" s="21">
        <f t="shared" si="172"/>
        <v>0.66145833333333337</v>
      </c>
      <c r="AQ296" s="149">
        <f t="shared" si="154"/>
        <v>5412.7796874999995</v>
      </c>
      <c r="AR296" s="21">
        <v>5412.7796874999995</v>
      </c>
      <c r="AS296" s="610">
        <v>0</v>
      </c>
      <c r="AT296" s="112">
        <v>0</v>
      </c>
      <c r="AU296" s="4"/>
      <c r="AV296" s="4"/>
      <c r="AW296" s="23" t="e">
        <f>VLOOKUP(K296,#REF!,8,FALSE)</f>
        <v>#REF!</v>
      </c>
      <c r="AX296" s="23" t="e">
        <f>VLOOKUP(K296,#REF!,8,FALSE)</f>
        <v>#REF!</v>
      </c>
      <c r="AY296" s="23" t="e">
        <f>VLOOKUP(K296,#REF!,8,FALSE)</f>
        <v>#REF!</v>
      </c>
      <c r="AZ296" s="4"/>
      <c r="BA296" s="272"/>
      <c r="BB296" s="313">
        <f t="shared" si="173"/>
        <v>5412.7796874999995</v>
      </c>
      <c r="BC296" s="269">
        <f t="shared" si="171"/>
        <v>5412.7796874999995</v>
      </c>
      <c r="BD296" t="s">
        <v>2443</v>
      </c>
      <c r="BP296" s="166">
        <f t="shared" si="169"/>
        <v>5412.7796874999995</v>
      </c>
      <c r="BS296" s="165"/>
      <c r="BX296" s="495">
        <f t="shared" si="170"/>
        <v>5412.7796874999995</v>
      </c>
      <c r="BZ296" s="636">
        <f t="shared" si="155"/>
        <v>0</v>
      </c>
      <c r="CA296" s="633">
        <f t="shared" si="156"/>
        <v>5412.7796874999995</v>
      </c>
    </row>
    <row r="297" spans="1:79" x14ac:dyDescent="0.2">
      <c r="A297" s="4">
        <v>1</v>
      </c>
      <c r="B297" s="4">
        <v>1</v>
      </c>
      <c r="C297" s="5">
        <f t="shared" si="176"/>
        <v>41203</v>
      </c>
      <c r="D297" s="6">
        <v>41203</v>
      </c>
      <c r="E297" s="121">
        <v>43012</v>
      </c>
      <c r="F297" s="6" t="s">
        <v>1606</v>
      </c>
      <c r="G297" s="7" t="s">
        <v>75</v>
      </c>
      <c r="H297" s="7"/>
      <c r="I297" s="7" t="s">
        <v>157</v>
      </c>
      <c r="J297" s="7"/>
      <c r="K297" s="29">
        <v>386989</v>
      </c>
      <c r="L297" s="10" t="s">
        <v>648</v>
      </c>
      <c r="M297" s="10" t="s">
        <v>649</v>
      </c>
      <c r="N297" s="10" t="s">
        <v>650</v>
      </c>
      <c r="O297" s="11" t="s">
        <v>651</v>
      </c>
      <c r="P297" s="12">
        <v>39498</v>
      </c>
      <c r="Q297" s="13">
        <f t="shared" ca="1" si="161"/>
        <v>17.587953456536617</v>
      </c>
      <c r="R297" s="14">
        <v>10</v>
      </c>
      <c r="S297" s="15">
        <v>872</v>
      </c>
      <c r="T297" s="8">
        <v>872</v>
      </c>
      <c r="U297" s="16">
        <v>45017</v>
      </c>
      <c r="V297" s="17">
        <v>1</v>
      </c>
      <c r="W297" s="16">
        <v>45382</v>
      </c>
      <c r="X297" s="14">
        <v>192</v>
      </c>
      <c r="Y297" s="18">
        <f t="shared" si="157"/>
        <v>192</v>
      </c>
      <c r="Z297" s="18">
        <f t="shared" si="177"/>
        <v>1</v>
      </c>
      <c r="AA297" s="18" t="s">
        <v>36</v>
      </c>
      <c r="AB297" s="26">
        <v>25</v>
      </c>
      <c r="AC297" s="26"/>
      <c r="AD297" s="26"/>
      <c r="AE297" s="147" t="str">
        <f t="shared" si="162"/>
        <v>1</v>
      </c>
      <c r="AF297" s="147" t="str">
        <f t="shared" si="163"/>
        <v>0</v>
      </c>
      <c r="AG297" s="147" t="str">
        <f t="shared" si="164"/>
        <v>0</v>
      </c>
      <c r="AH297" s="147" t="str">
        <f t="shared" si="165"/>
        <v>NO</v>
      </c>
      <c r="AI297" s="147" t="str">
        <f t="shared" si="166"/>
        <v>NO</v>
      </c>
      <c r="AJ297" s="147" t="str">
        <f t="shared" si="167"/>
        <v>NO</v>
      </c>
      <c r="AK297" s="147" t="str">
        <f t="shared" si="168"/>
        <v>NO</v>
      </c>
      <c r="AL297" s="21"/>
      <c r="AM297" s="21">
        <f>IF(H297="Y",AL297,((AB297*$O$902)-6000))</f>
        <v>5819.25</v>
      </c>
      <c r="AN297" s="27" t="s">
        <v>56</v>
      </c>
      <c r="AO297" s="21">
        <v>1</v>
      </c>
      <c r="AP297" s="21">
        <f t="shared" si="172"/>
        <v>1</v>
      </c>
      <c r="AQ297" s="149">
        <f t="shared" si="154"/>
        <v>5819.25</v>
      </c>
      <c r="AR297" s="21">
        <v>5819.25</v>
      </c>
      <c r="AS297" s="610">
        <v>5819.25</v>
      </c>
      <c r="AT297" s="112">
        <v>5819.25</v>
      </c>
      <c r="AU297" s="4"/>
      <c r="AV297" s="4"/>
      <c r="AW297" s="23" t="e">
        <f>VLOOKUP(K297,#REF!,8,FALSE)</f>
        <v>#REF!</v>
      </c>
      <c r="AX297" s="23" t="e">
        <f>VLOOKUP(K297,#REF!,8,FALSE)</f>
        <v>#REF!</v>
      </c>
      <c r="AY297" s="23" t="e">
        <f>VLOOKUP(K297,#REF!,8,FALSE)</f>
        <v>#REF!</v>
      </c>
      <c r="AZ297" s="4"/>
      <c r="BA297" s="272"/>
      <c r="BB297" s="313">
        <f t="shared" si="173"/>
        <v>0</v>
      </c>
      <c r="BC297" s="269">
        <f t="shared" si="171"/>
        <v>5819.25</v>
      </c>
      <c r="BD297" t="str">
        <f>BG297&amp;BH297&amp;BI297</f>
        <v/>
      </c>
      <c r="BP297" s="166">
        <f t="shared" si="169"/>
        <v>5819.25</v>
      </c>
      <c r="BS297" s="165"/>
      <c r="BX297" s="495">
        <f t="shared" si="170"/>
        <v>5819.25</v>
      </c>
      <c r="BZ297" s="636">
        <f t="shared" si="155"/>
        <v>0</v>
      </c>
      <c r="CA297" s="633">
        <f t="shared" si="156"/>
        <v>0</v>
      </c>
    </row>
    <row r="298" spans="1:79" x14ac:dyDescent="0.2">
      <c r="A298" s="4">
        <v>0</v>
      </c>
      <c r="B298" s="4">
        <v>1</v>
      </c>
      <c r="C298" s="5">
        <f t="shared" si="176"/>
        <v>41203</v>
      </c>
      <c r="D298" s="6">
        <v>41203</v>
      </c>
      <c r="E298" s="121">
        <v>43012</v>
      </c>
      <c r="F298" s="6" t="s">
        <v>1606</v>
      </c>
      <c r="G298" s="7" t="s">
        <v>75</v>
      </c>
      <c r="H298" s="7"/>
      <c r="I298" s="7" t="s">
        <v>157</v>
      </c>
      <c r="J298" s="7" t="s">
        <v>142</v>
      </c>
      <c r="K298" s="29">
        <v>386989</v>
      </c>
      <c r="L298" s="10" t="s">
        <v>648</v>
      </c>
      <c r="M298" s="10" t="s">
        <v>649</v>
      </c>
      <c r="N298" s="10" t="s">
        <v>650</v>
      </c>
      <c r="O298" s="11" t="s">
        <v>651</v>
      </c>
      <c r="P298" s="12">
        <v>39498</v>
      </c>
      <c r="Q298" s="13">
        <f t="shared" ca="1" si="161"/>
        <v>17.587953456536617</v>
      </c>
      <c r="R298" s="14">
        <v>10</v>
      </c>
      <c r="S298" s="15">
        <v>872</v>
      </c>
      <c r="T298" s="8">
        <v>872</v>
      </c>
      <c r="U298" s="16">
        <v>45017</v>
      </c>
      <c r="V298" s="17">
        <v>1</v>
      </c>
      <c r="W298" s="16">
        <v>45382</v>
      </c>
      <c r="X298" s="14">
        <v>192</v>
      </c>
      <c r="Y298" s="18">
        <f t="shared" si="157"/>
        <v>192</v>
      </c>
      <c r="Z298" s="18">
        <f t="shared" si="177"/>
        <v>1</v>
      </c>
      <c r="AA298" s="102">
        <v>45504</v>
      </c>
      <c r="AB298" s="26">
        <v>2995</v>
      </c>
      <c r="AC298" s="26"/>
      <c r="AD298" s="26"/>
      <c r="AE298" s="147" t="str">
        <f t="shared" si="162"/>
        <v>0</v>
      </c>
      <c r="AF298" s="147" t="str">
        <f t="shared" si="163"/>
        <v>0</v>
      </c>
      <c r="AG298" s="147" t="str">
        <f t="shared" si="164"/>
        <v>1</v>
      </c>
      <c r="AH298" s="147" t="str">
        <f t="shared" si="165"/>
        <v>NO</v>
      </c>
      <c r="AI298" s="147" t="str">
        <f t="shared" si="166"/>
        <v>NO</v>
      </c>
      <c r="AJ298" s="147" t="str">
        <f t="shared" si="167"/>
        <v>NO</v>
      </c>
      <c r="AK298" s="147" t="str">
        <f t="shared" si="168"/>
        <v>NO</v>
      </c>
      <c r="AL298" s="21"/>
      <c r="AM298" s="21">
        <v>2995</v>
      </c>
      <c r="AN298" s="27" t="s">
        <v>56</v>
      </c>
      <c r="AO298" s="21">
        <v>1</v>
      </c>
      <c r="AP298" s="21">
        <f t="shared" si="172"/>
        <v>1</v>
      </c>
      <c r="AQ298" s="149">
        <f t="shared" si="154"/>
        <v>2995</v>
      </c>
      <c r="AR298" s="21">
        <v>2995</v>
      </c>
      <c r="AS298" s="610">
        <v>0</v>
      </c>
      <c r="AT298" s="112">
        <v>2995</v>
      </c>
      <c r="AU298" s="4"/>
      <c r="AV298" s="4"/>
      <c r="AW298" s="23" t="e">
        <f>VLOOKUP(K298,#REF!,8,FALSE)</f>
        <v>#REF!</v>
      </c>
      <c r="AX298" s="23" t="e">
        <f>VLOOKUP(K298,#REF!,8,FALSE)</f>
        <v>#REF!</v>
      </c>
      <c r="AY298" s="23" t="e">
        <f>VLOOKUP(K298,#REF!,8,FALSE)</f>
        <v>#REF!</v>
      </c>
      <c r="AZ298" s="4"/>
      <c r="BA298" s="272"/>
      <c r="BB298" s="313">
        <f t="shared" si="173"/>
        <v>0</v>
      </c>
      <c r="BC298" s="269">
        <f t="shared" si="171"/>
        <v>2995</v>
      </c>
      <c r="BD298" t="str">
        <f>BG298&amp;BH298&amp;BI298</f>
        <v/>
      </c>
      <c r="BP298" s="166">
        <f t="shared" si="169"/>
        <v>2995</v>
      </c>
      <c r="BS298" s="165"/>
      <c r="BX298" s="495">
        <f t="shared" si="170"/>
        <v>2995</v>
      </c>
      <c r="BZ298" s="636">
        <f t="shared" si="155"/>
        <v>0</v>
      </c>
      <c r="CA298" s="633">
        <f t="shared" si="156"/>
        <v>2995</v>
      </c>
    </row>
    <row r="299" spans="1:79" x14ac:dyDescent="0.2">
      <c r="A299" s="4">
        <v>1</v>
      </c>
      <c r="B299" s="4">
        <v>1</v>
      </c>
      <c r="C299" s="5">
        <f t="shared" si="176"/>
        <v>41203</v>
      </c>
      <c r="D299" s="6">
        <v>41203</v>
      </c>
      <c r="E299" s="121">
        <v>43012</v>
      </c>
      <c r="F299" s="6" t="s">
        <v>1606</v>
      </c>
      <c r="G299" s="7" t="s">
        <v>75</v>
      </c>
      <c r="H299" s="7"/>
      <c r="I299" s="33" t="s">
        <v>270</v>
      </c>
      <c r="J299" s="33"/>
      <c r="K299" s="29">
        <v>357786</v>
      </c>
      <c r="L299" s="10" t="s">
        <v>648</v>
      </c>
      <c r="M299" s="10" t="s">
        <v>652</v>
      </c>
      <c r="N299" s="10" t="s">
        <v>410</v>
      </c>
      <c r="O299" s="11" t="s">
        <v>653</v>
      </c>
      <c r="P299" s="12">
        <v>38389</v>
      </c>
      <c r="Q299" s="13">
        <f t="shared" ca="1" si="161"/>
        <v>20.624229979466119</v>
      </c>
      <c r="R299" s="14">
        <v>13</v>
      </c>
      <c r="S299" s="15">
        <v>872</v>
      </c>
      <c r="T299" s="8">
        <v>872</v>
      </c>
      <c r="U299" s="16">
        <v>45017</v>
      </c>
      <c r="V299" s="17">
        <v>1</v>
      </c>
      <c r="W299" s="16">
        <v>45128</v>
      </c>
      <c r="X299" s="14">
        <v>63</v>
      </c>
      <c r="Y299" s="18">
        <f t="shared" si="157"/>
        <v>63</v>
      </c>
      <c r="Z299" s="18">
        <f t="shared" si="177"/>
        <v>0.328125</v>
      </c>
      <c r="AA299" s="16" t="s">
        <v>270</v>
      </c>
      <c r="AB299" s="26">
        <v>4981.88</v>
      </c>
      <c r="AC299" s="26"/>
      <c r="AD299" s="26"/>
      <c r="AE299" s="147" t="str">
        <f t="shared" si="162"/>
        <v>0</v>
      </c>
      <c r="AF299" s="147" t="str">
        <f t="shared" si="163"/>
        <v>0</v>
      </c>
      <c r="AG299" s="147" t="str">
        <f t="shared" si="164"/>
        <v>1</v>
      </c>
      <c r="AH299" s="147" t="str">
        <f t="shared" si="165"/>
        <v>NO</v>
      </c>
      <c r="AI299" s="147" t="str">
        <f t="shared" si="166"/>
        <v>NO</v>
      </c>
      <c r="AJ299" s="147" t="str">
        <f t="shared" si="167"/>
        <v>NO</v>
      </c>
      <c r="AK299" s="147" t="str">
        <f t="shared" si="168"/>
        <v>NO</v>
      </c>
      <c r="AL299" s="21"/>
      <c r="AM299" s="21">
        <v>4981.88</v>
      </c>
      <c r="AN299" s="27" t="s">
        <v>56</v>
      </c>
      <c r="AO299" s="21">
        <v>1</v>
      </c>
      <c r="AP299" s="21">
        <f t="shared" si="172"/>
        <v>0.328125</v>
      </c>
      <c r="AQ299" s="149">
        <f t="shared" si="154"/>
        <v>1634.6793749999999</v>
      </c>
      <c r="AR299" s="21">
        <v>1634.6793749999999</v>
      </c>
      <c r="AS299" s="610">
        <v>1634.6793749999999</v>
      </c>
      <c r="AT299" s="112">
        <v>1634.6793749999999</v>
      </c>
      <c r="AU299" s="4"/>
      <c r="AV299" s="4"/>
      <c r="AW299" s="23" t="e">
        <f>VLOOKUP(K299,#REF!,8,FALSE)</f>
        <v>#REF!</v>
      </c>
      <c r="AX299" s="23" t="e">
        <f>VLOOKUP(K299,#REF!,8,FALSE)</f>
        <v>#REF!</v>
      </c>
      <c r="AY299" s="23" t="e">
        <f>VLOOKUP(K299,#REF!,8,FALSE)</f>
        <v>#REF!</v>
      </c>
      <c r="AZ299" s="4"/>
      <c r="BA299" s="272"/>
      <c r="BB299" s="313">
        <f t="shared" si="173"/>
        <v>0</v>
      </c>
      <c r="BC299" s="269">
        <f t="shared" si="171"/>
        <v>1634.6793749999999</v>
      </c>
      <c r="BD299" s="110" t="s">
        <v>2405</v>
      </c>
      <c r="BJ299">
        <f>AB299</f>
        <v>4981.88</v>
      </c>
      <c r="BK299" s="269">
        <f>AM299</f>
        <v>4981.88</v>
      </c>
      <c r="BO299" s="106">
        <f>BK299/192*127</f>
        <v>3295.3060416666667</v>
      </c>
      <c r="BP299" s="166">
        <f t="shared" si="169"/>
        <v>4929.9854166666664</v>
      </c>
      <c r="BS299" s="165"/>
      <c r="BX299" s="495">
        <f t="shared" si="170"/>
        <v>4929.9854166666664</v>
      </c>
      <c r="BZ299" s="636">
        <f t="shared" si="155"/>
        <v>0</v>
      </c>
      <c r="CA299" s="633">
        <f t="shared" si="156"/>
        <v>3295.3060416666667</v>
      </c>
    </row>
    <row r="300" spans="1:79" x14ac:dyDescent="0.2">
      <c r="A300" s="4">
        <v>1</v>
      </c>
      <c r="B300" s="4">
        <v>1</v>
      </c>
      <c r="C300" s="5">
        <f t="shared" si="176"/>
        <v>41203</v>
      </c>
      <c r="D300" s="6">
        <v>41203</v>
      </c>
      <c r="E300" s="121">
        <v>43012</v>
      </c>
      <c r="F300" s="6" t="s">
        <v>1606</v>
      </c>
      <c r="G300" s="7" t="s">
        <v>75</v>
      </c>
      <c r="H300" s="7"/>
      <c r="I300" s="7" t="s">
        <v>157</v>
      </c>
      <c r="J300" s="7"/>
      <c r="K300" s="29">
        <v>394954</v>
      </c>
      <c r="L300" s="10" t="s">
        <v>648</v>
      </c>
      <c r="M300" s="10" t="s">
        <v>654</v>
      </c>
      <c r="N300" s="10" t="s">
        <v>655</v>
      </c>
      <c r="O300" s="11" t="s">
        <v>656</v>
      </c>
      <c r="P300" s="12">
        <v>40552</v>
      </c>
      <c r="Q300" s="13">
        <f t="shared" ca="1" si="161"/>
        <v>14.702258726899384</v>
      </c>
      <c r="R300" s="14">
        <v>7</v>
      </c>
      <c r="S300" s="15">
        <v>872</v>
      </c>
      <c r="T300" s="8">
        <v>872</v>
      </c>
      <c r="U300" s="16">
        <v>45017</v>
      </c>
      <c r="V300" s="17">
        <v>1</v>
      </c>
      <c r="W300" s="16">
        <v>45382</v>
      </c>
      <c r="X300" s="14">
        <v>192</v>
      </c>
      <c r="Y300" s="18">
        <f t="shared" si="157"/>
        <v>192</v>
      </c>
      <c r="Z300" s="18">
        <f t="shared" si="177"/>
        <v>1</v>
      </c>
      <c r="AA300" s="18" t="s">
        <v>36</v>
      </c>
      <c r="AB300" s="26">
        <v>13021.54</v>
      </c>
      <c r="AC300" s="26"/>
      <c r="AD300" s="26"/>
      <c r="AE300" s="147" t="str">
        <f t="shared" si="162"/>
        <v>0</v>
      </c>
      <c r="AF300" s="147" t="str">
        <f t="shared" si="163"/>
        <v>0</v>
      </c>
      <c r="AG300" s="147" t="str">
        <f t="shared" si="164"/>
        <v>1</v>
      </c>
      <c r="AH300" s="147" t="str">
        <f t="shared" si="165"/>
        <v>NO</v>
      </c>
      <c r="AI300" s="147" t="str">
        <f t="shared" si="166"/>
        <v>NO</v>
      </c>
      <c r="AJ300" s="147" t="str">
        <f t="shared" si="167"/>
        <v>NO</v>
      </c>
      <c r="AK300" s="147" t="str">
        <f t="shared" si="168"/>
        <v>NO</v>
      </c>
      <c r="AL300" s="21"/>
      <c r="AM300" s="21">
        <v>13021.54</v>
      </c>
      <c r="AN300" s="27" t="s">
        <v>56</v>
      </c>
      <c r="AO300" s="21">
        <v>1</v>
      </c>
      <c r="AP300" s="21">
        <f t="shared" si="172"/>
        <v>1</v>
      </c>
      <c r="AQ300" s="149">
        <f t="shared" si="154"/>
        <v>13021.54</v>
      </c>
      <c r="AR300" s="21">
        <v>13021.54</v>
      </c>
      <c r="AS300" s="610">
        <v>13021.54</v>
      </c>
      <c r="AT300" s="112">
        <v>13021.54</v>
      </c>
      <c r="AU300" s="4"/>
      <c r="AV300" s="4"/>
      <c r="AW300" s="23" t="e">
        <f>VLOOKUP(K300,#REF!,8,FALSE)</f>
        <v>#REF!</v>
      </c>
      <c r="AX300" s="23" t="e">
        <f>VLOOKUP(K300,#REF!,8,FALSE)</f>
        <v>#REF!</v>
      </c>
      <c r="AY300" s="23" t="e">
        <f>VLOOKUP(K300,#REF!,8,FALSE)</f>
        <v>#REF!</v>
      </c>
      <c r="AZ300" s="4"/>
      <c r="BA300" s="272"/>
      <c r="BB300" s="313">
        <f t="shared" si="173"/>
        <v>0</v>
      </c>
      <c r="BC300" s="269">
        <f t="shared" si="171"/>
        <v>13021.54</v>
      </c>
      <c r="BD300" t="str">
        <f t="shared" ref="BD300:BD309" si="178">BG300&amp;BH300&amp;BI300</f>
        <v/>
      </c>
      <c r="BP300" s="166">
        <f t="shared" si="169"/>
        <v>13021.54</v>
      </c>
      <c r="BS300" s="165"/>
      <c r="BX300" s="495">
        <f t="shared" si="170"/>
        <v>13021.54</v>
      </c>
      <c r="BZ300" s="636">
        <f t="shared" si="155"/>
        <v>0</v>
      </c>
      <c r="CA300" s="633">
        <f t="shared" si="156"/>
        <v>0</v>
      </c>
    </row>
    <row r="301" spans="1:79" x14ac:dyDescent="0.2">
      <c r="A301" s="4">
        <v>1</v>
      </c>
      <c r="B301" s="4">
        <v>1</v>
      </c>
      <c r="C301" s="5">
        <f t="shared" si="176"/>
        <v>41203</v>
      </c>
      <c r="D301" s="6">
        <v>41203</v>
      </c>
      <c r="E301" s="121">
        <v>43012</v>
      </c>
      <c r="F301" s="6" t="s">
        <v>1606</v>
      </c>
      <c r="G301" s="7" t="s">
        <v>75</v>
      </c>
      <c r="H301" s="7"/>
      <c r="I301" s="7" t="s">
        <v>157</v>
      </c>
      <c r="J301" s="7"/>
      <c r="K301" s="29">
        <v>382740</v>
      </c>
      <c r="L301" s="10" t="s">
        <v>648</v>
      </c>
      <c r="M301" s="10" t="s">
        <v>657</v>
      </c>
      <c r="N301" s="10" t="s">
        <v>658</v>
      </c>
      <c r="O301" s="11" t="str">
        <f>M301&amp;N301</f>
        <v>GeorgeForster</v>
      </c>
      <c r="P301" s="12">
        <v>40040</v>
      </c>
      <c r="Q301" s="13">
        <f t="shared" ca="1" si="161"/>
        <v>16.10403832991102</v>
      </c>
      <c r="R301" s="14">
        <v>9</v>
      </c>
      <c r="S301" s="15">
        <v>872</v>
      </c>
      <c r="T301" s="8">
        <v>872</v>
      </c>
      <c r="U301" s="16">
        <v>45017</v>
      </c>
      <c r="V301" s="17">
        <v>1</v>
      </c>
      <c r="W301" s="16">
        <v>45382</v>
      </c>
      <c r="X301" s="14">
        <v>192</v>
      </c>
      <c r="Y301" s="18">
        <f t="shared" si="157"/>
        <v>192</v>
      </c>
      <c r="Z301" s="18">
        <f t="shared" si="177"/>
        <v>1</v>
      </c>
      <c r="AA301" s="18" t="s">
        <v>36</v>
      </c>
      <c r="AB301" s="26">
        <v>30</v>
      </c>
      <c r="AC301" s="26"/>
      <c r="AD301" s="26"/>
      <c r="AE301" s="147" t="str">
        <f t="shared" si="162"/>
        <v>0</v>
      </c>
      <c r="AF301" s="147" t="str">
        <f t="shared" si="163"/>
        <v>1</v>
      </c>
      <c r="AG301" s="147" t="str">
        <f t="shared" si="164"/>
        <v>0</v>
      </c>
      <c r="AH301" s="147" t="str">
        <f t="shared" si="165"/>
        <v>NO</v>
      </c>
      <c r="AI301" s="147" t="str">
        <f t="shared" si="166"/>
        <v>NO</v>
      </c>
      <c r="AJ301" s="147" t="str">
        <f t="shared" si="167"/>
        <v>NO</v>
      </c>
      <c r="AK301" s="147" t="str">
        <f t="shared" si="168"/>
        <v>NO</v>
      </c>
      <c r="AL301" s="21"/>
      <c r="AM301" s="21">
        <f>IF(H301="Y",AL301,((AB301*$O$902)-6000))</f>
        <v>8183.0999999999985</v>
      </c>
      <c r="AN301" s="27" t="s">
        <v>56</v>
      </c>
      <c r="AO301" s="21">
        <v>1</v>
      </c>
      <c r="AP301" s="21">
        <f t="shared" si="172"/>
        <v>1</v>
      </c>
      <c r="AQ301" s="149">
        <f t="shared" si="154"/>
        <v>8183.0999999999985</v>
      </c>
      <c r="AR301" s="21">
        <v>8183.0999999999985</v>
      </c>
      <c r="AS301" s="610">
        <v>8183.0999999999985</v>
      </c>
      <c r="AT301" s="112">
        <v>8183.0999999999985</v>
      </c>
      <c r="AU301" s="4"/>
      <c r="AV301" s="4"/>
      <c r="AW301" s="23" t="e">
        <f>VLOOKUP(K301,#REF!,8,FALSE)</f>
        <v>#REF!</v>
      </c>
      <c r="AX301" s="23" t="e">
        <f>VLOOKUP(K301,#REF!,8,FALSE)</f>
        <v>#REF!</v>
      </c>
      <c r="AY301" s="23" t="e">
        <f>VLOOKUP(K301,#REF!,8,FALSE)</f>
        <v>#REF!</v>
      </c>
      <c r="AZ301" s="4"/>
      <c r="BA301" s="272"/>
      <c r="BB301" s="313">
        <f t="shared" si="173"/>
        <v>0</v>
      </c>
      <c r="BC301" s="269">
        <f t="shared" si="171"/>
        <v>8183.0999999999985</v>
      </c>
      <c r="BD301" t="str">
        <f t="shared" si="178"/>
        <v/>
      </c>
      <c r="BP301" s="166">
        <f t="shared" si="169"/>
        <v>8183.0999999999985</v>
      </c>
      <c r="BS301" s="165"/>
      <c r="BX301" s="495">
        <f t="shared" si="170"/>
        <v>8183.0999999999985</v>
      </c>
      <c r="BZ301" s="636">
        <f t="shared" si="155"/>
        <v>0</v>
      </c>
      <c r="CA301" s="633">
        <f t="shared" si="156"/>
        <v>0</v>
      </c>
    </row>
    <row r="302" spans="1:79" x14ac:dyDescent="0.2">
      <c r="A302" s="4">
        <v>0</v>
      </c>
      <c r="B302" s="4">
        <v>1</v>
      </c>
      <c r="C302" s="5">
        <f t="shared" si="176"/>
        <v>41203</v>
      </c>
      <c r="D302" s="6">
        <v>41203</v>
      </c>
      <c r="E302" s="121">
        <v>43012</v>
      </c>
      <c r="F302" s="6" t="s">
        <v>1606</v>
      </c>
      <c r="G302" s="7" t="s">
        <v>75</v>
      </c>
      <c r="H302" s="7"/>
      <c r="I302" s="7" t="s">
        <v>157</v>
      </c>
      <c r="J302" s="7" t="s">
        <v>142</v>
      </c>
      <c r="K302" s="29">
        <v>382740</v>
      </c>
      <c r="L302" s="10" t="s">
        <v>648</v>
      </c>
      <c r="M302" s="10" t="s">
        <v>657</v>
      </c>
      <c r="N302" s="10" t="s">
        <v>658</v>
      </c>
      <c r="O302" s="11" t="str">
        <f>M302&amp;N302</f>
        <v>GeorgeForster</v>
      </c>
      <c r="P302" s="12">
        <v>40040</v>
      </c>
      <c r="Q302" s="13">
        <f t="shared" ca="1" si="161"/>
        <v>16.10403832991102</v>
      </c>
      <c r="R302" s="14">
        <v>9</v>
      </c>
      <c r="S302" s="15">
        <v>872</v>
      </c>
      <c r="T302" s="8">
        <v>872</v>
      </c>
      <c r="U302" s="16">
        <v>45017</v>
      </c>
      <c r="V302" s="17">
        <v>1</v>
      </c>
      <c r="W302" s="16">
        <v>45138</v>
      </c>
      <c r="X302" s="14">
        <v>63</v>
      </c>
      <c r="Y302" s="18">
        <f t="shared" si="157"/>
        <v>63</v>
      </c>
      <c r="Z302" s="18">
        <f t="shared" si="177"/>
        <v>0.328125</v>
      </c>
      <c r="AA302" s="102">
        <v>45138</v>
      </c>
      <c r="AB302" s="26">
        <v>18826.02</v>
      </c>
      <c r="AC302" s="26"/>
      <c r="AD302" s="26"/>
      <c r="AE302" s="147" t="str">
        <f t="shared" si="162"/>
        <v>0</v>
      </c>
      <c r="AF302" s="147" t="str">
        <f t="shared" si="163"/>
        <v>0</v>
      </c>
      <c r="AG302" s="147" t="str">
        <f t="shared" si="164"/>
        <v>1</v>
      </c>
      <c r="AH302" s="147" t="str">
        <f t="shared" si="165"/>
        <v>NO</v>
      </c>
      <c r="AI302" s="147" t="str">
        <f t="shared" si="166"/>
        <v>NO</v>
      </c>
      <c r="AJ302" s="147" t="str">
        <f t="shared" si="167"/>
        <v>NO</v>
      </c>
      <c r="AK302" s="147" t="str">
        <f t="shared" si="168"/>
        <v>NO</v>
      </c>
      <c r="AL302" s="21"/>
      <c r="AM302" s="21">
        <v>18826.02</v>
      </c>
      <c r="AN302" s="27" t="s">
        <v>56</v>
      </c>
      <c r="AO302" s="21">
        <v>1</v>
      </c>
      <c r="AP302" s="21">
        <f t="shared" si="172"/>
        <v>0.328125</v>
      </c>
      <c r="AQ302" s="149">
        <f t="shared" si="154"/>
        <v>6177.2878124999997</v>
      </c>
      <c r="AR302" s="21">
        <v>6177.2878124999997</v>
      </c>
      <c r="AS302" s="610">
        <v>18826.02</v>
      </c>
      <c r="AT302" s="112">
        <v>18826.02</v>
      </c>
      <c r="AU302" s="4"/>
      <c r="AV302" s="4"/>
      <c r="AW302" s="23" t="e">
        <f>VLOOKUP(K302,#REF!,8,FALSE)</f>
        <v>#REF!</v>
      </c>
      <c r="AX302" s="23" t="e">
        <f>VLOOKUP(K302,#REF!,8,FALSE)</f>
        <v>#REF!</v>
      </c>
      <c r="AY302" s="23" t="e">
        <f>VLOOKUP(K302,#REF!,8,FALSE)</f>
        <v>#REF!</v>
      </c>
      <c r="AZ302" s="4"/>
      <c r="BA302" s="272"/>
      <c r="BB302" s="313">
        <f t="shared" si="173"/>
        <v>-12648.732187500002</v>
      </c>
      <c r="BC302" s="269">
        <f t="shared" si="171"/>
        <v>6177.2878124999997</v>
      </c>
      <c r="BD302" t="str">
        <f t="shared" si="178"/>
        <v/>
      </c>
      <c r="BJ302">
        <f>AB302</f>
        <v>18826.02</v>
      </c>
      <c r="BK302" s="269">
        <f>AM302</f>
        <v>18826.02</v>
      </c>
      <c r="BO302" s="106">
        <f>BK302/192*127</f>
        <v>12452.627812500001</v>
      </c>
      <c r="BP302" s="166">
        <f t="shared" si="169"/>
        <v>18629.915625000001</v>
      </c>
      <c r="BS302" s="165"/>
      <c r="BX302" s="495">
        <f t="shared" si="170"/>
        <v>18629.915625000001</v>
      </c>
      <c r="BZ302" s="636">
        <f t="shared" si="155"/>
        <v>0</v>
      </c>
      <c r="CA302" s="633">
        <f t="shared" si="156"/>
        <v>-196.10437499999898</v>
      </c>
    </row>
    <row r="303" spans="1:79" x14ac:dyDescent="0.2">
      <c r="A303" s="4">
        <v>1</v>
      </c>
      <c r="B303" s="4">
        <v>1</v>
      </c>
      <c r="C303" s="5">
        <f t="shared" si="176"/>
        <v>41203</v>
      </c>
      <c r="D303" s="6">
        <v>41203</v>
      </c>
      <c r="E303" s="121">
        <v>43012</v>
      </c>
      <c r="F303" s="6" t="s">
        <v>1606</v>
      </c>
      <c r="G303" s="7" t="s">
        <v>75</v>
      </c>
      <c r="H303" s="7"/>
      <c r="I303" s="7" t="s">
        <v>157</v>
      </c>
      <c r="J303" s="7"/>
      <c r="K303" s="29">
        <v>371855</v>
      </c>
      <c r="L303" s="10" t="s">
        <v>648</v>
      </c>
      <c r="M303" s="10" t="s">
        <v>659</v>
      </c>
      <c r="N303" s="10" t="s">
        <v>660</v>
      </c>
      <c r="O303" s="11" t="s">
        <v>661</v>
      </c>
      <c r="P303" s="12">
        <v>39233</v>
      </c>
      <c r="Q303" s="13">
        <f t="shared" ca="1" si="161"/>
        <v>18.313483915126625</v>
      </c>
      <c r="R303" s="14">
        <v>11</v>
      </c>
      <c r="S303" s="15">
        <v>872</v>
      </c>
      <c r="T303" s="8">
        <v>872</v>
      </c>
      <c r="U303" s="16">
        <v>45017</v>
      </c>
      <c r="V303" s="17">
        <v>1</v>
      </c>
      <c r="W303" s="16">
        <v>45128</v>
      </c>
      <c r="X303" s="14">
        <v>63</v>
      </c>
      <c r="Y303" s="18">
        <f t="shared" si="157"/>
        <v>63</v>
      </c>
      <c r="Z303" s="18">
        <f t="shared" si="177"/>
        <v>0.328125</v>
      </c>
      <c r="AA303" s="16" t="s">
        <v>166</v>
      </c>
      <c r="AB303" s="26">
        <v>27</v>
      </c>
      <c r="AC303" s="26"/>
      <c r="AD303" s="26"/>
      <c r="AE303" s="147" t="str">
        <f t="shared" si="162"/>
        <v>0</v>
      </c>
      <c r="AF303" s="147" t="str">
        <f t="shared" si="163"/>
        <v>1</v>
      </c>
      <c r="AG303" s="147" t="str">
        <f t="shared" si="164"/>
        <v>0</v>
      </c>
      <c r="AH303" s="147" t="str">
        <f t="shared" si="165"/>
        <v>NO</v>
      </c>
      <c r="AI303" s="147" t="str">
        <f t="shared" si="166"/>
        <v>NO</v>
      </c>
      <c r="AJ303" s="147" t="str">
        <f t="shared" si="167"/>
        <v>NO</v>
      </c>
      <c r="AK303" s="147" t="str">
        <f t="shared" si="168"/>
        <v>NO</v>
      </c>
      <c r="AL303" s="21"/>
      <c r="AM303" s="21">
        <f>IF(H303="Y",AL303,((AB303*$O$902)-6000))</f>
        <v>6764.7899999999991</v>
      </c>
      <c r="AN303" s="27" t="s">
        <v>662</v>
      </c>
      <c r="AO303" s="21">
        <v>1</v>
      </c>
      <c r="AP303" s="21">
        <f t="shared" si="172"/>
        <v>0.328125</v>
      </c>
      <c r="AQ303" s="149">
        <f t="shared" si="154"/>
        <v>2219.6967187499995</v>
      </c>
      <c r="AR303" s="21">
        <v>2219.6967187499995</v>
      </c>
      <c r="AS303" s="610">
        <v>2219.6967187499995</v>
      </c>
      <c r="AT303" s="112">
        <v>2219.6967187499995</v>
      </c>
      <c r="AU303" s="4"/>
      <c r="AV303" s="4"/>
      <c r="AW303" s="23" t="e">
        <f>VLOOKUP(K303,#REF!,8,FALSE)</f>
        <v>#REF!</v>
      </c>
      <c r="AX303" s="23" t="e">
        <f>VLOOKUP(K303,#REF!,8,FALSE)</f>
        <v>#REF!</v>
      </c>
      <c r="AY303" s="266" t="s">
        <v>2243</v>
      </c>
      <c r="AZ303" s="268" t="s">
        <v>75</v>
      </c>
      <c r="BA303" s="274">
        <f>AM303/3*2</f>
        <v>4509.8599999999997</v>
      </c>
      <c r="BB303" s="313">
        <f t="shared" si="173"/>
        <v>0</v>
      </c>
      <c r="BC303" s="269">
        <f t="shared" si="171"/>
        <v>2219.6967187499995</v>
      </c>
      <c r="BD303" t="e">
        <f t="shared" si="178"/>
        <v>#REF!</v>
      </c>
      <c r="BE303" t="s">
        <v>2351</v>
      </c>
      <c r="BI303" t="e">
        <f>VLOOKUP(K303,#REF!,8,FALSE)</f>
        <v>#REF!</v>
      </c>
      <c r="BK303" s="269"/>
      <c r="BN303" s="353" t="s">
        <v>75</v>
      </c>
      <c r="BO303" s="106"/>
      <c r="BP303" s="166">
        <f t="shared" si="169"/>
        <v>2219.6967187499995</v>
      </c>
      <c r="BQ303" t="s">
        <v>2351</v>
      </c>
      <c r="BS303" s="165"/>
      <c r="BX303" s="495">
        <f t="shared" si="170"/>
        <v>2219.6967187499995</v>
      </c>
      <c r="BZ303" s="636">
        <f t="shared" si="155"/>
        <v>0</v>
      </c>
      <c r="CA303" s="633">
        <f t="shared" si="156"/>
        <v>0</v>
      </c>
    </row>
    <row r="304" spans="1:79" x14ac:dyDescent="0.2">
      <c r="A304" s="4">
        <v>1</v>
      </c>
      <c r="B304" s="4">
        <v>1</v>
      </c>
      <c r="C304" s="5">
        <f t="shared" si="176"/>
        <v>41203</v>
      </c>
      <c r="D304" s="6">
        <v>41203</v>
      </c>
      <c r="E304" s="121">
        <v>43012</v>
      </c>
      <c r="F304" s="6" t="s">
        <v>1606</v>
      </c>
      <c r="G304" s="7" t="s">
        <v>75</v>
      </c>
      <c r="H304" s="7"/>
      <c r="I304" s="7" t="s">
        <v>157</v>
      </c>
      <c r="J304" s="7"/>
      <c r="K304" s="29">
        <v>390391</v>
      </c>
      <c r="L304" s="10" t="s">
        <v>648</v>
      </c>
      <c r="M304" s="10" t="s">
        <v>63</v>
      </c>
      <c r="N304" s="10" t="s">
        <v>663</v>
      </c>
      <c r="O304" s="11" t="s">
        <v>664</v>
      </c>
      <c r="P304" s="12">
        <v>40301</v>
      </c>
      <c r="Q304" s="13">
        <f t="shared" ca="1" si="161"/>
        <v>15.389459274469541</v>
      </c>
      <c r="R304" s="14">
        <v>8</v>
      </c>
      <c r="S304" s="15">
        <v>872</v>
      </c>
      <c r="T304" s="8">
        <v>872</v>
      </c>
      <c r="U304" s="16">
        <v>45017</v>
      </c>
      <c r="V304" s="17">
        <v>1</v>
      </c>
      <c r="W304" s="16">
        <v>45382</v>
      </c>
      <c r="X304" s="14">
        <v>192</v>
      </c>
      <c r="Y304" s="18">
        <f t="shared" si="157"/>
        <v>192</v>
      </c>
      <c r="Z304" s="18">
        <f t="shared" si="177"/>
        <v>1</v>
      </c>
      <c r="AA304" s="18" t="s">
        <v>36</v>
      </c>
      <c r="AB304" s="26">
        <v>25</v>
      </c>
      <c r="AC304" s="26"/>
      <c r="AD304" s="26"/>
      <c r="AE304" s="147" t="str">
        <f t="shared" si="162"/>
        <v>1</v>
      </c>
      <c r="AF304" s="147" t="str">
        <f t="shared" si="163"/>
        <v>0</v>
      </c>
      <c r="AG304" s="147" t="str">
        <f t="shared" si="164"/>
        <v>0</v>
      </c>
      <c r="AH304" s="147" t="str">
        <f t="shared" si="165"/>
        <v>NO</v>
      </c>
      <c r="AI304" s="147" t="str">
        <f t="shared" si="166"/>
        <v>NO</v>
      </c>
      <c r="AJ304" s="147" t="str">
        <f t="shared" si="167"/>
        <v>NO</v>
      </c>
      <c r="AK304" s="147" t="str">
        <f t="shared" si="168"/>
        <v>NO</v>
      </c>
      <c r="AL304" s="21"/>
      <c r="AM304" s="21">
        <f>IF(H304="Y",AL304,((AB304*$O$902)-6000))</f>
        <v>5819.25</v>
      </c>
      <c r="AN304" s="27" t="s">
        <v>66</v>
      </c>
      <c r="AO304" s="21">
        <v>1</v>
      </c>
      <c r="AP304" s="21">
        <f t="shared" si="172"/>
        <v>1</v>
      </c>
      <c r="AQ304" s="149">
        <f t="shared" si="154"/>
        <v>5819.25</v>
      </c>
      <c r="AR304" s="21">
        <v>5819.25</v>
      </c>
      <c r="AS304" s="610">
        <v>5819.25</v>
      </c>
      <c r="AT304" s="112">
        <v>5819.25</v>
      </c>
      <c r="AU304" s="4"/>
      <c r="AV304" s="4"/>
      <c r="AW304" s="23" t="e">
        <f>VLOOKUP(K304,#REF!,8,FALSE)</f>
        <v>#REF!</v>
      </c>
      <c r="AX304" s="23" t="e">
        <f>VLOOKUP(K304,#REF!,8,FALSE)</f>
        <v>#REF!</v>
      </c>
      <c r="AY304" s="23" t="e">
        <f>VLOOKUP(K304,#REF!,8,FALSE)</f>
        <v>#REF!</v>
      </c>
      <c r="AZ304" s="4"/>
      <c r="BA304" s="272"/>
      <c r="BB304" s="313">
        <f t="shared" si="173"/>
        <v>0</v>
      </c>
      <c r="BC304" s="269">
        <f t="shared" si="171"/>
        <v>5819.25</v>
      </c>
      <c r="BD304" t="str">
        <f t="shared" si="178"/>
        <v/>
      </c>
      <c r="BP304" s="166">
        <f t="shared" si="169"/>
        <v>5819.25</v>
      </c>
      <c r="BS304" s="165"/>
      <c r="BX304" s="495">
        <f t="shared" si="170"/>
        <v>5819.25</v>
      </c>
      <c r="BZ304" s="636">
        <f t="shared" si="155"/>
        <v>0</v>
      </c>
      <c r="CA304" s="633">
        <f t="shared" si="156"/>
        <v>0</v>
      </c>
    </row>
    <row r="305" spans="1:79" x14ac:dyDescent="0.2">
      <c r="A305" s="4">
        <v>1</v>
      </c>
      <c r="B305" s="4">
        <v>1</v>
      </c>
      <c r="C305" s="5">
        <f t="shared" si="176"/>
        <v>41203</v>
      </c>
      <c r="D305" s="6">
        <v>41203</v>
      </c>
      <c r="E305" s="121">
        <v>43012</v>
      </c>
      <c r="F305" s="6" t="s">
        <v>1606</v>
      </c>
      <c r="G305" s="7" t="s">
        <v>75</v>
      </c>
      <c r="H305" s="7"/>
      <c r="I305" s="7" t="s">
        <v>157</v>
      </c>
      <c r="J305" s="7"/>
      <c r="K305" s="29">
        <v>426286</v>
      </c>
      <c r="L305" s="10" t="s">
        <v>648</v>
      </c>
      <c r="M305" s="10" t="s">
        <v>665</v>
      </c>
      <c r="N305" s="10" t="s">
        <v>666</v>
      </c>
      <c r="O305" s="11" t="s">
        <v>667</v>
      </c>
      <c r="P305" s="12">
        <v>39258</v>
      </c>
      <c r="Q305" s="13">
        <f t="shared" ca="1" si="161"/>
        <v>18.245037645448324</v>
      </c>
      <c r="R305" s="14">
        <v>11</v>
      </c>
      <c r="S305" s="15">
        <v>872</v>
      </c>
      <c r="T305" s="8">
        <v>872</v>
      </c>
      <c r="U305" s="16">
        <v>45017</v>
      </c>
      <c r="V305" s="17">
        <v>1</v>
      </c>
      <c r="W305" s="16">
        <v>45128</v>
      </c>
      <c r="X305" s="14">
        <v>63</v>
      </c>
      <c r="Y305" s="18">
        <f t="shared" si="157"/>
        <v>63</v>
      </c>
      <c r="Z305" s="18">
        <f t="shared" si="177"/>
        <v>0.328125</v>
      </c>
      <c r="AA305" s="16" t="s">
        <v>166</v>
      </c>
      <c r="AB305" s="26">
        <v>26</v>
      </c>
      <c r="AC305" s="26"/>
      <c r="AD305" s="26"/>
      <c r="AE305" s="147" t="str">
        <f t="shared" si="162"/>
        <v>0</v>
      </c>
      <c r="AF305" s="147" t="str">
        <f t="shared" si="163"/>
        <v>1</v>
      </c>
      <c r="AG305" s="147" t="str">
        <f t="shared" si="164"/>
        <v>0</v>
      </c>
      <c r="AH305" s="147" t="str">
        <f t="shared" si="165"/>
        <v>NO</v>
      </c>
      <c r="AI305" s="147" t="str">
        <f t="shared" si="166"/>
        <v>NO</v>
      </c>
      <c r="AJ305" s="147" t="str">
        <f t="shared" si="167"/>
        <v>NO</v>
      </c>
      <c r="AK305" s="147" t="str">
        <f t="shared" si="168"/>
        <v>NO</v>
      </c>
      <c r="AL305" s="21"/>
      <c r="AM305" s="21">
        <f>IF(H305="Y",AL305,((AB305*$O$902)-6000))</f>
        <v>6292.02</v>
      </c>
      <c r="AN305" s="27" t="s">
        <v>66</v>
      </c>
      <c r="AO305" s="21">
        <v>1</v>
      </c>
      <c r="AP305" s="21">
        <f t="shared" si="172"/>
        <v>0.328125</v>
      </c>
      <c r="AQ305" s="149">
        <f t="shared" si="154"/>
        <v>2064.5690625000002</v>
      </c>
      <c r="AR305" s="21">
        <v>2064.5690625000002</v>
      </c>
      <c r="AS305" s="610">
        <v>2064.5690625000002</v>
      </c>
      <c r="AT305" s="112">
        <v>2064.5690625000002</v>
      </c>
      <c r="AU305" s="4"/>
      <c r="AV305" s="4"/>
      <c r="AW305" s="23" t="e">
        <f>VLOOKUP(K305,#REF!,8,FALSE)</f>
        <v>#REF!</v>
      </c>
      <c r="AX305" s="23" t="e">
        <f>VLOOKUP(K305,#REF!,8,FALSE)</f>
        <v>#REF!</v>
      </c>
      <c r="AY305" s="266" t="s">
        <v>2235</v>
      </c>
      <c r="AZ305" s="268" t="s">
        <v>75</v>
      </c>
      <c r="BA305" s="274">
        <f>AM305/3*2</f>
        <v>4194.68</v>
      </c>
      <c r="BB305" s="313">
        <f t="shared" si="173"/>
        <v>0</v>
      </c>
      <c r="BC305" s="269">
        <f t="shared" si="171"/>
        <v>2064.5690625000002</v>
      </c>
      <c r="BD305" t="e">
        <f t="shared" si="178"/>
        <v>#REF!</v>
      </c>
      <c r="BE305" t="s">
        <v>2351</v>
      </c>
      <c r="BI305" t="e">
        <f>VLOOKUP(K305,#REF!,8,FALSE)</f>
        <v>#REF!</v>
      </c>
      <c r="BK305" s="269"/>
      <c r="BN305" s="353" t="s">
        <v>75</v>
      </c>
      <c r="BO305" s="106"/>
      <c r="BP305" s="166">
        <f t="shared" si="169"/>
        <v>2064.5690625000002</v>
      </c>
      <c r="BQ305" t="s">
        <v>2351</v>
      </c>
      <c r="BS305" s="165"/>
      <c r="BX305" s="495">
        <f t="shared" si="170"/>
        <v>2064.5690625000002</v>
      </c>
      <c r="BZ305" s="636">
        <f t="shared" si="155"/>
        <v>0</v>
      </c>
      <c r="CA305" s="633">
        <f t="shared" si="156"/>
        <v>0</v>
      </c>
    </row>
    <row r="306" spans="1:79" x14ac:dyDescent="0.2">
      <c r="A306" s="4">
        <v>1</v>
      </c>
      <c r="B306" s="4">
        <v>1</v>
      </c>
      <c r="C306" s="5">
        <f t="shared" si="176"/>
        <v>41203</v>
      </c>
      <c r="D306" s="6">
        <v>41203</v>
      </c>
      <c r="E306" s="121">
        <v>43012</v>
      </c>
      <c r="F306" s="6" t="s">
        <v>1606</v>
      </c>
      <c r="G306" s="7" t="s">
        <v>75</v>
      </c>
      <c r="H306" s="7"/>
      <c r="I306" s="7" t="s">
        <v>157</v>
      </c>
      <c r="J306" s="7"/>
      <c r="K306" s="29">
        <v>397338</v>
      </c>
      <c r="L306" s="10" t="s">
        <v>648</v>
      </c>
      <c r="M306" s="10" t="s">
        <v>668</v>
      </c>
      <c r="N306" s="10" t="s">
        <v>669</v>
      </c>
      <c r="O306" s="11" t="s">
        <v>670</v>
      </c>
      <c r="P306" s="12">
        <v>40691</v>
      </c>
      <c r="Q306" s="13">
        <f t="shared" ca="1" si="161"/>
        <v>14.321697467488022</v>
      </c>
      <c r="R306" s="14">
        <v>7</v>
      </c>
      <c r="S306" s="15">
        <v>872</v>
      </c>
      <c r="T306" s="8">
        <v>872</v>
      </c>
      <c r="U306" s="16">
        <v>45017</v>
      </c>
      <c r="V306" s="17">
        <v>1</v>
      </c>
      <c r="W306" s="16">
        <v>45382</v>
      </c>
      <c r="X306" s="14">
        <v>192</v>
      </c>
      <c r="Y306" s="18">
        <f t="shared" si="157"/>
        <v>192</v>
      </c>
      <c r="Z306" s="18">
        <f t="shared" si="177"/>
        <v>1</v>
      </c>
      <c r="AA306" s="16" t="s">
        <v>36</v>
      </c>
      <c r="AB306" s="26">
        <v>31</v>
      </c>
      <c r="AC306" s="26"/>
      <c r="AD306" s="26"/>
      <c r="AE306" s="147" t="str">
        <f t="shared" si="162"/>
        <v>0</v>
      </c>
      <c r="AF306" s="147" t="str">
        <f t="shared" si="163"/>
        <v>0</v>
      </c>
      <c r="AG306" s="147" t="str">
        <f t="shared" si="164"/>
        <v>1</v>
      </c>
      <c r="AH306" s="147" t="str">
        <f t="shared" si="165"/>
        <v>NO</v>
      </c>
      <c r="AI306" s="147" t="str">
        <f t="shared" si="166"/>
        <v>NO</v>
      </c>
      <c r="AJ306" s="147" t="str">
        <f t="shared" si="167"/>
        <v>NO</v>
      </c>
      <c r="AK306" s="147" t="str">
        <f t="shared" si="168"/>
        <v>NO</v>
      </c>
      <c r="AL306" s="21"/>
      <c r="AM306" s="21">
        <f>IF(H306="Y",AL306,((AB306*$O$902)-6000))</f>
        <v>8655.869999999999</v>
      </c>
      <c r="AN306" s="27" t="s">
        <v>185</v>
      </c>
      <c r="AO306" s="21">
        <v>1</v>
      </c>
      <c r="AP306" s="21">
        <f t="shared" si="172"/>
        <v>1</v>
      </c>
      <c r="AQ306" s="149">
        <f t="shared" si="154"/>
        <v>8655.869999999999</v>
      </c>
      <c r="AR306" s="21">
        <v>8655.869999999999</v>
      </c>
      <c r="AS306" s="610">
        <v>0</v>
      </c>
      <c r="AT306" s="112">
        <v>8655.869999999999</v>
      </c>
      <c r="AU306" s="4"/>
      <c r="AV306" s="4"/>
      <c r="AW306" s="23" t="e">
        <f>VLOOKUP(K306,#REF!,8,FALSE)</f>
        <v>#REF!</v>
      </c>
      <c r="AX306" s="23" t="e">
        <f>VLOOKUP(K306,#REF!,8,FALSE)</f>
        <v>#REF!</v>
      </c>
      <c r="AY306" s="23" t="e">
        <f>VLOOKUP(K306,#REF!,8,FALSE)</f>
        <v>#REF!</v>
      </c>
      <c r="AZ306" s="4"/>
      <c r="BA306" s="272"/>
      <c r="BB306" s="313">
        <f t="shared" si="173"/>
        <v>0</v>
      </c>
      <c r="BC306" s="269">
        <f t="shared" si="171"/>
        <v>8655.869999999999</v>
      </c>
      <c r="BD306" t="str">
        <f t="shared" si="178"/>
        <v/>
      </c>
      <c r="BP306" s="166">
        <f t="shared" si="169"/>
        <v>8655.869999999999</v>
      </c>
      <c r="BS306" s="165"/>
      <c r="BX306" s="495">
        <f t="shared" si="170"/>
        <v>8655.869999999999</v>
      </c>
      <c r="BZ306" s="636">
        <f t="shared" si="155"/>
        <v>0</v>
      </c>
      <c r="CA306" s="633">
        <f t="shared" si="156"/>
        <v>8655.869999999999</v>
      </c>
    </row>
    <row r="307" spans="1:79" x14ac:dyDescent="0.2">
      <c r="A307" s="4">
        <v>0</v>
      </c>
      <c r="B307" s="4">
        <v>1</v>
      </c>
      <c r="C307" s="5">
        <f t="shared" si="176"/>
        <v>41203</v>
      </c>
      <c r="D307" s="6">
        <v>41203</v>
      </c>
      <c r="E307" s="121">
        <v>43012</v>
      </c>
      <c r="F307" s="6" t="s">
        <v>1606</v>
      </c>
      <c r="G307" s="7" t="s">
        <v>75</v>
      </c>
      <c r="H307" s="7"/>
      <c r="I307" s="7" t="s">
        <v>157</v>
      </c>
      <c r="J307" s="7" t="s">
        <v>142</v>
      </c>
      <c r="K307" s="29">
        <v>397338</v>
      </c>
      <c r="L307" s="10" t="s">
        <v>648</v>
      </c>
      <c r="M307" s="10" t="s">
        <v>668</v>
      </c>
      <c r="N307" s="10" t="s">
        <v>669</v>
      </c>
      <c r="O307" s="11" t="s">
        <v>670</v>
      </c>
      <c r="P307" s="12">
        <v>40691</v>
      </c>
      <c r="Q307" s="13">
        <f t="shared" ca="1" si="161"/>
        <v>14.321697467488022</v>
      </c>
      <c r="R307" s="14">
        <v>7</v>
      </c>
      <c r="S307" s="15">
        <v>872</v>
      </c>
      <c r="T307" s="8">
        <v>872</v>
      </c>
      <c r="U307" s="16">
        <v>45017</v>
      </c>
      <c r="V307" s="17">
        <v>1</v>
      </c>
      <c r="W307" s="16">
        <v>45382</v>
      </c>
      <c r="X307" s="14">
        <v>192</v>
      </c>
      <c r="Y307" s="18">
        <f t="shared" si="157"/>
        <v>192</v>
      </c>
      <c r="Z307" s="18">
        <f t="shared" si="177"/>
        <v>1</v>
      </c>
      <c r="AA307" s="16" t="s">
        <v>36</v>
      </c>
      <c r="AB307" s="26">
        <v>12386.21</v>
      </c>
      <c r="AC307" s="26"/>
      <c r="AD307" s="26"/>
      <c r="AE307" s="147" t="str">
        <f t="shared" si="162"/>
        <v>0</v>
      </c>
      <c r="AF307" s="147" t="str">
        <f t="shared" si="163"/>
        <v>0</v>
      </c>
      <c r="AG307" s="147" t="str">
        <f t="shared" si="164"/>
        <v>1</v>
      </c>
      <c r="AH307" s="147" t="str">
        <f t="shared" si="165"/>
        <v>NO</v>
      </c>
      <c r="AI307" s="147" t="str">
        <f t="shared" si="166"/>
        <v>NO</v>
      </c>
      <c r="AJ307" s="147" t="str">
        <f t="shared" si="167"/>
        <v>NO</v>
      </c>
      <c r="AK307" s="147" t="str">
        <f t="shared" si="168"/>
        <v>NO</v>
      </c>
      <c r="AL307" s="21"/>
      <c r="AM307" s="21">
        <v>12386.21</v>
      </c>
      <c r="AN307" s="27" t="s">
        <v>185</v>
      </c>
      <c r="AO307" s="21">
        <v>1</v>
      </c>
      <c r="AP307" s="21">
        <f t="shared" si="172"/>
        <v>1</v>
      </c>
      <c r="AQ307" s="149">
        <f t="shared" si="154"/>
        <v>12386.21</v>
      </c>
      <c r="AR307" s="21">
        <v>12386.21</v>
      </c>
      <c r="AS307" s="610">
        <v>0</v>
      </c>
      <c r="AT307" s="112">
        <v>12386.21</v>
      </c>
      <c r="AU307" s="4"/>
      <c r="AV307" s="4"/>
      <c r="AW307" s="23" t="e">
        <f>VLOOKUP(K307,#REF!,8,FALSE)</f>
        <v>#REF!</v>
      </c>
      <c r="AX307" s="23" t="e">
        <f>VLOOKUP(K307,#REF!,8,FALSE)</f>
        <v>#REF!</v>
      </c>
      <c r="AY307" s="23" t="e">
        <f>VLOOKUP(K307,#REF!,8,FALSE)</f>
        <v>#REF!</v>
      </c>
      <c r="AZ307" s="4"/>
      <c r="BA307" s="272"/>
      <c r="BB307" s="313">
        <f t="shared" si="173"/>
        <v>0</v>
      </c>
      <c r="BC307" s="269">
        <f t="shared" si="171"/>
        <v>12386.21</v>
      </c>
      <c r="BD307" t="str">
        <f t="shared" si="178"/>
        <v/>
      </c>
      <c r="BP307" s="166">
        <f t="shared" si="169"/>
        <v>12386.21</v>
      </c>
      <c r="BS307" s="165"/>
      <c r="BX307" s="495">
        <f t="shared" si="170"/>
        <v>12386.21</v>
      </c>
      <c r="BZ307" s="636">
        <f t="shared" si="155"/>
        <v>0</v>
      </c>
      <c r="CA307" s="633">
        <f t="shared" si="156"/>
        <v>12386.21</v>
      </c>
    </row>
    <row r="308" spans="1:79" x14ac:dyDescent="0.2">
      <c r="A308" s="4">
        <v>1</v>
      </c>
      <c r="B308" s="4">
        <v>1</v>
      </c>
      <c r="C308" s="5">
        <f t="shared" si="176"/>
        <v>41203</v>
      </c>
      <c r="D308" s="6">
        <v>41203</v>
      </c>
      <c r="E308" s="121">
        <v>43012</v>
      </c>
      <c r="F308" s="6" t="s">
        <v>1606</v>
      </c>
      <c r="G308" s="7" t="s">
        <v>75</v>
      </c>
      <c r="H308" s="7"/>
      <c r="I308" s="7" t="s">
        <v>157</v>
      </c>
      <c r="J308" s="7"/>
      <c r="K308" s="29">
        <v>389532</v>
      </c>
      <c r="L308" s="10" t="s">
        <v>648</v>
      </c>
      <c r="M308" s="10" t="s">
        <v>231</v>
      </c>
      <c r="N308" s="10" t="s">
        <v>671</v>
      </c>
      <c r="O308" s="11" t="s">
        <v>672</v>
      </c>
      <c r="P308" s="12">
        <v>40446</v>
      </c>
      <c r="Q308" s="13">
        <f t="shared" ca="1" si="161"/>
        <v>14.992470910335387</v>
      </c>
      <c r="R308" s="14">
        <v>7</v>
      </c>
      <c r="S308" s="15">
        <v>872</v>
      </c>
      <c r="T308" s="8">
        <v>872</v>
      </c>
      <c r="U308" s="16">
        <v>45017</v>
      </c>
      <c r="V308" s="17">
        <v>1</v>
      </c>
      <c r="W308" s="16">
        <v>45382</v>
      </c>
      <c r="X308" s="14">
        <v>192</v>
      </c>
      <c r="Y308" s="18">
        <f t="shared" si="157"/>
        <v>192</v>
      </c>
      <c r="Z308" s="18">
        <f t="shared" si="177"/>
        <v>1</v>
      </c>
      <c r="AA308" s="18" t="s">
        <v>36</v>
      </c>
      <c r="AB308" s="26">
        <v>30</v>
      </c>
      <c r="AC308" s="26"/>
      <c r="AD308" s="26"/>
      <c r="AE308" s="147" t="str">
        <f t="shared" si="162"/>
        <v>0</v>
      </c>
      <c r="AF308" s="147" t="str">
        <f t="shared" si="163"/>
        <v>1</v>
      </c>
      <c r="AG308" s="147" t="str">
        <f t="shared" si="164"/>
        <v>0</v>
      </c>
      <c r="AH308" s="147" t="str">
        <f t="shared" si="165"/>
        <v>NO</v>
      </c>
      <c r="AI308" s="147" t="str">
        <f t="shared" si="166"/>
        <v>NO</v>
      </c>
      <c r="AJ308" s="147" t="str">
        <f t="shared" si="167"/>
        <v>NO</v>
      </c>
      <c r="AK308" s="147" t="str">
        <f t="shared" si="168"/>
        <v>NO</v>
      </c>
      <c r="AL308" s="21"/>
      <c r="AM308" s="21">
        <f t="shared" ref="AM308:AM313" si="179">IF(H308="Y",AL308,((AB308*$O$902)-6000))</f>
        <v>8183.0999999999985</v>
      </c>
      <c r="AN308" s="27" t="s">
        <v>43</v>
      </c>
      <c r="AO308" s="21">
        <v>1</v>
      </c>
      <c r="AP308" s="21">
        <f t="shared" si="172"/>
        <v>1</v>
      </c>
      <c r="AQ308" s="149">
        <f t="shared" si="154"/>
        <v>8183.0999999999985</v>
      </c>
      <c r="AR308" s="21">
        <v>8183.0999999999985</v>
      </c>
      <c r="AS308" s="610">
        <v>8183.0999999999985</v>
      </c>
      <c r="AT308" s="112">
        <v>8183.0999999999985</v>
      </c>
      <c r="AU308" s="4"/>
      <c r="AV308" s="4"/>
      <c r="AW308" s="23" t="e">
        <f>VLOOKUP(K308,#REF!,8,FALSE)</f>
        <v>#REF!</v>
      </c>
      <c r="AX308" s="23" t="e">
        <f>VLOOKUP(K308,#REF!,8,FALSE)</f>
        <v>#REF!</v>
      </c>
      <c r="AY308" s="23" t="e">
        <f>VLOOKUP(K308,#REF!,8,FALSE)</f>
        <v>#REF!</v>
      </c>
      <c r="AZ308" s="4"/>
      <c r="BA308" s="272"/>
      <c r="BB308" s="313">
        <f t="shared" si="173"/>
        <v>0</v>
      </c>
      <c r="BC308" s="269">
        <f t="shared" si="171"/>
        <v>8183.0999999999985</v>
      </c>
      <c r="BD308" t="str">
        <f t="shared" si="178"/>
        <v/>
      </c>
      <c r="BP308" s="166">
        <f t="shared" si="169"/>
        <v>8183.0999999999985</v>
      </c>
      <c r="BS308" s="165"/>
      <c r="BX308" s="495">
        <f t="shared" si="170"/>
        <v>8183.0999999999985</v>
      </c>
      <c r="BZ308" s="636">
        <f t="shared" si="155"/>
        <v>0</v>
      </c>
      <c r="CA308" s="633">
        <f t="shared" si="156"/>
        <v>0</v>
      </c>
    </row>
    <row r="309" spans="1:79" x14ac:dyDescent="0.2">
      <c r="A309" s="4">
        <v>1</v>
      </c>
      <c r="B309" s="4">
        <v>1</v>
      </c>
      <c r="C309" s="5">
        <f t="shared" si="176"/>
        <v>41203</v>
      </c>
      <c r="D309" s="6">
        <v>41203</v>
      </c>
      <c r="E309" s="121">
        <v>43012</v>
      </c>
      <c r="F309" s="6" t="s">
        <v>1606</v>
      </c>
      <c r="G309" s="7" t="s">
        <v>75</v>
      </c>
      <c r="H309" s="7"/>
      <c r="I309" s="7" t="s">
        <v>157</v>
      </c>
      <c r="J309" s="7"/>
      <c r="K309" s="29">
        <v>448646</v>
      </c>
      <c r="L309" s="10" t="s">
        <v>648</v>
      </c>
      <c r="M309" s="10" t="s">
        <v>231</v>
      </c>
      <c r="N309" s="10" t="s">
        <v>673</v>
      </c>
      <c r="O309" s="11" t="s">
        <v>674</v>
      </c>
      <c r="P309" s="12">
        <v>39517</v>
      </c>
      <c r="Q309" s="13">
        <f t="shared" ca="1" si="161"/>
        <v>17.535934291581111</v>
      </c>
      <c r="R309" s="14">
        <v>10</v>
      </c>
      <c r="S309" s="15">
        <v>872</v>
      </c>
      <c r="T309" s="8">
        <v>872</v>
      </c>
      <c r="U309" s="16">
        <v>45017</v>
      </c>
      <c r="V309" s="17">
        <v>1</v>
      </c>
      <c r="W309" s="16">
        <v>45382</v>
      </c>
      <c r="X309" s="14">
        <v>192</v>
      </c>
      <c r="Y309" s="18">
        <f t="shared" si="157"/>
        <v>192</v>
      </c>
      <c r="Z309" s="18">
        <f t="shared" si="177"/>
        <v>1</v>
      </c>
      <c r="AA309" s="18" t="s">
        <v>36</v>
      </c>
      <c r="AB309" s="26">
        <v>30</v>
      </c>
      <c r="AC309" s="26"/>
      <c r="AD309" s="26"/>
      <c r="AE309" s="147" t="str">
        <f t="shared" si="162"/>
        <v>0</v>
      </c>
      <c r="AF309" s="147" t="str">
        <f t="shared" si="163"/>
        <v>1</v>
      </c>
      <c r="AG309" s="147" t="str">
        <f t="shared" si="164"/>
        <v>0</v>
      </c>
      <c r="AH309" s="147" t="str">
        <f t="shared" si="165"/>
        <v>NO</v>
      </c>
      <c r="AI309" s="147" t="str">
        <f t="shared" si="166"/>
        <v>NO</v>
      </c>
      <c r="AJ309" s="147" t="str">
        <f t="shared" si="167"/>
        <v>NO</v>
      </c>
      <c r="AK309" s="147" t="str">
        <f t="shared" si="168"/>
        <v>NO</v>
      </c>
      <c r="AL309" s="21"/>
      <c r="AM309" s="21">
        <f t="shared" si="179"/>
        <v>8183.0999999999985</v>
      </c>
      <c r="AN309" s="27" t="s">
        <v>56</v>
      </c>
      <c r="AO309" s="21">
        <v>1</v>
      </c>
      <c r="AP309" s="21">
        <f t="shared" si="172"/>
        <v>1</v>
      </c>
      <c r="AQ309" s="149">
        <f t="shared" si="154"/>
        <v>8183.0999999999985</v>
      </c>
      <c r="AR309" s="21">
        <v>8183.0999999999985</v>
      </c>
      <c r="AS309" s="610">
        <v>0</v>
      </c>
      <c r="AT309" s="112">
        <v>8183.0999999999985</v>
      </c>
      <c r="AU309" s="4"/>
      <c r="AV309" s="4"/>
      <c r="AW309" s="23" t="e">
        <f>VLOOKUP(K309,#REF!,8,FALSE)</f>
        <v>#REF!</v>
      </c>
      <c r="AX309" s="23" t="e">
        <f>VLOOKUP(K309,#REF!,8,FALSE)</f>
        <v>#REF!</v>
      </c>
      <c r="AY309" s="23" t="e">
        <f>VLOOKUP(K309,#REF!,8,FALSE)</f>
        <v>#REF!</v>
      </c>
      <c r="AZ309" s="4"/>
      <c r="BA309" s="272"/>
      <c r="BB309" s="313">
        <f t="shared" si="173"/>
        <v>0</v>
      </c>
      <c r="BC309" s="269">
        <f t="shared" si="171"/>
        <v>8183.0999999999985</v>
      </c>
      <c r="BD309" t="str">
        <f t="shared" si="178"/>
        <v/>
      </c>
      <c r="BP309" s="166">
        <f t="shared" si="169"/>
        <v>8183.0999999999985</v>
      </c>
      <c r="BS309" s="165"/>
      <c r="BX309" s="495">
        <f t="shared" si="170"/>
        <v>8183.0999999999985</v>
      </c>
      <c r="BZ309" s="636">
        <f t="shared" si="155"/>
        <v>0</v>
      </c>
      <c r="CA309" s="633">
        <f t="shared" si="156"/>
        <v>8183.0999999999985</v>
      </c>
    </row>
    <row r="310" spans="1:79" x14ac:dyDescent="0.2">
      <c r="A310" s="4">
        <v>1</v>
      </c>
      <c r="B310" s="4">
        <v>1</v>
      </c>
      <c r="C310" s="5">
        <f t="shared" si="176"/>
        <v>41113</v>
      </c>
      <c r="D310" s="6">
        <v>41113</v>
      </c>
      <c r="E310" s="6">
        <v>43011</v>
      </c>
      <c r="F310" s="6" t="s">
        <v>1876</v>
      </c>
      <c r="G310" s="37"/>
      <c r="H310" s="7"/>
      <c r="I310" s="7" t="s">
        <v>32</v>
      </c>
      <c r="J310" s="7"/>
      <c r="K310" s="29">
        <v>429926</v>
      </c>
      <c r="L310" s="46" t="s">
        <v>675</v>
      </c>
      <c r="M310" s="10" t="s">
        <v>676</v>
      </c>
      <c r="N310" s="10" t="s">
        <v>677</v>
      </c>
      <c r="O310" s="11" t="s">
        <v>678</v>
      </c>
      <c r="P310" s="12">
        <v>42467</v>
      </c>
      <c r="Q310" s="13">
        <f t="shared" ca="1" si="161"/>
        <v>9.4592744695414108</v>
      </c>
      <c r="R310" s="14">
        <v>2</v>
      </c>
      <c r="S310" s="15">
        <v>872</v>
      </c>
      <c r="T310" s="8">
        <v>872</v>
      </c>
      <c r="U310" s="16">
        <v>45017</v>
      </c>
      <c r="V310" s="17">
        <v>1</v>
      </c>
      <c r="W310" s="16">
        <v>45128</v>
      </c>
      <c r="X310" s="14">
        <v>63</v>
      </c>
      <c r="Y310" s="18">
        <f t="shared" si="157"/>
        <v>63</v>
      </c>
      <c r="Z310" s="18">
        <f t="shared" si="177"/>
        <v>0.328125</v>
      </c>
      <c r="AA310" s="16" t="s">
        <v>405</v>
      </c>
      <c r="AB310" s="26">
        <v>23</v>
      </c>
      <c r="AC310" s="26"/>
      <c r="AD310" s="26"/>
      <c r="AE310" s="147" t="str">
        <f t="shared" si="162"/>
        <v>1</v>
      </c>
      <c r="AF310" s="147" t="str">
        <f t="shared" si="163"/>
        <v>0</v>
      </c>
      <c r="AG310" s="147" t="str">
        <f t="shared" si="164"/>
        <v>0</v>
      </c>
      <c r="AH310" s="147" t="str">
        <f t="shared" si="165"/>
        <v>NO</v>
      </c>
      <c r="AI310" s="147" t="str">
        <f t="shared" si="166"/>
        <v>NO</v>
      </c>
      <c r="AJ310" s="147" t="str">
        <f t="shared" si="167"/>
        <v>NO</v>
      </c>
      <c r="AK310" s="147" t="str">
        <f t="shared" si="168"/>
        <v>NO</v>
      </c>
      <c r="AL310" s="21"/>
      <c r="AM310" s="21">
        <f t="shared" si="179"/>
        <v>4873.7099999999991</v>
      </c>
      <c r="AN310" s="27" t="s">
        <v>536</v>
      </c>
      <c r="AO310" s="21">
        <v>1</v>
      </c>
      <c r="AP310" s="21">
        <f t="shared" si="172"/>
        <v>0.328125</v>
      </c>
      <c r="AQ310" s="149">
        <f t="shared" si="154"/>
        <v>1599.1860937499996</v>
      </c>
      <c r="AR310" s="21">
        <v>1599.1860937499996</v>
      </c>
      <c r="AS310" s="610">
        <v>1599.1860937499996</v>
      </c>
      <c r="AT310" s="112">
        <v>1599.1860937499996</v>
      </c>
      <c r="AU310" s="4"/>
      <c r="AV310" s="4"/>
      <c r="AW310" s="23" t="e">
        <f>VLOOKUP(K310,#REF!,8,FALSE)</f>
        <v>#REF!</v>
      </c>
      <c r="AX310" s="23" t="e">
        <f>VLOOKUP(K310,#REF!,8,FALSE)</f>
        <v>#REF!</v>
      </c>
      <c r="AY310" s="23" t="e">
        <f>VLOOKUP(K310,#REF!,8,FALSE)</f>
        <v>#REF!</v>
      </c>
      <c r="AZ310" s="4"/>
      <c r="BA310" s="272"/>
      <c r="BB310" s="313">
        <f t="shared" si="173"/>
        <v>0</v>
      </c>
      <c r="BC310" s="269">
        <f t="shared" ref="BC310:BC341" si="180">AR310</f>
        <v>1599.1860937499996</v>
      </c>
      <c r="BD310" s="110" t="s">
        <v>2405</v>
      </c>
      <c r="BJ310">
        <f>AB310</f>
        <v>23</v>
      </c>
      <c r="BK310" s="269">
        <f>AM310</f>
        <v>4873.7099999999991</v>
      </c>
      <c r="BO310" s="106">
        <f>BK310/192*127</f>
        <v>3223.7560937499993</v>
      </c>
      <c r="BP310" s="166">
        <f t="shared" si="169"/>
        <v>4822.9421874999989</v>
      </c>
      <c r="BS310" s="165" t="s">
        <v>1495</v>
      </c>
      <c r="BT310" t="s">
        <v>1495</v>
      </c>
      <c r="BX310" s="495">
        <f t="shared" si="170"/>
        <v>4822.9421874999989</v>
      </c>
      <c r="BZ310" s="636">
        <f t="shared" si="155"/>
        <v>0</v>
      </c>
      <c r="CA310" s="633">
        <f t="shared" si="156"/>
        <v>3223.7560937499993</v>
      </c>
    </row>
    <row r="311" spans="1:79" x14ac:dyDescent="0.2">
      <c r="A311" s="4">
        <v>1</v>
      </c>
      <c r="B311" s="4">
        <v>1</v>
      </c>
      <c r="C311" s="5">
        <f t="shared" si="176"/>
        <v>41113</v>
      </c>
      <c r="D311" s="6">
        <v>41113</v>
      </c>
      <c r="E311" s="6">
        <v>43011</v>
      </c>
      <c r="F311" s="6" t="s">
        <v>1876</v>
      </c>
      <c r="G311" s="37"/>
      <c r="H311" s="7"/>
      <c r="I311" s="7" t="s">
        <v>32</v>
      </c>
      <c r="J311" s="7"/>
      <c r="K311" s="29">
        <v>429199</v>
      </c>
      <c r="L311" s="46" t="s">
        <v>675</v>
      </c>
      <c r="M311" s="10" t="s">
        <v>679</v>
      </c>
      <c r="N311" s="10" t="s">
        <v>396</v>
      </c>
      <c r="O311" s="11" t="s">
        <v>680</v>
      </c>
      <c r="P311" s="12">
        <v>42422</v>
      </c>
      <c r="Q311" s="13">
        <f t="shared" ca="1" si="161"/>
        <v>9.5824777549623548</v>
      </c>
      <c r="R311" s="14">
        <v>2</v>
      </c>
      <c r="S311" s="15">
        <v>872</v>
      </c>
      <c r="T311" s="8">
        <v>872</v>
      </c>
      <c r="U311" s="16">
        <v>45017</v>
      </c>
      <c r="V311" s="17">
        <v>1</v>
      </c>
      <c r="W311" s="16">
        <v>45128</v>
      </c>
      <c r="X311" s="14">
        <v>63</v>
      </c>
      <c r="Y311" s="18">
        <f t="shared" si="157"/>
        <v>63</v>
      </c>
      <c r="Z311" s="18">
        <f t="shared" si="177"/>
        <v>0.328125</v>
      </c>
      <c r="AA311" s="16" t="s">
        <v>405</v>
      </c>
      <c r="AB311" s="26">
        <v>26</v>
      </c>
      <c r="AC311" s="26"/>
      <c r="AD311" s="26"/>
      <c r="AE311" s="147" t="str">
        <f t="shared" si="162"/>
        <v>0</v>
      </c>
      <c r="AF311" s="147" t="str">
        <f t="shared" si="163"/>
        <v>1</v>
      </c>
      <c r="AG311" s="147" t="str">
        <f t="shared" si="164"/>
        <v>0</v>
      </c>
      <c r="AH311" s="147" t="str">
        <f t="shared" si="165"/>
        <v>NO</v>
      </c>
      <c r="AI311" s="147" t="str">
        <f t="shared" si="166"/>
        <v>NO</v>
      </c>
      <c r="AJ311" s="147" t="str">
        <f t="shared" si="167"/>
        <v>NO</v>
      </c>
      <c r="AK311" s="147" t="str">
        <f t="shared" si="168"/>
        <v>NO</v>
      </c>
      <c r="AL311" s="21"/>
      <c r="AM311" s="21">
        <f t="shared" si="179"/>
        <v>6292.02</v>
      </c>
      <c r="AN311" s="27" t="s">
        <v>37</v>
      </c>
      <c r="AO311" s="21">
        <v>1</v>
      </c>
      <c r="AP311" s="21">
        <f t="shared" si="172"/>
        <v>0.328125</v>
      </c>
      <c r="AQ311" s="149">
        <f t="shared" si="154"/>
        <v>2064.5690625000002</v>
      </c>
      <c r="AR311" s="21">
        <v>2064.5690625000002</v>
      </c>
      <c r="AS311" s="610">
        <v>2064.5690625000002</v>
      </c>
      <c r="AT311" s="112">
        <v>2064.5690625000002</v>
      </c>
      <c r="AU311" s="4"/>
      <c r="AV311" s="4"/>
      <c r="AW311" s="23" t="s">
        <v>2230</v>
      </c>
      <c r="AX311" s="23" t="e">
        <f>VLOOKUP(K311,#REF!,8,FALSE)</f>
        <v>#REF!</v>
      </c>
      <c r="AY311" s="23" t="e">
        <f>VLOOKUP(K311,#REF!,8,FALSE)</f>
        <v>#REF!</v>
      </c>
      <c r="AZ311" s="4"/>
      <c r="BA311" s="272"/>
      <c r="BB311" s="313">
        <f t="shared" si="173"/>
        <v>0</v>
      </c>
      <c r="BC311" s="269">
        <f t="shared" si="180"/>
        <v>2064.5690625000002</v>
      </c>
      <c r="BD311" t="e">
        <f t="shared" ref="BD311:BD318" si="181">BG311&amp;BH311&amp;BI311</f>
        <v>#REF!</v>
      </c>
      <c r="BE311" t="s">
        <v>2397</v>
      </c>
      <c r="BG311" t="e">
        <f>VLOOKUP(K311,#REF!,9,FALSE)</f>
        <v>#REF!</v>
      </c>
      <c r="BJ311">
        <f>AB311</f>
        <v>26</v>
      </c>
      <c r="BK311" s="269">
        <f>AM311</f>
        <v>6292.02</v>
      </c>
      <c r="BL311" s="108" t="s">
        <v>75</v>
      </c>
      <c r="BO311" s="106">
        <f>BK311/192*127</f>
        <v>4161.9090624999999</v>
      </c>
      <c r="BP311" s="166">
        <f t="shared" si="169"/>
        <v>6226.4781249999996</v>
      </c>
      <c r="BS311" s="165"/>
      <c r="BX311" s="495">
        <f t="shared" si="170"/>
        <v>6226.4781249999996</v>
      </c>
      <c r="BZ311" s="636">
        <f t="shared" si="155"/>
        <v>0</v>
      </c>
      <c r="CA311" s="633">
        <f t="shared" si="156"/>
        <v>4161.909062499999</v>
      </c>
    </row>
    <row r="312" spans="1:79" x14ac:dyDescent="0.2">
      <c r="A312" s="4">
        <v>1</v>
      </c>
      <c r="B312" s="4">
        <v>1</v>
      </c>
      <c r="C312" s="5">
        <f t="shared" si="176"/>
        <v>41113</v>
      </c>
      <c r="D312" s="6">
        <v>41113</v>
      </c>
      <c r="E312" s="6">
        <v>43011</v>
      </c>
      <c r="F312" s="6" t="s">
        <v>1876</v>
      </c>
      <c r="G312" s="37"/>
      <c r="H312" s="7"/>
      <c r="I312" s="7" t="s">
        <v>32</v>
      </c>
      <c r="J312" s="7"/>
      <c r="K312" s="29">
        <v>429991</v>
      </c>
      <c r="L312" s="46" t="s">
        <v>675</v>
      </c>
      <c r="M312" s="10" t="s">
        <v>681</v>
      </c>
      <c r="N312" s="10" t="s">
        <v>682</v>
      </c>
      <c r="O312" s="11" t="s">
        <v>683</v>
      </c>
      <c r="P312" s="12">
        <v>42258</v>
      </c>
      <c r="Q312" s="13">
        <f t="shared" ca="1" si="161"/>
        <v>10.031485284052019</v>
      </c>
      <c r="R312" s="14">
        <v>2</v>
      </c>
      <c r="S312" s="15">
        <v>872</v>
      </c>
      <c r="T312" s="8">
        <v>872</v>
      </c>
      <c r="U312" s="16">
        <v>45017</v>
      </c>
      <c r="V312" s="17">
        <v>1</v>
      </c>
      <c r="W312" s="16">
        <v>45128</v>
      </c>
      <c r="X312" s="14">
        <v>63</v>
      </c>
      <c r="Y312" s="18">
        <f t="shared" si="157"/>
        <v>63</v>
      </c>
      <c r="Z312" s="18">
        <f t="shared" si="177"/>
        <v>0.328125</v>
      </c>
      <c r="AA312" s="16" t="s">
        <v>405</v>
      </c>
      <c r="AB312" s="26">
        <v>30</v>
      </c>
      <c r="AC312" s="26"/>
      <c r="AD312" s="26"/>
      <c r="AE312" s="147" t="str">
        <f t="shared" si="162"/>
        <v>0</v>
      </c>
      <c r="AF312" s="147" t="str">
        <f t="shared" si="163"/>
        <v>1</v>
      </c>
      <c r="AG312" s="147" t="str">
        <f t="shared" si="164"/>
        <v>0</v>
      </c>
      <c r="AH312" s="147" t="str">
        <f t="shared" si="165"/>
        <v>NO</v>
      </c>
      <c r="AI312" s="147" t="str">
        <f t="shared" si="166"/>
        <v>NO</v>
      </c>
      <c r="AJ312" s="147" t="str">
        <f t="shared" si="167"/>
        <v>NO</v>
      </c>
      <c r="AK312" s="147" t="str">
        <f t="shared" si="168"/>
        <v>NO</v>
      </c>
      <c r="AL312" s="21"/>
      <c r="AM312" s="21">
        <f t="shared" si="179"/>
        <v>8183.0999999999985</v>
      </c>
      <c r="AN312" s="27" t="s">
        <v>37</v>
      </c>
      <c r="AO312" s="21">
        <v>1</v>
      </c>
      <c r="AP312" s="21">
        <f t="shared" ref="AP312:AP319" si="182">AO312*Z312</f>
        <v>0.328125</v>
      </c>
      <c r="AQ312" s="149">
        <f t="shared" si="154"/>
        <v>2685.0796874999996</v>
      </c>
      <c r="AR312" s="21">
        <v>2685.0796874999996</v>
      </c>
      <c r="AS312" s="610">
        <v>2685.0796874999996</v>
      </c>
      <c r="AT312" s="112">
        <v>2685.0796874999996</v>
      </c>
      <c r="AU312" s="4"/>
      <c r="AV312" s="4"/>
      <c r="AW312" s="262" t="s">
        <v>2263</v>
      </c>
      <c r="AX312" s="23" t="e">
        <f>VLOOKUP(K312,#REF!,8,FALSE)</f>
        <v>#REF!</v>
      </c>
      <c r="AY312" s="23" t="e">
        <f>VLOOKUP(K312,#REF!,8,FALSE)</f>
        <v>#REF!</v>
      </c>
      <c r="AZ312" s="4"/>
      <c r="BA312" s="272"/>
      <c r="BB312" s="313">
        <f t="shared" si="173"/>
        <v>0</v>
      </c>
      <c r="BC312" s="269">
        <f t="shared" si="180"/>
        <v>2685.0796874999996</v>
      </c>
      <c r="BD312" t="e">
        <f t="shared" si="181"/>
        <v>#REF!</v>
      </c>
      <c r="BE312" s="110" t="s">
        <v>2400</v>
      </c>
      <c r="BF312" s="110">
        <v>43016</v>
      </c>
      <c r="BG312" t="e">
        <f>VLOOKUP(K312,#REF!,9,FALSE)</f>
        <v>#REF!</v>
      </c>
      <c r="BJ312">
        <f>AB312</f>
        <v>30</v>
      </c>
      <c r="BK312" s="269">
        <f>AM312</f>
        <v>8183.0999999999985</v>
      </c>
      <c r="BL312" s="108" t="s">
        <v>75</v>
      </c>
      <c r="BO312" s="106">
        <f>BK312/192*127</f>
        <v>5412.7796874999985</v>
      </c>
      <c r="BP312" s="166">
        <f t="shared" si="169"/>
        <v>8097.8593749999982</v>
      </c>
      <c r="BS312" s="165"/>
      <c r="BX312" s="495">
        <f t="shared" si="170"/>
        <v>8097.8593749999982</v>
      </c>
      <c r="BZ312" s="636">
        <f t="shared" si="155"/>
        <v>0</v>
      </c>
      <c r="CA312" s="633">
        <f t="shared" si="156"/>
        <v>5412.7796874999985</v>
      </c>
    </row>
    <row r="313" spans="1:79" x14ac:dyDescent="0.2">
      <c r="A313" s="4">
        <v>1</v>
      </c>
      <c r="B313" s="4">
        <v>1</v>
      </c>
      <c r="C313" s="5">
        <f t="shared" si="176"/>
        <v>41113</v>
      </c>
      <c r="D313" s="6">
        <v>41113</v>
      </c>
      <c r="E313" s="6">
        <v>43011</v>
      </c>
      <c r="F313" s="6" t="s">
        <v>1876</v>
      </c>
      <c r="G313" s="37"/>
      <c r="H313" s="7"/>
      <c r="I313" s="7" t="s">
        <v>32</v>
      </c>
      <c r="J313" s="7"/>
      <c r="K313" s="28">
        <v>428353</v>
      </c>
      <c r="L313" s="99" t="s">
        <v>675</v>
      </c>
      <c r="M313" s="10" t="s">
        <v>148</v>
      </c>
      <c r="N313" s="10" t="s">
        <v>684</v>
      </c>
      <c r="O313" s="25" t="s">
        <v>685</v>
      </c>
      <c r="P313" s="12">
        <v>42361</v>
      </c>
      <c r="Q313" s="13">
        <f t="shared" ca="1" si="161"/>
        <v>9.7494866529774136</v>
      </c>
      <c r="R313" s="14">
        <v>2</v>
      </c>
      <c r="S313" s="15">
        <v>872</v>
      </c>
      <c r="T313" s="8">
        <v>872</v>
      </c>
      <c r="U313" s="16">
        <v>45017</v>
      </c>
      <c r="V313" s="17">
        <v>1</v>
      </c>
      <c r="W313" s="16">
        <v>45128</v>
      </c>
      <c r="X313" s="14">
        <v>63</v>
      </c>
      <c r="Y313" s="18">
        <f t="shared" si="157"/>
        <v>63</v>
      </c>
      <c r="Z313" s="18">
        <f t="shared" si="177"/>
        <v>0.328125</v>
      </c>
      <c r="AA313" s="16" t="s">
        <v>405</v>
      </c>
      <c r="AB313" s="26">
        <v>30</v>
      </c>
      <c r="AC313" s="26"/>
      <c r="AD313" s="26"/>
      <c r="AE313" s="147" t="str">
        <f t="shared" si="162"/>
        <v>0</v>
      </c>
      <c r="AF313" s="147" t="str">
        <f t="shared" si="163"/>
        <v>1</v>
      </c>
      <c r="AG313" s="147" t="str">
        <f t="shared" si="164"/>
        <v>0</v>
      </c>
      <c r="AH313" s="147" t="str">
        <f t="shared" si="165"/>
        <v>NO</v>
      </c>
      <c r="AI313" s="147" t="str">
        <f t="shared" si="166"/>
        <v>NO</v>
      </c>
      <c r="AJ313" s="147" t="str">
        <f t="shared" si="167"/>
        <v>NO</v>
      </c>
      <c r="AK313" s="147" t="str">
        <f t="shared" si="168"/>
        <v>NO</v>
      </c>
      <c r="AL313" s="21"/>
      <c r="AM313" s="21">
        <f t="shared" si="179"/>
        <v>8183.0999999999985</v>
      </c>
      <c r="AN313" s="27" t="s">
        <v>37</v>
      </c>
      <c r="AO313" s="21">
        <v>1</v>
      </c>
      <c r="AP313" s="21">
        <f t="shared" si="182"/>
        <v>0.328125</v>
      </c>
      <c r="AQ313" s="149">
        <f t="shared" si="154"/>
        <v>2685.0796874999996</v>
      </c>
      <c r="AR313" s="21">
        <v>2685.0796874999996</v>
      </c>
      <c r="AS313" s="610">
        <v>2685.0796874999996</v>
      </c>
      <c r="AT313" s="112">
        <v>2685.0796874999996</v>
      </c>
      <c r="AU313" s="4"/>
      <c r="AV313" s="4"/>
      <c r="AW313" s="262" t="s">
        <v>2226</v>
      </c>
      <c r="AX313" s="23" t="e">
        <f>VLOOKUP(K313,#REF!,8,FALSE)</f>
        <v>#REF!</v>
      </c>
      <c r="AY313" s="23" t="e">
        <f>VLOOKUP(K313,#REF!,8,FALSE)</f>
        <v>#REF!</v>
      </c>
      <c r="AZ313" s="4"/>
      <c r="BA313" s="272"/>
      <c r="BB313" s="313">
        <f t="shared" si="173"/>
        <v>0</v>
      </c>
      <c r="BC313" s="269">
        <f t="shared" si="180"/>
        <v>2685.0796874999996</v>
      </c>
      <c r="BD313" t="e">
        <f t="shared" si="181"/>
        <v>#REF!</v>
      </c>
      <c r="BE313" s="110" t="s">
        <v>2399</v>
      </c>
      <c r="BF313" s="110">
        <v>43009</v>
      </c>
      <c r="BG313" t="e">
        <f>VLOOKUP(K313,#REF!,9,FALSE)</f>
        <v>#REF!</v>
      </c>
      <c r="BJ313">
        <f>AB313</f>
        <v>30</v>
      </c>
      <c r="BK313" s="269">
        <f>AM313</f>
        <v>8183.0999999999985</v>
      </c>
      <c r="BL313" s="108" t="s">
        <v>75</v>
      </c>
      <c r="BO313" s="106">
        <f>BK313/192*127</f>
        <v>5412.7796874999985</v>
      </c>
      <c r="BP313" s="166">
        <f t="shared" si="169"/>
        <v>8097.8593749999982</v>
      </c>
      <c r="BS313" s="165"/>
      <c r="BX313" s="495">
        <f t="shared" si="170"/>
        <v>8097.8593749999982</v>
      </c>
      <c r="BZ313" s="636">
        <f t="shared" si="155"/>
        <v>0</v>
      </c>
      <c r="CA313" s="633">
        <f t="shared" si="156"/>
        <v>5412.7796874999985</v>
      </c>
    </row>
    <row r="314" spans="1:79" x14ac:dyDescent="0.2">
      <c r="A314" s="4">
        <v>0</v>
      </c>
      <c r="B314" s="4">
        <v>1</v>
      </c>
      <c r="C314" s="5">
        <f t="shared" si="176"/>
        <v>41113</v>
      </c>
      <c r="D314" s="6">
        <v>41113</v>
      </c>
      <c r="E314" s="6">
        <v>43011</v>
      </c>
      <c r="F314" s="6" t="s">
        <v>1876</v>
      </c>
      <c r="G314" s="37"/>
      <c r="H314" s="7"/>
      <c r="I314" s="7" t="s">
        <v>32</v>
      </c>
      <c r="J314" s="7" t="s">
        <v>192</v>
      </c>
      <c r="K314" s="28">
        <v>428353</v>
      </c>
      <c r="L314" s="99" t="s">
        <v>675</v>
      </c>
      <c r="M314" s="10" t="s">
        <v>148</v>
      </c>
      <c r="N314" s="10" t="s">
        <v>684</v>
      </c>
      <c r="O314" s="25" t="s">
        <v>685</v>
      </c>
      <c r="P314" s="12">
        <v>42361</v>
      </c>
      <c r="Q314" s="13">
        <f t="shared" ca="1" si="161"/>
        <v>9.7494866529774136</v>
      </c>
      <c r="R314" s="14">
        <v>2</v>
      </c>
      <c r="S314" s="15">
        <v>872</v>
      </c>
      <c r="T314" s="8">
        <v>872</v>
      </c>
      <c r="U314" s="16">
        <v>45033</v>
      </c>
      <c r="V314" s="17">
        <v>2</v>
      </c>
      <c r="W314" s="16">
        <v>45128</v>
      </c>
      <c r="X314" s="14">
        <v>63</v>
      </c>
      <c r="Y314" s="18">
        <f t="shared" si="157"/>
        <v>62</v>
      </c>
      <c r="Z314" s="18">
        <v>1</v>
      </c>
      <c r="AA314" s="16" t="s">
        <v>405</v>
      </c>
      <c r="AB314" s="26">
        <v>13772.48</v>
      </c>
      <c r="AC314" s="26"/>
      <c r="AD314" s="26"/>
      <c r="AE314" s="147" t="str">
        <f t="shared" si="162"/>
        <v>0</v>
      </c>
      <c r="AF314" s="147" t="str">
        <f t="shared" si="163"/>
        <v>0</v>
      </c>
      <c r="AG314" s="147" t="str">
        <f t="shared" si="164"/>
        <v>1</v>
      </c>
      <c r="AH314" s="147" t="str">
        <f t="shared" si="165"/>
        <v>NO</v>
      </c>
      <c r="AI314" s="147" t="str">
        <f t="shared" si="166"/>
        <v>NO</v>
      </c>
      <c r="AJ314" s="147" t="str">
        <f t="shared" si="167"/>
        <v>NO</v>
      </c>
      <c r="AK314" s="147" t="str">
        <f t="shared" si="168"/>
        <v>NO</v>
      </c>
      <c r="AL314" s="21"/>
      <c r="AM314" s="21">
        <v>13772.48</v>
      </c>
      <c r="AN314" s="27" t="s">
        <v>37</v>
      </c>
      <c r="AO314" s="21">
        <v>1</v>
      </c>
      <c r="AP314" s="21">
        <f t="shared" si="182"/>
        <v>1</v>
      </c>
      <c r="AQ314" s="149">
        <f t="shared" si="154"/>
        <v>13772.48</v>
      </c>
      <c r="AR314" s="21">
        <v>13772.48</v>
      </c>
      <c r="AS314" s="610">
        <v>5901.2493749999994</v>
      </c>
      <c r="AT314" s="112">
        <v>13772.48</v>
      </c>
      <c r="AU314" s="4"/>
      <c r="AV314" s="4"/>
      <c r="AW314" s="23" t="e">
        <f>VLOOKUP(K314,#REF!,8,FALSE)</f>
        <v>#REF!</v>
      </c>
      <c r="AX314" s="23" t="e">
        <f>VLOOKUP(K314,#REF!,8,FALSE)</f>
        <v>#REF!</v>
      </c>
      <c r="AY314" s="23" t="e">
        <f>VLOOKUP(K314,#REF!,8,FALSE)</f>
        <v>#REF!</v>
      </c>
      <c r="AZ314" s="4"/>
      <c r="BA314" s="272"/>
      <c r="BB314" s="313">
        <f t="shared" si="173"/>
        <v>0</v>
      </c>
      <c r="BC314" s="269">
        <f t="shared" si="180"/>
        <v>13772.48</v>
      </c>
      <c r="BD314" t="e">
        <f t="shared" si="181"/>
        <v>#REF!</v>
      </c>
      <c r="BE314" s="110" t="s">
        <v>2399</v>
      </c>
      <c r="BF314" s="110">
        <v>43009</v>
      </c>
      <c r="BG314" t="e">
        <f>VLOOKUP(K314,#REF!,9,FALSE)</f>
        <v>#REF!</v>
      </c>
      <c r="BJ314">
        <f>AB314</f>
        <v>13772.48</v>
      </c>
      <c r="BK314" s="269">
        <f>AM314</f>
        <v>13772.48</v>
      </c>
      <c r="BL314" s="108" t="s">
        <v>75</v>
      </c>
      <c r="BO314" s="106">
        <f>BK314/192*127</f>
        <v>9109.9216666666671</v>
      </c>
      <c r="BP314" s="166">
        <f t="shared" si="169"/>
        <v>22882.401666666665</v>
      </c>
      <c r="BS314" s="165"/>
      <c r="BX314" s="495">
        <f t="shared" si="170"/>
        <v>22882.401666666665</v>
      </c>
      <c r="BZ314" s="636">
        <f t="shared" si="155"/>
        <v>0</v>
      </c>
      <c r="CA314" s="633">
        <f t="shared" si="156"/>
        <v>16981.152291666665</v>
      </c>
    </row>
    <row r="315" spans="1:79" x14ac:dyDescent="0.2">
      <c r="A315" s="4">
        <v>1</v>
      </c>
      <c r="B315" s="4">
        <v>1</v>
      </c>
      <c r="C315" s="5">
        <f t="shared" si="176"/>
        <v>41114</v>
      </c>
      <c r="D315" s="6">
        <v>41114</v>
      </c>
      <c r="E315" s="6">
        <v>43011</v>
      </c>
      <c r="F315" s="6" t="s">
        <v>1606</v>
      </c>
      <c r="G315" s="7"/>
      <c r="H315" s="7"/>
      <c r="I315" s="7" t="s">
        <v>32</v>
      </c>
      <c r="J315" s="7"/>
      <c r="K315" s="29">
        <v>415421</v>
      </c>
      <c r="L315" s="46" t="s">
        <v>686</v>
      </c>
      <c r="M315" s="10" t="s">
        <v>139</v>
      </c>
      <c r="N315" s="10" t="s">
        <v>687</v>
      </c>
      <c r="O315" s="11" t="s">
        <v>688</v>
      </c>
      <c r="P315" s="12">
        <v>41887</v>
      </c>
      <c r="Q315" s="13">
        <f t="shared" ca="1" si="161"/>
        <v>11.047227926078028</v>
      </c>
      <c r="R315" s="14">
        <v>3</v>
      </c>
      <c r="S315" s="15">
        <v>872</v>
      </c>
      <c r="T315" s="8">
        <v>872</v>
      </c>
      <c r="U315" s="16">
        <v>45017</v>
      </c>
      <c r="V315" s="17">
        <v>1</v>
      </c>
      <c r="W315" s="16">
        <v>45382</v>
      </c>
      <c r="X315" s="14">
        <v>192</v>
      </c>
      <c r="Y315" s="18">
        <f t="shared" si="157"/>
        <v>192</v>
      </c>
      <c r="Z315" s="18">
        <f>Y315/192</f>
        <v>1</v>
      </c>
      <c r="AA315" s="18" t="s">
        <v>36</v>
      </c>
      <c r="AB315" s="26">
        <v>30</v>
      </c>
      <c r="AC315" s="26"/>
      <c r="AD315" s="26"/>
      <c r="AE315" s="147" t="str">
        <f t="shared" si="162"/>
        <v>0</v>
      </c>
      <c r="AF315" s="147" t="str">
        <f t="shared" si="163"/>
        <v>1</v>
      </c>
      <c r="AG315" s="147" t="str">
        <f t="shared" si="164"/>
        <v>0</v>
      </c>
      <c r="AH315" s="147" t="str">
        <f t="shared" si="165"/>
        <v>NO</v>
      </c>
      <c r="AI315" s="147" t="str">
        <f t="shared" si="166"/>
        <v>NO</v>
      </c>
      <c r="AJ315" s="147" t="str">
        <f t="shared" si="167"/>
        <v>NO</v>
      </c>
      <c r="AK315" s="147" t="str">
        <f t="shared" si="168"/>
        <v>NO</v>
      </c>
      <c r="AL315" s="21"/>
      <c r="AM315" s="21">
        <f>IF(H315="Y",AL315,((AB315*$O$902)-6000))</f>
        <v>8183.0999999999985</v>
      </c>
      <c r="AN315" s="27" t="s">
        <v>128</v>
      </c>
      <c r="AO315" s="21">
        <v>1</v>
      </c>
      <c r="AP315" s="21">
        <f t="shared" si="182"/>
        <v>1</v>
      </c>
      <c r="AQ315" s="149">
        <f t="shared" si="154"/>
        <v>8183.0999999999985</v>
      </c>
      <c r="AR315" s="21">
        <v>8183.0999999999985</v>
      </c>
      <c r="AS315" s="610">
        <v>8183.0999999999985</v>
      </c>
      <c r="AT315" s="112">
        <v>8183.0999999999985</v>
      </c>
      <c r="AU315" s="4"/>
      <c r="AV315" s="4"/>
      <c r="AW315" s="23" t="e">
        <f>VLOOKUP(K315,#REF!,8,FALSE)</f>
        <v>#REF!</v>
      </c>
      <c r="AX315" s="23" t="e">
        <f>VLOOKUP(K315,#REF!,8,FALSE)</f>
        <v>#REF!</v>
      </c>
      <c r="AY315" s="23" t="e">
        <f>VLOOKUP(K315,#REF!,8,FALSE)</f>
        <v>#REF!</v>
      </c>
      <c r="AZ315" s="4"/>
      <c r="BA315" s="272"/>
      <c r="BB315" s="318">
        <f t="shared" si="173"/>
        <v>0</v>
      </c>
      <c r="BC315" s="269">
        <f t="shared" si="180"/>
        <v>8183.0999999999985</v>
      </c>
      <c r="BD315" t="str">
        <f t="shared" si="181"/>
        <v/>
      </c>
      <c r="BP315" s="166">
        <f t="shared" si="169"/>
        <v>8183.0999999999985</v>
      </c>
      <c r="BS315" s="165"/>
      <c r="BX315" s="495">
        <f t="shared" si="170"/>
        <v>8183.0999999999985</v>
      </c>
      <c r="BZ315" s="636">
        <f t="shared" si="155"/>
        <v>0</v>
      </c>
      <c r="CA315" s="633">
        <f t="shared" si="156"/>
        <v>0</v>
      </c>
    </row>
    <row r="316" spans="1:79" x14ac:dyDescent="0.2">
      <c r="A316" s="4">
        <v>1</v>
      </c>
      <c r="B316" s="4">
        <v>1</v>
      </c>
      <c r="C316" s="5">
        <f t="shared" si="176"/>
        <v>41114</v>
      </c>
      <c r="D316" s="6">
        <v>41114</v>
      </c>
      <c r="E316" s="6">
        <v>43011</v>
      </c>
      <c r="F316" s="6" t="s">
        <v>1606</v>
      </c>
      <c r="G316" s="7"/>
      <c r="H316" s="7"/>
      <c r="I316" s="7" t="s">
        <v>32</v>
      </c>
      <c r="J316" s="7"/>
      <c r="K316" s="29">
        <v>410111</v>
      </c>
      <c r="L316" s="46" t="s">
        <v>686</v>
      </c>
      <c r="M316" s="10" t="s">
        <v>689</v>
      </c>
      <c r="N316" s="10" t="s">
        <v>311</v>
      </c>
      <c r="O316" s="11" t="s">
        <v>690</v>
      </c>
      <c r="P316" s="12">
        <v>41775</v>
      </c>
      <c r="Q316" s="13">
        <f t="shared" ca="1" si="161"/>
        <v>11.353867214236825</v>
      </c>
      <c r="R316" s="14">
        <v>4</v>
      </c>
      <c r="S316" s="15">
        <v>872</v>
      </c>
      <c r="T316" s="8">
        <v>872</v>
      </c>
      <c r="U316" s="16">
        <v>45017</v>
      </c>
      <c r="V316" s="17">
        <v>1</v>
      </c>
      <c r="W316" s="16">
        <v>45382</v>
      </c>
      <c r="X316" s="14">
        <v>192</v>
      </c>
      <c r="Y316" s="18">
        <f t="shared" si="157"/>
        <v>192</v>
      </c>
      <c r="Z316" s="18">
        <f>Y316/192</f>
        <v>1</v>
      </c>
      <c r="AA316" s="18" t="s">
        <v>36</v>
      </c>
      <c r="AB316" s="26">
        <v>25</v>
      </c>
      <c r="AC316" s="26"/>
      <c r="AD316" s="26"/>
      <c r="AE316" s="147" t="str">
        <f t="shared" si="162"/>
        <v>1</v>
      </c>
      <c r="AF316" s="147" t="str">
        <f t="shared" si="163"/>
        <v>0</v>
      </c>
      <c r="AG316" s="147" t="str">
        <f t="shared" si="164"/>
        <v>0</v>
      </c>
      <c r="AH316" s="147" t="str">
        <f t="shared" si="165"/>
        <v>NO</v>
      </c>
      <c r="AI316" s="147" t="str">
        <f t="shared" si="166"/>
        <v>NO</v>
      </c>
      <c r="AJ316" s="147" t="str">
        <f t="shared" si="167"/>
        <v>NO</v>
      </c>
      <c r="AK316" s="147" t="str">
        <f t="shared" si="168"/>
        <v>NO</v>
      </c>
      <c r="AL316" s="21"/>
      <c r="AM316" s="21">
        <f>IF(H316="Y",AL316,((AB316*$O$902)-6000))</f>
        <v>5819.25</v>
      </c>
      <c r="AN316" s="27" t="s">
        <v>37</v>
      </c>
      <c r="AO316" s="21">
        <v>1</v>
      </c>
      <c r="AP316" s="21">
        <f t="shared" si="182"/>
        <v>1</v>
      </c>
      <c r="AQ316" s="149">
        <f t="shared" si="154"/>
        <v>5819.25</v>
      </c>
      <c r="AR316" s="21">
        <v>5819.25</v>
      </c>
      <c r="AS316" s="610">
        <v>5819.25</v>
      </c>
      <c r="AT316" s="112">
        <v>5819.25</v>
      </c>
      <c r="AU316" s="4"/>
      <c r="AV316" s="4"/>
      <c r="AW316" s="23" t="e">
        <f>VLOOKUP(K316,#REF!,8,FALSE)</f>
        <v>#REF!</v>
      </c>
      <c r="AX316" s="23" t="e">
        <f>VLOOKUP(K316,#REF!,8,FALSE)</f>
        <v>#REF!</v>
      </c>
      <c r="AY316" s="23" t="e">
        <f>VLOOKUP(K316,#REF!,8,FALSE)</f>
        <v>#REF!</v>
      </c>
      <c r="AZ316" s="4"/>
      <c r="BA316" s="272"/>
      <c r="BB316" s="318">
        <f t="shared" si="173"/>
        <v>0</v>
      </c>
      <c r="BC316" s="269">
        <f t="shared" si="180"/>
        <v>5819.25</v>
      </c>
      <c r="BD316" t="str">
        <f t="shared" si="181"/>
        <v/>
      </c>
      <c r="BP316" s="166">
        <f t="shared" si="169"/>
        <v>5819.25</v>
      </c>
      <c r="BS316" s="165"/>
      <c r="BX316" s="495">
        <f t="shared" si="170"/>
        <v>5819.25</v>
      </c>
      <c r="BZ316" s="636">
        <f t="shared" si="155"/>
        <v>0</v>
      </c>
      <c r="CA316" s="633">
        <f t="shared" si="156"/>
        <v>0</v>
      </c>
    </row>
    <row r="317" spans="1:79" x14ac:dyDescent="0.2">
      <c r="A317" s="4">
        <v>1</v>
      </c>
      <c r="B317" s="4">
        <v>1</v>
      </c>
      <c r="C317" s="5">
        <f t="shared" si="176"/>
        <v>41114</v>
      </c>
      <c r="D317" s="6">
        <v>41114</v>
      </c>
      <c r="E317" s="6">
        <v>43011</v>
      </c>
      <c r="F317" s="6" t="s">
        <v>1606</v>
      </c>
      <c r="G317" s="7"/>
      <c r="H317" s="7"/>
      <c r="I317" s="7" t="s">
        <v>32</v>
      </c>
      <c r="J317" s="7"/>
      <c r="K317" s="29">
        <v>402927</v>
      </c>
      <c r="L317" s="46" t="s">
        <v>686</v>
      </c>
      <c r="M317" s="10" t="s">
        <v>271</v>
      </c>
      <c r="N317" s="10" t="s">
        <v>206</v>
      </c>
      <c r="O317" s="11" t="s">
        <v>691</v>
      </c>
      <c r="P317" s="12">
        <v>40917</v>
      </c>
      <c r="Q317" s="13">
        <f t="shared" ca="1" si="161"/>
        <v>13.702943189596168</v>
      </c>
      <c r="R317" s="14">
        <v>6</v>
      </c>
      <c r="S317" s="15">
        <v>872</v>
      </c>
      <c r="T317" s="8">
        <v>872</v>
      </c>
      <c r="U317" s="39">
        <v>45017</v>
      </c>
      <c r="V317" s="17">
        <v>1</v>
      </c>
      <c r="W317" s="16">
        <v>45128</v>
      </c>
      <c r="X317" s="14">
        <v>63</v>
      </c>
      <c r="Y317" s="18">
        <f t="shared" si="157"/>
        <v>63</v>
      </c>
      <c r="Z317" s="18">
        <f>Y317/192</f>
        <v>0.328125</v>
      </c>
      <c r="AA317" s="18" t="s">
        <v>48</v>
      </c>
      <c r="AB317" s="26">
        <v>29</v>
      </c>
      <c r="AC317" s="26"/>
      <c r="AD317" s="26"/>
      <c r="AE317" s="147" t="str">
        <f t="shared" si="162"/>
        <v>0</v>
      </c>
      <c r="AF317" s="147" t="str">
        <f t="shared" si="163"/>
        <v>1</v>
      </c>
      <c r="AG317" s="147" t="str">
        <f t="shared" si="164"/>
        <v>0</v>
      </c>
      <c r="AH317" s="147" t="str">
        <f t="shared" si="165"/>
        <v>NO</v>
      </c>
      <c r="AI317" s="147" t="str">
        <f t="shared" si="166"/>
        <v>NO</v>
      </c>
      <c r="AJ317" s="147" t="str">
        <f t="shared" si="167"/>
        <v>NO</v>
      </c>
      <c r="AK317" s="147" t="str">
        <f t="shared" si="168"/>
        <v>NO</v>
      </c>
      <c r="AL317" s="21"/>
      <c r="AM317" s="21">
        <f>IF(H317="Y",AL317,((AB317*$O$902)-6000))</f>
        <v>7710.33</v>
      </c>
      <c r="AN317" s="27" t="s">
        <v>43</v>
      </c>
      <c r="AO317" s="21">
        <v>1</v>
      </c>
      <c r="AP317" s="21">
        <f t="shared" si="182"/>
        <v>0.328125</v>
      </c>
      <c r="AQ317" s="149">
        <f t="shared" si="154"/>
        <v>2529.9520312499999</v>
      </c>
      <c r="AR317" s="21">
        <v>2529.9520312499999</v>
      </c>
      <c r="AS317" s="610">
        <v>2529.9520312499999</v>
      </c>
      <c r="AT317" s="112">
        <v>2529.9520312499999</v>
      </c>
      <c r="AU317" s="4"/>
      <c r="AV317" s="4"/>
      <c r="AW317" s="23" t="e">
        <f>VLOOKUP(K317,#REF!,8,FALSE)</f>
        <v>#REF!</v>
      </c>
      <c r="AX317" s="264" t="s">
        <v>2208</v>
      </c>
      <c r="AY317" s="23" t="e">
        <f>VLOOKUP(K317,#REF!,8,FALSE)</f>
        <v>#REF!</v>
      </c>
      <c r="AZ317" s="23" t="s">
        <v>75</v>
      </c>
      <c r="BA317" s="273">
        <f>AM317/3*2</f>
        <v>5140.22</v>
      </c>
      <c r="BB317" s="318">
        <f t="shared" si="173"/>
        <v>0</v>
      </c>
      <c r="BC317" s="269">
        <f t="shared" si="180"/>
        <v>2529.9520312499999</v>
      </c>
      <c r="BD317" t="e">
        <f t="shared" si="181"/>
        <v>#REF!</v>
      </c>
      <c r="BE317" t="s">
        <v>2396</v>
      </c>
      <c r="BH317" t="e">
        <f>VLOOKUP(K317,#REF!,8,FALSE)</f>
        <v>#REF!</v>
      </c>
      <c r="BJ317">
        <f>AB317</f>
        <v>29</v>
      </c>
      <c r="BK317" s="269">
        <f>AM317</f>
        <v>7710.33</v>
      </c>
      <c r="BL317" s="353"/>
      <c r="BM317" s="353" t="s">
        <v>75</v>
      </c>
      <c r="BN317" s="353"/>
      <c r="BO317" s="111">
        <f>BK317/192*127</f>
        <v>5100.0620312500005</v>
      </c>
      <c r="BP317" s="166">
        <f t="shared" si="169"/>
        <v>7630.0140625000004</v>
      </c>
      <c r="BQ317" s="111">
        <v>5100.0620312500005</v>
      </c>
      <c r="BR317" t="s">
        <v>2446</v>
      </c>
      <c r="BS317" s="165"/>
      <c r="BX317" s="495">
        <f t="shared" si="170"/>
        <v>7630.0140625000004</v>
      </c>
      <c r="BZ317" s="636">
        <f t="shared" si="155"/>
        <v>0</v>
      </c>
      <c r="CA317" s="633">
        <f t="shared" si="156"/>
        <v>5100.0620312500005</v>
      </c>
    </row>
    <row r="318" spans="1:79" x14ac:dyDescent="0.2">
      <c r="A318" s="4">
        <v>1</v>
      </c>
      <c r="B318" s="4">
        <v>1</v>
      </c>
      <c r="C318" s="5">
        <f t="shared" si="176"/>
        <v>41114</v>
      </c>
      <c r="D318" s="6">
        <v>41114</v>
      </c>
      <c r="E318" s="6">
        <v>43011</v>
      </c>
      <c r="F318" s="6" t="s">
        <v>1606</v>
      </c>
      <c r="G318" s="7"/>
      <c r="H318" s="7"/>
      <c r="I318" s="7" t="s">
        <v>32</v>
      </c>
      <c r="J318" s="7"/>
      <c r="K318" s="29">
        <v>407255</v>
      </c>
      <c r="L318" s="46" t="s">
        <v>686</v>
      </c>
      <c r="M318" s="10" t="s">
        <v>271</v>
      </c>
      <c r="N318" s="10" t="s">
        <v>692</v>
      </c>
      <c r="O318" s="11" t="s">
        <v>693</v>
      </c>
      <c r="P318" s="12">
        <v>41382</v>
      </c>
      <c r="Q318" s="13">
        <f t="shared" ca="1" si="161"/>
        <v>12.429842573579739</v>
      </c>
      <c r="R318" s="14">
        <v>5</v>
      </c>
      <c r="S318" s="15">
        <v>872</v>
      </c>
      <c r="T318" s="8">
        <v>872</v>
      </c>
      <c r="U318" s="39">
        <v>45017</v>
      </c>
      <c r="V318" s="17">
        <v>1</v>
      </c>
      <c r="W318" s="16">
        <v>45382</v>
      </c>
      <c r="X318" s="14">
        <v>192</v>
      </c>
      <c r="Y318" s="18">
        <f t="shared" si="157"/>
        <v>192</v>
      </c>
      <c r="Z318" s="18">
        <f>Y318/192</f>
        <v>1</v>
      </c>
      <c r="AA318" s="18" t="s">
        <v>36</v>
      </c>
      <c r="AB318" s="26">
        <v>27</v>
      </c>
      <c r="AC318" s="26"/>
      <c r="AD318" s="26"/>
      <c r="AE318" s="147" t="str">
        <f t="shared" si="162"/>
        <v>0</v>
      </c>
      <c r="AF318" s="147" t="str">
        <f t="shared" si="163"/>
        <v>1</v>
      </c>
      <c r="AG318" s="147" t="str">
        <f t="shared" si="164"/>
        <v>0</v>
      </c>
      <c r="AH318" s="147" t="str">
        <f t="shared" si="165"/>
        <v>NO</v>
      </c>
      <c r="AI318" s="147" t="str">
        <f t="shared" si="166"/>
        <v>NO</v>
      </c>
      <c r="AJ318" s="147" t="str">
        <f t="shared" si="167"/>
        <v>NO</v>
      </c>
      <c r="AK318" s="147" t="str">
        <f t="shared" si="168"/>
        <v>NO</v>
      </c>
      <c r="AL318" s="21"/>
      <c r="AM318" s="21">
        <f>IF(H318="Y",AL318,((AB318*$O$902)-6000))</f>
        <v>6764.7899999999991</v>
      </c>
      <c r="AN318" s="27" t="s">
        <v>37</v>
      </c>
      <c r="AO318" s="21">
        <v>1</v>
      </c>
      <c r="AP318" s="21">
        <f t="shared" si="182"/>
        <v>1</v>
      </c>
      <c r="AQ318" s="149">
        <f t="shared" si="154"/>
        <v>6764.7899999999991</v>
      </c>
      <c r="AR318" s="21">
        <v>6764.7899999999991</v>
      </c>
      <c r="AS318" s="610">
        <v>6764.7899999999991</v>
      </c>
      <c r="AT318" s="112">
        <v>6764.7899999999991</v>
      </c>
      <c r="AU318" s="4"/>
      <c r="AV318" s="4"/>
      <c r="AW318" s="23" t="e">
        <f>VLOOKUP(K318,#REF!,8,FALSE)</f>
        <v>#REF!</v>
      </c>
      <c r="AX318" s="23" t="e">
        <f>VLOOKUP(K318,#REF!,8,FALSE)</f>
        <v>#REF!</v>
      </c>
      <c r="AY318" s="23" t="e">
        <f>VLOOKUP(K318,#REF!,8,FALSE)</f>
        <v>#REF!</v>
      </c>
      <c r="AZ318" s="4"/>
      <c r="BA318" s="272"/>
      <c r="BB318" s="318">
        <f t="shared" si="173"/>
        <v>0</v>
      </c>
      <c r="BC318" s="269">
        <f t="shared" si="180"/>
        <v>6764.7899999999991</v>
      </c>
      <c r="BD318" t="str">
        <f t="shared" si="181"/>
        <v/>
      </c>
      <c r="BP318" s="166">
        <f t="shared" si="169"/>
        <v>6764.7899999999991</v>
      </c>
      <c r="BS318" s="165"/>
      <c r="BX318" s="495">
        <f t="shared" si="170"/>
        <v>6764.7899999999991</v>
      </c>
      <c r="BZ318" s="636">
        <f t="shared" si="155"/>
        <v>0</v>
      </c>
      <c r="CA318" s="633">
        <f t="shared" si="156"/>
        <v>0</v>
      </c>
    </row>
    <row r="319" spans="1:79" x14ac:dyDescent="0.2">
      <c r="A319" s="4">
        <v>0</v>
      </c>
      <c r="B319" s="4">
        <v>1</v>
      </c>
      <c r="C319" s="5">
        <f t="shared" si="176"/>
        <v>41114</v>
      </c>
      <c r="D319" s="6">
        <v>41114</v>
      </c>
      <c r="E319" s="6">
        <v>43011</v>
      </c>
      <c r="F319" s="6" t="s">
        <v>1606</v>
      </c>
      <c r="G319" s="7"/>
      <c r="H319" s="7"/>
      <c r="I319" s="7" t="s">
        <v>32</v>
      </c>
      <c r="J319" s="7" t="s">
        <v>192</v>
      </c>
      <c r="K319" s="29">
        <v>427162</v>
      </c>
      <c r="L319" s="46" t="s">
        <v>686</v>
      </c>
      <c r="M319" s="10" t="s">
        <v>211</v>
      </c>
      <c r="N319" s="10" t="s">
        <v>396</v>
      </c>
      <c r="O319" s="11" t="s">
        <v>694</v>
      </c>
      <c r="P319" s="12">
        <v>40933</v>
      </c>
      <c r="Q319" s="13">
        <f t="shared" ca="1" si="161"/>
        <v>13.659137577002053</v>
      </c>
      <c r="R319" s="14">
        <v>6</v>
      </c>
      <c r="S319" s="15">
        <v>872</v>
      </c>
      <c r="T319" s="8">
        <v>872</v>
      </c>
      <c r="U319" s="16">
        <v>45017</v>
      </c>
      <c r="V319" s="17">
        <v>1</v>
      </c>
      <c r="W319" s="16">
        <v>45128</v>
      </c>
      <c r="X319" s="14">
        <v>63</v>
      </c>
      <c r="Y319" s="18">
        <f t="shared" si="157"/>
        <v>63</v>
      </c>
      <c r="Z319" s="18">
        <v>1</v>
      </c>
      <c r="AA319" s="18" t="s">
        <v>48</v>
      </c>
      <c r="AB319" s="26">
        <v>15980</v>
      </c>
      <c r="AC319" s="26"/>
      <c r="AD319" s="26"/>
      <c r="AE319" s="147" t="str">
        <f t="shared" si="162"/>
        <v>0</v>
      </c>
      <c r="AF319" s="147" t="str">
        <f t="shared" si="163"/>
        <v>0</v>
      </c>
      <c r="AG319" s="147" t="str">
        <f t="shared" si="164"/>
        <v>1</v>
      </c>
      <c r="AH319" s="147" t="str">
        <f t="shared" si="165"/>
        <v>NO</v>
      </c>
      <c r="AI319" s="147" t="str">
        <f t="shared" si="166"/>
        <v>NO</v>
      </c>
      <c r="AJ319" s="147" t="str">
        <f t="shared" si="167"/>
        <v>NO</v>
      </c>
      <c r="AK319" s="147" t="str">
        <f t="shared" si="168"/>
        <v>NO</v>
      </c>
      <c r="AL319" s="21"/>
      <c r="AM319" s="21">
        <v>15980</v>
      </c>
      <c r="AN319" s="27" t="s">
        <v>185</v>
      </c>
      <c r="AO319" s="21">
        <v>1</v>
      </c>
      <c r="AP319" s="21">
        <f t="shared" si="182"/>
        <v>1</v>
      </c>
      <c r="AQ319" s="149">
        <f t="shared" si="154"/>
        <v>15980</v>
      </c>
      <c r="AR319" s="21">
        <v>15980</v>
      </c>
      <c r="AS319" s="610">
        <v>0</v>
      </c>
      <c r="AT319" s="112">
        <v>15980</v>
      </c>
      <c r="AU319" s="4"/>
      <c r="AV319" s="4"/>
      <c r="AW319" s="23" t="e">
        <f>VLOOKUP(K319,#REF!,8,FALSE)</f>
        <v>#REF!</v>
      </c>
      <c r="AX319" s="23" t="e">
        <f>VLOOKUP(K319,#REF!,8,FALSE)</f>
        <v>#REF!</v>
      </c>
      <c r="AY319" s="23" t="e">
        <f>VLOOKUP(K319,#REF!,8,FALSE)</f>
        <v>#REF!</v>
      </c>
      <c r="AZ319" s="4"/>
      <c r="BA319" s="272"/>
      <c r="BB319" s="318">
        <f t="shared" si="173"/>
        <v>0</v>
      </c>
      <c r="BC319" s="269">
        <f t="shared" si="180"/>
        <v>15980</v>
      </c>
      <c r="BD319" s="110" t="s">
        <v>2554</v>
      </c>
      <c r="BE319" s="110">
        <v>43009</v>
      </c>
      <c r="BJ319">
        <f>AB319</f>
        <v>15980</v>
      </c>
      <c r="BK319" s="269">
        <f>AM319</f>
        <v>15980</v>
      </c>
      <c r="BO319" s="111">
        <f>BK319/192*127</f>
        <v>10570.104166666668</v>
      </c>
      <c r="BP319" s="166">
        <f t="shared" si="169"/>
        <v>26550.104166666668</v>
      </c>
      <c r="BS319" s="165">
        <v>43009</v>
      </c>
      <c r="BT319" t="s">
        <v>2554</v>
      </c>
      <c r="BV319" t="s">
        <v>2557</v>
      </c>
      <c r="BX319" s="495">
        <f t="shared" si="170"/>
        <v>26550.104166666668</v>
      </c>
      <c r="BZ319" s="636">
        <f t="shared" si="155"/>
        <v>0</v>
      </c>
      <c r="CA319" s="633">
        <f t="shared" si="156"/>
        <v>26550.104166666668</v>
      </c>
    </row>
    <row r="320" spans="1:79" x14ac:dyDescent="0.2">
      <c r="A320" s="4">
        <v>0</v>
      </c>
      <c r="B320" s="4">
        <v>1</v>
      </c>
      <c r="C320" s="5">
        <f t="shared" si="176"/>
        <v>41114</v>
      </c>
      <c r="D320" s="6">
        <v>41114</v>
      </c>
      <c r="E320" s="6">
        <v>43011</v>
      </c>
      <c r="F320" s="6" t="s">
        <v>1606</v>
      </c>
      <c r="G320" s="7"/>
      <c r="H320" s="7"/>
      <c r="I320" s="7" t="s">
        <v>32</v>
      </c>
      <c r="J320" s="7" t="s">
        <v>192</v>
      </c>
      <c r="K320" s="29">
        <v>427162</v>
      </c>
      <c r="L320" s="46" t="s">
        <v>686</v>
      </c>
      <c r="M320" s="10" t="s">
        <v>211</v>
      </c>
      <c r="N320" s="10" t="s">
        <v>396</v>
      </c>
      <c r="O320" s="11" t="s">
        <v>694</v>
      </c>
      <c r="P320" s="12">
        <v>40933</v>
      </c>
      <c r="Q320" s="13">
        <f t="shared" ca="1" si="161"/>
        <v>13.659137577002053</v>
      </c>
      <c r="R320" s="14">
        <v>6</v>
      </c>
      <c r="S320" s="15">
        <v>872</v>
      </c>
      <c r="T320" s="8">
        <v>872</v>
      </c>
      <c r="U320" s="16">
        <v>45017</v>
      </c>
      <c r="V320" s="17">
        <v>1</v>
      </c>
      <c r="W320" s="16">
        <v>45128</v>
      </c>
      <c r="X320" s="14">
        <v>63</v>
      </c>
      <c r="Y320" s="18">
        <f t="shared" si="157"/>
        <v>63</v>
      </c>
      <c r="Z320" s="18">
        <v>2</v>
      </c>
      <c r="AA320" s="18" t="s">
        <v>48</v>
      </c>
      <c r="AB320" s="26">
        <v>240</v>
      </c>
      <c r="AC320" s="26"/>
      <c r="AD320" s="26"/>
      <c r="AE320" s="147">
        <v>1</v>
      </c>
      <c r="AF320" s="147" t="str">
        <f t="shared" si="163"/>
        <v>0</v>
      </c>
      <c r="AG320" s="147">
        <v>0</v>
      </c>
      <c r="AH320" s="147" t="str">
        <f t="shared" si="165"/>
        <v>NO</v>
      </c>
      <c r="AI320" s="147" t="str">
        <f t="shared" si="166"/>
        <v>NO</v>
      </c>
      <c r="AJ320" s="147" t="str">
        <f t="shared" si="167"/>
        <v>NO</v>
      </c>
      <c r="AK320" s="147" t="str">
        <f t="shared" si="168"/>
        <v>NO</v>
      </c>
      <c r="AL320" s="21"/>
      <c r="AM320" s="21">
        <v>240</v>
      </c>
      <c r="AN320" s="27" t="s">
        <v>185</v>
      </c>
      <c r="AO320" s="21">
        <v>1</v>
      </c>
      <c r="AP320" s="21">
        <v>1</v>
      </c>
      <c r="AQ320" s="149">
        <f t="shared" ref="AQ320:AQ383" si="183">AP320*AM320</f>
        <v>240</v>
      </c>
      <c r="AR320" s="21">
        <v>0</v>
      </c>
      <c r="AS320" s="610">
        <v>0</v>
      </c>
      <c r="AT320" s="112">
        <v>0</v>
      </c>
      <c r="AU320" s="4"/>
      <c r="AV320" s="4"/>
      <c r="AW320" s="23" t="e">
        <f>VLOOKUP(K320,#REF!,8,FALSE)</f>
        <v>#REF!</v>
      </c>
      <c r="AX320" s="23" t="e">
        <f>VLOOKUP(K320,#REF!,8,FALSE)</f>
        <v>#REF!</v>
      </c>
      <c r="AY320" s="23" t="e">
        <f>VLOOKUP(K320,#REF!,8,FALSE)</f>
        <v>#REF!</v>
      </c>
      <c r="AZ320" s="4"/>
      <c r="BA320" s="272"/>
      <c r="BB320" s="318"/>
      <c r="BC320" s="269">
        <f t="shared" si="180"/>
        <v>0</v>
      </c>
      <c r="BD320" s="110"/>
      <c r="BK320" s="269"/>
      <c r="BO320" s="111"/>
      <c r="BP320" s="166">
        <f t="shared" si="169"/>
        <v>0</v>
      </c>
      <c r="BS320" s="165"/>
      <c r="BX320" s="495">
        <f t="shared" si="170"/>
        <v>240</v>
      </c>
      <c r="BY320" t="s">
        <v>2472</v>
      </c>
      <c r="BZ320" s="636">
        <f t="shared" si="155"/>
        <v>240</v>
      </c>
      <c r="CA320" s="633">
        <f t="shared" si="156"/>
        <v>240</v>
      </c>
    </row>
    <row r="321" spans="1:79" x14ac:dyDescent="0.2">
      <c r="A321" s="4">
        <v>1</v>
      </c>
      <c r="B321" s="4">
        <v>1</v>
      </c>
      <c r="C321" s="5">
        <f t="shared" si="176"/>
        <v>41114</v>
      </c>
      <c r="D321" s="6">
        <v>41114</v>
      </c>
      <c r="E321" s="6">
        <v>43011</v>
      </c>
      <c r="F321" s="6" t="s">
        <v>1606</v>
      </c>
      <c r="G321" s="7"/>
      <c r="H321" s="7"/>
      <c r="I321" s="7" t="s">
        <v>32</v>
      </c>
      <c r="J321" s="7"/>
      <c r="K321" s="29">
        <v>427162</v>
      </c>
      <c r="L321" s="46" t="s">
        <v>686</v>
      </c>
      <c r="M321" s="10" t="s">
        <v>211</v>
      </c>
      <c r="N321" s="10" t="s">
        <v>396</v>
      </c>
      <c r="O321" s="11" t="s">
        <v>694</v>
      </c>
      <c r="P321" s="12">
        <v>40933</v>
      </c>
      <c r="Q321" s="13">
        <f t="shared" ca="1" si="161"/>
        <v>13.659137577002053</v>
      </c>
      <c r="R321" s="14">
        <v>6</v>
      </c>
      <c r="S321" s="15">
        <v>872</v>
      </c>
      <c r="T321" s="8">
        <v>872</v>
      </c>
      <c r="U321" s="39">
        <v>45034</v>
      </c>
      <c r="V321" s="17">
        <v>2</v>
      </c>
      <c r="W321" s="16">
        <v>45128</v>
      </c>
      <c r="X321" s="14">
        <v>63</v>
      </c>
      <c r="Y321" s="18">
        <f t="shared" si="157"/>
        <v>62</v>
      </c>
      <c r="Z321" s="18">
        <v>1</v>
      </c>
      <c r="AA321" s="18" t="s">
        <v>48</v>
      </c>
      <c r="AB321" s="26">
        <v>3345.75</v>
      </c>
      <c r="AC321" s="26"/>
      <c r="AD321" s="26"/>
      <c r="AE321" s="147" t="str">
        <f t="shared" ref="AE321:AE384" si="184">IF(AND(AB321&lt;=25,AB321&gt;=20),"1","0")</f>
        <v>0</v>
      </c>
      <c r="AF321" s="147" t="str">
        <f t="shared" si="163"/>
        <v>0</v>
      </c>
      <c r="AG321" s="147" t="str">
        <f t="shared" ref="AG321:AG384" si="185">IF(AB321&gt;=31,"1","0")</f>
        <v>1</v>
      </c>
      <c r="AH321" s="147" t="str">
        <f t="shared" si="165"/>
        <v>NO</v>
      </c>
      <c r="AI321" s="147" t="str">
        <f t="shared" si="166"/>
        <v>NO</v>
      </c>
      <c r="AJ321" s="147" t="str">
        <f t="shared" si="167"/>
        <v>NO</v>
      </c>
      <c r="AK321" s="147" t="str">
        <f t="shared" si="168"/>
        <v>NO</v>
      </c>
      <c r="AL321" s="21"/>
      <c r="AM321" s="21">
        <v>3345.75</v>
      </c>
      <c r="AN321" s="27" t="s">
        <v>185</v>
      </c>
      <c r="AO321" s="21">
        <v>1</v>
      </c>
      <c r="AP321" s="21">
        <f t="shared" ref="AP321:AP352" si="186">AO321*Z321</f>
        <v>1</v>
      </c>
      <c r="AQ321" s="149">
        <f t="shared" si="183"/>
        <v>3345.75</v>
      </c>
      <c r="AR321" s="21">
        <v>3345.75</v>
      </c>
      <c r="AS321" s="610">
        <v>0</v>
      </c>
      <c r="AT321" s="112">
        <v>3345.75</v>
      </c>
      <c r="AU321" s="4" t="s">
        <v>2139</v>
      </c>
      <c r="AV321" s="4">
        <v>7546.5</v>
      </c>
      <c r="AW321" s="23" t="e">
        <f>VLOOKUP(K321,#REF!,8,FALSE)</f>
        <v>#REF!</v>
      </c>
      <c r="AX321" s="23" t="e">
        <f>VLOOKUP(K321,#REF!,8,FALSE)</f>
        <v>#REF!</v>
      </c>
      <c r="AY321" s="23" t="e">
        <f>VLOOKUP(K321,#REF!,8,FALSE)</f>
        <v>#REF!</v>
      </c>
      <c r="AZ321" s="4"/>
      <c r="BA321" s="272"/>
      <c r="BB321" s="318">
        <f t="shared" ref="BB321:BB348" si="187">BC321-AT321</f>
        <v>0</v>
      </c>
      <c r="BC321" s="269">
        <f t="shared" si="180"/>
        <v>3345.75</v>
      </c>
      <c r="BD321" s="110" t="s">
        <v>2554</v>
      </c>
      <c r="BE321" s="110">
        <v>43009</v>
      </c>
      <c r="BJ321">
        <f>AB321</f>
        <v>3345.75</v>
      </c>
      <c r="BK321" s="269">
        <f>AM321</f>
        <v>3345.75</v>
      </c>
      <c r="BL321" s="353"/>
      <c r="BM321" s="353" t="s">
        <v>75</v>
      </c>
      <c r="BN321" s="353"/>
      <c r="BO321" s="111">
        <f>BK321/192*127</f>
        <v>2213.07421875</v>
      </c>
      <c r="BP321" s="166">
        <f t="shared" si="169"/>
        <v>5558.82421875</v>
      </c>
      <c r="BS321" s="165">
        <v>43009</v>
      </c>
      <c r="BT321" t="s">
        <v>2554</v>
      </c>
      <c r="BX321" s="495">
        <f t="shared" si="170"/>
        <v>5558.82421875</v>
      </c>
      <c r="BZ321" s="636">
        <f t="shared" si="155"/>
        <v>0</v>
      </c>
      <c r="CA321" s="633">
        <f t="shared" si="156"/>
        <v>5558.82421875</v>
      </c>
    </row>
    <row r="322" spans="1:79" x14ac:dyDescent="0.2">
      <c r="A322" s="4">
        <v>1</v>
      </c>
      <c r="B322" s="4">
        <v>1</v>
      </c>
      <c r="C322" s="5">
        <f t="shared" si="176"/>
        <v>41114</v>
      </c>
      <c r="D322" s="6">
        <v>41114</v>
      </c>
      <c r="E322" s="6">
        <v>43011</v>
      </c>
      <c r="F322" s="6" t="s">
        <v>1606</v>
      </c>
      <c r="G322" s="7"/>
      <c r="H322" s="7"/>
      <c r="I322" s="7" t="s">
        <v>32</v>
      </c>
      <c r="J322" s="7"/>
      <c r="K322" s="29">
        <v>401593</v>
      </c>
      <c r="L322" s="46" t="s">
        <v>686</v>
      </c>
      <c r="M322" s="10" t="s">
        <v>695</v>
      </c>
      <c r="N322" s="10" t="s">
        <v>311</v>
      </c>
      <c r="O322" s="11" t="s">
        <v>696</v>
      </c>
      <c r="P322" s="12">
        <v>40945</v>
      </c>
      <c r="Q322" s="13">
        <f t="shared" ca="1" si="161"/>
        <v>13.626283367556468</v>
      </c>
      <c r="R322" s="14">
        <v>6</v>
      </c>
      <c r="S322" s="15">
        <v>872</v>
      </c>
      <c r="T322" s="8">
        <v>872</v>
      </c>
      <c r="U322" s="39">
        <v>45017</v>
      </c>
      <c r="V322" s="17">
        <v>1</v>
      </c>
      <c r="W322" s="16">
        <v>45128</v>
      </c>
      <c r="X322" s="14">
        <v>63</v>
      </c>
      <c r="Y322" s="18">
        <f t="shared" si="157"/>
        <v>63</v>
      </c>
      <c r="Z322" s="18">
        <f t="shared" ref="Z322:Z327" si="188">Y322/192</f>
        <v>0.328125</v>
      </c>
      <c r="AA322" s="18" t="s">
        <v>48</v>
      </c>
      <c r="AB322" s="26">
        <v>22</v>
      </c>
      <c r="AC322" s="26"/>
      <c r="AD322" s="26"/>
      <c r="AE322" s="147" t="str">
        <f t="shared" si="184"/>
        <v>1</v>
      </c>
      <c r="AF322" s="147" t="str">
        <f t="shared" si="163"/>
        <v>0</v>
      </c>
      <c r="AG322" s="147" t="str">
        <f t="shared" si="185"/>
        <v>0</v>
      </c>
      <c r="AH322" s="147" t="str">
        <f t="shared" si="165"/>
        <v>NO</v>
      </c>
      <c r="AI322" s="147" t="str">
        <f t="shared" si="166"/>
        <v>NO</v>
      </c>
      <c r="AJ322" s="147" t="str">
        <f t="shared" si="167"/>
        <v>NO</v>
      </c>
      <c r="AK322" s="147" t="str">
        <f t="shared" si="168"/>
        <v>NO</v>
      </c>
      <c r="AL322" s="21"/>
      <c r="AM322" s="21">
        <f t="shared" ref="AM322:AM327" si="189">IF(H322="Y",AL322,((AB322*$O$902)-6000))</f>
        <v>4400.9399999999987</v>
      </c>
      <c r="AN322" s="27" t="s">
        <v>536</v>
      </c>
      <c r="AO322" s="21">
        <v>1</v>
      </c>
      <c r="AP322" s="21">
        <f t="shared" si="186"/>
        <v>0.328125</v>
      </c>
      <c r="AQ322" s="149">
        <f t="shared" si="183"/>
        <v>1444.0584374999996</v>
      </c>
      <c r="AR322" s="21">
        <v>1444.0584374999996</v>
      </c>
      <c r="AS322" s="610">
        <v>1444.0584374999996</v>
      </c>
      <c r="AT322" s="112">
        <v>1444.0584374999996</v>
      </c>
      <c r="AU322" s="4"/>
      <c r="AV322" s="4"/>
      <c r="AW322" s="23" t="e">
        <f>VLOOKUP(K322,#REF!,8,FALSE)</f>
        <v>#REF!</v>
      </c>
      <c r="AX322" s="23" t="s">
        <v>2237</v>
      </c>
      <c r="AY322" s="23" t="e">
        <f>VLOOKUP(K322,#REF!,8,FALSE)</f>
        <v>#REF!</v>
      </c>
      <c r="AZ322" s="4"/>
      <c r="BA322" s="272"/>
      <c r="BB322" s="318">
        <f t="shared" si="187"/>
        <v>0</v>
      </c>
      <c r="BC322" s="269">
        <f t="shared" si="180"/>
        <v>1444.0584374999996</v>
      </c>
      <c r="BD322" t="e">
        <f t="shared" ref="BD322:BD332" si="190">BG322&amp;BH322&amp;BI322</f>
        <v>#REF!</v>
      </c>
      <c r="BE322" t="s">
        <v>2394</v>
      </c>
      <c r="BF322">
        <v>43012</v>
      </c>
      <c r="BH322" t="e">
        <f>VLOOKUP(K322,#REF!,8,FALSE)</f>
        <v>#REF!</v>
      </c>
      <c r="BJ322">
        <f>AB322</f>
        <v>22</v>
      </c>
      <c r="BK322" s="269">
        <f>AM322</f>
        <v>4400.9399999999987</v>
      </c>
      <c r="BL322" s="353"/>
      <c r="BM322" s="353" t="s">
        <v>75</v>
      </c>
      <c r="BN322" s="353"/>
      <c r="BO322" s="111">
        <f>BK322/192*127</f>
        <v>2911.038437499999</v>
      </c>
      <c r="BP322" s="166">
        <f t="shared" si="169"/>
        <v>4355.0968749999984</v>
      </c>
      <c r="BS322" s="165"/>
      <c r="BX322" s="495">
        <f t="shared" si="170"/>
        <v>4355.0968749999984</v>
      </c>
      <c r="BZ322" s="636">
        <f t="shared" si="155"/>
        <v>0</v>
      </c>
      <c r="CA322" s="633">
        <f t="shared" si="156"/>
        <v>2911.0384374999985</v>
      </c>
    </row>
    <row r="323" spans="1:79" x14ac:dyDescent="0.2">
      <c r="A323" s="4">
        <v>1</v>
      </c>
      <c r="B323" s="4">
        <v>1</v>
      </c>
      <c r="C323" s="5">
        <f t="shared" si="176"/>
        <v>41114</v>
      </c>
      <c r="D323" s="6">
        <v>41114</v>
      </c>
      <c r="E323" s="6">
        <v>43011</v>
      </c>
      <c r="F323" s="6" t="s">
        <v>1606</v>
      </c>
      <c r="G323" s="7"/>
      <c r="H323" s="7"/>
      <c r="I323" s="7" t="s">
        <v>32</v>
      </c>
      <c r="J323" s="7"/>
      <c r="K323" s="29">
        <v>416742</v>
      </c>
      <c r="L323" s="46" t="s">
        <v>686</v>
      </c>
      <c r="M323" s="10" t="s">
        <v>697</v>
      </c>
      <c r="N323" s="10" t="s">
        <v>698</v>
      </c>
      <c r="O323" s="11" t="s">
        <v>699</v>
      </c>
      <c r="P323" s="12">
        <v>41090</v>
      </c>
      <c r="Q323" s="13">
        <f t="shared" ca="1" si="161"/>
        <v>13.229295003422314</v>
      </c>
      <c r="R323" s="14">
        <v>6</v>
      </c>
      <c r="S323" s="15">
        <v>872</v>
      </c>
      <c r="T323" s="8">
        <v>872</v>
      </c>
      <c r="U323" s="16">
        <v>45017</v>
      </c>
      <c r="V323" s="17">
        <v>1</v>
      </c>
      <c r="W323" s="16">
        <v>45128</v>
      </c>
      <c r="X323" s="14">
        <v>63</v>
      </c>
      <c r="Y323" s="18">
        <f t="shared" si="157"/>
        <v>63</v>
      </c>
      <c r="Z323" s="18">
        <f t="shared" si="188"/>
        <v>0.328125</v>
      </c>
      <c r="AA323" s="18" t="s">
        <v>48</v>
      </c>
      <c r="AB323" s="26">
        <v>30</v>
      </c>
      <c r="AC323" s="26"/>
      <c r="AD323" s="26"/>
      <c r="AE323" s="147" t="str">
        <f t="shared" si="184"/>
        <v>0</v>
      </c>
      <c r="AF323" s="147" t="str">
        <f t="shared" si="163"/>
        <v>1</v>
      </c>
      <c r="AG323" s="147" t="str">
        <f t="shared" si="185"/>
        <v>0</v>
      </c>
      <c r="AH323" s="147" t="str">
        <f t="shared" si="165"/>
        <v>NO</v>
      </c>
      <c r="AI323" s="147" t="str">
        <f t="shared" si="166"/>
        <v>NO</v>
      </c>
      <c r="AJ323" s="147" t="str">
        <f t="shared" si="167"/>
        <v>NO</v>
      </c>
      <c r="AK323" s="147" t="str">
        <f t="shared" si="168"/>
        <v>NO</v>
      </c>
      <c r="AL323" s="21"/>
      <c r="AM323" s="21">
        <f t="shared" si="189"/>
        <v>8183.0999999999985</v>
      </c>
      <c r="AN323" s="27" t="s">
        <v>56</v>
      </c>
      <c r="AO323" s="21">
        <v>1</v>
      </c>
      <c r="AP323" s="21">
        <f t="shared" si="186"/>
        <v>0.328125</v>
      </c>
      <c r="AQ323" s="149">
        <f t="shared" si="183"/>
        <v>2685.0796874999996</v>
      </c>
      <c r="AR323" s="21">
        <v>2685.0796874999996</v>
      </c>
      <c r="AS323" s="610">
        <v>2685.0796874999996</v>
      </c>
      <c r="AT323" s="112">
        <v>2685.0796874999996</v>
      </c>
      <c r="AU323" s="4"/>
      <c r="AV323" s="4"/>
      <c r="AW323" s="23" t="e">
        <f>VLOOKUP(K323,#REF!,8,FALSE)</f>
        <v>#REF!</v>
      </c>
      <c r="AX323" s="23" t="s">
        <v>2250</v>
      </c>
      <c r="AY323" s="23" t="e">
        <f>VLOOKUP(K323,#REF!,8,FALSE)</f>
        <v>#REF!</v>
      </c>
      <c r="AZ323" s="4"/>
      <c r="BA323" s="272"/>
      <c r="BB323" s="318">
        <f t="shared" si="187"/>
        <v>0</v>
      </c>
      <c r="BC323" s="269">
        <f t="shared" si="180"/>
        <v>2685.0796874999996</v>
      </c>
      <c r="BD323" t="e">
        <f t="shared" si="190"/>
        <v>#REF!</v>
      </c>
      <c r="BE323" t="s">
        <v>2267</v>
      </c>
      <c r="BH323" t="e">
        <f>VLOOKUP(K323,#REF!,8,FALSE)</f>
        <v>#REF!</v>
      </c>
      <c r="BJ323">
        <f>AB323</f>
        <v>30</v>
      </c>
      <c r="BK323" s="269">
        <f>AM323</f>
        <v>8183.0999999999985</v>
      </c>
      <c r="BL323" s="353"/>
      <c r="BM323" s="353" t="s">
        <v>75</v>
      </c>
      <c r="BN323" s="353"/>
      <c r="BO323" s="111">
        <f>BK323/192*127</f>
        <v>5412.7796874999985</v>
      </c>
      <c r="BP323" s="166">
        <f t="shared" si="169"/>
        <v>8097.8593749999982</v>
      </c>
      <c r="BQ323" s="111">
        <v>5412.7796874999985</v>
      </c>
      <c r="BR323" t="s">
        <v>2446</v>
      </c>
      <c r="BS323" s="165"/>
      <c r="BX323" s="495">
        <f t="shared" si="170"/>
        <v>8097.8593749999982</v>
      </c>
      <c r="BZ323" s="636">
        <f t="shared" ref="BZ323:BZ386" si="191">BX323-BP323</f>
        <v>0</v>
      </c>
      <c r="CA323" s="633">
        <f t="shared" ref="CA323:CA386" si="192">BX323-AS323</f>
        <v>5412.7796874999985</v>
      </c>
    </row>
    <row r="324" spans="1:79" x14ac:dyDescent="0.2">
      <c r="A324" s="4">
        <v>1</v>
      </c>
      <c r="B324" s="4">
        <v>1</v>
      </c>
      <c r="C324" s="5">
        <v>41115</v>
      </c>
      <c r="D324" s="314">
        <v>41115</v>
      </c>
      <c r="E324" s="6">
        <v>43011</v>
      </c>
      <c r="F324" s="6" t="s">
        <v>1606</v>
      </c>
      <c r="G324" s="7"/>
      <c r="H324" s="7"/>
      <c r="I324" s="7" t="s">
        <v>32</v>
      </c>
      <c r="J324" s="7"/>
      <c r="K324" s="29">
        <v>430000</v>
      </c>
      <c r="L324" s="46" t="s">
        <v>700</v>
      </c>
      <c r="M324" s="10" t="s">
        <v>701</v>
      </c>
      <c r="N324" s="10" t="s">
        <v>702</v>
      </c>
      <c r="O324" s="11" t="s">
        <v>703</v>
      </c>
      <c r="P324" s="12">
        <v>42471</v>
      </c>
      <c r="Q324" s="13">
        <f t="shared" ca="1" si="161"/>
        <v>9.4483230663928808</v>
      </c>
      <c r="R324" s="14">
        <v>2</v>
      </c>
      <c r="S324" s="15">
        <v>872</v>
      </c>
      <c r="T324" s="8">
        <v>872</v>
      </c>
      <c r="U324" s="16">
        <v>45017</v>
      </c>
      <c r="V324" s="17">
        <v>1</v>
      </c>
      <c r="W324" s="16">
        <v>45382</v>
      </c>
      <c r="X324" s="14">
        <v>192</v>
      </c>
      <c r="Y324" s="18">
        <f t="shared" ref="Y324:Y384" si="193">X324-V324+1</f>
        <v>192</v>
      </c>
      <c r="Z324" s="18">
        <f t="shared" si="188"/>
        <v>1</v>
      </c>
      <c r="AA324" s="18" t="s">
        <v>36</v>
      </c>
      <c r="AB324" s="26">
        <v>30</v>
      </c>
      <c r="AC324" s="26"/>
      <c r="AD324" s="26"/>
      <c r="AE324" s="147" t="str">
        <f t="shared" si="184"/>
        <v>0</v>
      </c>
      <c r="AF324" s="147" t="str">
        <f t="shared" si="163"/>
        <v>1</v>
      </c>
      <c r="AG324" s="147" t="str">
        <f t="shared" si="185"/>
        <v>0</v>
      </c>
      <c r="AH324" s="147" t="str">
        <f t="shared" si="165"/>
        <v>NO</v>
      </c>
      <c r="AI324" s="147" t="str">
        <f t="shared" si="166"/>
        <v>NO</v>
      </c>
      <c r="AJ324" s="147" t="str">
        <f t="shared" si="167"/>
        <v>NO</v>
      </c>
      <c r="AK324" s="147" t="str">
        <f t="shared" si="168"/>
        <v>NO</v>
      </c>
      <c r="AL324" s="21"/>
      <c r="AM324" s="21">
        <f t="shared" si="189"/>
        <v>8183.0999999999985</v>
      </c>
      <c r="AN324" s="27" t="s">
        <v>37</v>
      </c>
      <c r="AO324" s="21">
        <v>1</v>
      </c>
      <c r="AP324" s="21">
        <f t="shared" si="186"/>
        <v>1</v>
      </c>
      <c r="AQ324" s="149">
        <f t="shared" si="183"/>
        <v>8183.0999999999985</v>
      </c>
      <c r="AR324" s="21">
        <v>8183.0999999999985</v>
      </c>
      <c r="AS324" s="610">
        <v>8183.0999999999985</v>
      </c>
      <c r="AT324" s="112">
        <v>8183.0999999999985</v>
      </c>
      <c r="AU324" s="4"/>
      <c r="AV324" s="4"/>
      <c r="AW324" s="23" t="e">
        <f>VLOOKUP(K324,#REF!,8,FALSE)</f>
        <v>#REF!</v>
      </c>
      <c r="AX324" s="23" t="e">
        <f>VLOOKUP(K324,#REF!,8,FALSE)</f>
        <v>#REF!</v>
      </c>
      <c r="AY324" s="23" t="e">
        <f>VLOOKUP(K324,#REF!,8,FALSE)</f>
        <v>#REF!</v>
      </c>
      <c r="AZ324" s="4"/>
      <c r="BA324" s="272"/>
      <c r="BB324" s="313">
        <f t="shared" si="187"/>
        <v>0</v>
      </c>
      <c r="BC324" s="269">
        <f t="shared" si="180"/>
        <v>8183.0999999999985</v>
      </c>
      <c r="BD324" t="str">
        <f t="shared" si="190"/>
        <v/>
      </c>
      <c r="BP324" s="166">
        <f t="shared" si="169"/>
        <v>8183.0999999999985</v>
      </c>
      <c r="BS324" s="165"/>
      <c r="BX324" s="495">
        <f t="shared" si="170"/>
        <v>8183.0999999999985</v>
      </c>
      <c r="BZ324" s="636">
        <f t="shared" si="191"/>
        <v>0</v>
      </c>
      <c r="CA324" s="633">
        <f t="shared" si="192"/>
        <v>0</v>
      </c>
    </row>
    <row r="325" spans="1:79" x14ac:dyDescent="0.2">
      <c r="A325" s="4">
        <v>1</v>
      </c>
      <c r="B325" s="4">
        <v>1</v>
      </c>
      <c r="C325" s="5">
        <f t="shared" ref="C325:C388" si="194">D325*1</f>
        <v>41115</v>
      </c>
      <c r="D325" s="6">
        <v>41115</v>
      </c>
      <c r="E325" s="6">
        <v>43011</v>
      </c>
      <c r="F325" s="6" t="s">
        <v>1606</v>
      </c>
      <c r="G325" s="7"/>
      <c r="H325" s="7"/>
      <c r="I325" s="7" t="s">
        <v>32</v>
      </c>
      <c r="J325" s="7"/>
      <c r="K325" s="29">
        <v>407686</v>
      </c>
      <c r="L325" s="46" t="s">
        <v>700</v>
      </c>
      <c r="M325" s="10" t="s">
        <v>704</v>
      </c>
      <c r="N325" s="10" t="s">
        <v>705</v>
      </c>
      <c r="O325" s="11" t="s">
        <v>706</v>
      </c>
      <c r="P325" s="12">
        <v>41296</v>
      </c>
      <c r="Q325" s="13">
        <f t="shared" ca="1" si="161"/>
        <v>12.6652977412731</v>
      </c>
      <c r="R325" s="14">
        <v>5</v>
      </c>
      <c r="S325" s="15">
        <v>872</v>
      </c>
      <c r="T325" s="8">
        <v>872</v>
      </c>
      <c r="U325" s="16">
        <v>45017</v>
      </c>
      <c r="V325" s="17">
        <v>1</v>
      </c>
      <c r="W325" s="16">
        <v>45382</v>
      </c>
      <c r="X325" s="14">
        <v>192</v>
      </c>
      <c r="Y325" s="18">
        <f t="shared" si="193"/>
        <v>192</v>
      </c>
      <c r="Z325" s="18">
        <f t="shared" si="188"/>
        <v>1</v>
      </c>
      <c r="AA325" s="18" t="s">
        <v>36</v>
      </c>
      <c r="AB325" s="26">
        <v>25</v>
      </c>
      <c r="AC325" s="26"/>
      <c r="AD325" s="26"/>
      <c r="AE325" s="147" t="str">
        <f t="shared" si="184"/>
        <v>1</v>
      </c>
      <c r="AF325" s="147" t="str">
        <f t="shared" si="163"/>
        <v>0</v>
      </c>
      <c r="AG325" s="147" t="str">
        <f t="shared" si="185"/>
        <v>0</v>
      </c>
      <c r="AH325" s="147" t="str">
        <f t="shared" si="165"/>
        <v>NO</v>
      </c>
      <c r="AI325" s="147" t="str">
        <f t="shared" si="166"/>
        <v>NO</v>
      </c>
      <c r="AJ325" s="147" t="str">
        <f t="shared" si="167"/>
        <v>NO</v>
      </c>
      <c r="AK325" s="147" t="str">
        <f t="shared" si="168"/>
        <v>NO</v>
      </c>
      <c r="AL325" s="21"/>
      <c r="AM325" s="21">
        <f t="shared" si="189"/>
        <v>5819.25</v>
      </c>
      <c r="AN325" s="27" t="s">
        <v>43</v>
      </c>
      <c r="AO325" s="21">
        <v>1</v>
      </c>
      <c r="AP325" s="21">
        <f t="shared" si="186"/>
        <v>1</v>
      </c>
      <c r="AQ325" s="149">
        <f t="shared" si="183"/>
        <v>5819.25</v>
      </c>
      <c r="AR325" s="21">
        <v>5819.25</v>
      </c>
      <c r="AS325" s="610">
        <v>5819.25</v>
      </c>
      <c r="AT325" s="112">
        <v>5819.25</v>
      </c>
      <c r="AU325" s="4"/>
      <c r="AV325" s="4"/>
      <c r="AW325" s="23" t="e">
        <f>VLOOKUP(K325,#REF!,8,FALSE)</f>
        <v>#REF!</v>
      </c>
      <c r="AX325" s="23" t="e">
        <f>VLOOKUP(K325,#REF!,8,FALSE)</f>
        <v>#REF!</v>
      </c>
      <c r="AY325" s="23" t="e">
        <f>VLOOKUP(K325,#REF!,8,FALSE)</f>
        <v>#REF!</v>
      </c>
      <c r="AZ325" s="4"/>
      <c r="BA325" s="272"/>
      <c r="BB325" s="313">
        <f t="shared" si="187"/>
        <v>0</v>
      </c>
      <c r="BC325" s="269">
        <f t="shared" si="180"/>
        <v>5819.25</v>
      </c>
      <c r="BD325" t="str">
        <f t="shared" si="190"/>
        <v/>
      </c>
      <c r="BP325" s="166">
        <f t="shared" si="169"/>
        <v>5819.25</v>
      </c>
      <c r="BS325" s="165"/>
      <c r="BX325" s="495">
        <f t="shared" si="170"/>
        <v>5819.25</v>
      </c>
      <c r="BZ325" s="636">
        <f t="shared" si="191"/>
        <v>0</v>
      </c>
      <c r="CA325" s="633">
        <f t="shared" si="192"/>
        <v>0</v>
      </c>
    </row>
    <row r="326" spans="1:79" x14ac:dyDescent="0.2">
      <c r="A326" s="4">
        <v>1</v>
      </c>
      <c r="B326" s="4">
        <v>1</v>
      </c>
      <c r="C326" s="5">
        <f t="shared" si="194"/>
        <v>41115</v>
      </c>
      <c r="D326" s="6">
        <v>41115</v>
      </c>
      <c r="E326" s="6">
        <v>43011</v>
      </c>
      <c r="F326" s="6" t="s">
        <v>1606</v>
      </c>
      <c r="G326" s="7"/>
      <c r="H326" s="7"/>
      <c r="I326" s="7" t="s">
        <v>32</v>
      </c>
      <c r="J326" s="7"/>
      <c r="K326" s="29">
        <v>431187</v>
      </c>
      <c r="L326" s="46" t="s">
        <v>700</v>
      </c>
      <c r="M326" s="10" t="s">
        <v>707</v>
      </c>
      <c r="N326" s="10" t="s">
        <v>708</v>
      </c>
      <c r="O326" s="11" t="s">
        <v>709</v>
      </c>
      <c r="P326" s="12">
        <v>42411</v>
      </c>
      <c r="Q326" s="13">
        <f t="shared" ca="1" si="161"/>
        <v>9.6125941136208084</v>
      </c>
      <c r="R326" s="14">
        <v>2</v>
      </c>
      <c r="S326" s="15">
        <v>872</v>
      </c>
      <c r="T326" s="8">
        <v>872</v>
      </c>
      <c r="U326" s="16">
        <v>45017</v>
      </c>
      <c r="V326" s="17">
        <v>1</v>
      </c>
      <c r="W326" s="16">
        <v>45382</v>
      </c>
      <c r="X326" s="14">
        <v>192</v>
      </c>
      <c r="Y326" s="18">
        <f t="shared" si="193"/>
        <v>192</v>
      </c>
      <c r="Z326" s="18">
        <f t="shared" si="188"/>
        <v>1</v>
      </c>
      <c r="AA326" s="18" t="s">
        <v>36</v>
      </c>
      <c r="AB326" s="26">
        <v>28</v>
      </c>
      <c r="AC326" s="26"/>
      <c r="AD326" s="26"/>
      <c r="AE326" s="147" t="str">
        <f t="shared" si="184"/>
        <v>0</v>
      </c>
      <c r="AF326" s="147" t="str">
        <f t="shared" si="163"/>
        <v>1</v>
      </c>
      <c r="AG326" s="147" t="str">
        <f t="shared" si="185"/>
        <v>0</v>
      </c>
      <c r="AH326" s="147" t="str">
        <f t="shared" si="165"/>
        <v>NO</v>
      </c>
      <c r="AI326" s="147" t="str">
        <f t="shared" si="166"/>
        <v>NO</v>
      </c>
      <c r="AJ326" s="147" t="str">
        <f t="shared" si="167"/>
        <v>NO</v>
      </c>
      <c r="AK326" s="147" t="str">
        <f t="shared" si="168"/>
        <v>NO</v>
      </c>
      <c r="AL326" s="21"/>
      <c r="AM326" s="21">
        <f t="shared" si="189"/>
        <v>7237.5599999999995</v>
      </c>
      <c r="AN326" s="27" t="s">
        <v>56</v>
      </c>
      <c r="AO326" s="21">
        <v>1</v>
      </c>
      <c r="AP326" s="21">
        <f t="shared" si="186"/>
        <v>1</v>
      </c>
      <c r="AQ326" s="149">
        <f t="shared" si="183"/>
        <v>7237.5599999999995</v>
      </c>
      <c r="AR326" s="21">
        <v>7237.5599999999995</v>
      </c>
      <c r="AS326" s="610">
        <v>7237.5599999999995</v>
      </c>
      <c r="AT326" s="112">
        <v>7237.5599999999995</v>
      </c>
      <c r="AU326" s="4"/>
      <c r="AV326" s="4"/>
      <c r="AW326" s="23" t="e">
        <f>VLOOKUP(K326,#REF!,8,FALSE)</f>
        <v>#REF!</v>
      </c>
      <c r="AX326" s="23" t="e">
        <f>VLOOKUP(K326,#REF!,8,FALSE)</f>
        <v>#REF!</v>
      </c>
      <c r="AY326" s="23" t="e">
        <f>VLOOKUP(K326,#REF!,8,FALSE)</f>
        <v>#REF!</v>
      </c>
      <c r="AZ326" s="4"/>
      <c r="BA326" s="272"/>
      <c r="BB326" s="313">
        <f t="shared" si="187"/>
        <v>0</v>
      </c>
      <c r="BC326" s="269">
        <f t="shared" si="180"/>
        <v>7237.5599999999995</v>
      </c>
      <c r="BD326" t="str">
        <f t="shared" si="190"/>
        <v/>
      </c>
      <c r="BP326" s="166">
        <f t="shared" si="169"/>
        <v>7237.5599999999995</v>
      </c>
      <c r="BS326" s="165"/>
      <c r="BX326" s="495">
        <f t="shared" si="170"/>
        <v>7237.5599999999995</v>
      </c>
      <c r="BZ326" s="636">
        <f t="shared" si="191"/>
        <v>0</v>
      </c>
      <c r="CA326" s="633">
        <f t="shared" si="192"/>
        <v>0</v>
      </c>
    </row>
    <row r="327" spans="1:79" x14ac:dyDescent="0.2">
      <c r="A327" s="4">
        <v>1</v>
      </c>
      <c r="B327" s="4">
        <v>1</v>
      </c>
      <c r="C327" s="5">
        <f t="shared" si="194"/>
        <v>41115</v>
      </c>
      <c r="D327" s="6">
        <v>41115</v>
      </c>
      <c r="E327" s="6">
        <v>43011</v>
      </c>
      <c r="F327" s="6" t="s">
        <v>1606</v>
      </c>
      <c r="G327" s="7"/>
      <c r="H327" s="7"/>
      <c r="I327" s="7" t="s">
        <v>32</v>
      </c>
      <c r="J327" s="7"/>
      <c r="K327" s="29">
        <v>428996</v>
      </c>
      <c r="L327" s="46" t="s">
        <v>700</v>
      </c>
      <c r="M327" s="10" t="s">
        <v>92</v>
      </c>
      <c r="N327" s="10" t="s">
        <v>710</v>
      </c>
      <c r="O327" s="11" t="s">
        <v>711</v>
      </c>
      <c r="P327" s="12">
        <v>42496</v>
      </c>
      <c r="Q327" s="13">
        <f t="shared" ca="1" si="161"/>
        <v>9.3798767967145782</v>
      </c>
      <c r="R327" s="14">
        <v>2</v>
      </c>
      <c r="S327" s="15">
        <v>872</v>
      </c>
      <c r="T327" s="8">
        <v>872</v>
      </c>
      <c r="U327" s="16">
        <v>45017</v>
      </c>
      <c r="V327" s="17">
        <v>1</v>
      </c>
      <c r="W327" s="16">
        <v>45382</v>
      </c>
      <c r="X327" s="14">
        <v>192</v>
      </c>
      <c r="Y327" s="18">
        <f t="shared" si="193"/>
        <v>192</v>
      </c>
      <c r="Z327" s="18">
        <f t="shared" si="188"/>
        <v>1</v>
      </c>
      <c r="AA327" s="18" t="s">
        <v>36</v>
      </c>
      <c r="AB327" s="26">
        <v>30</v>
      </c>
      <c r="AC327" s="26"/>
      <c r="AD327" s="26"/>
      <c r="AE327" s="147" t="str">
        <f t="shared" si="184"/>
        <v>0</v>
      </c>
      <c r="AF327" s="147" t="str">
        <f t="shared" si="163"/>
        <v>1</v>
      </c>
      <c r="AG327" s="147" t="str">
        <f t="shared" si="185"/>
        <v>0</v>
      </c>
      <c r="AH327" s="147" t="str">
        <f t="shared" si="165"/>
        <v>NO</v>
      </c>
      <c r="AI327" s="147" t="str">
        <f t="shared" si="166"/>
        <v>NO</v>
      </c>
      <c r="AJ327" s="147" t="str">
        <f t="shared" si="167"/>
        <v>NO</v>
      </c>
      <c r="AK327" s="147" t="str">
        <f t="shared" si="168"/>
        <v>NO</v>
      </c>
      <c r="AL327" s="21"/>
      <c r="AM327" s="21">
        <f t="shared" si="189"/>
        <v>8183.0999999999985</v>
      </c>
      <c r="AN327" s="27" t="s">
        <v>37</v>
      </c>
      <c r="AO327" s="21">
        <v>1</v>
      </c>
      <c r="AP327" s="21">
        <f t="shared" si="186"/>
        <v>1</v>
      </c>
      <c r="AQ327" s="149">
        <f t="shared" si="183"/>
        <v>8183.0999999999985</v>
      </c>
      <c r="AR327" s="21">
        <v>8183.0999999999985</v>
      </c>
      <c r="AS327" s="610">
        <v>8183.0999999999985</v>
      </c>
      <c r="AT327" s="112">
        <v>8183.0999999999985</v>
      </c>
      <c r="AU327" s="4"/>
      <c r="AV327" s="4"/>
      <c r="AW327" s="23" t="e">
        <f>VLOOKUP(K327,#REF!,8,FALSE)</f>
        <v>#REF!</v>
      </c>
      <c r="AX327" s="23" t="e">
        <f>VLOOKUP(K327,#REF!,8,FALSE)</f>
        <v>#REF!</v>
      </c>
      <c r="AY327" s="23" t="e">
        <f>VLOOKUP(K327,#REF!,8,FALSE)</f>
        <v>#REF!</v>
      </c>
      <c r="AZ327" s="4"/>
      <c r="BA327" s="272"/>
      <c r="BB327" s="313">
        <f t="shared" si="187"/>
        <v>0</v>
      </c>
      <c r="BC327" s="269">
        <f t="shared" si="180"/>
        <v>8183.0999999999985</v>
      </c>
      <c r="BD327" t="str">
        <f t="shared" si="190"/>
        <v/>
      </c>
      <c r="BP327" s="166">
        <f t="shared" si="169"/>
        <v>8183.0999999999985</v>
      </c>
      <c r="BS327" s="165"/>
      <c r="BX327" s="495">
        <f t="shared" si="170"/>
        <v>8183.0999999999985</v>
      </c>
      <c r="BZ327" s="636">
        <f t="shared" si="191"/>
        <v>0</v>
      </c>
      <c r="CA327" s="633">
        <f t="shared" si="192"/>
        <v>0</v>
      </c>
    </row>
    <row r="328" spans="1:79" x14ac:dyDescent="0.2">
      <c r="A328" s="4">
        <v>0</v>
      </c>
      <c r="B328" s="4">
        <v>1</v>
      </c>
      <c r="C328" s="5">
        <f t="shared" si="194"/>
        <v>41115</v>
      </c>
      <c r="D328" s="6">
        <v>41115</v>
      </c>
      <c r="E328" s="6">
        <v>43011</v>
      </c>
      <c r="F328" s="6" t="s">
        <v>1606</v>
      </c>
      <c r="G328" s="7"/>
      <c r="H328" s="7"/>
      <c r="I328" s="7" t="s">
        <v>32</v>
      </c>
      <c r="J328" s="7" t="s">
        <v>142</v>
      </c>
      <c r="K328" s="29">
        <v>428996</v>
      </c>
      <c r="L328" s="46" t="s">
        <v>700</v>
      </c>
      <c r="M328" s="10" t="s">
        <v>92</v>
      </c>
      <c r="N328" s="10" t="s">
        <v>710</v>
      </c>
      <c r="O328" s="11" t="s">
        <v>711</v>
      </c>
      <c r="P328" s="12">
        <v>42496</v>
      </c>
      <c r="Q328" s="13">
        <f t="shared" ca="1" si="161"/>
        <v>9.3798767967145782</v>
      </c>
      <c r="R328" s="14">
        <v>2</v>
      </c>
      <c r="S328" s="15">
        <v>872</v>
      </c>
      <c r="T328" s="8">
        <v>872</v>
      </c>
      <c r="U328" s="16">
        <v>45017</v>
      </c>
      <c r="V328" s="17">
        <v>1</v>
      </c>
      <c r="W328" s="16">
        <v>45128</v>
      </c>
      <c r="X328" s="14">
        <v>63</v>
      </c>
      <c r="Y328" s="18">
        <f t="shared" si="193"/>
        <v>63</v>
      </c>
      <c r="Z328" s="18">
        <v>1</v>
      </c>
      <c r="AA328" s="16">
        <v>45128</v>
      </c>
      <c r="AB328" s="26">
        <v>2080</v>
      </c>
      <c r="AC328" s="26"/>
      <c r="AD328" s="26"/>
      <c r="AE328" s="147" t="str">
        <f t="shared" si="184"/>
        <v>0</v>
      </c>
      <c r="AF328" s="147" t="str">
        <f t="shared" si="163"/>
        <v>0</v>
      </c>
      <c r="AG328" s="147" t="str">
        <f t="shared" si="185"/>
        <v>1</v>
      </c>
      <c r="AH328" s="147" t="str">
        <f t="shared" si="165"/>
        <v>NO</v>
      </c>
      <c r="AI328" s="147" t="str">
        <f t="shared" si="166"/>
        <v>NO</v>
      </c>
      <c r="AJ328" s="147" t="str">
        <f t="shared" si="167"/>
        <v>NO</v>
      </c>
      <c r="AK328" s="147" t="str">
        <f t="shared" si="168"/>
        <v>NO</v>
      </c>
      <c r="AL328" s="21"/>
      <c r="AM328" s="21">
        <v>2080</v>
      </c>
      <c r="AN328" s="27" t="s">
        <v>37</v>
      </c>
      <c r="AO328" s="21">
        <v>1</v>
      </c>
      <c r="AP328" s="21">
        <f t="shared" si="186"/>
        <v>1</v>
      </c>
      <c r="AQ328" s="149">
        <f t="shared" si="183"/>
        <v>2080</v>
      </c>
      <c r="AR328" s="21">
        <v>2080</v>
      </c>
      <c r="AS328" s="610">
        <v>0</v>
      </c>
      <c r="AT328" s="112">
        <v>2080</v>
      </c>
      <c r="AU328" s="4"/>
      <c r="AV328" s="4"/>
      <c r="AW328" s="23" t="e">
        <f>VLOOKUP(K328,#REF!,8,FALSE)</f>
        <v>#REF!</v>
      </c>
      <c r="AX328" s="23" t="e">
        <f>VLOOKUP(K328,#REF!,8,FALSE)</f>
        <v>#REF!</v>
      </c>
      <c r="AY328" s="23" t="e">
        <f>VLOOKUP(K328,#REF!,8,FALSE)</f>
        <v>#REF!</v>
      </c>
      <c r="AZ328" s="4"/>
      <c r="BA328" s="272"/>
      <c r="BB328" s="313">
        <f t="shared" si="187"/>
        <v>0</v>
      </c>
      <c r="BC328" s="269">
        <f t="shared" si="180"/>
        <v>2080</v>
      </c>
      <c r="BD328" t="str">
        <f t="shared" si="190"/>
        <v/>
      </c>
      <c r="BJ328">
        <f>AB328</f>
        <v>2080</v>
      </c>
      <c r="BK328" s="269">
        <f>AM328</f>
        <v>2080</v>
      </c>
      <c r="BO328" s="106">
        <f>BK328/192*127</f>
        <v>1375.8333333333335</v>
      </c>
      <c r="BP328" s="166">
        <f t="shared" si="169"/>
        <v>3455.8333333333335</v>
      </c>
      <c r="BS328" s="165"/>
      <c r="BX328" s="495">
        <f t="shared" si="170"/>
        <v>3455.8333333333335</v>
      </c>
      <c r="BZ328" s="636">
        <f t="shared" si="191"/>
        <v>0</v>
      </c>
      <c r="CA328" s="633">
        <f t="shared" si="192"/>
        <v>3455.8333333333335</v>
      </c>
    </row>
    <row r="329" spans="1:79" x14ac:dyDescent="0.2">
      <c r="A329" s="4">
        <v>1</v>
      </c>
      <c r="B329" s="4">
        <v>1</v>
      </c>
      <c r="C329" s="5">
        <f t="shared" si="194"/>
        <v>41116</v>
      </c>
      <c r="D329" s="6">
        <v>41116</v>
      </c>
      <c r="E329" s="121">
        <v>43012</v>
      </c>
      <c r="F329" s="6" t="s">
        <v>1606</v>
      </c>
      <c r="G329" s="7" t="s">
        <v>75</v>
      </c>
      <c r="H329" s="7"/>
      <c r="I329" s="7" t="s">
        <v>32</v>
      </c>
      <c r="J329" s="7"/>
      <c r="K329" s="29">
        <v>418259</v>
      </c>
      <c r="L329" s="10" t="s">
        <v>712</v>
      </c>
      <c r="M329" s="10" t="s">
        <v>713</v>
      </c>
      <c r="N329" s="10" t="s">
        <v>714</v>
      </c>
      <c r="O329" s="11" t="s">
        <v>715</v>
      </c>
      <c r="P329" s="12">
        <v>41894</v>
      </c>
      <c r="Q329" s="13">
        <f t="shared" ca="1" si="161"/>
        <v>11.028062970568104</v>
      </c>
      <c r="R329" s="14">
        <v>3</v>
      </c>
      <c r="S329" s="15">
        <v>872</v>
      </c>
      <c r="T329" s="8">
        <v>872</v>
      </c>
      <c r="U329" s="16">
        <v>45017</v>
      </c>
      <c r="V329" s="17">
        <v>1</v>
      </c>
      <c r="W329" s="16">
        <v>45382</v>
      </c>
      <c r="X329" s="14">
        <v>192</v>
      </c>
      <c r="Y329" s="18">
        <f t="shared" si="193"/>
        <v>192</v>
      </c>
      <c r="Z329" s="18">
        <f t="shared" ref="Z329:Z338" si="195">Y329/192</f>
        <v>1</v>
      </c>
      <c r="AA329" s="18" t="s">
        <v>36</v>
      </c>
      <c r="AB329" s="26">
        <v>30</v>
      </c>
      <c r="AC329" s="26"/>
      <c r="AD329" s="26"/>
      <c r="AE329" s="147" t="str">
        <f t="shared" si="184"/>
        <v>0</v>
      </c>
      <c r="AF329" s="147" t="str">
        <f t="shared" si="163"/>
        <v>1</v>
      </c>
      <c r="AG329" s="147" t="str">
        <f t="shared" si="185"/>
        <v>0</v>
      </c>
      <c r="AH329" s="147" t="str">
        <f t="shared" si="165"/>
        <v>NO</v>
      </c>
      <c r="AI329" s="147" t="str">
        <f t="shared" si="166"/>
        <v>NO</v>
      </c>
      <c r="AJ329" s="147" t="str">
        <f t="shared" si="167"/>
        <v>NO</v>
      </c>
      <c r="AK329" s="147" t="str">
        <f t="shared" si="168"/>
        <v>NO</v>
      </c>
      <c r="AL329" s="21"/>
      <c r="AM329" s="21">
        <f t="shared" ref="AM329:AM338" si="196">IF(H329="Y",AL329,((AB329*$O$902)-6000))</f>
        <v>8183.0999999999985</v>
      </c>
      <c r="AN329" s="27" t="s">
        <v>536</v>
      </c>
      <c r="AO329" s="21">
        <v>1</v>
      </c>
      <c r="AP329" s="21">
        <f t="shared" si="186"/>
        <v>1</v>
      </c>
      <c r="AQ329" s="149">
        <f t="shared" si="183"/>
        <v>8183.0999999999985</v>
      </c>
      <c r="AR329" s="21">
        <v>8183.0999999999985</v>
      </c>
      <c r="AS329" s="610">
        <v>8183.0999999999985</v>
      </c>
      <c r="AT329" s="112">
        <v>8183.0999999999985</v>
      </c>
      <c r="AU329" s="4"/>
      <c r="AV329" s="4"/>
      <c r="AW329" s="23" t="e">
        <f>VLOOKUP(K329,#REF!,8,FALSE)</f>
        <v>#REF!</v>
      </c>
      <c r="AX329" s="23" t="e">
        <f>VLOOKUP(K329,#REF!,8,FALSE)</f>
        <v>#REF!</v>
      </c>
      <c r="AY329" s="23" t="e">
        <f>VLOOKUP(K329,#REF!,8,FALSE)</f>
        <v>#REF!</v>
      </c>
      <c r="AZ329" s="4"/>
      <c r="BA329" s="272"/>
      <c r="BB329" s="313">
        <f t="shared" si="187"/>
        <v>0</v>
      </c>
      <c r="BC329" s="269">
        <f t="shared" si="180"/>
        <v>8183.0999999999985</v>
      </c>
      <c r="BD329" t="str">
        <f t="shared" si="190"/>
        <v/>
      </c>
      <c r="BP329" s="166">
        <f t="shared" si="169"/>
        <v>8183.0999999999985</v>
      </c>
      <c r="BS329" s="165"/>
      <c r="BX329" s="495">
        <f t="shared" si="170"/>
        <v>8183.0999999999985</v>
      </c>
      <c r="BZ329" s="636">
        <f t="shared" si="191"/>
        <v>0</v>
      </c>
      <c r="CA329" s="633">
        <f t="shared" si="192"/>
        <v>0</v>
      </c>
    </row>
    <row r="330" spans="1:79" x14ac:dyDescent="0.2">
      <c r="A330" s="4">
        <v>1</v>
      </c>
      <c r="B330" s="4">
        <v>1</v>
      </c>
      <c r="C330" s="5">
        <f t="shared" si="194"/>
        <v>41116</v>
      </c>
      <c r="D330" s="6">
        <v>41116</v>
      </c>
      <c r="E330" s="121">
        <v>43012</v>
      </c>
      <c r="F330" s="6" t="s">
        <v>1606</v>
      </c>
      <c r="G330" s="7" t="s">
        <v>75</v>
      </c>
      <c r="H330" s="7"/>
      <c r="I330" s="7" t="s">
        <v>32</v>
      </c>
      <c r="J330" s="7"/>
      <c r="K330" s="29">
        <v>430956</v>
      </c>
      <c r="L330" s="10" t="s">
        <v>712</v>
      </c>
      <c r="M330" s="10" t="s">
        <v>177</v>
      </c>
      <c r="N330" s="10" t="s">
        <v>716</v>
      </c>
      <c r="O330" s="11" t="s">
        <v>717</v>
      </c>
      <c r="P330" s="12">
        <v>42536</v>
      </c>
      <c r="Q330" s="13">
        <f t="shared" ca="1" si="161"/>
        <v>9.2703627652292955</v>
      </c>
      <c r="R330" s="14">
        <v>2</v>
      </c>
      <c r="S330" s="15">
        <v>872</v>
      </c>
      <c r="T330" s="8">
        <v>872</v>
      </c>
      <c r="U330" s="16">
        <v>45017</v>
      </c>
      <c r="V330" s="17">
        <v>1</v>
      </c>
      <c r="W330" s="16">
        <v>45382</v>
      </c>
      <c r="X330" s="14">
        <v>192</v>
      </c>
      <c r="Y330" s="18">
        <f t="shared" si="193"/>
        <v>192</v>
      </c>
      <c r="Z330" s="18">
        <f t="shared" si="195"/>
        <v>1</v>
      </c>
      <c r="AA330" s="18" t="s">
        <v>36</v>
      </c>
      <c r="AB330" s="26">
        <v>26</v>
      </c>
      <c r="AC330" s="26"/>
      <c r="AD330" s="26"/>
      <c r="AE330" s="147" t="str">
        <f t="shared" si="184"/>
        <v>0</v>
      </c>
      <c r="AF330" s="147" t="str">
        <f t="shared" si="163"/>
        <v>1</v>
      </c>
      <c r="AG330" s="147" t="str">
        <f t="shared" si="185"/>
        <v>0</v>
      </c>
      <c r="AH330" s="147" t="str">
        <f t="shared" si="165"/>
        <v>NO</v>
      </c>
      <c r="AI330" s="147" t="str">
        <f t="shared" si="166"/>
        <v>NO</v>
      </c>
      <c r="AJ330" s="147" t="str">
        <f t="shared" si="167"/>
        <v>NO</v>
      </c>
      <c r="AK330" s="147" t="str">
        <f t="shared" si="168"/>
        <v>NO</v>
      </c>
      <c r="AL330" s="21"/>
      <c r="AM330" s="21">
        <f t="shared" si="196"/>
        <v>6292.02</v>
      </c>
      <c r="AN330" s="27" t="s">
        <v>37</v>
      </c>
      <c r="AO330" s="21">
        <v>1</v>
      </c>
      <c r="AP330" s="21">
        <f t="shared" si="186"/>
        <v>1</v>
      </c>
      <c r="AQ330" s="149">
        <f t="shared" si="183"/>
        <v>6292.02</v>
      </c>
      <c r="AR330" s="21">
        <v>6292.02</v>
      </c>
      <c r="AS330" s="610">
        <v>6292.02</v>
      </c>
      <c r="AT330" s="112">
        <v>6292.02</v>
      </c>
      <c r="AU330" s="4"/>
      <c r="AV330" s="4"/>
      <c r="AW330" s="23" t="e">
        <f>VLOOKUP(K330,#REF!,8,FALSE)</f>
        <v>#REF!</v>
      </c>
      <c r="AX330" s="23" t="e">
        <f>VLOOKUP(K330,#REF!,8,FALSE)</f>
        <v>#REF!</v>
      </c>
      <c r="AY330" s="23" t="e">
        <f>VLOOKUP(K330,#REF!,8,FALSE)</f>
        <v>#REF!</v>
      </c>
      <c r="AZ330" s="4"/>
      <c r="BA330" s="272"/>
      <c r="BB330" s="313">
        <f t="shared" si="187"/>
        <v>0</v>
      </c>
      <c r="BC330" s="269">
        <f t="shared" si="180"/>
        <v>6292.02</v>
      </c>
      <c r="BD330" t="str">
        <f t="shared" si="190"/>
        <v/>
      </c>
      <c r="BP330" s="166">
        <f t="shared" si="169"/>
        <v>6292.02</v>
      </c>
      <c r="BS330" s="165"/>
      <c r="BX330" s="495">
        <f t="shared" si="170"/>
        <v>6292.02</v>
      </c>
      <c r="BZ330" s="636">
        <f t="shared" si="191"/>
        <v>0</v>
      </c>
      <c r="CA330" s="633">
        <f t="shared" si="192"/>
        <v>0</v>
      </c>
    </row>
    <row r="331" spans="1:79" x14ac:dyDescent="0.2">
      <c r="A331" s="4">
        <v>1</v>
      </c>
      <c r="B331" s="4">
        <v>1</v>
      </c>
      <c r="C331" s="5">
        <f t="shared" si="194"/>
        <v>41116</v>
      </c>
      <c r="D331" s="6">
        <v>41116</v>
      </c>
      <c r="E331" s="121">
        <v>43012</v>
      </c>
      <c r="F331" s="6" t="s">
        <v>1606</v>
      </c>
      <c r="G331" s="7" t="s">
        <v>75</v>
      </c>
      <c r="H331" s="7"/>
      <c r="I331" s="7" t="s">
        <v>32</v>
      </c>
      <c r="J331" s="7"/>
      <c r="K331" s="29">
        <v>400441</v>
      </c>
      <c r="L331" s="10" t="s">
        <v>712</v>
      </c>
      <c r="M331" s="10" t="s">
        <v>718</v>
      </c>
      <c r="N331" s="10" t="s">
        <v>719</v>
      </c>
      <c r="O331" s="11" t="s">
        <v>720</v>
      </c>
      <c r="P331" s="12">
        <v>40844</v>
      </c>
      <c r="Q331" s="13">
        <f t="shared" ca="1" si="161"/>
        <v>13.902806297056811</v>
      </c>
      <c r="R331" s="14">
        <v>6</v>
      </c>
      <c r="S331" s="15">
        <v>872</v>
      </c>
      <c r="T331" s="8">
        <v>872</v>
      </c>
      <c r="U331" s="16">
        <v>45017</v>
      </c>
      <c r="V331" s="17">
        <v>1</v>
      </c>
      <c r="W331" s="16">
        <v>45128</v>
      </c>
      <c r="X331" s="14">
        <v>63</v>
      </c>
      <c r="Y331" s="18">
        <f t="shared" si="193"/>
        <v>63</v>
      </c>
      <c r="Z331" s="18">
        <f t="shared" si="195"/>
        <v>0.328125</v>
      </c>
      <c r="AA331" s="18" t="s">
        <v>48</v>
      </c>
      <c r="AB331" s="26">
        <v>30</v>
      </c>
      <c r="AC331" s="26"/>
      <c r="AD331" s="26"/>
      <c r="AE331" s="147" t="str">
        <f t="shared" si="184"/>
        <v>0</v>
      </c>
      <c r="AF331" s="147" t="str">
        <f t="shared" si="163"/>
        <v>1</v>
      </c>
      <c r="AG331" s="147" t="str">
        <f t="shared" si="185"/>
        <v>0</v>
      </c>
      <c r="AH331" s="147" t="str">
        <f t="shared" si="165"/>
        <v>NO</v>
      </c>
      <c r="AI331" s="147" t="str">
        <f t="shared" si="166"/>
        <v>NO</v>
      </c>
      <c r="AJ331" s="147" t="str">
        <f t="shared" si="167"/>
        <v>NO</v>
      </c>
      <c r="AK331" s="147" t="str">
        <f t="shared" si="168"/>
        <v>NO</v>
      </c>
      <c r="AL331" s="21"/>
      <c r="AM331" s="21">
        <f t="shared" si="196"/>
        <v>8183.0999999999985</v>
      </c>
      <c r="AN331" s="22" t="s">
        <v>52</v>
      </c>
      <c r="AO331" s="21">
        <v>1</v>
      </c>
      <c r="AP331" s="21">
        <f t="shared" si="186"/>
        <v>0.328125</v>
      </c>
      <c r="AQ331" s="149">
        <f t="shared" si="183"/>
        <v>2685.0796874999996</v>
      </c>
      <c r="AR331" s="21">
        <v>2685.0796874999996</v>
      </c>
      <c r="AS331" s="610">
        <v>2685.0796874999996</v>
      </c>
      <c r="AT331" s="112">
        <v>2685.0796874999996</v>
      </c>
      <c r="AU331" s="4"/>
      <c r="AV331" s="4"/>
      <c r="AW331" s="23" t="e">
        <f>VLOOKUP(K331,#REF!,8,FALSE)</f>
        <v>#REF!</v>
      </c>
      <c r="AX331" s="23" t="s">
        <v>2251</v>
      </c>
      <c r="AY331" s="23" t="e">
        <f>VLOOKUP(K331,#REF!,8,FALSE)</f>
        <v>#REF!</v>
      </c>
      <c r="AZ331" s="4"/>
      <c r="BA331" s="272"/>
      <c r="BB331" s="313">
        <f t="shared" si="187"/>
        <v>0</v>
      </c>
      <c r="BC331" s="269">
        <f t="shared" si="180"/>
        <v>2685.0796874999996</v>
      </c>
      <c r="BD331" t="e">
        <f t="shared" si="190"/>
        <v>#REF!</v>
      </c>
      <c r="BE331" s="110" t="s">
        <v>2403</v>
      </c>
      <c r="BF331" s="110">
        <v>43013</v>
      </c>
      <c r="BH331" t="e">
        <f>VLOOKUP(K331,#REF!,8,FALSE)</f>
        <v>#REF!</v>
      </c>
      <c r="BJ331">
        <f>AB331</f>
        <v>30</v>
      </c>
      <c r="BK331" s="269">
        <f>AM331</f>
        <v>8183.0999999999985</v>
      </c>
      <c r="BL331" s="353"/>
      <c r="BM331" s="353" t="s">
        <v>75</v>
      </c>
      <c r="BN331" s="353"/>
      <c r="BO331" s="106">
        <f>BK331/192*127</f>
        <v>5412.7796874999985</v>
      </c>
      <c r="BP331" s="166">
        <f t="shared" si="169"/>
        <v>8097.8593749999982</v>
      </c>
      <c r="BS331" s="165"/>
      <c r="BX331" s="495">
        <f t="shared" si="170"/>
        <v>8097.8593749999982</v>
      </c>
      <c r="BZ331" s="636">
        <f t="shared" si="191"/>
        <v>0</v>
      </c>
      <c r="CA331" s="633">
        <f t="shared" si="192"/>
        <v>5412.7796874999985</v>
      </c>
    </row>
    <row r="332" spans="1:79" x14ac:dyDescent="0.2">
      <c r="A332" s="4">
        <v>1</v>
      </c>
      <c r="B332" s="4">
        <v>1</v>
      </c>
      <c r="C332" s="5">
        <f t="shared" si="194"/>
        <v>41116</v>
      </c>
      <c r="D332" s="6">
        <v>41116</v>
      </c>
      <c r="E332" s="121">
        <v>43012</v>
      </c>
      <c r="F332" s="6" t="s">
        <v>1606</v>
      </c>
      <c r="G332" s="7" t="s">
        <v>75</v>
      </c>
      <c r="H332" s="7"/>
      <c r="I332" s="7" t="s">
        <v>32</v>
      </c>
      <c r="J332" s="7"/>
      <c r="K332" s="29">
        <v>397165</v>
      </c>
      <c r="L332" s="10" t="s">
        <v>712</v>
      </c>
      <c r="M332" s="10" t="s">
        <v>721</v>
      </c>
      <c r="N332" s="10" t="s">
        <v>722</v>
      </c>
      <c r="O332" s="11" t="s">
        <v>723</v>
      </c>
      <c r="P332" s="12">
        <v>40959</v>
      </c>
      <c r="Q332" s="13">
        <f t="shared" ca="1" si="161"/>
        <v>13.587953456536619</v>
      </c>
      <c r="R332" s="14">
        <v>6</v>
      </c>
      <c r="S332" s="15">
        <v>872</v>
      </c>
      <c r="T332" s="8">
        <v>872</v>
      </c>
      <c r="U332" s="16">
        <v>45017</v>
      </c>
      <c r="V332" s="17">
        <v>1</v>
      </c>
      <c r="W332" s="16">
        <v>45128</v>
      </c>
      <c r="X332" s="14">
        <v>63</v>
      </c>
      <c r="Y332" s="18">
        <f t="shared" si="193"/>
        <v>63</v>
      </c>
      <c r="Z332" s="18">
        <f t="shared" si="195"/>
        <v>0.328125</v>
      </c>
      <c r="AA332" s="18" t="s">
        <v>48</v>
      </c>
      <c r="AB332" s="26">
        <v>28</v>
      </c>
      <c r="AC332" s="26"/>
      <c r="AD332" s="26"/>
      <c r="AE332" s="147" t="str">
        <f t="shared" si="184"/>
        <v>0</v>
      </c>
      <c r="AF332" s="147" t="str">
        <f t="shared" si="163"/>
        <v>1</v>
      </c>
      <c r="AG332" s="147" t="str">
        <f t="shared" si="185"/>
        <v>0</v>
      </c>
      <c r="AH332" s="147" t="str">
        <f t="shared" si="165"/>
        <v>NO</v>
      </c>
      <c r="AI332" s="147" t="str">
        <f t="shared" si="166"/>
        <v>NO</v>
      </c>
      <c r="AJ332" s="147" t="str">
        <f t="shared" si="167"/>
        <v>NO</v>
      </c>
      <c r="AK332" s="147" t="str">
        <f t="shared" si="168"/>
        <v>NO</v>
      </c>
      <c r="AL332" s="21"/>
      <c r="AM332" s="21">
        <f t="shared" si="196"/>
        <v>7237.5599999999995</v>
      </c>
      <c r="AN332" s="22" t="s">
        <v>128</v>
      </c>
      <c r="AO332" s="21">
        <v>1</v>
      </c>
      <c r="AP332" s="21">
        <f t="shared" si="186"/>
        <v>0.328125</v>
      </c>
      <c r="AQ332" s="149">
        <f t="shared" si="183"/>
        <v>2374.8243749999997</v>
      </c>
      <c r="AR332" s="21">
        <v>2374.8243749999997</v>
      </c>
      <c r="AS332" s="610">
        <v>2374.8243749999997</v>
      </c>
      <c r="AT332" s="112">
        <v>2374.8243749999997</v>
      </c>
      <c r="AU332" s="4"/>
      <c r="AV332" s="4"/>
      <c r="AW332" s="23" t="e">
        <f>VLOOKUP(K332,#REF!,8,FALSE)</f>
        <v>#REF!</v>
      </c>
      <c r="AX332" s="23" t="s">
        <v>2251</v>
      </c>
      <c r="AY332" s="23" t="e">
        <f>VLOOKUP(K332,#REF!,8,FALSE)</f>
        <v>#REF!</v>
      </c>
      <c r="AZ332" s="4"/>
      <c r="BA332" s="272"/>
      <c r="BB332" s="313">
        <f t="shared" si="187"/>
        <v>0</v>
      </c>
      <c r="BC332" s="269">
        <f t="shared" si="180"/>
        <v>2374.8243749999997</v>
      </c>
      <c r="BD332" t="e">
        <f t="shared" si="190"/>
        <v>#REF!</v>
      </c>
      <c r="BE332" s="110" t="s">
        <v>2403</v>
      </c>
      <c r="BF332" s="110">
        <v>43013</v>
      </c>
      <c r="BH332" t="e">
        <f>VLOOKUP(K332,#REF!,8,FALSE)</f>
        <v>#REF!</v>
      </c>
      <c r="BJ332">
        <f>AB332</f>
        <v>28</v>
      </c>
      <c r="BK332" s="269">
        <f>AM332</f>
        <v>7237.5599999999995</v>
      </c>
      <c r="BL332" s="353"/>
      <c r="BM332" s="353" t="s">
        <v>75</v>
      </c>
      <c r="BN332" s="353"/>
      <c r="BO332" s="106">
        <f>BK332/192*127</f>
        <v>4787.3443749999997</v>
      </c>
      <c r="BP332" s="166">
        <f t="shared" si="169"/>
        <v>7162.1687499999989</v>
      </c>
      <c r="BS332" s="165"/>
      <c r="BX332" s="495">
        <f t="shared" si="170"/>
        <v>7162.1687499999989</v>
      </c>
      <c r="BZ332" s="636">
        <f t="shared" si="191"/>
        <v>0</v>
      </c>
      <c r="CA332" s="633">
        <f t="shared" si="192"/>
        <v>4787.3443749999988</v>
      </c>
    </row>
    <row r="333" spans="1:79" x14ac:dyDescent="0.2">
      <c r="A333" s="4">
        <v>1</v>
      </c>
      <c r="B333" s="4">
        <v>1</v>
      </c>
      <c r="C333" s="5">
        <f t="shared" si="194"/>
        <v>41117</v>
      </c>
      <c r="D333" s="6">
        <v>41117</v>
      </c>
      <c r="E333" s="6">
        <v>43011</v>
      </c>
      <c r="F333" s="6" t="s">
        <v>1606</v>
      </c>
      <c r="G333" s="7"/>
      <c r="H333" s="7"/>
      <c r="I333" s="7" t="s">
        <v>32</v>
      </c>
      <c r="J333" s="7"/>
      <c r="K333" s="29">
        <v>400500</v>
      </c>
      <c r="L333" s="10" t="s">
        <v>724</v>
      </c>
      <c r="M333" s="10" t="s">
        <v>725</v>
      </c>
      <c r="N333" s="10" t="s">
        <v>726</v>
      </c>
      <c r="O333" s="11" t="s">
        <v>727</v>
      </c>
      <c r="P333" s="12">
        <v>41000</v>
      </c>
      <c r="Q333" s="13">
        <f t="shared" ca="1" si="161"/>
        <v>13.475701574264203</v>
      </c>
      <c r="R333" s="14">
        <v>6</v>
      </c>
      <c r="S333" s="15">
        <v>872</v>
      </c>
      <c r="T333" s="8">
        <v>872</v>
      </c>
      <c r="U333" s="16">
        <v>45017</v>
      </c>
      <c r="V333" s="17">
        <v>1</v>
      </c>
      <c r="W333" s="16">
        <v>45128</v>
      </c>
      <c r="X333" s="14">
        <v>63</v>
      </c>
      <c r="Y333" s="18">
        <f t="shared" si="193"/>
        <v>63</v>
      </c>
      <c r="Z333" s="18">
        <f t="shared" si="195"/>
        <v>0.328125</v>
      </c>
      <c r="AA333" s="18" t="s">
        <v>48</v>
      </c>
      <c r="AB333" s="26">
        <v>22</v>
      </c>
      <c r="AC333" s="26"/>
      <c r="AD333" s="26"/>
      <c r="AE333" s="147" t="str">
        <f t="shared" si="184"/>
        <v>1</v>
      </c>
      <c r="AF333" s="147" t="str">
        <f t="shared" si="163"/>
        <v>0</v>
      </c>
      <c r="AG333" s="147" t="str">
        <f t="shared" si="185"/>
        <v>0</v>
      </c>
      <c r="AH333" s="147" t="str">
        <f t="shared" si="165"/>
        <v>NO</v>
      </c>
      <c r="AI333" s="147" t="str">
        <f t="shared" si="166"/>
        <v>NO</v>
      </c>
      <c r="AJ333" s="147" t="str">
        <f t="shared" si="167"/>
        <v>NO</v>
      </c>
      <c r="AK333" s="147" t="str">
        <f t="shared" si="168"/>
        <v>NO</v>
      </c>
      <c r="AL333" s="21"/>
      <c r="AM333" s="21">
        <f t="shared" si="196"/>
        <v>4400.9399999999987</v>
      </c>
      <c r="AN333" s="27" t="s">
        <v>56</v>
      </c>
      <c r="AO333" s="21">
        <v>1</v>
      </c>
      <c r="AP333" s="21">
        <f t="shared" si="186"/>
        <v>0.328125</v>
      </c>
      <c r="AQ333" s="149">
        <f t="shared" si="183"/>
        <v>1444.0584374999996</v>
      </c>
      <c r="AR333" s="21">
        <v>1444.0584374999996</v>
      </c>
      <c r="AS333" s="610">
        <v>1444.0584374999996</v>
      </c>
      <c r="AT333" s="112">
        <v>1444.0584374999996</v>
      </c>
      <c r="AU333" s="4"/>
      <c r="AV333" s="4"/>
      <c r="AW333" s="23" t="e">
        <f>VLOOKUP(K333,#REF!,8,FALSE)</f>
        <v>#REF!</v>
      </c>
      <c r="AX333" s="23" t="s">
        <v>2252</v>
      </c>
      <c r="AY333" s="23" t="e">
        <f>VLOOKUP(K333,#REF!,8,FALSE)</f>
        <v>#REF!</v>
      </c>
      <c r="AZ333" s="4"/>
      <c r="BA333" s="272"/>
      <c r="BB333" s="313">
        <f t="shared" si="187"/>
        <v>0</v>
      </c>
      <c r="BC333" s="269">
        <f t="shared" si="180"/>
        <v>1444.0584374999996</v>
      </c>
      <c r="BD333" t="e">
        <f>BG334&amp;BH334&amp;BI334</f>
        <v>#REF!</v>
      </c>
      <c r="BE333" t="s">
        <v>2394</v>
      </c>
      <c r="BF333">
        <v>43012</v>
      </c>
      <c r="BH333" t="e">
        <f>VLOOKUP(K333,#REF!,8,FALSE)</f>
        <v>#REF!</v>
      </c>
      <c r="BJ333">
        <f>AB333</f>
        <v>22</v>
      </c>
      <c r="BK333" s="269">
        <f>AM333</f>
        <v>4400.9399999999987</v>
      </c>
      <c r="BL333" s="353"/>
      <c r="BM333" s="353" t="s">
        <v>75</v>
      </c>
      <c r="BN333" s="353"/>
      <c r="BO333" s="106">
        <f>BK333/192*127</f>
        <v>2911.038437499999</v>
      </c>
      <c r="BP333" s="166">
        <f t="shared" si="169"/>
        <v>4355.0968749999984</v>
      </c>
      <c r="BS333" s="165"/>
      <c r="BX333" s="495">
        <f t="shared" si="170"/>
        <v>4355.0968749999984</v>
      </c>
      <c r="BZ333" s="636">
        <f t="shared" si="191"/>
        <v>0</v>
      </c>
      <c r="CA333" s="633">
        <f t="shared" si="192"/>
        <v>2911.0384374999985</v>
      </c>
    </row>
    <row r="334" spans="1:79" x14ac:dyDescent="0.2">
      <c r="A334" s="4">
        <v>0</v>
      </c>
      <c r="B334" s="4">
        <v>1</v>
      </c>
      <c r="C334" s="5">
        <f t="shared" si="194"/>
        <v>41117</v>
      </c>
      <c r="D334" s="6">
        <v>41117</v>
      </c>
      <c r="E334" s="6">
        <v>43011</v>
      </c>
      <c r="F334" s="6" t="s">
        <v>1606</v>
      </c>
      <c r="G334" s="7"/>
      <c r="H334" s="7"/>
      <c r="I334" s="7" t="s">
        <v>32</v>
      </c>
      <c r="J334" s="7"/>
      <c r="K334" s="29">
        <v>400500</v>
      </c>
      <c r="L334" s="10" t="s">
        <v>724</v>
      </c>
      <c r="M334" s="10" t="s">
        <v>2340</v>
      </c>
      <c r="N334" s="10" t="s">
        <v>2128</v>
      </c>
      <c r="O334" s="11" t="s">
        <v>2341</v>
      </c>
      <c r="P334" s="12">
        <v>43708</v>
      </c>
      <c r="Q334" s="13">
        <f t="shared" ca="1" si="161"/>
        <v>6.061601642710472</v>
      </c>
      <c r="R334" s="14">
        <v>0</v>
      </c>
      <c r="S334" s="15">
        <v>872</v>
      </c>
      <c r="T334" s="8">
        <v>872</v>
      </c>
      <c r="U334" s="102">
        <v>45173</v>
      </c>
      <c r="V334" s="17">
        <v>66</v>
      </c>
      <c r="W334" s="16">
        <v>45382</v>
      </c>
      <c r="X334" s="14">
        <v>192</v>
      </c>
      <c r="Y334" s="18">
        <f t="shared" si="193"/>
        <v>127</v>
      </c>
      <c r="Z334" s="18">
        <f t="shared" si="195"/>
        <v>0.66145833333333337</v>
      </c>
      <c r="AA334" s="18"/>
      <c r="AB334" s="26">
        <v>25</v>
      </c>
      <c r="AC334" s="26"/>
      <c r="AD334" s="26"/>
      <c r="AE334" s="147" t="str">
        <f t="shared" si="184"/>
        <v>1</v>
      </c>
      <c r="AF334" s="147" t="str">
        <f t="shared" si="163"/>
        <v>0</v>
      </c>
      <c r="AG334" s="147" t="str">
        <f t="shared" si="185"/>
        <v>0</v>
      </c>
      <c r="AH334" s="147" t="str">
        <f t="shared" si="165"/>
        <v>NO</v>
      </c>
      <c r="AI334" s="147" t="str">
        <f t="shared" si="166"/>
        <v>NO</v>
      </c>
      <c r="AJ334" s="147" t="str">
        <f t="shared" si="167"/>
        <v>NO</v>
      </c>
      <c r="AK334" s="147" t="str">
        <f t="shared" si="168"/>
        <v>NO</v>
      </c>
      <c r="AL334" s="21"/>
      <c r="AM334" s="21">
        <f t="shared" si="196"/>
        <v>5819.25</v>
      </c>
      <c r="AN334" s="27"/>
      <c r="AO334" s="21">
        <v>1</v>
      </c>
      <c r="AP334" s="21">
        <f t="shared" si="186"/>
        <v>0.66145833333333337</v>
      </c>
      <c r="AQ334" s="149">
        <f t="shared" si="183"/>
        <v>3849.19140625</v>
      </c>
      <c r="AR334" s="21">
        <v>3849.19140625</v>
      </c>
      <c r="AS334" s="610">
        <v>0</v>
      </c>
      <c r="AT334" s="112">
        <v>0</v>
      </c>
      <c r="AU334" s="4"/>
      <c r="AV334" s="4"/>
      <c r="AW334" s="23"/>
      <c r="AX334" s="23"/>
      <c r="AY334" s="23"/>
      <c r="AZ334" s="4"/>
      <c r="BA334" s="272"/>
      <c r="BB334" s="313">
        <f t="shared" si="187"/>
        <v>3849.19140625</v>
      </c>
      <c r="BC334" s="269">
        <f t="shared" si="180"/>
        <v>3849.19140625</v>
      </c>
      <c r="BH334" s="316" t="e">
        <f>VLOOKUP(K334,#REF!,8,FALSE)</f>
        <v>#REF!</v>
      </c>
      <c r="BJ334">
        <f>AB334</f>
        <v>25</v>
      </c>
      <c r="BK334" s="269">
        <f>AM334</f>
        <v>5819.25</v>
      </c>
      <c r="BL334" s="353"/>
      <c r="BM334" s="353" t="s">
        <v>75</v>
      </c>
      <c r="BN334" s="353"/>
      <c r="BP334" s="166">
        <f t="shared" si="169"/>
        <v>3849.19140625</v>
      </c>
      <c r="BS334" s="165"/>
      <c r="BX334" s="495">
        <f t="shared" si="170"/>
        <v>3849.19140625</v>
      </c>
      <c r="BZ334" s="636">
        <f t="shared" si="191"/>
        <v>0</v>
      </c>
      <c r="CA334" s="633">
        <f t="shared" si="192"/>
        <v>3849.19140625</v>
      </c>
    </row>
    <row r="335" spans="1:79" x14ac:dyDescent="0.2">
      <c r="A335" s="4">
        <v>1</v>
      </c>
      <c r="B335" s="4">
        <v>1</v>
      </c>
      <c r="C335" s="5">
        <f t="shared" si="194"/>
        <v>41117</v>
      </c>
      <c r="D335" s="6">
        <v>41117</v>
      </c>
      <c r="E335" s="6">
        <v>43011</v>
      </c>
      <c r="F335" s="6" t="s">
        <v>1606</v>
      </c>
      <c r="G335" s="7"/>
      <c r="H335" s="7"/>
      <c r="I335" s="7" t="s">
        <v>32</v>
      </c>
      <c r="J335" s="7"/>
      <c r="K335" s="29">
        <v>409798</v>
      </c>
      <c r="L335" s="10" t="s">
        <v>724</v>
      </c>
      <c r="M335" s="10" t="s">
        <v>728</v>
      </c>
      <c r="N335" s="10" t="s">
        <v>729</v>
      </c>
      <c r="O335" s="11" t="s">
        <v>730</v>
      </c>
      <c r="P335" s="12">
        <v>41495</v>
      </c>
      <c r="Q335" s="13">
        <f t="shared" ca="1" si="161"/>
        <v>12.120465434633813</v>
      </c>
      <c r="R335" s="14">
        <v>5</v>
      </c>
      <c r="S335" s="15">
        <v>872</v>
      </c>
      <c r="T335" s="8">
        <v>872</v>
      </c>
      <c r="U335" s="16">
        <v>45017</v>
      </c>
      <c r="V335" s="17">
        <v>1</v>
      </c>
      <c r="W335" s="16">
        <v>45382</v>
      </c>
      <c r="X335" s="14">
        <v>192</v>
      </c>
      <c r="Y335" s="18">
        <f t="shared" si="193"/>
        <v>192</v>
      </c>
      <c r="Z335" s="18">
        <f t="shared" si="195"/>
        <v>1</v>
      </c>
      <c r="AA335" s="18" t="s">
        <v>36</v>
      </c>
      <c r="AB335" s="26">
        <v>23</v>
      </c>
      <c r="AC335" s="26"/>
      <c r="AD335" s="26"/>
      <c r="AE335" s="147" t="str">
        <f t="shared" si="184"/>
        <v>1</v>
      </c>
      <c r="AF335" s="147" t="str">
        <f t="shared" si="163"/>
        <v>0</v>
      </c>
      <c r="AG335" s="147" t="str">
        <f t="shared" si="185"/>
        <v>0</v>
      </c>
      <c r="AH335" s="147" t="str">
        <f t="shared" si="165"/>
        <v>NO</v>
      </c>
      <c r="AI335" s="147" t="str">
        <f t="shared" si="166"/>
        <v>NO</v>
      </c>
      <c r="AJ335" s="147" t="str">
        <f t="shared" si="167"/>
        <v>NO</v>
      </c>
      <c r="AK335" s="147" t="str">
        <f t="shared" si="168"/>
        <v>NO</v>
      </c>
      <c r="AL335" s="21"/>
      <c r="AM335" s="21">
        <f t="shared" si="196"/>
        <v>4873.7099999999991</v>
      </c>
      <c r="AN335" s="27"/>
      <c r="AO335" s="21">
        <v>1</v>
      </c>
      <c r="AP335" s="21">
        <f t="shared" si="186"/>
        <v>1</v>
      </c>
      <c r="AQ335" s="149">
        <f t="shared" si="183"/>
        <v>4873.7099999999991</v>
      </c>
      <c r="AR335" s="21">
        <v>4873.7099999999991</v>
      </c>
      <c r="AS335" s="610">
        <v>4873.7099999999991</v>
      </c>
      <c r="AT335" s="112">
        <v>4873.7099999999991</v>
      </c>
      <c r="AU335" s="4"/>
      <c r="AV335" s="4"/>
      <c r="AW335" s="23" t="e">
        <f>VLOOKUP(K335,#REF!,8,FALSE)</f>
        <v>#REF!</v>
      </c>
      <c r="AX335" s="23" t="e">
        <f>VLOOKUP(K335,#REF!,8,FALSE)</f>
        <v>#REF!</v>
      </c>
      <c r="AY335" s="23" t="e">
        <f>VLOOKUP(K335,#REF!,8,FALSE)</f>
        <v>#REF!</v>
      </c>
      <c r="AZ335" s="4"/>
      <c r="BA335" s="272"/>
      <c r="BB335" s="313">
        <f t="shared" si="187"/>
        <v>0</v>
      </c>
      <c r="BC335" s="269">
        <f t="shared" si="180"/>
        <v>4873.7099999999991</v>
      </c>
      <c r="BD335" t="str">
        <f t="shared" ref="BD335:BD348" si="197">BG335&amp;BH335&amp;BI335</f>
        <v/>
      </c>
      <c r="BP335" s="166">
        <f t="shared" si="169"/>
        <v>4873.7099999999991</v>
      </c>
      <c r="BS335" s="165"/>
      <c r="BX335" s="495">
        <f t="shared" si="170"/>
        <v>4873.7099999999991</v>
      </c>
      <c r="BZ335" s="636">
        <f t="shared" si="191"/>
        <v>0</v>
      </c>
      <c r="CA335" s="633">
        <f t="shared" si="192"/>
        <v>0</v>
      </c>
    </row>
    <row r="336" spans="1:79" x14ac:dyDescent="0.2">
      <c r="A336" s="4">
        <v>1</v>
      </c>
      <c r="B336" s="4">
        <v>1</v>
      </c>
      <c r="C336" s="5">
        <f t="shared" si="194"/>
        <v>41117</v>
      </c>
      <c r="D336" s="6">
        <v>41117</v>
      </c>
      <c r="E336" s="6">
        <v>43011</v>
      </c>
      <c r="F336" s="6" t="s">
        <v>1606</v>
      </c>
      <c r="G336" s="7"/>
      <c r="H336" s="7"/>
      <c r="I336" s="7" t="s">
        <v>32</v>
      </c>
      <c r="J336" s="7"/>
      <c r="K336" s="29">
        <v>415684</v>
      </c>
      <c r="L336" s="10" t="s">
        <v>724</v>
      </c>
      <c r="M336" s="10" t="s">
        <v>476</v>
      </c>
      <c r="N336" s="10" t="s">
        <v>731</v>
      </c>
      <c r="O336" s="11" t="s">
        <v>732</v>
      </c>
      <c r="P336" s="12">
        <v>41736</v>
      </c>
      <c r="Q336" s="13">
        <f t="shared" ca="1" si="161"/>
        <v>11.460643394934976</v>
      </c>
      <c r="R336" s="14">
        <v>4</v>
      </c>
      <c r="S336" s="15">
        <v>872</v>
      </c>
      <c r="T336" s="8">
        <v>872</v>
      </c>
      <c r="U336" s="16">
        <v>45017</v>
      </c>
      <c r="V336" s="17">
        <v>1</v>
      </c>
      <c r="W336" s="16">
        <v>45382</v>
      </c>
      <c r="X336" s="14">
        <v>192</v>
      </c>
      <c r="Y336" s="18">
        <f t="shared" si="193"/>
        <v>192</v>
      </c>
      <c r="Z336" s="18">
        <f t="shared" si="195"/>
        <v>1</v>
      </c>
      <c r="AA336" s="18" t="s">
        <v>36</v>
      </c>
      <c r="AB336" s="26">
        <v>30</v>
      </c>
      <c r="AC336" s="26"/>
      <c r="AD336" s="26"/>
      <c r="AE336" s="147" t="str">
        <f t="shared" si="184"/>
        <v>0</v>
      </c>
      <c r="AF336" s="147" t="str">
        <f t="shared" si="163"/>
        <v>1</v>
      </c>
      <c r="AG336" s="147" t="str">
        <f t="shared" si="185"/>
        <v>0</v>
      </c>
      <c r="AH336" s="147" t="str">
        <f t="shared" si="165"/>
        <v>NO</v>
      </c>
      <c r="AI336" s="147" t="str">
        <f t="shared" si="166"/>
        <v>NO</v>
      </c>
      <c r="AJ336" s="147" t="str">
        <f t="shared" si="167"/>
        <v>NO</v>
      </c>
      <c r="AK336" s="147" t="str">
        <f t="shared" si="168"/>
        <v>NO</v>
      </c>
      <c r="AL336" s="21"/>
      <c r="AM336" s="21">
        <f t="shared" si="196"/>
        <v>8183.0999999999985</v>
      </c>
      <c r="AN336" s="27" t="s">
        <v>66</v>
      </c>
      <c r="AO336" s="21">
        <v>1</v>
      </c>
      <c r="AP336" s="21">
        <f t="shared" si="186"/>
        <v>1</v>
      </c>
      <c r="AQ336" s="149">
        <f t="shared" si="183"/>
        <v>8183.0999999999985</v>
      </c>
      <c r="AR336" s="21">
        <v>8183.0999999999985</v>
      </c>
      <c r="AS336" s="610">
        <v>8183.0999999999985</v>
      </c>
      <c r="AT336" s="112">
        <v>8183.0999999999985</v>
      </c>
      <c r="AU336" s="4"/>
      <c r="AV336" s="4"/>
      <c r="AW336" s="23" t="e">
        <f>VLOOKUP(K336,#REF!,8,FALSE)</f>
        <v>#REF!</v>
      </c>
      <c r="AX336" s="23" t="e">
        <f>VLOOKUP(K336,#REF!,8,FALSE)</f>
        <v>#REF!</v>
      </c>
      <c r="AY336" s="23" t="e">
        <f>VLOOKUP(K336,#REF!,8,FALSE)</f>
        <v>#REF!</v>
      </c>
      <c r="AZ336" s="4"/>
      <c r="BA336" s="272"/>
      <c r="BB336" s="313">
        <f t="shared" si="187"/>
        <v>0</v>
      </c>
      <c r="BC336" s="269">
        <f t="shared" si="180"/>
        <v>8183.0999999999985</v>
      </c>
      <c r="BD336" t="str">
        <f t="shared" si="197"/>
        <v/>
      </c>
      <c r="BP336" s="166">
        <f t="shared" si="169"/>
        <v>8183.0999999999985</v>
      </c>
      <c r="BS336" s="165"/>
      <c r="BX336" s="495">
        <f t="shared" si="170"/>
        <v>8183.0999999999985</v>
      </c>
      <c r="BZ336" s="636">
        <f t="shared" si="191"/>
        <v>0</v>
      </c>
      <c r="CA336" s="633">
        <f t="shared" si="192"/>
        <v>0</v>
      </c>
    </row>
    <row r="337" spans="1:79" x14ac:dyDescent="0.2">
      <c r="A337" s="4">
        <v>1</v>
      </c>
      <c r="B337" s="4">
        <v>1</v>
      </c>
      <c r="C337" s="5">
        <f t="shared" si="194"/>
        <v>41117</v>
      </c>
      <c r="D337" s="6">
        <v>41117</v>
      </c>
      <c r="E337" s="6">
        <v>43011</v>
      </c>
      <c r="F337" s="6" t="s">
        <v>1606</v>
      </c>
      <c r="G337" s="7"/>
      <c r="H337" s="7"/>
      <c r="I337" s="7" t="s">
        <v>32</v>
      </c>
      <c r="J337" s="7"/>
      <c r="K337" s="29">
        <v>396011</v>
      </c>
      <c r="L337" s="10" t="s">
        <v>724</v>
      </c>
      <c r="M337" s="10" t="s">
        <v>132</v>
      </c>
      <c r="N337" s="10" t="s">
        <v>490</v>
      </c>
      <c r="O337" s="11" t="s">
        <v>733</v>
      </c>
      <c r="P337" s="12">
        <v>40769</v>
      </c>
      <c r="Q337" s="13">
        <f t="shared" ca="1" si="161"/>
        <v>14.108145106091717</v>
      </c>
      <c r="R337" s="14">
        <v>6</v>
      </c>
      <c r="S337" s="15">
        <v>872</v>
      </c>
      <c r="T337" s="8">
        <v>872</v>
      </c>
      <c r="U337" s="16">
        <v>45017</v>
      </c>
      <c r="V337" s="17">
        <v>1</v>
      </c>
      <c r="W337" s="16">
        <v>45128</v>
      </c>
      <c r="X337" s="14">
        <v>63</v>
      </c>
      <c r="Y337" s="18">
        <f t="shared" si="193"/>
        <v>63</v>
      </c>
      <c r="Z337" s="18">
        <f t="shared" si="195"/>
        <v>0.328125</v>
      </c>
      <c r="AA337" s="18" t="s">
        <v>48</v>
      </c>
      <c r="AB337" s="26">
        <v>30</v>
      </c>
      <c r="AC337" s="26"/>
      <c r="AD337" s="26"/>
      <c r="AE337" s="147" t="str">
        <f t="shared" si="184"/>
        <v>0</v>
      </c>
      <c r="AF337" s="147" t="str">
        <f t="shared" si="163"/>
        <v>1</v>
      </c>
      <c r="AG337" s="147" t="str">
        <f t="shared" si="185"/>
        <v>0</v>
      </c>
      <c r="AH337" s="147" t="str">
        <f t="shared" si="165"/>
        <v>NO</v>
      </c>
      <c r="AI337" s="147" t="str">
        <f t="shared" si="166"/>
        <v>NO</v>
      </c>
      <c r="AJ337" s="147" t="str">
        <f t="shared" si="167"/>
        <v>NO</v>
      </c>
      <c r="AK337" s="147" t="str">
        <f t="shared" si="168"/>
        <v>NO</v>
      </c>
      <c r="AL337" s="21"/>
      <c r="AM337" s="21">
        <f t="shared" si="196"/>
        <v>8183.0999999999985</v>
      </c>
      <c r="AN337" s="27" t="s">
        <v>56</v>
      </c>
      <c r="AO337" s="21">
        <v>1</v>
      </c>
      <c r="AP337" s="21">
        <f t="shared" si="186"/>
        <v>0.328125</v>
      </c>
      <c r="AQ337" s="149">
        <f t="shared" si="183"/>
        <v>2685.0796874999996</v>
      </c>
      <c r="AR337" s="21">
        <v>2685.0796874999996</v>
      </c>
      <c r="AS337" s="610">
        <v>2685.0796874999996</v>
      </c>
      <c r="AT337" s="112">
        <v>2685.0796874999996</v>
      </c>
      <c r="AU337" s="4"/>
      <c r="AV337" s="4"/>
      <c r="AW337" s="23" t="e">
        <f>VLOOKUP(K337,#REF!,8,FALSE)</f>
        <v>#REF!</v>
      </c>
      <c r="AX337" s="23" t="s">
        <v>2237</v>
      </c>
      <c r="AY337" s="23" t="e">
        <f>VLOOKUP(K337,#REF!,8,FALSE)</f>
        <v>#REF!</v>
      </c>
      <c r="AZ337" s="4"/>
      <c r="BA337" s="272"/>
      <c r="BB337" s="313">
        <f t="shared" si="187"/>
        <v>0</v>
      </c>
      <c r="BC337" s="269">
        <f t="shared" si="180"/>
        <v>2685.0796874999996</v>
      </c>
      <c r="BD337" t="e">
        <f t="shared" si="197"/>
        <v>#REF!</v>
      </c>
      <c r="BE337" t="s">
        <v>2394</v>
      </c>
      <c r="BF337">
        <v>43012</v>
      </c>
      <c r="BH337" t="e">
        <f>VLOOKUP(K337,#REF!,8,FALSE)</f>
        <v>#REF!</v>
      </c>
      <c r="BJ337">
        <f>AB337</f>
        <v>30</v>
      </c>
      <c r="BK337" s="269">
        <f>AM337</f>
        <v>8183.0999999999985</v>
      </c>
      <c r="BL337" s="353"/>
      <c r="BM337" s="353" t="s">
        <v>75</v>
      </c>
      <c r="BN337" s="353"/>
      <c r="BO337" s="106">
        <f>BK337/192*127</f>
        <v>5412.7796874999985</v>
      </c>
      <c r="BP337" s="166">
        <f t="shared" si="169"/>
        <v>8097.8593749999982</v>
      </c>
      <c r="BS337" s="165"/>
      <c r="BX337" s="495">
        <f t="shared" si="170"/>
        <v>8097.8593749999982</v>
      </c>
      <c r="BZ337" s="636">
        <f t="shared" si="191"/>
        <v>0</v>
      </c>
      <c r="CA337" s="633">
        <f t="shared" si="192"/>
        <v>5412.7796874999985</v>
      </c>
    </row>
    <row r="338" spans="1:79" x14ac:dyDescent="0.2">
      <c r="A338" s="4">
        <v>1</v>
      </c>
      <c r="B338" s="4">
        <v>1</v>
      </c>
      <c r="C338" s="5">
        <f t="shared" si="194"/>
        <v>41117</v>
      </c>
      <c r="D338" s="6">
        <v>41117</v>
      </c>
      <c r="E338" s="6">
        <v>43011</v>
      </c>
      <c r="F338" s="6" t="s">
        <v>1606</v>
      </c>
      <c r="G338" s="7"/>
      <c r="H338" s="7"/>
      <c r="I338" s="7" t="s">
        <v>32</v>
      </c>
      <c r="J338" s="7"/>
      <c r="K338" s="29">
        <v>445918</v>
      </c>
      <c r="L338" s="10" t="s">
        <v>724</v>
      </c>
      <c r="M338" s="10" t="s">
        <v>734</v>
      </c>
      <c r="N338" s="10" t="s">
        <v>735</v>
      </c>
      <c r="O338" s="11" t="s">
        <v>736</v>
      </c>
      <c r="P338" s="12">
        <v>41844</v>
      </c>
      <c r="Q338" s="13">
        <f t="shared" ca="1" si="161"/>
        <v>11.16495550992471</v>
      </c>
      <c r="R338" s="14">
        <v>4</v>
      </c>
      <c r="S338" s="15">
        <v>872</v>
      </c>
      <c r="T338" s="8">
        <v>872</v>
      </c>
      <c r="U338" s="16">
        <v>45017</v>
      </c>
      <c r="V338" s="17">
        <v>1</v>
      </c>
      <c r="W338" s="16">
        <v>45382</v>
      </c>
      <c r="X338" s="14">
        <v>192</v>
      </c>
      <c r="Y338" s="18">
        <f t="shared" si="193"/>
        <v>192</v>
      </c>
      <c r="Z338" s="18">
        <f t="shared" si="195"/>
        <v>1</v>
      </c>
      <c r="AA338" s="18" t="s">
        <v>36</v>
      </c>
      <c r="AB338" s="26">
        <v>30</v>
      </c>
      <c r="AC338" s="26"/>
      <c r="AD338" s="26"/>
      <c r="AE338" s="147" t="str">
        <f t="shared" si="184"/>
        <v>0</v>
      </c>
      <c r="AF338" s="147" t="str">
        <f t="shared" si="163"/>
        <v>1</v>
      </c>
      <c r="AG338" s="147" t="str">
        <f t="shared" si="185"/>
        <v>0</v>
      </c>
      <c r="AH338" s="147" t="str">
        <f t="shared" si="165"/>
        <v>NO</v>
      </c>
      <c r="AI338" s="147" t="str">
        <f t="shared" si="166"/>
        <v>NO</v>
      </c>
      <c r="AJ338" s="147" t="str">
        <f t="shared" si="167"/>
        <v>NO</v>
      </c>
      <c r="AK338" s="147" t="str">
        <f t="shared" si="168"/>
        <v>NO</v>
      </c>
      <c r="AL338" s="21"/>
      <c r="AM338" s="21">
        <f t="shared" si="196"/>
        <v>8183.0999999999985</v>
      </c>
      <c r="AN338" s="27" t="s">
        <v>43</v>
      </c>
      <c r="AO338" s="21">
        <v>1</v>
      </c>
      <c r="AP338" s="21">
        <f t="shared" si="186"/>
        <v>1</v>
      </c>
      <c r="AQ338" s="149">
        <f t="shared" si="183"/>
        <v>8183.0999999999985</v>
      </c>
      <c r="AR338" s="21">
        <v>8183.0999999999985</v>
      </c>
      <c r="AS338" s="610">
        <v>8183.0999999999985</v>
      </c>
      <c r="AT338" s="112">
        <v>8183.0999999999985</v>
      </c>
      <c r="AU338" s="4"/>
      <c r="AV338" s="4"/>
      <c r="AW338" s="23" t="e">
        <f>VLOOKUP(K338,#REF!,8,FALSE)</f>
        <v>#REF!</v>
      </c>
      <c r="AX338" s="23" t="e">
        <f>VLOOKUP(K338,#REF!,8,FALSE)</f>
        <v>#REF!</v>
      </c>
      <c r="AY338" s="23" t="e">
        <f>VLOOKUP(K338,#REF!,8,FALSE)</f>
        <v>#REF!</v>
      </c>
      <c r="AZ338" s="4"/>
      <c r="BA338" s="272"/>
      <c r="BB338" s="313">
        <f t="shared" si="187"/>
        <v>0</v>
      </c>
      <c r="BC338" s="269">
        <f t="shared" si="180"/>
        <v>8183.0999999999985</v>
      </c>
      <c r="BD338" t="str">
        <f t="shared" si="197"/>
        <v/>
      </c>
      <c r="BP338" s="166">
        <f t="shared" si="169"/>
        <v>8183.0999999999985</v>
      </c>
      <c r="BS338" s="165"/>
      <c r="BX338" s="495">
        <f t="shared" si="170"/>
        <v>8183.0999999999985</v>
      </c>
      <c r="BZ338" s="636">
        <f t="shared" si="191"/>
        <v>0</v>
      </c>
      <c r="CA338" s="633">
        <f t="shared" si="192"/>
        <v>0</v>
      </c>
    </row>
    <row r="339" spans="1:79" x14ac:dyDescent="0.2">
      <c r="A339" s="4">
        <v>0</v>
      </c>
      <c r="B339" s="4">
        <v>1</v>
      </c>
      <c r="C339" s="5">
        <f t="shared" si="194"/>
        <v>41117</v>
      </c>
      <c r="D339" s="6">
        <v>41117</v>
      </c>
      <c r="E339" s="6">
        <v>43011</v>
      </c>
      <c r="F339" s="6" t="s">
        <v>1606</v>
      </c>
      <c r="G339" s="7"/>
      <c r="H339" s="7"/>
      <c r="I339" s="7" t="s">
        <v>32</v>
      </c>
      <c r="J339" s="7" t="s">
        <v>192</v>
      </c>
      <c r="K339" s="29">
        <v>445918</v>
      </c>
      <c r="L339" s="10" t="s">
        <v>724</v>
      </c>
      <c r="M339" s="10" t="s">
        <v>734</v>
      </c>
      <c r="N339" s="10" t="s">
        <v>735</v>
      </c>
      <c r="O339" s="11" t="s">
        <v>736</v>
      </c>
      <c r="P339" s="12">
        <v>41844</v>
      </c>
      <c r="Q339" s="13">
        <f t="shared" ref="Q339:Q402" ca="1" si="198">(TODAY()-P339)/365.25</f>
        <v>11.16495550992471</v>
      </c>
      <c r="R339" s="14">
        <v>4</v>
      </c>
      <c r="S339" s="15">
        <v>872</v>
      </c>
      <c r="T339" s="8">
        <v>872</v>
      </c>
      <c r="U339" s="16">
        <v>45017</v>
      </c>
      <c r="V339" s="17">
        <v>1</v>
      </c>
      <c r="W339" s="16">
        <v>45128</v>
      </c>
      <c r="X339" s="14">
        <v>63</v>
      </c>
      <c r="Y339" s="18">
        <f t="shared" si="193"/>
        <v>63</v>
      </c>
      <c r="Z339" s="18">
        <v>1</v>
      </c>
      <c r="AA339" s="39">
        <v>45128</v>
      </c>
      <c r="AB339" s="26">
        <v>30041.67</v>
      </c>
      <c r="AC339" s="26"/>
      <c r="AD339" s="26"/>
      <c r="AE339" s="147" t="str">
        <f t="shared" si="184"/>
        <v>0</v>
      </c>
      <c r="AF339" s="147" t="str">
        <f t="shared" ref="AF339:AF402" si="199">IF(AND(AB339&lt;=30,AB339&gt;=26),"1","0")</f>
        <v>0</v>
      </c>
      <c r="AG339" s="147" t="str">
        <f t="shared" si="185"/>
        <v>1</v>
      </c>
      <c r="AH339" s="147" t="str">
        <f t="shared" ref="AH339:AH402" si="200">IF(AD339="BAND3","YES","NO")</f>
        <v>NO</v>
      </c>
      <c r="AI339" s="147" t="str">
        <f t="shared" ref="AI339:AI402" si="201">IF(AD339="BAND4","YES","NO")</f>
        <v>NO</v>
      </c>
      <c r="AJ339" s="147" t="str">
        <f t="shared" ref="AJ339:AJ402" si="202">IF(AD339="BAND5","YES","NO")</f>
        <v>NO</v>
      </c>
      <c r="AK339" s="147" t="str">
        <f t="shared" ref="AK339:AK402" si="203">IF(AD339="BAND6","YES","NO")</f>
        <v>NO</v>
      </c>
      <c r="AL339" s="21"/>
      <c r="AM339" s="21">
        <f>33475-3433.33</f>
        <v>30041.67</v>
      </c>
      <c r="AN339" s="27" t="s">
        <v>43</v>
      </c>
      <c r="AO339" s="21">
        <v>1</v>
      </c>
      <c r="AP339" s="21">
        <f t="shared" si="186"/>
        <v>1</v>
      </c>
      <c r="AQ339" s="149">
        <f t="shared" si="183"/>
        <v>30041.67</v>
      </c>
      <c r="AR339" s="21">
        <v>30041.67</v>
      </c>
      <c r="AS339" s="610">
        <v>10983.984375</v>
      </c>
      <c r="AT339" s="112">
        <v>30041.67</v>
      </c>
      <c r="AU339" s="4"/>
      <c r="AV339" s="4"/>
      <c r="AW339" s="23" t="e">
        <f>VLOOKUP(K339,#REF!,8,FALSE)</f>
        <v>#REF!</v>
      </c>
      <c r="AX339" s="23" t="e">
        <f>VLOOKUP(K339,#REF!,8,FALSE)</f>
        <v>#REF!</v>
      </c>
      <c r="AY339" s="23" t="e">
        <f>VLOOKUP(K339,#REF!,8,FALSE)</f>
        <v>#REF!</v>
      </c>
      <c r="AZ339" s="4"/>
      <c r="BA339" s="272"/>
      <c r="BB339" s="313">
        <f t="shared" si="187"/>
        <v>0</v>
      </c>
      <c r="BC339" s="269">
        <f t="shared" si="180"/>
        <v>30041.67</v>
      </c>
      <c r="BD339" t="str">
        <f t="shared" si="197"/>
        <v/>
      </c>
      <c r="BJ339">
        <f>AB339</f>
        <v>30041.67</v>
      </c>
      <c r="BK339" s="269">
        <f>AM339</f>
        <v>30041.67</v>
      </c>
      <c r="BO339" s="106">
        <f>BK339/192*127</f>
        <v>19871.31296875</v>
      </c>
      <c r="BP339" s="166">
        <f t="shared" ref="BP339:BP402" si="204">BC339+BO339</f>
        <v>49912.982968750002</v>
      </c>
      <c r="BS339" s="165"/>
      <c r="BX339" s="495">
        <f t="shared" ref="BX339:BX402" si="205">AQ339+BO339+BU339</f>
        <v>49912.982968750002</v>
      </c>
      <c r="BZ339" s="636">
        <f t="shared" si="191"/>
        <v>0</v>
      </c>
      <c r="CA339" s="633">
        <f t="shared" si="192"/>
        <v>38928.998593750002</v>
      </c>
    </row>
    <row r="340" spans="1:79" x14ac:dyDescent="0.2">
      <c r="A340" s="4">
        <v>1</v>
      </c>
      <c r="B340" s="4">
        <v>1</v>
      </c>
      <c r="C340" s="5">
        <f t="shared" si="194"/>
        <v>41117</v>
      </c>
      <c r="D340" s="6">
        <v>41117</v>
      </c>
      <c r="E340" s="6">
        <v>43011</v>
      </c>
      <c r="F340" s="6" t="s">
        <v>1606</v>
      </c>
      <c r="G340" s="7"/>
      <c r="H340" s="7"/>
      <c r="I340" s="7" t="s">
        <v>32</v>
      </c>
      <c r="J340" s="7"/>
      <c r="K340" s="29">
        <v>436136</v>
      </c>
      <c r="L340" s="10" t="s">
        <v>724</v>
      </c>
      <c r="M340" s="10" t="s">
        <v>737</v>
      </c>
      <c r="N340" s="10" t="s">
        <v>738</v>
      </c>
      <c r="O340" s="11" t="s">
        <v>739</v>
      </c>
      <c r="P340" s="12">
        <v>43030</v>
      </c>
      <c r="Q340" s="13">
        <f t="shared" ca="1" si="198"/>
        <v>7.9178644763860371</v>
      </c>
      <c r="R340" s="14">
        <v>0</v>
      </c>
      <c r="S340" s="15">
        <v>872</v>
      </c>
      <c r="T340" s="8">
        <v>872</v>
      </c>
      <c r="U340" s="16">
        <v>45040</v>
      </c>
      <c r="V340" s="17">
        <v>7</v>
      </c>
      <c r="W340" s="16">
        <v>45382</v>
      </c>
      <c r="X340" s="14">
        <v>192</v>
      </c>
      <c r="Y340" s="18">
        <f t="shared" si="193"/>
        <v>186</v>
      </c>
      <c r="Z340" s="18">
        <f t="shared" ref="Z340:Z354" si="206">Y340/192</f>
        <v>0.96875</v>
      </c>
      <c r="AA340" s="18" t="s">
        <v>36</v>
      </c>
      <c r="AB340" s="26">
        <v>30</v>
      </c>
      <c r="AC340" s="26"/>
      <c r="AD340" s="26"/>
      <c r="AE340" s="147" t="str">
        <f t="shared" si="184"/>
        <v>0</v>
      </c>
      <c r="AF340" s="147" t="str">
        <f t="shared" si="199"/>
        <v>1</v>
      </c>
      <c r="AG340" s="147" t="str">
        <f t="shared" si="185"/>
        <v>0</v>
      </c>
      <c r="AH340" s="147" t="str">
        <f t="shared" si="200"/>
        <v>NO</v>
      </c>
      <c r="AI340" s="147" t="str">
        <f t="shared" si="201"/>
        <v>NO</v>
      </c>
      <c r="AJ340" s="147" t="str">
        <f t="shared" si="202"/>
        <v>NO</v>
      </c>
      <c r="AK340" s="147" t="str">
        <f t="shared" si="203"/>
        <v>NO</v>
      </c>
      <c r="AL340" s="21"/>
      <c r="AM340" s="21">
        <f t="shared" ref="AM340:AM354" si="207">IF(H340="Y",AL340,((AB340*$O$902)-6000))</f>
        <v>8183.0999999999985</v>
      </c>
      <c r="AN340" s="27" t="s">
        <v>43</v>
      </c>
      <c r="AO340" s="21">
        <v>1</v>
      </c>
      <c r="AP340" s="21">
        <f t="shared" si="186"/>
        <v>0.96875</v>
      </c>
      <c r="AQ340" s="149">
        <f t="shared" si="183"/>
        <v>7927.3781249999984</v>
      </c>
      <c r="AR340" s="21">
        <v>7927.3781249999984</v>
      </c>
      <c r="AS340" s="610">
        <v>0</v>
      </c>
      <c r="AT340" s="112">
        <v>7927.3781249999984</v>
      </c>
      <c r="AU340" s="4"/>
      <c r="AV340" s="4"/>
      <c r="AW340" s="23" t="e">
        <f>VLOOKUP(K340,#REF!,8,FALSE)</f>
        <v>#REF!</v>
      </c>
      <c r="AX340" s="23" t="e">
        <f>VLOOKUP(K340,#REF!,8,FALSE)</f>
        <v>#REF!</v>
      </c>
      <c r="AY340" s="23" t="e">
        <f>VLOOKUP(K340,#REF!,8,FALSE)</f>
        <v>#REF!</v>
      </c>
      <c r="AZ340" s="4"/>
      <c r="BA340" s="272"/>
      <c r="BB340" s="313">
        <f t="shared" si="187"/>
        <v>0</v>
      </c>
      <c r="BC340" s="269">
        <f t="shared" si="180"/>
        <v>7927.3781249999984</v>
      </c>
      <c r="BD340" t="str">
        <f t="shared" si="197"/>
        <v/>
      </c>
      <c r="BP340" s="166">
        <f t="shared" si="204"/>
        <v>7927.3781249999984</v>
      </c>
      <c r="BS340" s="165"/>
      <c r="BX340" s="495">
        <f t="shared" si="205"/>
        <v>7927.3781249999984</v>
      </c>
      <c r="BZ340" s="636">
        <f t="shared" si="191"/>
        <v>0</v>
      </c>
      <c r="CA340" s="633">
        <f t="shared" si="192"/>
        <v>7927.3781249999984</v>
      </c>
    </row>
    <row r="341" spans="1:79" x14ac:dyDescent="0.2">
      <c r="A341" s="4">
        <v>1</v>
      </c>
      <c r="B341" s="4">
        <v>1</v>
      </c>
      <c r="C341" s="5">
        <f t="shared" si="194"/>
        <v>41117</v>
      </c>
      <c r="D341" s="6">
        <v>41117</v>
      </c>
      <c r="E341" s="6">
        <v>43011</v>
      </c>
      <c r="F341" s="6" t="s">
        <v>1606</v>
      </c>
      <c r="G341" s="7"/>
      <c r="H341" s="7"/>
      <c r="I341" s="7" t="s">
        <v>32</v>
      </c>
      <c r="J341" s="7"/>
      <c r="K341" s="29">
        <v>438131</v>
      </c>
      <c r="L341" s="10" t="s">
        <v>724</v>
      </c>
      <c r="M341" s="10" t="s">
        <v>500</v>
      </c>
      <c r="N341" s="10" t="s">
        <v>740</v>
      </c>
      <c r="O341" s="11" t="s">
        <v>741</v>
      </c>
      <c r="P341" s="12">
        <v>42458</v>
      </c>
      <c r="Q341" s="13">
        <f t="shared" ca="1" si="198"/>
        <v>9.4839151266255985</v>
      </c>
      <c r="R341" s="14">
        <v>2</v>
      </c>
      <c r="S341" s="15">
        <v>872</v>
      </c>
      <c r="T341" s="8">
        <v>872</v>
      </c>
      <c r="U341" s="16">
        <v>45017</v>
      </c>
      <c r="V341" s="17">
        <v>1</v>
      </c>
      <c r="W341" s="16">
        <v>45382</v>
      </c>
      <c r="X341" s="14">
        <v>192</v>
      </c>
      <c r="Y341" s="18">
        <f t="shared" si="193"/>
        <v>192</v>
      </c>
      <c r="Z341" s="18">
        <f t="shared" si="206"/>
        <v>1</v>
      </c>
      <c r="AA341" s="18" t="s">
        <v>36</v>
      </c>
      <c r="AB341" s="26">
        <v>30</v>
      </c>
      <c r="AC341" s="26"/>
      <c r="AD341" s="26"/>
      <c r="AE341" s="147" t="str">
        <f t="shared" si="184"/>
        <v>0</v>
      </c>
      <c r="AF341" s="147" t="str">
        <f t="shared" si="199"/>
        <v>1</v>
      </c>
      <c r="AG341" s="147" t="str">
        <f t="shared" si="185"/>
        <v>0</v>
      </c>
      <c r="AH341" s="147" t="str">
        <f t="shared" si="200"/>
        <v>NO</v>
      </c>
      <c r="AI341" s="147" t="str">
        <f t="shared" si="201"/>
        <v>NO</v>
      </c>
      <c r="AJ341" s="147" t="str">
        <f t="shared" si="202"/>
        <v>NO</v>
      </c>
      <c r="AK341" s="147" t="str">
        <f t="shared" si="203"/>
        <v>NO</v>
      </c>
      <c r="AL341" s="21"/>
      <c r="AM341" s="21">
        <f t="shared" si="207"/>
        <v>8183.0999999999985</v>
      </c>
      <c r="AN341" s="27" t="s">
        <v>43</v>
      </c>
      <c r="AO341" s="21">
        <v>1</v>
      </c>
      <c r="AP341" s="21">
        <f t="shared" si="186"/>
        <v>1</v>
      </c>
      <c r="AQ341" s="149">
        <f t="shared" si="183"/>
        <v>8183.0999999999985</v>
      </c>
      <c r="AR341" s="21">
        <v>8183.0999999999985</v>
      </c>
      <c r="AS341" s="610">
        <v>8183.0999999999985</v>
      </c>
      <c r="AT341" s="112">
        <v>8183.0999999999985</v>
      </c>
      <c r="AU341" s="4"/>
      <c r="AV341" s="4"/>
      <c r="AW341" s="23" t="e">
        <f>VLOOKUP(K341,#REF!,8,FALSE)</f>
        <v>#REF!</v>
      </c>
      <c r="AX341" s="23" t="e">
        <f>VLOOKUP(K341,#REF!,8,FALSE)</f>
        <v>#REF!</v>
      </c>
      <c r="AY341" s="23" t="e">
        <f>VLOOKUP(K341,#REF!,8,FALSE)</f>
        <v>#REF!</v>
      </c>
      <c r="AZ341" s="4"/>
      <c r="BA341" s="272"/>
      <c r="BB341" s="313">
        <f t="shared" si="187"/>
        <v>0</v>
      </c>
      <c r="BC341" s="269">
        <f t="shared" si="180"/>
        <v>8183.0999999999985</v>
      </c>
      <c r="BD341" t="str">
        <f t="shared" si="197"/>
        <v/>
      </c>
      <c r="BP341" s="166">
        <f t="shared" si="204"/>
        <v>8183.0999999999985</v>
      </c>
      <c r="BS341" s="165"/>
      <c r="BX341" s="495">
        <f t="shared" si="205"/>
        <v>8183.0999999999985</v>
      </c>
      <c r="BZ341" s="636">
        <f t="shared" si="191"/>
        <v>0</v>
      </c>
      <c r="CA341" s="633">
        <f t="shared" si="192"/>
        <v>0</v>
      </c>
    </row>
    <row r="342" spans="1:79" x14ac:dyDescent="0.2">
      <c r="A342" s="4">
        <v>1</v>
      </c>
      <c r="B342" s="4">
        <v>1</v>
      </c>
      <c r="C342" s="5">
        <f t="shared" si="194"/>
        <v>41117</v>
      </c>
      <c r="D342" s="6">
        <v>41117</v>
      </c>
      <c r="E342" s="6">
        <v>43011</v>
      </c>
      <c r="F342" s="6" t="s">
        <v>1606</v>
      </c>
      <c r="G342" s="7"/>
      <c r="H342" s="7"/>
      <c r="I342" s="7" t="s">
        <v>32</v>
      </c>
      <c r="J342" s="7"/>
      <c r="K342" s="29">
        <v>413508</v>
      </c>
      <c r="L342" s="10" t="s">
        <v>724</v>
      </c>
      <c r="M342" s="10" t="s">
        <v>742</v>
      </c>
      <c r="N342" s="10" t="s">
        <v>743</v>
      </c>
      <c r="O342" s="11" t="s">
        <v>744</v>
      </c>
      <c r="P342" s="12">
        <v>41843</v>
      </c>
      <c r="Q342" s="13">
        <f t="shared" ca="1" si="198"/>
        <v>11.167693360711841</v>
      </c>
      <c r="R342" s="14">
        <v>4</v>
      </c>
      <c r="S342" s="15">
        <v>872</v>
      </c>
      <c r="T342" s="8">
        <v>872</v>
      </c>
      <c r="U342" s="16">
        <v>45017</v>
      </c>
      <c r="V342" s="17">
        <v>1</v>
      </c>
      <c r="W342" s="16">
        <v>45382</v>
      </c>
      <c r="X342" s="14">
        <v>192</v>
      </c>
      <c r="Y342" s="18">
        <f t="shared" si="193"/>
        <v>192</v>
      </c>
      <c r="Z342" s="18">
        <f t="shared" si="206"/>
        <v>1</v>
      </c>
      <c r="AA342" s="18" t="s">
        <v>36</v>
      </c>
      <c r="AB342" s="26">
        <v>25</v>
      </c>
      <c r="AC342" s="26"/>
      <c r="AD342" s="26"/>
      <c r="AE342" s="147" t="str">
        <f t="shared" si="184"/>
        <v>1</v>
      </c>
      <c r="AF342" s="147" t="str">
        <f t="shared" si="199"/>
        <v>0</v>
      </c>
      <c r="AG342" s="147" t="str">
        <f t="shared" si="185"/>
        <v>0</v>
      </c>
      <c r="AH342" s="147" t="str">
        <f t="shared" si="200"/>
        <v>NO</v>
      </c>
      <c r="AI342" s="147" t="str">
        <f t="shared" si="201"/>
        <v>NO</v>
      </c>
      <c r="AJ342" s="147" t="str">
        <f t="shared" si="202"/>
        <v>NO</v>
      </c>
      <c r="AK342" s="147" t="str">
        <f t="shared" si="203"/>
        <v>NO</v>
      </c>
      <c r="AL342" s="21"/>
      <c r="AM342" s="21">
        <f t="shared" si="207"/>
        <v>5819.25</v>
      </c>
      <c r="AN342" s="27" t="s">
        <v>37</v>
      </c>
      <c r="AO342" s="21">
        <v>1</v>
      </c>
      <c r="AP342" s="21">
        <f t="shared" si="186"/>
        <v>1</v>
      </c>
      <c r="AQ342" s="149">
        <f t="shared" si="183"/>
        <v>5819.25</v>
      </c>
      <c r="AR342" s="21">
        <v>5819.25</v>
      </c>
      <c r="AS342" s="610">
        <v>5819.25</v>
      </c>
      <c r="AT342" s="112">
        <v>5819.25</v>
      </c>
      <c r="AU342" s="4"/>
      <c r="AV342" s="4"/>
      <c r="AW342" s="23" t="e">
        <f>VLOOKUP(K342,#REF!,8,FALSE)</f>
        <v>#REF!</v>
      </c>
      <c r="AX342" s="23" t="e">
        <f>VLOOKUP(K342,#REF!,8,FALSE)</f>
        <v>#REF!</v>
      </c>
      <c r="AY342" s="23" t="e">
        <f>VLOOKUP(K342,#REF!,8,FALSE)</f>
        <v>#REF!</v>
      </c>
      <c r="AZ342" s="4"/>
      <c r="BA342" s="272"/>
      <c r="BB342" s="313">
        <f t="shared" si="187"/>
        <v>0</v>
      </c>
      <c r="BC342" s="269">
        <f t="shared" ref="BC342:BC373" si="208">AR342</f>
        <v>5819.25</v>
      </c>
      <c r="BD342" t="str">
        <f t="shared" si="197"/>
        <v/>
      </c>
      <c r="BP342" s="166">
        <f t="shared" si="204"/>
        <v>5819.25</v>
      </c>
      <c r="BS342" s="165"/>
      <c r="BX342" s="495">
        <f t="shared" si="205"/>
        <v>5819.25</v>
      </c>
      <c r="BZ342" s="636">
        <f t="shared" si="191"/>
        <v>0</v>
      </c>
      <c r="CA342" s="633">
        <f t="shared" si="192"/>
        <v>0</v>
      </c>
    </row>
    <row r="343" spans="1:79" x14ac:dyDescent="0.2">
      <c r="A343" s="4">
        <v>1</v>
      </c>
      <c r="B343" s="4">
        <v>1</v>
      </c>
      <c r="C343" s="5">
        <f t="shared" si="194"/>
        <v>41117</v>
      </c>
      <c r="D343" s="6">
        <v>41117</v>
      </c>
      <c r="E343" s="6">
        <v>43011</v>
      </c>
      <c r="F343" s="6" t="s">
        <v>1606</v>
      </c>
      <c r="G343" s="7"/>
      <c r="H343" s="7"/>
      <c r="I343" s="7" t="s">
        <v>32</v>
      </c>
      <c r="J343" s="7"/>
      <c r="K343" s="29">
        <v>409797</v>
      </c>
      <c r="L343" s="10" t="s">
        <v>724</v>
      </c>
      <c r="M343" s="10" t="s">
        <v>745</v>
      </c>
      <c r="N343" s="10" t="s">
        <v>746</v>
      </c>
      <c r="O343" s="11" t="s">
        <v>747</v>
      </c>
      <c r="P343" s="12">
        <v>41439</v>
      </c>
      <c r="Q343" s="13">
        <f t="shared" ca="1" si="198"/>
        <v>12.27378507871321</v>
      </c>
      <c r="R343" s="14">
        <v>5</v>
      </c>
      <c r="S343" s="15">
        <v>872</v>
      </c>
      <c r="T343" s="8">
        <v>872</v>
      </c>
      <c r="U343" s="16">
        <v>45017</v>
      </c>
      <c r="V343" s="17">
        <v>1</v>
      </c>
      <c r="W343" s="16">
        <v>45382</v>
      </c>
      <c r="X343" s="14">
        <v>192</v>
      </c>
      <c r="Y343" s="18">
        <f t="shared" si="193"/>
        <v>192</v>
      </c>
      <c r="Z343" s="18">
        <f t="shared" si="206"/>
        <v>1</v>
      </c>
      <c r="AA343" s="18" t="s">
        <v>36</v>
      </c>
      <c r="AB343" s="26">
        <v>25</v>
      </c>
      <c r="AC343" s="26"/>
      <c r="AD343" s="26"/>
      <c r="AE343" s="147" t="str">
        <f t="shared" si="184"/>
        <v>1</v>
      </c>
      <c r="AF343" s="147" t="str">
        <f t="shared" si="199"/>
        <v>0</v>
      </c>
      <c r="AG343" s="147" t="str">
        <f t="shared" si="185"/>
        <v>0</v>
      </c>
      <c r="AH343" s="147" t="str">
        <f t="shared" si="200"/>
        <v>NO</v>
      </c>
      <c r="AI343" s="147" t="str">
        <f t="shared" si="201"/>
        <v>NO</v>
      </c>
      <c r="AJ343" s="147" t="str">
        <f t="shared" si="202"/>
        <v>NO</v>
      </c>
      <c r="AK343" s="147" t="str">
        <f t="shared" si="203"/>
        <v>NO</v>
      </c>
      <c r="AL343" s="21"/>
      <c r="AM343" s="21">
        <f t="shared" si="207"/>
        <v>5819.25</v>
      </c>
      <c r="AN343" s="27" t="s">
        <v>66</v>
      </c>
      <c r="AO343" s="21">
        <v>1</v>
      </c>
      <c r="AP343" s="21">
        <f t="shared" si="186"/>
        <v>1</v>
      </c>
      <c r="AQ343" s="149">
        <f t="shared" si="183"/>
        <v>5819.25</v>
      </c>
      <c r="AR343" s="21">
        <v>5819.25</v>
      </c>
      <c r="AS343" s="610">
        <v>5819.25</v>
      </c>
      <c r="AT343" s="112">
        <v>5819.25</v>
      </c>
      <c r="AU343" s="4"/>
      <c r="AV343" s="4"/>
      <c r="AW343" s="23" t="e">
        <f>VLOOKUP(K343,#REF!,8,FALSE)</f>
        <v>#REF!</v>
      </c>
      <c r="AX343" s="23" t="e">
        <f>VLOOKUP(K343,#REF!,8,FALSE)</f>
        <v>#REF!</v>
      </c>
      <c r="AY343" s="23" t="e">
        <f>VLOOKUP(K343,#REF!,8,FALSE)</f>
        <v>#REF!</v>
      </c>
      <c r="AZ343" s="4"/>
      <c r="BA343" s="272"/>
      <c r="BB343" s="313">
        <f t="shared" si="187"/>
        <v>0</v>
      </c>
      <c r="BC343" s="269">
        <f t="shared" si="208"/>
        <v>5819.25</v>
      </c>
      <c r="BD343" t="str">
        <f t="shared" si="197"/>
        <v/>
      </c>
      <c r="BP343" s="166">
        <f t="shared" si="204"/>
        <v>5819.25</v>
      </c>
      <c r="BS343" s="165"/>
      <c r="BX343" s="495">
        <f t="shared" si="205"/>
        <v>5819.25</v>
      </c>
      <c r="BZ343" s="636">
        <f t="shared" si="191"/>
        <v>0</v>
      </c>
      <c r="CA343" s="633">
        <f t="shared" si="192"/>
        <v>0</v>
      </c>
    </row>
    <row r="344" spans="1:79" x14ac:dyDescent="0.2">
      <c r="A344" s="4">
        <v>1</v>
      </c>
      <c r="B344" s="4">
        <v>1</v>
      </c>
      <c r="C344" s="5">
        <f t="shared" si="194"/>
        <v>41117</v>
      </c>
      <c r="D344" s="6">
        <v>41117</v>
      </c>
      <c r="E344" s="6">
        <v>43011</v>
      </c>
      <c r="F344" s="6" t="s">
        <v>1606</v>
      </c>
      <c r="G344" s="7"/>
      <c r="H344" s="7"/>
      <c r="I344" s="7" t="s">
        <v>32</v>
      </c>
      <c r="J344" s="7"/>
      <c r="K344" s="29">
        <v>422051</v>
      </c>
      <c r="L344" s="10" t="s">
        <v>724</v>
      </c>
      <c r="M344" s="10" t="s">
        <v>322</v>
      </c>
      <c r="N344" s="10" t="s">
        <v>748</v>
      </c>
      <c r="O344" s="11" t="s">
        <v>749</v>
      </c>
      <c r="P344" s="12">
        <v>42225</v>
      </c>
      <c r="Q344" s="13">
        <f t="shared" ca="1" si="198"/>
        <v>10.121834360027378</v>
      </c>
      <c r="R344" s="14">
        <v>3</v>
      </c>
      <c r="S344" s="15">
        <v>872</v>
      </c>
      <c r="T344" s="8">
        <v>872</v>
      </c>
      <c r="U344" s="16">
        <v>45017</v>
      </c>
      <c r="V344" s="17">
        <v>1</v>
      </c>
      <c r="W344" s="16">
        <v>45382</v>
      </c>
      <c r="X344" s="14">
        <v>192</v>
      </c>
      <c r="Y344" s="18">
        <f t="shared" si="193"/>
        <v>192</v>
      </c>
      <c r="Z344" s="18">
        <f t="shared" si="206"/>
        <v>1</v>
      </c>
      <c r="AA344" s="18" t="s">
        <v>36</v>
      </c>
      <c r="AB344" s="26">
        <v>22</v>
      </c>
      <c r="AC344" s="26"/>
      <c r="AD344" s="26"/>
      <c r="AE344" s="147" t="str">
        <f t="shared" si="184"/>
        <v>1</v>
      </c>
      <c r="AF344" s="147" t="str">
        <f t="shared" si="199"/>
        <v>0</v>
      </c>
      <c r="AG344" s="147" t="str">
        <f t="shared" si="185"/>
        <v>0</v>
      </c>
      <c r="AH344" s="147" t="str">
        <f t="shared" si="200"/>
        <v>NO</v>
      </c>
      <c r="AI344" s="147" t="str">
        <f t="shared" si="201"/>
        <v>NO</v>
      </c>
      <c r="AJ344" s="147" t="str">
        <f t="shared" si="202"/>
        <v>NO</v>
      </c>
      <c r="AK344" s="147" t="str">
        <f t="shared" si="203"/>
        <v>NO</v>
      </c>
      <c r="AL344" s="21"/>
      <c r="AM344" s="21">
        <f t="shared" si="207"/>
        <v>4400.9399999999987</v>
      </c>
      <c r="AN344" s="27" t="s">
        <v>37</v>
      </c>
      <c r="AO344" s="21">
        <v>1</v>
      </c>
      <c r="AP344" s="21">
        <f t="shared" si="186"/>
        <v>1</v>
      </c>
      <c r="AQ344" s="149">
        <f t="shared" si="183"/>
        <v>4400.9399999999987</v>
      </c>
      <c r="AR344" s="21">
        <v>4400.9399999999987</v>
      </c>
      <c r="AS344" s="610">
        <v>4400.9399999999987</v>
      </c>
      <c r="AT344" s="112">
        <v>4400.9399999999987</v>
      </c>
      <c r="AU344" s="4"/>
      <c r="AV344" s="4"/>
      <c r="AW344" s="23" t="e">
        <f>VLOOKUP(K344,#REF!,8,FALSE)</f>
        <v>#REF!</v>
      </c>
      <c r="AX344" s="23" t="e">
        <f>VLOOKUP(K344,#REF!,8,FALSE)</f>
        <v>#REF!</v>
      </c>
      <c r="AY344" s="23" t="e">
        <f>VLOOKUP(K344,#REF!,8,FALSE)</f>
        <v>#REF!</v>
      </c>
      <c r="AZ344" s="4"/>
      <c r="BA344" s="272"/>
      <c r="BB344" s="313">
        <f t="shared" si="187"/>
        <v>0</v>
      </c>
      <c r="BC344" s="269">
        <f t="shared" si="208"/>
        <v>4400.9399999999987</v>
      </c>
      <c r="BD344" t="str">
        <f t="shared" si="197"/>
        <v/>
      </c>
      <c r="BP344" s="166">
        <f t="shared" si="204"/>
        <v>4400.9399999999987</v>
      </c>
      <c r="BS344" s="165"/>
      <c r="BX344" s="495">
        <f t="shared" si="205"/>
        <v>4400.9399999999987</v>
      </c>
      <c r="BZ344" s="636">
        <f t="shared" si="191"/>
        <v>0</v>
      </c>
      <c r="CA344" s="633">
        <f t="shared" si="192"/>
        <v>0</v>
      </c>
    </row>
    <row r="345" spans="1:79" x14ac:dyDescent="0.2">
      <c r="A345" s="4">
        <v>1</v>
      </c>
      <c r="B345" s="4">
        <v>1</v>
      </c>
      <c r="C345" s="5">
        <f t="shared" si="194"/>
        <v>41117</v>
      </c>
      <c r="D345" s="6">
        <v>41117</v>
      </c>
      <c r="E345" s="6">
        <v>43011</v>
      </c>
      <c r="F345" s="6" t="s">
        <v>1606</v>
      </c>
      <c r="G345" s="7"/>
      <c r="H345" s="7"/>
      <c r="I345" s="7" t="s">
        <v>32</v>
      </c>
      <c r="J345" s="7"/>
      <c r="K345" s="29">
        <v>402013</v>
      </c>
      <c r="L345" s="10" t="s">
        <v>724</v>
      </c>
      <c r="M345" s="10" t="s">
        <v>750</v>
      </c>
      <c r="N345" s="10" t="s">
        <v>751</v>
      </c>
      <c r="O345" s="11" t="s">
        <v>752</v>
      </c>
      <c r="P345" s="12">
        <v>40954</v>
      </c>
      <c r="Q345" s="13">
        <f t="shared" ca="1" si="198"/>
        <v>13.60164271047228</v>
      </c>
      <c r="R345" s="14">
        <v>6</v>
      </c>
      <c r="S345" s="15">
        <v>872</v>
      </c>
      <c r="T345" s="8">
        <v>872</v>
      </c>
      <c r="U345" s="16">
        <v>45017</v>
      </c>
      <c r="V345" s="17">
        <v>1</v>
      </c>
      <c r="W345" s="16">
        <v>45128</v>
      </c>
      <c r="X345" s="14">
        <v>63</v>
      </c>
      <c r="Y345" s="18">
        <f t="shared" si="193"/>
        <v>63</v>
      </c>
      <c r="Z345" s="18">
        <f t="shared" si="206"/>
        <v>0.328125</v>
      </c>
      <c r="AA345" s="18" t="s">
        <v>48</v>
      </c>
      <c r="AB345" s="26">
        <v>28</v>
      </c>
      <c r="AC345" s="26"/>
      <c r="AD345" s="26"/>
      <c r="AE345" s="147" t="str">
        <f t="shared" si="184"/>
        <v>0</v>
      </c>
      <c r="AF345" s="147" t="str">
        <f t="shared" si="199"/>
        <v>1</v>
      </c>
      <c r="AG345" s="147" t="str">
        <f t="shared" si="185"/>
        <v>0</v>
      </c>
      <c r="AH345" s="147" t="str">
        <f t="shared" si="200"/>
        <v>NO</v>
      </c>
      <c r="AI345" s="147" t="str">
        <f t="shared" si="201"/>
        <v>NO</v>
      </c>
      <c r="AJ345" s="147" t="str">
        <f t="shared" si="202"/>
        <v>NO</v>
      </c>
      <c r="AK345" s="147" t="str">
        <f t="shared" si="203"/>
        <v>NO</v>
      </c>
      <c r="AL345" s="21"/>
      <c r="AM345" s="21">
        <f t="shared" si="207"/>
        <v>7237.5599999999995</v>
      </c>
      <c r="AN345" s="27" t="s">
        <v>56</v>
      </c>
      <c r="AO345" s="21">
        <v>1</v>
      </c>
      <c r="AP345" s="21">
        <f t="shared" si="186"/>
        <v>0.328125</v>
      </c>
      <c r="AQ345" s="149">
        <f t="shared" si="183"/>
        <v>2374.8243749999997</v>
      </c>
      <c r="AR345" s="21">
        <v>2374.8243749999997</v>
      </c>
      <c r="AS345" s="610">
        <v>2374.8243749999997</v>
      </c>
      <c r="AT345" s="112">
        <v>2374.8243749999997</v>
      </c>
      <c r="AU345" s="4"/>
      <c r="AV345" s="4"/>
      <c r="AW345" s="23" t="e">
        <f>VLOOKUP(K345,#REF!,8,FALSE)</f>
        <v>#REF!</v>
      </c>
      <c r="AX345" s="264" t="s">
        <v>2208</v>
      </c>
      <c r="AY345" s="23" t="e">
        <f>VLOOKUP(K345,#REF!,8,FALSE)</f>
        <v>#REF!</v>
      </c>
      <c r="AZ345" s="23" t="s">
        <v>75</v>
      </c>
      <c r="BA345" s="273">
        <f>AM345/3*2</f>
        <v>4825.04</v>
      </c>
      <c r="BB345" s="313">
        <f t="shared" si="187"/>
        <v>0</v>
      </c>
      <c r="BC345" s="269">
        <f t="shared" si="208"/>
        <v>2374.8243749999997</v>
      </c>
      <c r="BD345" t="e">
        <f t="shared" si="197"/>
        <v>#REF!</v>
      </c>
      <c r="BE345" t="s">
        <v>2396</v>
      </c>
      <c r="BF345">
        <v>43012</v>
      </c>
      <c r="BH345" t="e">
        <f>VLOOKUP(K345,#REF!,8,FALSE)</f>
        <v>#REF!</v>
      </c>
      <c r="BJ345">
        <f>AB345</f>
        <v>28</v>
      </c>
      <c r="BK345" s="269">
        <f>AM345</f>
        <v>7237.5599999999995</v>
      </c>
      <c r="BL345" s="353"/>
      <c r="BM345" s="353" t="s">
        <v>75</v>
      </c>
      <c r="BN345" s="353"/>
      <c r="BO345" s="106">
        <f>BK345/192*127</f>
        <v>4787.3443749999997</v>
      </c>
      <c r="BP345" s="166">
        <f t="shared" si="204"/>
        <v>7162.1687499999989</v>
      </c>
      <c r="BQ345" s="106">
        <v>4787.3443749999997</v>
      </c>
      <c r="BR345" t="s">
        <v>2446</v>
      </c>
      <c r="BS345" s="165"/>
      <c r="BX345" s="495">
        <f t="shared" si="205"/>
        <v>7162.1687499999989</v>
      </c>
      <c r="BZ345" s="636">
        <f t="shared" si="191"/>
        <v>0</v>
      </c>
      <c r="CA345" s="633">
        <f t="shared" si="192"/>
        <v>4787.3443749999988</v>
      </c>
    </row>
    <row r="346" spans="1:79" x14ac:dyDescent="0.2">
      <c r="A346" s="4">
        <v>1</v>
      </c>
      <c r="B346" s="4">
        <v>1</v>
      </c>
      <c r="C346" s="5">
        <f t="shared" si="194"/>
        <v>41117</v>
      </c>
      <c r="D346" s="6">
        <v>41117</v>
      </c>
      <c r="E346" s="6">
        <v>43011</v>
      </c>
      <c r="F346" s="6" t="s">
        <v>1606</v>
      </c>
      <c r="G346" s="7"/>
      <c r="H346" s="7"/>
      <c r="I346" s="7" t="s">
        <v>32</v>
      </c>
      <c r="J346" s="7"/>
      <c r="K346" s="29">
        <v>413837</v>
      </c>
      <c r="L346" s="10" t="s">
        <v>724</v>
      </c>
      <c r="M346" s="10" t="s">
        <v>148</v>
      </c>
      <c r="N346" s="10" t="s">
        <v>753</v>
      </c>
      <c r="O346" s="11" t="s">
        <v>754</v>
      </c>
      <c r="P346" s="12">
        <v>41681</v>
      </c>
      <c r="Q346" s="13">
        <f t="shared" ca="1" si="198"/>
        <v>11.611225188227241</v>
      </c>
      <c r="R346" s="14">
        <v>4</v>
      </c>
      <c r="S346" s="15">
        <v>872</v>
      </c>
      <c r="T346" s="8">
        <v>872</v>
      </c>
      <c r="U346" s="16">
        <v>45017</v>
      </c>
      <c r="V346" s="17">
        <v>1</v>
      </c>
      <c r="W346" s="16">
        <v>45382</v>
      </c>
      <c r="X346" s="14">
        <v>192</v>
      </c>
      <c r="Y346" s="18">
        <f t="shared" si="193"/>
        <v>192</v>
      </c>
      <c r="Z346" s="18">
        <f t="shared" si="206"/>
        <v>1</v>
      </c>
      <c r="AA346" s="18" t="s">
        <v>36</v>
      </c>
      <c r="AB346" s="26">
        <v>25</v>
      </c>
      <c r="AC346" s="26"/>
      <c r="AD346" s="26"/>
      <c r="AE346" s="147" t="str">
        <f t="shared" si="184"/>
        <v>1</v>
      </c>
      <c r="AF346" s="147" t="str">
        <f t="shared" si="199"/>
        <v>0</v>
      </c>
      <c r="AG346" s="147" t="str">
        <f t="shared" si="185"/>
        <v>0</v>
      </c>
      <c r="AH346" s="147" t="str">
        <f t="shared" si="200"/>
        <v>NO</v>
      </c>
      <c r="AI346" s="147" t="str">
        <f t="shared" si="201"/>
        <v>NO</v>
      </c>
      <c r="AJ346" s="147" t="str">
        <f t="shared" si="202"/>
        <v>NO</v>
      </c>
      <c r="AK346" s="147" t="str">
        <f t="shared" si="203"/>
        <v>NO</v>
      </c>
      <c r="AL346" s="21"/>
      <c r="AM346" s="21">
        <f t="shared" si="207"/>
        <v>5819.25</v>
      </c>
      <c r="AN346" s="27" t="s">
        <v>43</v>
      </c>
      <c r="AO346" s="21">
        <v>1</v>
      </c>
      <c r="AP346" s="21">
        <f t="shared" si="186"/>
        <v>1</v>
      </c>
      <c r="AQ346" s="149">
        <f t="shared" si="183"/>
        <v>5819.25</v>
      </c>
      <c r="AR346" s="21">
        <v>5819.25</v>
      </c>
      <c r="AS346" s="610">
        <v>5819.25</v>
      </c>
      <c r="AT346" s="112">
        <v>5819.25</v>
      </c>
      <c r="AU346" s="4"/>
      <c r="AV346" s="4"/>
      <c r="AW346" s="23" t="e">
        <f>VLOOKUP(K346,#REF!,8,FALSE)</f>
        <v>#REF!</v>
      </c>
      <c r="AX346" s="23" t="e">
        <f>VLOOKUP(K346,#REF!,8,FALSE)</f>
        <v>#REF!</v>
      </c>
      <c r="AY346" s="23" t="e">
        <f>VLOOKUP(K346,#REF!,8,FALSE)</f>
        <v>#REF!</v>
      </c>
      <c r="AZ346" s="4"/>
      <c r="BA346" s="272"/>
      <c r="BB346" s="313">
        <f t="shared" si="187"/>
        <v>0</v>
      </c>
      <c r="BC346" s="269">
        <f t="shared" si="208"/>
        <v>5819.25</v>
      </c>
      <c r="BD346" t="str">
        <f t="shared" si="197"/>
        <v/>
      </c>
      <c r="BP346" s="166">
        <f t="shared" si="204"/>
        <v>5819.25</v>
      </c>
      <c r="BS346" s="165"/>
      <c r="BX346" s="495">
        <f t="shared" si="205"/>
        <v>5819.25</v>
      </c>
      <c r="BZ346" s="636">
        <f t="shared" si="191"/>
        <v>0</v>
      </c>
      <c r="CA346" s="633">
        <f t="shared" si="192"/>
        <v>0</v>
      </c>
    </row>
    <row r="347" spans="1:79" x14ac:dyDescent="0.2">
      <c r="A347" s="4">
        <v>1</v>
      </c>
      <c r="B347" s="4">
        <v>1</v>
      </c>
      <c r="C347" s="5">
        <f t="shared" si="194"/>
        <v>41117</v>
      </c>
      <c r="D347" s="6">
        <v>41117</v>
      </c>
      <c r="E347" s="6">
        <v>43011</v>
      </c>
      <c r="F347" s="6" t="s">
        <v>1606</v>
      </c>
      <c r="G347" s="7"/>
      <c r="H347" s="7"/>
      <c r="I347" s="7" t="s">
        <v>32</v>
      </c>
      <c r="J347" s="7"/>
      <c r="K347" s="29">
        <v>426912</v>
      </c>
      <c r="L347" s="10" t="s">
        <v>724</v>
      </c>
      <c r="M347" s="10" t="s">
        <v>755</v>
      </c>
      <c r="N347" s="10" t="s">
        <v>756</v>
      </c>
      <c r="O347" s="11" t="s">
        <v>757</v>
      </c>
      <c r="P347" s="12">
        <v>41564</v>
      </c>
      <c r="Q347" s="13">
        <f t="shared" ca="1" si="198"/>
        <v>11.931553730321697</v>
      </c>
      <c r="R347" s="14">
        <v>4</v>
      </c>
      <c r="S347" s="15">
        <v>872</v>
      </c>
      <c r="T347" s="8">
        <v>872</v>
      </c>
      <c r="U347" s="16">
        <v>45017</v>
      </c>
      <c r="V347" s="17">
        <v>1</v>
      </c>
      <c r="W347" s="16">
        <v>45382</v>
      </c>
      <c r="X347" s="14">
        <v>192</v>
      </c>
      <c r="Y347" s="18">
        <f t="shared" si="193"/>
        <v>192</v>
      </c>
      <c r="Z347" s="18">
        <f t="shared" si="206"/>
        <v>1</v>
      </c>
      <c r="AA347" s="18" t="s">
        <v>36</v>
      </c>
      <c r="AB347" s="26">
        <v>25</v>
      </c>
      <c r="AC347" s="26"/>
      <c r="AD347" s="26"/>
      <c r="AE347" s="147" t="str">
        <f t="shared" si="184"/>
        <v>1</v>
      </c>
      <c r="AF347" s="147" t="str">
        <f t="shared" si="199"/>
        <v>0</v>
      </c>
      <c r="AG347" s="147" t="str">
        <f t="shared" si="185"/>
        <v>0</v>
      </c>
      <c r="AH347" s="147" t="str">
        <f t="shared" si="200"/>
        <v>NO</v>
      </c>
      <c r="AI347" s="147" t="str">
        <f t="shared" si="201"/>
        <v>NO</v>
      </c>
      <c r="AJ347" s="147" t="str">
        <f t="shared" si="202"/>
        <v>NO</v>
      </c>
      <c r="AK347" s="147" t="str">
        <f t="shared" si="203"/>
        <v>NO</v>
      </c>
      <c r="AL347" s="21"/>
      <c r="AM347" s="21">
        <f t="shared" si="207"/>
        <v>5819.25</v>
      </c>
      <c r="AN347" s="27" t="s">
        <v>43</v>
      </c>
      <c r="AO347" s="21">
        <v>1</v>
      </c>
      <c r="AP347" s="21">
        <f t="shared" si="186"/>
        <v>1</v>
      </c>
      <c r="AQ347" s="149">
        <f t="shared" si="183"/>
        <v>5819.25</v>
      </c>
      <c r="AR347" s="21">
        <v>5819.25</v>
      </c>
      <c r="AS347" s="610">
        <v>5819.25</v>
      </c>
      <c r="AT347" s="112">
        <v>5819.25</v>
      </c>
      <c r="AU347" s="4"/>
      <c r="AV347" s="4"/>
      <c r="AW347" s="23" t="e">
        <f>VLOOKUP(K347,#REF!,8,FALSE)</f>
        <v>#REF!</v>
      </c>
      <c r="AX347" s="23" t="e">
        <f>VLOOKUP(K347,#REF!,8,FALSE)</f>
        <v>#REF!</v>
      </c>
      <c r="AY347" s="23" t="e">
        <f>VLOOKUP(K347,#REF!,8,FALSE)</f>
        <v>#REF!</v>
      </c>
      <c r="AZ347" s="4"/>
      <c r="BA347" s="272"/>
      <c r="BB347" s="313">
        <f t="shared" si="187"/>
        <v>0</v>
      </c>
      <c r="BC347" s="269">
        <f t="shared" si="208"/>
        <v>5819.25</v>
      </c>
      <c r="BD347" t="str">
        <f t="shared" si="197"/>
        <v/>
      </c>
      <c r="BP347" s="166">
        <f t="shared" si="204"/>
        <v>5819.25</v>
      </c>
      <c r="BS347" s="165"/>
      <c r="BX347" s="495">
        <f t="shared" si="205"/>
        <v>5819.25</v>
      </c>
      <c r="BZ347" s="636">
        <f t="shared" si="191"/>
        <v>0</v>
      </c>
      <c r="CA347" s="633">
        <f t="shared" si="192"/>
        <v>0</v>
      </c>
    </row>
    <row r="348" spans="1:79" x14ac:dyDescent="0.2">
      <c r="A348" s="4">
        <v>1</v>
      </c>
      <c r="B348" s="4">
        <v>1</v>
      </c>
      <c r="C348" s="5">
        <f t="shared" si="194"/>
        <v>41117</v>
      </c>
      <c r="D348" s="6">
        <v>41117</v>
      </c>
      <c r="E348" s="6">
        <v>43011</v>
      </c>
      <c r="F348" s="6" t="s">
        <v>1606</v>
      </c>
      <c r="G348" s="7"/>
      <c r="H348" s="7"/>
      <c r="I348" s="7" t="s">
        <v>32</v>
      </c>
      <c r="J348" s="7"/>
      <c r="K348" s="29">
        <v>451432</v>
      </c>
      <c r="L348" s="10" t="s">
        <v>724</v>
      </c>
      <c r="M348" s="10" t="s">
        <v>758</v>
      </c>
      <c r="N348" s="10" t="s">
        <v>759</v>
      </c>
      <c r="O348" s="11" t="s">
        <v>760</v>
      </c>
      <c r="P348" s="12">
        <v>43268</v>
      </c>
      <c r="Q348" s="13">
        <f t="shared" ca="1" si="198"/>
        <v>7.2662559890485969</v>
      </c>
      <c r="R348" s="14">
        <v>0</v>
      </c>
      <c r="S348" s="15">
        <v>872</v>
      </c>
      <c r="T348" s="8">
        <v>872</v>
      </c>
      <c r="U348" s="16">
        <v>45017</v>
      </c>
      <c r="V348" s="17">
        <v>1</v>
      </c>
      <c r="W348" s="16">
        <v>45382</v>
      </c>
      <c r="X348" s="14">
        <v>192</v>
      </c>
      <c r="Y348" s="18">
        <f t="shared" si="193"/>
        <v>192</v>
      </c>
      <c r="Z348" s="18">
        <f t="shared" si="206"/>
        <v>1</v>
      </c>
      <c r="AA348" s="18" t="s">
        <v>36</v>
      </c>
      <c r="AB348" s="26">
        <v>30</v>
      </c>
      <c r="AC348" s="26"/>
      <c r="AD348" s="26"/>
      <c r="AE348" s="147" t="str">
        <f t="shared" si="184"/>
        <v>0</v>
      </c>
      <c r="AF348" s="147" t="str">
        <f t="shared" si="199"/>
        <v>1</v>
      </c>
      <c r="AG348" s="147" t="str">
        <f t="shared" si="185"/>
        <v>0</v>
      </c>
      <c r="AH348" s="147" t="str">
        <f t="shared" si="200"/>
        <v>NO</v>
      </c>
      <c r="AI348" s="147" t="str">
        <f t="shared" si="201"/>
        <v>NO</v>
      </c>
      <c r="AJ348" s="147" t="str">
        <f t="shared" si="202"/>
        <v>NO</v>
      </c>
      <c r="AK348" s="147" t="str">
        <f t="shared" si="203"/>
        <v>NO</v>
      </c>
      <c r="AL348" s="21"/>
      <c r="AM348" s="21">
        <f t="shared" si="207"/>
        <v>8183.0999999999985</v>
      </c>
      <c r="AN348" s="27"/>
      <c r="AO348" s="21">
        <v>1</v>
      </c>
      <c r="AP348" s="21">
        <f t="shared" si="186"/>
        <v>1</v>
      </c>
      <c r="AQ348" s="149">
        <f t="shared" si="183"/>
        <v>8183.0999999999985</v>
      </c>
      <c r="AR348" s="21">
        <v>8183.0999999999985</v>
      </c>
      <c r="AS348" s="610">
        <v>8183.0999999999985</v>
      </c>
      <c r="AT348" s="112">
        <v>8183.0999999999985</v>
      </c>
      <c r="AU348" s="4"/>
      <c r="AV348" s="4"/>
      <c r="AW348" s="23" t="e">
        <f>VLOOKUP(K348,#REF!,8,FALSE)</f>
        <v>#REF!</v>
      </c>
      <c r="AX348" s="23" t="e">
        <f>VLOOKUP(K348,#REF!,8,FALSE)</f>
        <v>#REF!</v>
      </c>
      <c r="AY348" s="23" t="e">
        <f>VLOOKUP(K348,#REF!,8,FALSE)</f>
        <v>#REF!</v>
      </c>
      <c r="AZ348" s="4"/>
      <c r="BA348" s="272"/>
      <c r="BB348" s="313">
        <f t="shared" si="187"/>
        <v>0</v>
      </c>
      <c r="BC348" s="269">
        <f t="shared" si="208"/>
        <v>8183.0999999999985</v>
      </c>
      <c r="BD348" t="str">
        <f t="shared" si="197"/>
        <v/>
      </c>
      <c r="BP348" s="166">
        <f t="shared" si="204"/>
        <v>8183.0999999999985</v>
      </c>
      <c r="BS348" s="165"/>
      <c r="BX348" s="495">
        <f t="shared" si="205"/>
        <v>8183.0999999999985</v>
      </c>
      <c r="BZ348" s="636">
        <f t="shared" si="191"/>
        <v>0</v>
      </c>
      <c r="CA348" s="633">
        <f t="shared" si="192"/>
        <v>0</v>
      </c>
    </row>
    <row r="349" spans="1:79" x14ac:dyDescent="0.2">
      <c r="A349" s="4">
        <v>1</v>
      </c>
      <c r="B349" s="4">
        <v>1</v>
      </c>
      <c r="C349" s="5">
        <f t="shared" si="194"/>
        <v>41118</v>
      </c>
      <c r="D349" s="6">
        <v>41118</v>
      </c>
      <c r="E349" s="6">
        <v>43011</v>
      </c>
      <c r="F349" s="6" t="s">
        <v>1606</v>
      </c>
      <c r="G349" s="101" t="s">
        <v>761</v>
      </c>
      <c r="H349" s="7"/>
      <c r="I349" s="7" t="s">
        <v>32</v>
      </c>
      <c r="J349" s="7"/>
      <c r="K349" s="29">
        <v>447468</v>
      </c>
      <c r="L349" s="47" t="s">
        <v>762</v>
      </c>
      <c r="M349" s="10" t="s">
        <v>1573</v>
      </c>
      <c r="N349" s="10" t="s">
        <v>263</v>
      </c>
      <c r="O349" s="11" t="s">
        <v>2494</v>
      </c>
      <c r="P349" s="12">
        <v>41652</v>
      </c>
      <c r="Q349" s="13">
        <f t="shared" ca="1" si="198"/>
        <v>11.690622861054072</v>
      </c>
      <c r="R349" s="14">
        <v>4</v>
      </c>
      <c r="S349" s="15">
        <v>872</v>
      </c>
      <c r="T349" s="8">
        <v>872</v>
      </c>
      <c r="U349" s="16">
        <v>45100</v>
      </c>
      <c r="V349" s="17">
        <v>43</v>
      </c>
      <c r="W349" s="16">
        <v>45382</v>
      </c>
      <c r="X349" s="14">
        <v>192</v>
      </c>
      <c r="Y349" s="18">
        <f t="shared" si="193"/>
        <v>150</v>
      </c>
      <c r="Z349" s="18">
        <f t="shared" si="206"/>
        <v>0.78125</v>
      </c>
      <c r="AA349" s="18" t="s">
        <v>36</v>
      </c>
      <c r="AB349" s="26">
        <v>30</v>
      </c>
      <c r="AC349" s="26"/>
      <c r="AD349" s="26"/>
      <c r="AE349" s="147" t="str">
        <f t="shared" si="184"/>
        <v>0</v>
      </c>
      <c r="AF349" s="147" t="str">
        <f t="shared" si="199"/>
        <v>1</v>
      </c>
      <c r="AG349" s="147" t="str">
        <f t="shared" si="185"/>
        <v>0</v>
      </c>
      <c r="AH349" s="147" t="str">
        <f t="shared" si="200"/>
        <v>NO</v>
      </c>
      <c r="AI349" s="147" t="str">
        <f t="shared" si="201"/>
        <v>NO</v>
      </c>
      <c r="AJ349" s="147" t="str">
        <f t="shared" si="202"/>
        <v>NO</v>
      </c>
      <c r="AK349" s="147" t="str">
        <f t="shared" si="203"/>
        <v>NO</v>
      </c>
      <c r="AL349" s="21"/>
      <c r="AM349" s="21">
        <f t="shared" si="207"/>
        <v>8183.0999999999985</v>
      </c>
      <c r="AN349" s="27" t="s">
        <v>56</v>
      </c>
      <c r="AO349" s="21">
        <v>1</v>
      </c>
      <c r="AP349" s="21">
        <f t="shared" si="186"/>
        <v>0.78125</v>
      </c>
      <c r="AQ349" s="149">
        <f t="shared" si="183"/>
        <v>6393.0468749999991</v>
      </c>
      <c r="AR349" s="21">
        <v>0</v>
      </c>
      <c r="AS349" s="610">
        <v>0</v>
      </c>
      <c r="AT349" s="112">
        <v>0</v>
      </c>
      <c r="AU349" s="4"/>
      <c r="AV349" s="4"/>
      <c r="AW349" s="23" t="e">
        <f>VLOOKUP(K349,#REF!,8,FALSE)</f>
        <v>#REF!</v>
      </c>
      <c r="AX349" s="23" t="e">
        <f>VLOOKUP(K349,#REF!,8,FALSE)</f>
        <v>#REF!</v>
      </c>
      <c r="AY349" s="23" t="e">
        <f>VLOOKUP(K349,#REF!,8,FALSE)</f>
        <v>#REF!</v>
      </c>
      <c r="AZ349" s="4"/>
      <c r="BA349" s="272"/>
      <c r="BB349" s="313"/>
      <c r="BC349" s="269">
        <f t="shared" si="208"/>
        <v>0</v>
      </c>
      <c r="BP349" s="166">
        <f t="shared" si="204"/>
        <v>0</v>
      </c>
      <c r="BS349" s="165"/>
      <c r="BX349" s="495">
        <f t="shared" si="205"/>
        <v>6393.0468749999991</v>
      </c>
      <c r="BY349" t="s">
        <v>2471</v>
      </c>
      <c r="BZ349" s="636">
        <f t="shared" si="191"/>
        <v>6393.0468749999991</v>
      </c>
      <c r="CA349" s="633">
        <f t="shared" si="192"/>
        <v>6393.0468749999991</v>
      </c>
    </row>
    <row r="350" spans="1:79" x14ac:dyDescent="0.2">
      <c r="A350" s="4">
        <v>1</v>
      </c>
      <c r="B350" s="4">
        <v>1</v>
      </c>
      <c r="C350" s="5">
        <f t="shared" si="194"/>
        <v>41118</v>
      </c>
      <c r="D350" s="6">
        <v>41118</v>
      </c>
      <c r="E350" s="6">
        <v>43011</v>
      </c>
      <c r="F350" s="6" t="s">
        <v>1606</v>
      </c>
      <c r="G350" s="101" t="s">
        <v>761</v>
      </c>
      <c r="H350" s="7"/>
      <c r="I350" s="7" t="s">
        <v>32</v>
      </c>
      <c r="J350" s="7"/>
      <c r="K350" s="29">
        <v>402164</v>
      </c>
      <c r="L350" s="47" t="s">
        <v>762</v>
      </c>
      <c r="M350" s="10" t="s">
        <v>763</v>
      </c>
      <c r="N350" s="10" t="s">
        <v>764</v>
      </c>
      <c r="O350" s="11" t="s">
        <v>765</v>
      </c>
      <c r="P350" s="12">
        <v>41202</v>
      </c>
      <c r="Q350" s="13">
        <f t="shared" ca="1" si="198"/>
        <v>12.922655715263518</v>
      </c>
      <c r="R350" s="14">
        <v>5</v>
      </c>
      <c r="S350" s="15">
        <v>872</v>
      </c>
      <c r="T350" s="8">
        <v>872</v>
      </c>
      <c r="U350" s="16">
        <v>45017</v>
      </c>
      <c r="V350" s="17">
        <v>1</v>
      </c>
      <c r="W350" s="16">
        <v>45382</v>
      </c>
      <c r="X350" s="14">
        <v>192</v>
      </c>
      <c r="Y350" s="18">
        <f t="shared" si="193"/>
        <v>192</v>
      </c>
      <c r="Z350" s="18">
        <f t="shared" si="206"/>
        <v>1</v>
      </c>
      <c r="AA350" s="18" t="s">
        <v>36</v>
      </c>
      <c r="AB350" s="26">
        <v>25</v>
      </c>
      <c r="AC350" s="26"/>
      <c r="AD350" s="26"/>
      <c r="AE350" s="147" t="str">
        <f t="shared" si="184"/>
        <v>1</v>
      </c>
      <c r="AF350" s="147" t="str">
        <f t="shared" si="199"/>
        <v>0</v>
      </c>
      <c r="AG350" s="147" t="str">
        <f t="shared" si="185"/>
        <v>0</v>
      </c>
      <c r="AH350" s="147" t="str">
        <f t="shared" si="200"/>
        <v>NO</v>
      </c>
      <c r="AI350" s="147" t="str">
        <f t="shared" si="201"/>
        <v>NO</v>
      </c>
      <c r="AJ350" s="147" t="str">
        <f t="shared" si="202"/>
        <v>NO</v>
      </c>
      <c r="AK350" s="147" t="str">
        <f t="shared" si="203"/>
        <v>NO</v>
      </c>
      <c r="AL350" s="21"/>
      <c r="AM350" s="21">
        <f t="shared" si="207"/>
        <v>5819.25</v>
      </c>
      <c r="AN350" s="27" t="s">
        <v>56</v>
      </c>
      <c r="AO350" s="21">
        <v>1</v>
      </c>
      <c r="AP350" s="21">
        <f t="shared" si="186"/>
        <v>1</v>
      </c>
      <c r="AQ350" s="149">
        <f t="shared" si="183"/>
        <v>5819.25</v>
      </c>
      <c r="AR350" s="21">
        <v>5819.25</v>
      </c>
      <c r="AS350" s="610">
        <v>5819.25</v>
      </c>
      <c r="AT350" s="112">
        <v>5819.25</v>
      </c>
      <c r="AU350" s="4"/>
      <c r="AV350" s="4"/>
      <c r="AW350" s="23" t="e">
        <f>VLOOKUP(K350,#REF!,8,FALSE)</f>
        <v>#REF!</v>
      </c>
      <c r="AX350" s="23" t="e">
        <f>VLOOKUP(K350,#REF!,8,FALSE)</f>
        <v>#REF!</v>
      </c>
      <c r="AY350" s="23" t="e">
        <f>VLOOKUP(K350,#REF!,8,FALSE)</f>
        <v>#REF!</v>
      </c>
      <c r="AZ350" s="4"/>
      <c r="BA350" s="272"/>
      <c r="BB350" s="313">
        <f t="shared" ref="BB350:BB381" si="209">BC350-AT350</f>
        <v>0</v>
      </c>
      <c r="BC350" s="269">
        <f t="shared" si="208"/>
        <v>5819.25</v>
      </c>
      <c r="BD350" t="str">
        <f t="shared" ref="BD350:BD379" si="210">BG350&amp;BH350&amp;BI350</f>
        <v/>
      </c>
      <c r="BP350" s="166">
        <f t="shared" si="204"/>
        <v>5819.25</v>
      </c>
      <c r="BS350" s="165"/>
      <c r="BX350" s="495">
        <f t="shared" si="205"/>
        <v>5819.25</v>
      </c>
      <c r="BZ350" s="636">
        <f t="shared" si="191"/>
        <v>0</v>
      </c>
      <c r="CA350" s="633">
        <f t="shared" si="192"/>
        <v>0</v>
      </c>
    </row>
    <row r="351" spans="1:79" x14ac:dyDescent="0.2">
      <c r="A351" s="4">
        <v>1</v>
      </c>
      <c r="B351" s="4">
        <v>1</v>
      </c>
      <c r="C351" s="5">
        <f t="shared" si="194"/>
        <v>41118</v>
      </c>
      <c r="D351" s="6">
        <v>41118</v>
      </c>
      <c r="E351" s="6">
        <v>43011</v>
      </c>
      <c r="F351" s="6" t="s">
        <v>1606</v>
      </c>
      <c r="G351" s="101" t="s">
        <v>761</v>
      </c>
      <c r="H351" s="7"/>
      <c r="I351" s="7" t="s">
        <v>32</v>
      </c>
      <c r="J351" s="7"/>
      <c r="K351" s="29">
        <v>411420</v>
      </c>
      <c r="L351" s="47" t="s">
        <v>762</v>
      </c>
      <c r="M351" s="10" t="s">
        <v>718</v>
      </c>
      <c r="N351" s="10" t="s">
        <v>766</v>
      </c>
      <c r="O351" s="11" t="s">
        <v>767</v>
      </c>
      <c r="P351" s="12">
        <v>41591</v>
      </c>
      <c r="Q351" s="13">
        <f t="shared" ca="1" si="198"/>
        <v>11.857631759069131</v>
      </c>
      <c r="R351" s="14">
        <v>4</v>
      </c>
      <c r="S351" s="15">
        <v>872</v>
      </c>
      <c r="T351" s="8">
        <v>872</v>
      </c>
      <c r="U351" s="16">
        <v>45017</v>
      </c>
      <c r="V351" s="17">
        <v>1</v>
      </c>
      <c r="W351" s="16">
        <v>45382</v>
      </c>
      <c r="X351" s="14">
        <v>192</v>
      </c>
      <c r="Y351" s="18">
        <f t="shared" si="193"/>
        <v>192</v>
      </c>
      <c r="Z351" s="18">
        <f t="shared" si="206"/>
        <v>1</v>
      </c>
      <c r="AA351" s="18" t="s">
        <v>36</v>
      </c>
      <c r="AB351" s="26">
        <v>24</v>
      </c>
      <c r="AC351" s="26"/>
      <c r="AD351" s="26"/>
      <c r="AE351" s="147" t="str">
        <f t="shared" si="184"/>
        <v>1</v>
      </c>
      <c r="AF351" s="147" t="str">
        <f t="shared" si="199"/>
        <v>0</v>
      </c>
      <c r="AG351" s="147" t="str">
        <f t="shared" si="185"/>
        <v>0</v>
      </c>
      <c r="AH351" s="147" t="str">
        <f t="shared" si="200"/>
        <v>NO</v>
      </c>
      <c r="AI351" s="147" t="str">
        <f t="shared" si="201"/>
        <v>NO</v>
      </c>
      <c r="AJ351" s="147" t="str">
        <f t="shared" si="202"/>
        <v>NO</v>
      </c>
      <c r="AK351" s="147" t="str">
        <f t="shared" si="203"/>
        <v>NO</v>
      </c>
      <c r="AL351" s="21"/>
      <c r="AM351" s="21">
        <f t="shared" si="207"/>
        <v>5346.48</v>
      </c>
      <c r="AN351" s="27" t="s">
        <v>56</v>
      </c>
      <c r="AO351" s="21">
        <v>1</v>
      </c>
      <c r="AP351" s="21">
        <f t="shared" si="186"/>
        <v>1</v>
      </c>
      <c r="AQ351" s="149">
        <f t="shared" si="183"/>
        <v>5346.48</v>
      </c>
      <c r="AR351" s="21">
        <v>5346.48</v>
      </c>
      <c r="AS351" s="610">
        <v>5346.48</v>
      </c>
      <c r="AT351" s="112">
        <v>5346.48</v>
      </c>
      <c r="AU351" s="4"/>
      <c r="AV351" s="4"/>
      <c r="AW351" s="23" t="e">
        <f>VLOOKUP(K351,#REF!,8,FALSE)</f>
        <v>#REF!</v>
      </c>
      <c r="AX351" s="23" t="e">
        <f>VLOOKUP(K351,#REF!,8,FALSE)</f>
        <v>#REF!</v>
      </c>
      <c r="AY351" s="23" t="e">
        <f>VLOOKUP(K351,#REF!,8,FALSE)</f>
        <v>#REF!</v>
      </c>
      <c r="AZ351" s="4"/>
      <c r="BA351" s="272"/>
      <c r="BB351" s="313">
        <f t="shared" si="209"/>
        <v>0</v>
      </c>
      <c r="BC351" s="269">
        <f t="shared" si="208"/>
        <v>5346.48</v>
      </c>
      <c r="BD351" t="str">
        <f t="shared" si="210"/>
        <v/>
      </c>
      <c r="BP351" s="166">
        <f t="shared" si="204"/>
        <v>5346.48</v>
      </c>
      <c r="BS351" s="165"/>
      <c r="BX351" s="495">
        <f t="shared" si="205"/>
        <v>5346.48</v>
      </c>
      <c r="BZ351" s="636">
        <f t="shared" si="191"/>
        <v>0</v>
      </c>
      <c r="CA351" s="633">
        <f t="shared" si="192"/>
        <v>0</v>
      </c>
    </row>
    <row r="352" spans="1:79" x14ac:dyDescent="0.2">
      <c r="A352" s="4">
        <v>1</v>
      </c>
      <c r="B352" s="4">
        <v>1</v>
      </c>
      <c r="C352" s="5">
        <f t="shared" si="194"/>
        <v>41118</v>
      </c>
      <c r="D352" s="6">
        <v>41118</v>
      </c>
      <c r="E352" s="6">
        <v>43011</v>
      </c>
      <c r="F352" s="6" t="s">
        <v>1606</v>
      </c>
      <c r="G352" s="101" t="s">
        <v>761</v>
      </c>
      <c r="H352" s="7"/>
      <c r="I352" s="7" t="s">
        <v>32</v>
      </c>
      <c r="J352" s="7"/>
      <c r="K352" s="29">
        <v>439135</v>
      </c>
      <c r="L352" s="47" t="s">
        <v>762</v>
      </c>
      <c r="M352" s="10" t="s">
        <v>768</v>
      </c>
      <c r="N352" s="10" t="s">
        <v>769</v>
      </c>
      <c r="O352" s="11" t="s">
        <v>770</v>
      </c>
      <c r="P352" s="12">
        <v>43134</v>
      </c>
      <c r="Q352" s="13">
        <f t="shared" ca="1" si="198"/>
        <v>7.6331279945242985</v>
      </c>
      <c r="R352" s="14">
        <v>0</v>
      </c>
      <c r="S352" s="15">
        <v>872</v>
      </c>
      <c r="T352" s="8">
        <v>872</v>
      </c>
      <c r="U352" s="16">
        <v>45017</v>
      </c>
      <c r="V352" s="17">
        <v>1</v>
      </c>
      <c r="W352" s="16">
        <v>45382</v>
      </c>
      <c r="X352" s="14">
        <v>192</v>
      </c>
      <c r="Y352" s="18">
        <f t="shared" si="193"/>
        <v>192</v>
      </c>
      <c r="Z352" s="18">
        <f t="shared" si="206"/>
        <v>1</v>
      </c>
      <c r="AA352" s="18" t="s">
        <v>36</v>
      </c>
      <c r="AB352" s="26">
        <v>30</v>
      </c>
      <c r="AC352" s="26"/>
      <c r="AD352" s="26"/>
      <c r="AE352" s="147" t="str">
        <f t="shared" si="184"/>
        <v>0</v>
      </c>
      <c r="AF352" s="147" t="str">
        <f t="shared" si="199"/>
        <v>1</v>
      </c>
      <c r="AG352" s="147" t="str">
        <f t="shared" si="185"/>
        <v>0</v>
      </c>
      <c r="AH352" s="147" t="str">
        <f t="shared" si="200"/>
        <v>NO</v>
      </c>
      <c r="AI352" s="147" t="str">
        <f t="shared" si="201"/>
        <v>NO</v>
      </c>
      <c r="AJ352" s="147" t="str">
        <f t="shared" si="202"/>
        <v>NO</v>
      </c>
      <c r="AK352" s="147" t="str">
        <f t="shared" si="203"/>
        <v>NO</v>
      </c>
      <c r="AL352" s="21"/>
      <c r="AM352" s="21">
        <f t="shared" si="207"/>
        <v>8183.0999999999985</v>
      </c>
      <c r="AN352" s="27"/>
      <c r="AO352" s="21">
        <v>1</v>
      </c>
      <c r="AP352" s="21">
        <f t="shared" si="186"/>
        <v>1</v>
      </c>
      <c r="AQ352" s="149">
        <f t="shared" si="183"/>
        <v>8183.0999999999985</v>
      </c>
      <c r="AR352" s="21">
        <v>8183.0999999999985</v>
      </c>
      <c r="AS352" s="610">
        <v>8183.0999999999985</v>
      </c>
      <c r="AT352" s="112">
        <v>8183.0999999999985</v>
      </c>
      <c r="AU352" s="4"/>
      <c r="AV352" s="4"/>
      <c r="AW352" s="23" t="e">
        <f>VLOOKUP(K352,#REF!,8,FALSE)</f>
        <v>#REF!</v>
      </c>
      <c r="AX352" s="23" t="e">
        <f>VLOOKUP(K352,#REF!,8,FALSE)</f>
        <v>#REF!</v>
      </c>
      <c r="AY352" s="23" t="e">
        <f>VLOOKUP(K352,#REF!,8,FALSE)</f>
        <v>#REF!</v>
      </c>
      <c r="AZ352" s="4"/>
      <c r="BA352" s="272"/>
      <c r="BB352" s="313">
        <f t="shared" si="209"/>
        <v>0</v>
      </c>
      <c r="BC352" s="269">
        <f t="shared" si="208"/>
        <v>8183.0999999999985</v>
      </c>
      <c r="BD352" t="str">
        <f t="shared" si="210"/>
        <v/>
      </c>
      <c r="BP352" s="166">
        <f t="shared" si="204"/>
        <v>8183.0999999999985</v>
      </c>
      <c r="BS352" s="165"/>
      <c r="BX352" s="495">
        <f t="shared" si="205"/>
        <v>8183.0999999999985</v>
      </c>
      <c r="BZ352" s="636">
        <f t="shared" si="191"/>
        <v>0</v>
      </c>
      <c r="CA352" s="633">
        <f t="shared" si="192"/>
        <v>0</v>
      </c>
    </row>
    <row r="353" spans="1:79" x14ac:dyDescent="0.2">
      <c r="A353" s="4">
        <v>1</v>
      </c>
      <c r="B353" s="4">
        <v>1</v>
      </c>
      <c r="C353" s="5">
        <f t="shared" si="194"/>
        <v>41118</v>
      </c>
      <c r="D353" s="6">
        <v>41118</v>
      </c>
      <c r="E353" s="6">
        <v>43011</v>
      </c>
      <c r="F353" s="6" t="s">
        <v>1606</v>
      </c>
      <c r="G353" s="101" t="s">
        <v>761</v>
      </c>
      <c r="H353" s="7"/>
      <c r="I353" s="7" t="s">
        <v>32</v>
      </c>
      <c r="J353" s="7"/>
      <c r="K353" s="29">
        <v>426418</v>
      </c>
      <c r="L353" s="47" t="s">
        <v>762</v>
      </c>
      <c r="M353" s="10" t="s">
        <v>519</v>
      </c>
      <c r="N353" s="10" t="s">
        <v>771</v>
      </c>
      <c r="O353" s="11" t="s">
        <v>772</v>
      </c>
      <c r="P353" s="12">
        <v>42419</v>
      </c>
      <c r="Q353" s="13">
        <f t="shared" ca="1" si="198"/>
        <v>9.5906913073237501</v>
      </c>
      <c r="R353" s="14">
        <v>2</v>
      </c>
      <c r="S353" s="15">
        <v>872</v>
      </c>
      <c r="T353" s="8">
        <v>872</v>
      </c>
      <c r="U353" s="16">
        <v>45017</v>
      </c>
      <c r="V353" s="17">
        <v>1</v>
      </c>
      <c r="W353" s="16">
        <v>45382</v>
      </c>
      <c r="X353" s="14">
        <v>192</v>
      </c>
      <c r="Y353" s="18">
        <f t="shared" si="193"/>
        <v>192</v>
      </c>
      <c r="Z353" s="18">
        <f t="shared" si="206"/>
        <v>1</v>
      </c>
      <c r="AA353" s="18" t="s">
        <v>36</v>
      </c>
      <c r="AB353" s="26">
        <v>23</v>
      </c>
      <c r="AC353" s="26"/>
      <c r="AD353" s="26"/>
      <c r="AE353" s="147" t="str">
        <f t="shared" si="184"/>
        <v>1</v>
      </c>
      <c r="AF353" s="147" t="str">
        <f t="shared" si="199"/>
        <v>0</v>
      </c>
      <c r="AG353" s="147" t="str">
        <f t="shared" si="185"/>
        <v>0</v>
      </c>
      <c r="AH353" s="147" t="str">
        <f t="shared" si="200"/>
        <v>NO</v>
      </c>
      <c r="AI353" s="147" t="str">
        <f t="shared" si="201"/>
        <v>NO</v>
      </c>
      <c r="AJ353" s="147" t="str">
        <f t="shared" si="202"/>
        <v>NO</v>
      </c>
      <c r="AK353" s="147" t="str">
        <f t="shared" si="203"/>
        <v>NO</v>
      </c>
      <c r="AL353" s="21"/>
      <c r="AM353" s="21">
        <f t="shared" si="207"/>
        <v>4873.7099999999991</v>
      </c>
      <c r="AN353" s="27" t="s">
        <v>773</v>
      </c>
      <c r="AO353" s="21">
        <v>1</v>
      </c>
      <c r="AP353" s="21">
        <f t="shared" ref="AP353:AP384" si="211">AO353*Z353</f>
        <v>1</v>
      </c>
      <c r="AQ353" s="149">
        <f t="shared" si="183"/>
        <v>4873.7099999999991</v>
      </c>
      <c r="AR353" s="21">
        <v>4873.7099999999991</v>
      </c>
      <c r="AS353" s="610">
        <v>4873.7099999999991</v>
      </c>
      <c r="AT353" s="112">
        <v>4873.7099999999991</v>
      </c>
      <c r="AU353" s="4"/>
      <c r="AV353" s="4"/>
      <c r="AW353" s="23" t="e">
        <f>VLOOKUP(K353,#REF!,8,FALSE)</f>
        <v>#REF!</v>
      </c>
      <c r="AX353" s="23" t="e">
        <f>VLOOKUP(K353,#REF!,8,FALSE)</f>
        <v>#REF!</v>
      </c>
      <c r="AY353" s="23" t="e">
        <f>VLOOKUP(K353,#REF!,8,FALSE)</f>
        <v>#REF!</v>
      </c>
      <c r="AZ353" s="4"/>
      <c r="BA353" s="272"/>
      <c r="BB353" s="313">
        <f t="shared" si="209"/>
        <v>0</v>
      </c>
      <c r="BC353" s="269">
        <f t="shared" si="208"/>
        <v>4873.7099999999991</v>
      </c>
      <c r="BD353" t="str">
        <f t="shared" si="210"/>
        <v/>
      </c>
      <c r="BP353" s="166">
        <f t="shared" si="204"/>
        <v>4873.7099999999991</v>
      </c>
      <c r="BS353" s="165"/>
      <c r="BX353" s="495">
        <f t="shared" si="205"/>
        <v>4873.7099999999991</v>
      </c>
      <c r="BZ353" s="636">
        <f t="shared" si="191"/>
        <v>0</v>
      </c>
      <c r="CA353" s="633">
        <f t="shared" si="192"/>
        <v>0</v>
      </c>
    </row>
    <row r="354" spans="1:79" x14ac:dyDescent="0.2">
      <c r="A354" s="4">
        <v>1</v>
      </c>
      <c r="B354" s="4">
        <v>1</v>
      </c>
      <c r="C354" s="5">
        <f t="shared" si="194"/>
        <v>41118</v>
      </c>
      <c r="D354" s="6">
        <v>41118</v>
      </c>
      <c r="E354" s="6">
        <v>43011</v>
      </c>
      <c r="F354" s="6" t="s">
        <v>1606</v>
      </c>
      <c r="G354" s="101" t="s">
        <v>761</v>
      </c>
      <c r="H354" s="7"/>
      <c r="I354" s="7" t="s">
        <v>32</v>
      </c>
      <c r="J354" s="7"/>
      <c r="K354" s="29">
        <v>415763</v>
      </c>
      <c r="L354" s="47" t="s">
        <v>762</v>
      </c>
      <c r="M354" s="10" t="s">
        <v>774</v>
      </c>
      <c r="N354" s="10" t="s">
        <v>775</v>
      </c>
      <c r="O354" s="11" t="s">
        <v>776</v>
      </c>
      <c r="P354" s="12">
        <v>41947</v>
      </c>
      <c r="Q354" s="13">
        <f t="shared" ca="1" si="198"/>
        <v>10.882956878850102</v>
      </c>
      <c r="R354" s="14">
        <v>3</v>
      </c>
      <c r="S354" s="15">
        <v>872</v>
      </c>
      <c r="T354" s="8">
        <v>872</v>
      </c>
      <c r="U354" s="16">
        <v>45017</v>
      </c>
      <c r="V354" s="17">
        <v>1</v>
      </c>
      <c r="W354" s="16">
        <v>45382</v>
      </c>
      <c r="X354" s="14">
        <v>192</v>
      </c>
      <c r="Y354" s="18">
        <f t="shared" si="193"/>
        <v>192</v>
      </c>
      <c r="Z354" s="18">
        <f t="shared" si="206"/>
        <v>1</v>
      </c>
      <c r="AA354" s="18" t="s">
        <v>36</v>
      </c>
      <c r="AB354" s="26">
        <v>30</v>
      </c>
      <c r="AC354" s="26"/>
      <c r="AD354" s="26"/>
      <c r="AE354" s="147" t="str">
        <f t="shared" si="184"/>
        <v>0</v>
      </c>
      <c r="AF354" s="147" t="str">
        <f t="shared" si="199"/>
        <v>1</v>
      </c>
      <c r="AG354" s="147" t="str">
        <f t="shared" si="185"/>
        <v>0</v>
      </c>
      <c r="AH354" s="147" t="str">
        <f t="shared" si="200"/>
        <v>NO</v>
      </c>
      <c r="AI354" s="147" t="str">
        <f t="shared" si="201"/>
        <v>NO</v>
      </c>
      <c r="AJ354" s="147" t="str">
        <f t="shared" si="202"/>
        <v>NO</v>
      </c>
      <c r="AK354" s="147" t="str">
        <f t="shared" si="203"/>
        <v>NO</v>
      </c>
      <c r="AL354" s="21"/>
      <c r="AM354" s="21">
        <f t="shared" si="207"/>
        <v>8183.0999999999985</v>
      </c>
      <c r="AN354" s="27" t="s">
        <v>43</v>
      </c>
      <c r="AO354" s="21">
        <v>1</v>
      </c>
      <c r="AP354" s="21">
        <f t="shared" si="211"/>
        <v>1</v>
      </c>
      <c r="AQ354" s="149">
        <f t="shared" si="183"/>
        <v>8183.0999999999985</v>
      </c>
      <c r="AR354" s="21">
        <v>8183.0999999999985</v>
      </c>
      <c r="AS354" s="610">
        <v>8183.0999999999985</v>
      </c>
      <c r="AT354" s="112">
        <v>8183.0999999999985</v>
      </c>
      <c r="AU354" s="4"/>
      <c r="AV354" s="4"/>
      <c r="AW354" s="23" t="e">
        <f>VLOOKUP(K354,#REF!,8,FALSE)</f>
        <v>#REF!</v>
      </c>
      <c r="AX354" s="23" t="e">
        <f>VLOOKUP(K354,#REF!,8,FALSE)</f>
        <v>#REF!</v>
      </c>
      <c r="AY354" s="23" t="e">
        <f>VLOOKUP(K354,#REF!,8,FALSE)</f>
        <v>#REF!</v>
      </c>
      <c r="AZ354" s="4"/>
      <c r="BA354" s="272"/>
      <c r="BB354" s="313">
        <f t="shared" si="209"/>
        <v>0</v>
      </c>
      <c r="BC354" s="269">
        <f t="shared" si="208"/>
        <v>8183.0999999999985</v>
      </c>
      <c r="BD354" t="str">
        <f t="shared" si="210"/>
        <v/>
      </c>
      <c r="BP354" s="166">
        <f t="shared" si="204"/>
        <v>8183.0999999999985</v>
      </c>
      <c r="BS354" s="165"/>
      <c r="BX354" s="495">
        <f t="shared" si="205"/>
        <v>8183.0999999999985</v>
      </c>
      <c r="BZ354" s="636">
        <f t="shared" si="191"/>
        <v>0</v>
      </c>
      <c r="CA354" s="633">
        <f t="shared" si="192"/>
        <v>0</v>
      </c>
    </row>
    <row r="355" spans="1:79" x14ac:dyDescent="0.2">
      <c r="A355" s="4">
        <v>0</v>
      </c>
      <c r="B355" s="4">
        <v>1</v>
      </c>
      <c r="C355" s="5">
        <f t="shared" si="194"/>
        <v>41118</v>
      </c>
      <c r="D355" s="6">
        <v>41118</v>
      </c>
      <c r="E355" s="6">
        <v>43011</v>
      </c>
      <c r="F355" s="6" t="s">
        <v>1606</v>
      </c>
      <c r="G355" s="101" t="s">
        <v>761</v>
      </c>
      <c r="H355" s="7"/>
      <c r="I355" s="7" t="s">
        <v>32</v>
      </c>
      <c r="J355" s="7" t="s">
        <v>192</v>
      </c>
      <c r="K355" s="29">
        <v>415763</v>
      </c>
      <c r="L355" s="47" t="s">
        <v>762</v>
      </c>
      <c r="M355" s="10" t="s">
        <v>774</v>
      </c>
      <c r="N355" s="10" t="s">
        <v>775</v>
      </c>
      <c r="O355" s="11" t="s">
        <v>776</v>
      </c>
      <c r="P355" s="12">
        <v>41947</v>
      </c>
      <c r="Q355" s="13">
        <f t="shared" ca="1" si="198"/>
        <v>10.882956878850102</v>
      </c>
      <c r="R355" s="14">
        <v>3</v>
      </c>
      <c r="S355" s="15">
        <v>872</v>
      </c>
      <c r="T355" s="8">
        <v>872</v>
      </c>
      <c r="U355" s="16">
        <v>45017</v>
      </c>
      <c r="V355" s="17">
        <v>1</v>
      </c>
      <c r="W355" s="16">
        <v>45063</v>
      </c>
      <c r="X355" s="14">
        <v>21</v>
      </c>
      <c r="Y355" s="18">
        <f t="shared" si="193"/>
        <v>21</v>
      </c>
      <c r="Z355" s="18">
        <v>1</v>
      </c>
      <c r="AA355" s="16">
        <v>45063</v>
      </c>
      <c r="AB355" s="26">
        <v>5093</v>
      </c>
      <c r="AC355" s="26"/>
      <c r="AD355" s="26"/>
      <c r="AE355" s="147" t="str">
        <f t="shared" si="184"/>
        <v>0</v>
      </c>
      <c r="AF355" s="147" t="str">
        <f t="shared" si="199"/>
        <v>0</v>
      </c>
      <c r="AG355" s="147" t="str">
        <f t="shared" si="185"/>
        <v>1</v>
      </c>
      <c r="AH355" s="147" t="str">
        <f t="shared" si="200"/>
        <v>NO</v>
      </c>
      <c r="AI355" s="147" t="str">
        <f t="shared" si="201"/>
        <v>NO</v>
      </c>
      <c r="AJ355" s="147" t="str">
        <f t="shared" si="202"/>
        <v>NO</v>
      </c>
      <c r="AK355" s="147" t="str">
        <f t="shared" si="203"/>
        <v>NO</v>
      </c>
      <c r="AL355" s="21"/>
      <c r="AM355" s="21">
        <v>5093</v>
      </c>
      <c r="AN355" s="27" t="s">
        <v>43</v>
      </c>
      <c r="AO355" s="21">
        <v>1</v>
      </c>
      <c r="AP355" s="21">
        <f t="shared" si="211"/>
        <v>1</v>
      </c>
      <c r="AQ355" s="149">
        <f t="shared" si="183"/>
        <v>5093</v>
      </c>
      <c r="AR355" s="21">
        <v>5093</v>
      </c>
      <c r="AS355" s="610">
        <v>0</v>
      </c>
      <c r="AT355" s="112">
        <v>5093</v>
      </c>
      <c r="AU355" s="4"/>
      <c r="AV355" s="4"/>
      <c r="AW355" s="23" t="e">
        <f>VLOOKUP(K355,#REF!,8,FALSE)</f>
        <v>#REF!</v>
      </c>
      <c r="AX355" s="23" t="e">
        <f>VLOOKUP(K355,#REF!,8,FALSE)</f>
        <v>#REF!</v>
      </c>
      <c r="AY355" s="23" t="e">
        <f>VLOOKUP(K355,#REF!,8,FALSE)</f>
        <v>#REF!</v>
      </c>
      <c r="AZ355" s="4"/>
      <c r="BA355" s="272"/>
      <c r="BB355" s="313">
        <f t="shared" si="209"/>
        <v>0</v>
      </c>
      <c r="BC355" s="269">
        <f t="shared" si="208"/>
        <v>5093</v>
      </c>
      <c r="BD355" t="str">
        <f t="shared" si="210"/>
        <v/>
      </c>
      <c r="BP355" s="166">
        <f t="shared" si="204"/>
        <v>5093</v>
      </c>
      <c r="BS355" s="165"/>
      <c r="BX355" s="495">
        <f t="shared" si="205"/>
        <v>5093</v>
      </c>
      <c r="BZ355" s="636">
        <f t="shared" si="191"/>
        <v>0</v>
      </c>
      <c r="CA355" s="633">
        <f t="shared" si="192"/>
        <v>5093</v>
      </c>
    </row>
    <row r="356" spans="1:79" x14ac:dyDescent="0.2">
      <c r="A356" s="4">
        <v>1</v>
      </c>
      <c r="B356" s="4">
        <v>1</v>
      </c>
      <c r="C356" s="5">
        <f t="shared" si="194"/>
        <v>41118</v>
      </c>
      <c r="D356" s="6">
        <v>41118</v>
      </c>
      <c r="E356" s="6">
        <v>43011</v>
      </c>
      <c r="F356" s="6" t="s">
        <v>1606</v>
      </c>
      <c r="G356" s="101" t="s">
        <v>761</v>
      </c>
      <c r="H356" s="7"/>
      <c r="I356" s="7" t="s">
        <v>32</v>
      </c>
      <c r="J356" s="7"/>
      <c r="K356" s="29">
        <v>428838</v>
      </c>
      <c r="L356" s="47" t="s">
        <v>762</v>
      </c>
      <c r="M356" s="10" t="s">
        <v>777</v>
      </c>
      <c r="N356" s="10" t="s">
        <v>778</v>
      </c>
      <c r="O356" s="11" t="s">
        <v>779</v>
      </c>
      <c r="P356" s="12">
        <v>42461</v>
      </c>
      <c r="Q356" s="13">
        <f t="shared" ca="1" si="198"/>
        <v>9.4757015742642032</v>
      </c>
      <c r="R356" s="14">
        <v>2</v>
      </c>
      <c r="S356" s="15">
        <v>872</v>
      </c>
      <c r="T356" s="8">
        <v>872</v>
      </c>
      <c r="U356" s="16">
        <v>45017</v>
      </c>
      <c r="V356" s="17">
        <v>1</v>
      </c>
      <c r="W356" s="16">
        <v>45382</v>
      </c>
      <c r="X356" s="14">
        <v>192</v>
      </c>
      <c r="Y356" s="18">
        <f t="shared" si="193"/>
        <v>192</v>
      </c>
      <c r="Z356" s="18">
        <f t="shared" ref="Z356:Z394" si="212">Y356/192</f>
        <v>1</v>
      </c>
      <c r="AA356" s="18" t="s">
        <v>36</v>
      </c>
      <c r="AB356" s="26">
        <v>21</v>
      </c>
      <c r="AC356" s="26"/>
      <c r="AD356" s="26"/>
      <c r="AE356" s="147" t="str">
        <f t="shared" si="184"/>
        <v>1</v>
      </c>
      <c r="AF356" s="147" t="str">
        <f t="shared" si="199"/>
        <v>0</v>
      </c>
      <c r="AG356" s="147" t="str">
        <f t="shared" si="185"/>
        <v>0</v>
      </c>
      <c r="AH356" s="147" t="str">
        <f t="shared" si="200"/>
        <v>NO</v>
      </c>
      <c r="AI356" s="147" t="str">
        <f t="shared" si="201"/>
        <v>NO</v>
      </c>
      <c r="AJ356" s="147" t="str">
        <f t="shared" si="202"/>
        <v>NO</v>
      </c>
      <c r="AK356" s="147" t="str">
        <f t="shared" si="203"/>
        <v>NO</v>
      </c>
      <c r="AL356" s="21"/>
      <c r="AM356" s="21">
        <f t="shared" ref="AM356:AM364" si="213">IF(H356="Y",AL356,((AB356*$O$902)-6000))</f>
        <v>3928.17</v>
      </c>
      <c r="AN356" s="27" t="s">
        <v>56</v>
      </c>
      <c r="AO356" s="21">
        <v>1</v>
      </c>
      <c r="AP356" s="21">
        <f t="shared" si="211"/>
        <v>1</v>
      </c>
      <c r="AQ356" s="149">
        <f t="shared" si="183"/>
        <v>3928.17</v>
      </c>
      <c r="AR356" s="21">
        <v>3928.17</v>
      </c>
      <c r="AS356" s="610">
        <v>3928.17</v>
      </c>
      <c r="AT356" s="112">
        <v>3928.17</v>
      </c>
      <c r="AU356" s="4"/>
      <c r="AV356" s="4"/>
      <c r="AW356" s="23" t="e">
        <f>VLOOKUP(K356,#REF!,8,FALSE)</f>
        <v>#REF!</v>
      </c>
      <c r="AX356" s="23" t="e">
        <f>VLOOKUP(K356,#REF!,8,FALSE)</f>
        <v>#REF!</v>
      </c>
      <c r="AY356" s="23" t="e">
        <f>VLOOKUP(K356,#REF!,8,FALSE)</f>
        <v>#REF!</v>
      </c>
      <c r="AZ356" s="4"/>
      <c r="BA356" s="272"/>
      <c r="BB356" s="313">
        <f t="shared" si="209"/>
        <v>0</v>
      </c>
      <c r="BC356" s="269">
        <f t="shared" si="208"/>
        <v>3928.17</v>
      </c>
      <c r="BD356" t="str">
        <f t="shared" si="210"/>
        <v/>
      </c>
      <c r="BP356" s="166">
        <f t="shared" si="204"/>
        <v>3928.17</v>
      </c>
      <c r="BS356" s="165"/>
      <c r="BX356" s="495">
        <f t="shared" si="205"/>
        <v>3928.17</v>
      </c>
      <c r="BZ356" s="636">
        <f t="shared" si="191"/>
        <v>0</v>
      </c>
      <c r="CA356" s="633">
        <f t="shared" si="192"/>
        <v>0</v>
      </c>
    </row>
    <row r="357" spans="1:79" x14ac:dyDescent="0.2">
      <c r="A357" s="4">
        <v>1</v>
      </c>
      <c r="B357" s="4">
        <v>1</v>
      </c>
      <c r="C357" s="5">
        <f t="shared" si="194"/>
        <v>41118</v>
      </c>
      <c r="D357" s="6">
        <v>41118</v>
      </c>
      <c r="E357" s="6">
        <v>43011</v>
      </c>
      <c r="F357" s="6" t="s">
        <v>1606</v>
      </c>
      <c r="G357" s="101" t="s">
        <v>761</v>
      </c>
      <c r="H357" s="7"/>
      <c r="I357" s="7" t="s">
        <v>32</v>
      </c>
      <c r="J357" s="7"/>
      <c r="K357" s="29">
        <v>416602</v>
      </c>
      <c r="L357" s="47" t="s">
        <v>762</v>
      </c>
      <c r="M357" s="10" t="s">
        <v>780</v>
      </c>
      <c r="N357" s="10" t="s">
        <v>707</v>
      </c>
      <c r="O357" s="11" t="s">
        <v>781</v>
      </c>
      <c r="P357" s="12">
        <v>41655</v>
      </c>
      <c r="Q357" s="13">
        <f t="shared" ca="1" si="198"/>
        <v>11.682409308692677</v>
      </c>
      <c r="R357" s="14">
        <v>4</v>
      </c>
      <c r="S357" s="15">
        <v>872</v>
      </c>
      <c r="T357" s="8">
        <v>872</v>
      </c>
      <c r="U357" s="16">
        <v>45017</v>
      </c>
      <c r="V357" s="17">
        <v>1</v>
      </c>
      <c r="W357" s="16">
        <v>45382</v>
      </c>
      <c r="X357" s="14">
        <v>192</v>
      </c>
      <c r="Y357" s="18">
        <f t="shared" si="193"/>
        <v>192</v>
      </c>
      <c r="Z357" s="18">
        <f t="shared" si="212"/>
        <v>1</v>
      </c>
      <c r="AA357" s="18" t="s">
        <v>36</v>
      </c>
      <c r="AB357" s="26">
        <v>25</v>
      </c>
      <c r="AC357" s="26"/>
      <c r="AD357" s="26"/>
      <c r="AE357" s="147" t="str">
        <f t="shared" si="184"/>
        <v>1</v>
      </c>
      <c r="AF357" s="147" t="str">
        <f t="shared" si="199"/>
        <v>0</v>
      </c>
      <c r="AG357" s="147" t="str">
        <f t="shared" si="185"/>
        <v>0</v>
      </c>
      <c r="AH357" s="147" t="str">
        <f t="shared" si="200"/>
        <v>NO</v>
      </c>
      <c r="AI357" s="147" t="str">
        <f t="shared" si="201"/>
        <v>NO</v>
      </c>
      <c r="AJ357" s="147" t="str">
        <f t="shared" si="202"/>
        <v>NO</v>
      </c>
      <c r="AK357" s="147" t="str">
        <f t="shared" si="203"/>
        <v>NO</v>
      </c>
      <c r="AL357" s="21"/>
      <c r="AM357" s="21">
        <f t="shared" si="213"/>
        <v>5819.25</v>
      </c>
      <c r="AN357" s="27" t="s">
        <v>56</v>
      </c>
      <c r="AO357" s="21">
        <v>1</v>
      </c>
      <c r="AP357" s="21">
        <f t="shared" si="211"/>
        <v>1</v>
      </c>
      <c r="AQ357" s="149">
        <f t="shared" si="183"/>
        <v>5819.25</v>
      </c>
      <c r="AR357" s="21">
        <v>5819.25</v>
      </c>
      <c r="AS357" s="610">
        <v>5819.25</v>
      </c>
      <c r="AT357" s="112">
        <v>5819.25</v>
      </c>
      <c r="AU357" s="4"/>
      <c r="AV357" s="4"/>
      <c r="AW357" s="23" t="e">
        <f>VLOOKUP(K357,#REF!,8,FALSE)</f>
        <v>#REF!</v>
      </c>
      <c r="AX357" s="23" t="e">
        <f>VLOOKUP(K357,#REF!,8,FALSE)</f>
        <v>#REF!</v>
      </c>
      <c r="AY357" s="23" t="e">
        <f>VLOOKUP(K357,#REF!,8,FALSE)</f>
        <v>#REF!</v>
      </c>
      <c r="AZ357" s="4"/>
      <c r="BA357" s="272"/>
      <c r="BB357" s="313">
        <f t="shared" si="209"/>
        <v>0</v>
      </c>
      <c r="BC357" s="269">
        <f t="shared" si="208"/>
        <v>5819.25</v>
      </c>
      <c r="BD357" t="str">
        <f t="shared" si="210"/>
        <v/>
      </c>
      <c r="BP357" s="166">
        <f t="shared" si="204"/>
        <v>5819.25</v>
      </c>
      <c r="BS357" s="165"/>
      <c r="BX357" s="495">
        <f t="shared" si="205"/>
        <v>5819.25</v>
      </c>
      <c r="BZ357" s="636">
        <f t="shared" si="191"/>
        <v>0</v>
      </c>
      <c r="CA357" s="633">
        <f t="shared" si="192"/>
        <v>0</v>
      </c>
    </row>
    <row r="358" spans="1:79" x14ac:dyDescent="0.2">
      <c r="A358" s="4">
        <v>1</v>
      </c>
      <c r="B358" s="4">
        <v>1</v>
      </c>
      <c r="C358" s="5">
        <f t="shared" si="194"/>
        <v>41118</v>
      </c>
      <c r="D358" s="6">
        <v>41118</v>
      </c>
      <c r="E358" s="6">
        <v>43011</v>
      </c>
      <c r="F358" s="6" t="s">
        <v>1606</v>
      </c>
      <c r="G358" s="101" t="s">
        <v>761</v>
      </c>
      <c r="H358" s="7"/>
      <c r="I358" s="7" t="s">
        <v>32</v>
      </c>
      <c r="J358" s="7"/>
      <c r="K358" s="29">
        <v>418580</v>
      </c>
      <c r="L358" s="47" t="s">
        <v>762</v>
      </c>
      <c r="M358" s="10" t="s">
        <v>782</v>
      </c>
      <c r="N358" s="10" t="s">
        <v>783</v>
      </c>
      <c r="O358" s="11" t="s">
        <v>784</v>
      </c>
      <c r="P358" s="12">
        <v>41950</v>
      </c>
      <c r="Q358" s="13">
        <f t="shared" ca="1" si="198"/>
        <v>10.874743326488707</v>
      </c>
      <c r="R358" s="14">
        <v>3</v>
      </c>
      <c r="S358" s="15">
        <v>872</v>
      </c>
      <c r="T358" s="8">
        <v>872</v>
      </c>
      <c r="U358" s="16">
        <v>45017</v>
      </c>
      <c r="V358" s="17">
        <v>1</v>
      </c>
      <c r="W358" s="16">
        <v>45382</v>
      </c>
      <c r="X358" s="14">
        <v>192</v>
      </c>
      <c r="Y358" s="18">
        <f t="shared" si="193"/>
        <v>192</v>
      </c>
      <c r="Z358" s="18">
        <f t="shared" si="212"/>
        <v>1</v>
      </c>
      <c r="AA358" s="18" t="s">
        <v>36</v>
      </c>
      <c r="AB358" s="26">
        <v>25</v>
      </c>
      <c r="AC358" s="26"/>
      <c r="AD358" s="26"/>
      <c r="AE358" s="147" t="str">
        <f t="shared" si="184"/>
        <v>1</v>
      </c>
      <c r="AF358" s="147" t="str">
        <f t="shared" si="199"/>
        <v>0</v>
      </c>
      <c r="AG358" s="147" t="str">
        <f t="shared" si="185"/>
        <v>0</v>
      </c>
      <c r="AH358" s="147" t="str">
        <f t="shared" si="200"/>
        <v>NO</v>
      </c>
      <c r="AI358" s="147" t="str">
        <f t="shared" si="201"/>
        <v>NO</v>
      </c>
      <c r="AJ358" s="147" t="str">
        <f t="shared" si="202"/>
        <v>NO</v>
      </c>
      <c r="AK358" s="147" t="str">
        <f t="shared" si="203"/>
        <v>NO</v>
      </c>
      <c r="AL358" s="21"/>
      <c r="AM358" s="21">
        <f t="shared" si="213"/>
        <v>5819.25</v>
      </c>
      <c r="AN358" s="27" t="s">
        <v>56</v>
      </c>
      <c r="AO358" s="21">
        <v>1</v>
      </c>
      <c r="AP358" s="21">
        <f t="shared" si="211"/>
        <v>1</v>
      </c>
      <c r="AQ358" s="149">
        <f t="shared" si="183"/>
        <v>5819.25</v>
      </c>
      <c r="AR358" s="21">
        <v>5819.25</v>
      </c>
      <c r="AS358" s="610">
        <v>5819.25</v>
      </c>
      <c r="AT358" s="112">
        <v>5819.25</v>
      </c>
      <c r="AU358" s="4"/>
      <c r="AV358" s="4"/>
      <c r="AW358" s="23" t="e">
        <f>VLOOKUP(K358,#REF!,8,FALSE)</f>
        <v>#REF!</v>
      </c>
      <c r="AX358" s="23" t="e">
        <f>VLOOKUP(K358,#REF!,8,FALSE)</f>
        <v>#REF!</v>
      </c>
      <c r="AY358" s="23" t="e">
        <f>VLOOKUP(K358,#REF!,8,FALSE)</f>
        <v>#REF!</v>
      </c>
      <c r="AZ358" s="4"/>
      <c r="BA358" s="272"/>
      <c r="BB358" s="313">
        <f t="shared" si="209"/>
        <v>0</v>
      </c>
      <c r="BC358" s="269">
        <f t="shared" si="208"/>
        <v>5819.25</v>
      </c>
      <c r="BD358" t="str">
        <f t="shared" si="210"/>
        <v/>
      </c>
      <c r="BP358" s="166">
        <f t="shared" si="204"/>
        <v>5819.25</v>
      </c>
      <c r="BS358" s="165"/>
      <c r="BX358" s="495">
        <f t="shared" si="205"/>
        <v>5819.25</v>
      </c>
      <c r="BZ358" s="636">
        <f t="shared" si="191"/>
        <v>0</v>
      </c>
      <c r="CA358" s="633">
        <f t="shared" si="192"/>
        <v>0</v>
      </c>
    </row>
    <row r="359" spans="1:79" x14ac:dyDescent="0.2">
      <c r="A359" s="4">
        <v>1</v>
      </c>
      <c r="B359" s="4">
        <v>1</v>
      </c>
      <c r="C359" s="5">
        <f t="shared" si="194"/>
        <v>41118</v>
      </c>
      <c r="D359" s="6">
        <v>41118</v>
      </c>
      <c r="E359" s="6">
        <v>43011</v>
      </c>
      <c r="F359" s="6" t="s">
        <v>1606</v>
      </c>
      <c r="G359" s="101" t="s">
        <v>761</v>
      </c>
      <c r="H359" s="7"/>
      <c r="I359" s="7" t="s">
        <v>32</v>
      </c>
      <c r="J359" s="7"/>
      <c r="K359" s="29">
        <v>414009</v>
      </c>
      <c r="L359" s="47" t="s">
        <v>762</v>
      </c>
      <c r="M359" s="10" t="s">
        <v>785</v>
      </c>
      <c r="N359" s="10" t="s">
        <v>786</v>
      </c>
      <c r="O359" s="11" t="s">
        <v>787</v>
      </c>
      <c r="P359" s="12">
        <v>41723</v>
      </c>
      <c r="Q359" s="13">
        <f t="shared" ca="1" si="198"/>
        <v>11.496235455167694</v>
      </c>
      <c r="R359" s="14">
        <v>4</v>
      </c>
      <c r="S359" s="15">
        <v>872</v>
      </c>
      <c r="T359" s="8">
        <v>872</v>
      </c>
      <c r="U359" s="16">
        <v>45017</v>
      </c>
      <c r="V359" s="17">
        <v>1</v>
      </c>
      <c r="W359" s="16">
        <v>45382</v>
      </c>
      <c r="X359" s="14">
        <v>192</v>
      </c>
      <c r="Y359" s="18">
        <f t="shared" si="193"/>
        <v>192</v>
      </c>
      <c r="Z359" s="18">
        <f t="shared" si="212"/>
        <v>1</v>
      </c>
      <c r="AA359" s="18" t="s">
        <v>36</v>
      </c>
      <c r="AB359" s="26">
        <v>25</v>
      </c>
      <c r="AC359" s="26"/>
      <c r="AD359" s="26"/>
      <c r="AE359" s="147" t="str">
        <f t="shared" si="184"/>
        <v>1</v>
      </c>
      <c r="AF359" s="147" t="str">
        <f t="shared" si="199"/>
        <v>0</v>
      </c>
      <c r="AG359" s="147" t="str">
        <f t="shared" si="185"/>
        <v>0</v>
      </c>
      <c r="AH359" s="147" t="str">
        <f t="shared" si="200"/>
        <v>NO</v>
      </c>
      <c r="AI359" s="147" t="str">
        <f t="shared" si="201"/>
        <v>NO</v>
      </c>
      <c r="AJ359" s="147" t="str">
        <f t="shared" si="202"/>
        <v>NO</v>
      </c>
      <c r="AK359" s="147" t="str">
        <f t="shared" si="203"/>
        <v>NO</v>
      </c>
      <c r="AL359" s="21"/>
      <c r="AM359" s="21">
        <f t="shared" si="213"/>
        <v>5819.25</v>
      </c>
      <c r="AN359" s="27" t="s">
        <v>56</v>
      </c>
      <c r="AO359" s="21">
        <v>1</v>
      </c>
      <c r="AP359" s="21">
        <f t="shared" si="211"/>
        <v>1</v>
      </c>
      <c r="AQ359" s="149">
        <f t="shared" si="183"/>
        <v>5819.25</v>
      </c>
      <c r="AR359" s="21">
        <v>5819.25</v>
      </c>
      <c r="AS359" s="610">
        <v>5819.25</v>
      </c>
      <c r="AT359" s="112">
        <v>5819.25</v>
      </c>
      <c r="AU359" s="4"/>
      <c r="AV359" s="4"/>
      <c r="AW359" s="23" t="e">
        <f>VLOOKUP(K359,#REF!,8,FALSE)</f>
        <v>#REF!</v>
      </c>
      <c r="AX359" s="23" t="e">
        <f>VLOOKUP(K359,#REF!,8,FALSE)</f>
        <v>#REF!</v>
      </c>
      <c r="AY359" s="23" t="e">
        <f>VLOOKUP(K359,#REF!,8,FALSE)</f>
        <v>#REF!</v>
      </c>
      <c r="AZ359" s="4"/>
      <c r="BA359" s="272"/>
      <c r="BB359" s="313">
        <f t="shared" si="209"/>
        <v>0</v>
      </c>
      <c r="BC359" s="269">
        <f t="shared" si="208"/>
        <v>5819.25</v>
      </c>
      <c r="BD359" t="str">
        <f t="shared" si="210"/>
        <v/>
      </c>
      <c r="BP359" s="166">
        <f t="shared" si="204"/>
        <v>5819.25</v>
      </c>
      <c r="BS359" s="165"/>
      <c r="BX359" s="495">
        <f t="shared" si="205"/>
        <v>5819.25</v>
      </c>
      <c r="BZ359" s="636">
        <f t="shared" si="191"/>
        <v>0</v>
      </c>
      <c r="CA359" s="633">
        <f t="shared" si="192"/>
        <v>0</v>
      </c>
    </row>
    <row r="360" spans="1:79" x14ac:dyDescent="0.2">
      <c r="A360" s="4">
        <v>1</v>
      </c>
      <c r="B360" s="4">
        <v>1</v>
      </c>
      <c r="C360" s="5">
        <f t="shared" si="194"/>
        <v>41118</v>
      </c>
      <c r="D360" s="6">
        <v>41118</v>
      </c>
      <c r="E360" s="6">
        <v>43011</v>
      </c>
      <c r="F360" s="6" t="s">
        <v>1606</v>
      </c>
      <c r="G360" s="101" t="s">
        <v>761</v>
      </c>
      <c r="H360" s="7"/>
      <c r="I360" s="7" t="s">
        <v>32</v>
      </c>
      <c r="J360" s="7"/>
      <c r="K360" s="29">
        <v>401630</v>
      </c>
      <c r="L360" s="47" t="s">
        <v>762</v>
      </c>
      <c r="M360" s="10" t="s">
        <v>788</v>
      </c>
      <c r="N360" s="10" t="s">
        <v>789</v>
      </c>
      <c r="O360" s="11" t="s">
        <v>790</v>
      </c>
      <c r="P360" s="12">
        <v>41208</v>
      </c>
      <c r="Q360" s="13">
        <f t="shared" ca="1" si="198"/>
        <v>12.906228610540726</v>
      </c>
      <c r="R360" s="14">
        <v>5</v>
      </c>
      <c r="S360" s="15">
        <v>872</v>
      </c>
      <c r="T360" s="8">
        <v>872</v>
      </c>
      <c r="U360" s="16">
        <v>45017</v>
      </c>
      <c r="V360" s="17">
        <v>1</v>
      </c>
      <c r="W360" s="16">
        <v>45382</v>
      </c>
      <c r="X360" s="14">
        <v>192</v>
      </c>
      <c r="Y360" s="18">
        <f t="shared" si="193"/>
        <v>192</v>
      </c>
      <c r="Z360" s="18">
        <f t="shared" si="212"/>
        <v>1</v>
      </c>
      <c r="AA360" s="18" t="s">
        <v>36</v>
      </c>
      <c r="AB360" s="26">
        <v>26</v>
      </c>
      <c r="AC360" s="26"/>
      <c r="AD360" s="26"/>
      <c r="AE360" s="147" t="str">
        <f t="shared" si="184"/>
        <v>0</v>
      </c>
      <c r="AF360" s="147" t="str">
        <f t="shared" si="199"/>
        <v>1</v>
      </c>
      <c r="AG360" s="147" t="str">
        <f t="shared" si="185"/>
        <v>0</v>
      </c>
      <c r="AH360" s="147" t="str">
        <f t="shared" si="200"/>
        <v>NO</v>
      </c>
      <c r="AI360" s="147" t="str">
        <f t="shared" si="201"/>
        <v>NO</v>
      </c>
      <c r="AJ360" s="147" t="str">
        <f t="shared" si="202"/>
        <v>NO</v>
      </c>
      <c r="AK360" s="147" t="str">
        <f t="shared" si="203"/>
        <v>NO</v>
      </c>
      <c r="AL360" s="21"/>
      <c r="AM360" s="21">
        <f t="shared" si="213"/>
        <v>6292.02</v>
      </c>
      <c r="AN360" s="27" t="s">
        <v>56</v>
      </c>
      <c r="AO360" s="21">
        <v>1</v>
      </c>
      <c r="AP360" s="21">
        <f t="shared" si="211"/>
        <v>1</v>
      </c>
      <c r="AQ360" s="149">
        <f t="shared" si="183"/>
        <v>6292.02</v>
      </c>
      <c r="AR360" s="21">
        <v>6292.02</v>
      </c>
      <c r="AS360" s="610">
        <v>6292.02</v>
      </c>
      <c r="AT360" s="112">
        <v>6292.02</v>
      </c>
      <c r="AU360" s="4"/>
      <c r="AV360" s="4"/>
      <c r="AW360" s="23" t="e">
        <f>VLOOKUP(K360,#REF!,8,FALSE)</f>
        <v>#REF!</v>
      </c>
      <c r="AX360" s="23" t="e">
        <f>VLOOKUP(K360,#REF!,8,FALSE)</f>
        <v>#REF!</v>
      </c>
      <c r="AY360" s="23" t="e">
        <f>VLOOKUP(K360,#REF!,8,FALSE)</f>
        <v>#REF!</v>
      </c>
      <c r="AZ360" s="4"/>
      <c r="BA360" s="272"/>
      <c r="BB360" s="313">
        <f t="shared" si="209"/>
        <v>0</v>
      </c>
      <c r="BC360" s="269">
        <f t="shared" si="208"/>
        <v>6292.02</v>
      </c>
      <c r="BD360" t="str">
        <f t="shared" si="210"/>
        <v/>
      </c>
      <c r="BP360" s="166">
        <f t="shared" si="204"/>
        <v>6292.02</v>
      </c>
      <c r="BS360" s="165"/>
      <c r="BX360" s="495">
        <f t="shared" si="205"/>
        <v>6292.02</v>
      </c>
      <c r="BZ360" s="636">
        <f t="shared" si="191"/>
        <v>0</v>
      </c>
      <c r="CA360" s="633">
        <f t="shared" si="192"/>
        <v>0</v>
      </c>
    </row>
    <row r="361" spans="1:79" x14ac:dyDescent="0.2">
      <c r="A361" s="4">
        <v>1</v>
      </c>
      <c r="B361" s="4">
        <v>1</v>
      </c>
      <c r="C361" s="5">
        <f t="shared" si="194"/>
        <v>41119</v>
      </c>
      <c r="D361" s="6">
        <v>41119</v>
      </c>
      <c r="E361" s="6">
        <v>43014</v>
      </c>
      <c r="F361" s="6" t="s">
        <v>1606</v>
      </c>
      <c r="G361" s="7"/>
      <c r="H361" s="7" t="s">
        <v>75</v>
      </c>
      <c r="I361" s="7" t="s">
        <v>32</v>
      </c>
      <c r="J361" s="7"/>
      <c r="K361" s="29">
        <v>419719</v>
      </c>
      <c r="L361" s="46" t="s">
        <v>791</v>
      </c>
      <c r="M361" s="10" t="s">
        <v>174</v>
      </c>
      <c r="N361" s="10" t="s">
        <v>792</v>
      </c>
      <c r="O361" s="11" t="s">
        <v>793</v>
      </c>
      <c r="P361" s="12">
        <v>42018</v>
      </c>
      <c r="Q361" s="13">
        <f t="shared" ca="1" si="198"/>
        <v>10.688569472963723</v>
      </c>
      <c r="R361" s="14">
        <v>3</v>
      </c>
      <c r="S361" s="15">
        <v>872</v>
      </c>
      <c r="T361" s="8">
        <v>872</v>
      </c>
      <c r="U361" s="16">
        <v>45017</v>
      </c>
      <c r="V361" s="17">
        <v>1</v>
      </c>
      <c r="W361" s="16">
        <v>45382</v>
      </c>
      <c r="X361" s="14">
        <v>192</v>
      </c>
      <c r="Y361" s="18">
        <f t="shared" si="193"/>
        <v>192</v>
      </c>
      <c r="Z361" s="18">
        <f t="shared" si="212"/>
        <v>1</v>
      </c>
      <c r="AA361" s="18" t="s">
        <v>36</v>
      </c>
      <c r="AB361" s="26" t="s">
        <v>794</v>
      </c>
      <c r="AC361" s="26" t="s">
        <v>794</v>
      </c>
      <c r="AD361" s="26" t="s">
        <v>1893</v>
      </c>
      <c r="AE361" s="147" t="str">
        <f t="shared" si="184"/>
        <v>0</v>
      </c>
      <c r="AF361" s="147" t="str">
        <f t="shared" si="199"/>
        <v>0</v>
      </c>
      <c r="AG361" s="147" t="str">
        <f t="shared" si="185"/>
        <v>1</v>
      </c>
      <c r="AH361" s="147" t="str">
        <f t="shared" si="200"/>
        <v>NO</v>
      </c>
      <c r="AI361" s="147" t="str">
        <f t="shared" si="201"/>
        <v>YES</v>
      </c>
      <c r="AJ361" s="147" t="str">
        <f t="shared" si="202"/>
        <v>NO</v>
      </c>
      <c r="AK361" s="147" t="str">
        <f t="shared" si="203"/>
        <v>NO</v>
      </c>
      <c r="AL361" s="21">
        <v>10152</v>
      </c>
      <c r="AM361" s="21">
        <f t="shared" si="213"/>
        <v>10152</v>
      </c>
      <c r="AN361" s="27" t="s">
        <v>37</v>
      </c>
      <c r="AO361" s="21">
        <v>1</v>
      </c>
      <c r="AP361" s="21">
        <f t="shared" si="211"/>
        <v>1</v>
      </c>
      <c r="AQ361" s="149">
        <f t="shared" si="183"/>
        <v>10152</v>
      </c>
      <c r="AR361" s="21">
        <v>10152</v>
      </c>
      <c r="AS361" s="610">
        <v>10152</v>
      </c>
      <c r="AT361" s="112">
        <v>10152</v>
      </c>
      <c r="AU361" s="4"/>
      <c r="AV361" s="4"/>
      <c r="AW361" s="23" t="e">
        <f>VLOOKUP(K361,#REF!,8,FALSE)</f>
        <v>#REF!</v>
      </c>
      <c r="AX361" s="23" t="e">
        <f>VLOOKUP(K361,#REF!,8,FALSE)</f>
        <v>#REF!</v>
      </c>
      <c r="AY361" s="23" t="e">
        <f>VLOOKUP(K361,#REF!,8,FALSE)</f>
        <v>#REF!</v>
      </c>
      <c r="AZ361" s="4"/>
      <c r="BA361" s="272"/>
      <c r="BB361" s="313">
        <f t="shared" si="209"/>
        <v>0</v>
      </c>
      <c r="BC361" s="269">
        <f t="shared" si="208"/>
        <v>10152</v>
      </c>
      <c r="BD361" t="str">
        <f t="shared" si="210"/>
        <v/>
      </c>
      <c r="BP361" s="166">
        <f t="shared" si="204"/>
        <v>10152</v>
      </c>
      <c r="BS361" s="165"/>
      <c r="BX361" s="495">
        <f t="shared" si="205"/>
        <v>10152</v>
      </c>
      <c r="BZ361" s="636">
        <f t="shared" si="191"/>
        <v>0</v>
      </c>
      <c r="CA361" s="633">
        <f t="shared" si="192"/>
        <v>0</v>
      </c>
    </row>
    <row r="362" spans="1:79" x14ac:dyDescent="0.2">
      <c r="A362" s="4">
        <v>1</v>
      </c>
      <c r="B362" s="4">
        <v>1</v>
      </c>
      <c r="C362" s="5">
        <f t="shared" si="194"/>
        <v>41119</v>
      </c>
      <c r="D362" s="6">
        <v>41119</v>
      </c>
      <c r="E362" s="6">
        <v>43014</v>
      </c>
      <c r="F362" s="6" t="s">
        <v>1606</v>
      </c>
      <c r="G362" s="7"/>
      <c r="H362" s="7" t="s">
        <v>75</v>
      </c>
      <c r="I362" s="7" t="s">
        <v>32</v>
      </c>
      <c r="J362" s="7"/>
      <c r="K362" s="29">
        <v>419753</v>
      </c>
      <c r="L362" s="46" t="s">
        <v>791</v>
      </c>
      <c r="M362" s="10" t="s">
        <v>763</v>
      </c>
      <c r="N362" s="10" t="s">
        <v>795</v>
      </c>
      <c r="O362" s="11" t="s">
        <v>796</v>
      </c>
      <c r="P362" s="12">
        <v>42362</v>
      </c>
      <c r="Q362" s="13">
        <f t="shared" ca="1" si="198"/>
        <v>9.7467488021902806</v>
      </c>
      <c r="R362" s="14">
        <v>2</v>
      </c>
      <c r="S362" s="15">
        <v>872</v>
      </c>
      <c r="T362" s="8">
        <v>872</v>
      </c>
      <c r="U362" s="16">
        <v>45017</v>
      </c>
      <c r="V362" s="17">
        <v>1</v>
      </c>
      <c r="W362" s="16">
        <v>45382</v>
      </c>
      <c r="X362" s="14">
        <v>192</v>
      </c>
      <c r="Y362" s="18">
        <f t="shared" si="193"/>
        <v>192</v>
      </c>
      <c r="Z362" s="18">
        <f t="shared" si="212"/>
        <v>1</v>
      </c>
      <c r="AA362" s="18" t="s">
        <v>36</v>
      </c>
      <c r="AB362" s="26" t="s">
        <v>794</v>
      </c>
      <c r="AC362" s="26" t="s">
        <v>794</v>
      </c>
      <c r="AD362" s="26" t="s">
        <v>1893</v>
      </c>
      <c r="AE362" s="147" t="str">
        <f t="shared" si="184"/>
        <v>0</v>
      </c>
      <c r="AF362" s="147" t="str">
        <f t="shared" si="199"/>
        <v>0</v>
      </c>
      <c r="AG362" s="147" t="str">
        <f t="shared" si="185"/>
        <v>1</v>
      </c>
      <c r="AH362" s="147" t="str">
        <f t="shared" si="200"/>
        <v>NO</v>
      </c>
      <c r="AI362" s="147" t="str">
        <f t="shared" si="201"/>
        <v>YES</v>
      </c>
      <c r="AJ362" s="147" t="str">
        <f t="shared" si="202"/>
        <v>NO</v>
      </c>
      <c r="AK362" s="147" t="str">
        <f t="shared" si="203"/>
        <v>NO</v>
      </c>
      <c r="AL362" s="21">
        <v>10152</v>
      </c>
      <c r="AM362" s="21">
        <f t="shared" si="213"/>
        <v>10152</v>
      </c>
      <c r="AN362" s="27" t="s">
        <v>37</v>
      </c>
      <c r="AO362" s="21">
        <v>1</v>
      </c>
      <c r="AP362" s="21">
        <f t="shared" si="211"/>
        <v>1</v>
      </c>
      <c r="AQ362" s="149">
        <f t="shared" si="183"/>
        <v>10152</v>
      </c>
      <c r="AR362" s="21">
        <v>10152</v>
      </c>
      <c r="AS362" s="610">
        <v>10152</v>
      </c>
      <c r="AT362" s="112">
        <v>10152</v>
      </c>
      <c r="AU362" s="4"/>
      <c r="AV362" s="4"/>
      <c r="AW362" s="23" t="e">
        <f>VLOOKUP(K362,#REF!,8,FALSE)</f>
        <v>#REF!</v>
      </c>
      <c r="AX362" s="23" t="e">
        <f>VLOOKUP(K362,#REF!,8,FALSE)</f>
        <v>#REF!</v>
      </c>
      <c r="AY362" s="23" t="e">
        <f>VLOOKUP(K362,#REF!,8,FALSE)</f>
        <v>#REF!</v>
      </c>
      <c r="AZ362" s="4"/>
      <c r="BA362" s="272"/>
      <c r="BB362" s="313">
        <f t="shared" si="209"/>
        <v>0</v>
      </c>
      <c r="BC362" s="269">
        <f t="shared" si="208"/>
        <v>10152</v>
      </c>
      <c r="BD362" t="str">
        <f t="shared" si="210"/>
        <v/>
      </c>
      <c r="BP362" s="166">
        <f t="shared" si="204"/>
        <v>10152</v>
      </c>
      <c r="BS362" s="165"/>
      <c r="BX362" s="495">
        <f t="shared" si="205"/>
        <v>10152</v>
      </c>
      <c r="BZ362" s="636">
        <f t="shared" si="191"/>
        <v>0</v>
      </c>
      <c r="CA362" s="633">
        <f t="shared" si="192"/>
        <v>0</v>
      </c>
    </row>
    <row r="363" spans="1:79" x14ac:dyDescent="0.2">
      <c r="A363" s="4">
        <v>1</v>
      </c>
      <c r="B363" s="4">
        <v>1</v>
      </c>
      <c r="C363" s="5">
        <f t="shared" si="194"/>
        <v>41119</v>
      </c>
      <c r="D363" s="6">
        <v>41119</v>
      </c>
      <c r="E363" s="6">
        <v>43014</v>
      </c>
      <c r="F363" s="6" t="s">
        <v>1606</v>
      </c>
      <c r="G363" s="7"/>
      <c r="H363" s="7" t="s">
        <v>75</v>
      </c>
      <c r="I363" s="7" t="s">
        <v>32</v>
      </c>
      <c r="J363" s="7"/>
      <c r="K363" s="29">
        <v>443161</v>
      </c>
      <c r="L363" s="46" t="s">
        <v>791</v>
      </c>
      <c r="M363" s="10" t="s">
        <v>797</v>
      </c>
      <c r="N363" s="10" t="s">
        <v>798</v>
      </c>
      <c r="O363" s="11" t="s">
        <v>799</v>
      </c>
      <c r="P363" s="12">
        <v>43156</v>
      </c>
      <c r="Q363" s="13">
        <f t="shared" ca="1" si="198"/>
        <v>7.5728952772073921</v>
      </c>
      <c r="R363" s="14">
        <v>0</v>
      </c>
      <c r="S363" s="15">
        <v>872</v>
      </c>
      <c r="T363" s="8">
        <v>872</v>
      </c>
      <c r="U363" s="16">
        <v>45017</v>
      </c>
      <c r="V363" s="17">
        <v>1</v>
      </c>
      <c r="W363" s="16">
        <v>45382</v>
      </c>
      <c r="X363" s="14">
        <v>192</v>
      </c>
      <c r="Y363" s="18">
        <f t="shared" si="193"/>
        <v>192</v>
      </c>
      <c r="Z363" s="18">
        <f t="shared" si="212"/>
        <v>1</v>
      </c>
      <c r="AA363" s="18" t="s">
        <v>36</v>
      </c>
      <c r="AB363" s="26" t="s">
        <v>794</v>
      </c>
      <c r="AC363" s="26" t="s">
        <v>794</v>
      </c>
      <c r="AD363" s="26" t="s">
        <v>1893</v>
      </c>
      <c r="AE363" s="147" t="str">
        <f t="shared" si="184"/>
        <v>0</v>
      </c>
      <c r="AF363" s="147" t="str">
        <f t="shared" si="199"/>
        <v>0</v>
      </c>
      <c r="AG363" s="147" t="str">
        <f t="shared" si="185"/>
        <v>1</v>
      </c>
      <c r="AH363" s="147" t="str">
        <f t="shared" si="200"/>
        <v>NO</v>
      </c>
      <c r="AI363" s="147" t="str">
        <f t="shared" si="201"/>
        <v>YES</v>
      </c>
      <c r="AJ363" s="147" t="str">
        <f t="shared" si="202"/>
        <v>NO</v>
      </c>
      <c r="AK363" s="147" t="str">
        <f t="shared" si="203"/>
        <v>NO</v>
      </c>
      <c r="AL363" s="21">
        <v>10152</v>
      </c>
      <c r="AM363" s="21">
        <f t="shared" si="213"/>
        <v>10152</v>
      </c>
      <c r="AN363" s="27" t="s">
        <v>37</v>
      </c>
      <c r="AO363" s="21">
        <v>1</v>
      </c>
      <c r="AP363" s="21">
        <f t="shared" si="211"/>
        <v>1</v>
      </c>
      <c r="AQ363" s="149">
        <f t="shared" si="183"/>
        <v>10152</v>
      </c>
      <c r="AR363" s="21">
        <v>10152</v>
      </c>
      <c r="AS363" s="610">
        <v>10152</v>
      </c>
      <c r="AT363" s="112">
        <v>10152</v>
      </c>
      <c r="AU363" s="4"/>
      <c r="AV363" s="4"/>
      <c r="AW363" s="23" t="e">
        <f>VLOOKUP(K363,#REF!,8,FALSE)</f>
        <v>#REF!</v>
      </c>
      <c r="AX363" s="23" t="e">
        <f>VLOOKUP(K363,#REF!,8,FALSE)</f>
        <v>#REF!</v>
      </c>
      <c r="AY363" s="23" t="e">
        <f>VLOOKUP(K363,#REF!,8,FALSE)</f>
        <v>#REF!</v>
      </c>
      <c r="AZ363" s="4"/>
      <c r="BA363" s="272"/>
      <c r="BB363" s="313">
        <f t="shared" si="209"/>
        <v>0</v>
      </c>
      <c r="BC363" s="269">
        <f t="shared" si="208"/>
        <v>10152</v>
      </c>
      <c r="BD363" t="str">
        <f t="shared" si="210"/>
        <v/>
      </c>
      <c r="BP363" s="166">
        <f t="shared" si="204"/>
        <v>10152</v>
      </c>
      <c r="BS363" s="165"/>
      <c r="BX363" s="495">
        <f t="shared" si="205"/>
        <v>10152</v>
      </c>
      <c r="BZ363" s="636">
        <f t="shared" si="191"/>
        <v>0</v>
      </c>
      <c r="CA363" s="633">
        <f t="shared" si="192"/>
        <v>0</v>
      </c>
    </row>
    <row r="364" spans="1:79" x14ac:dyDescent="0.2">
      <c r="A364" s="4">
        <v>1</v>
      </c>
      <c r="B364" s="4">
        <v>1</v>
      </c>
      <c r="C364" s="5">
        <f t="shared" si="194"/>
        <v>41119</v>
      </c>
      <c r="D364" s="6">
        <v>41119</v>
      </c>
      <c r="E364" s="6">
        <v>43014</v>
      </c>
      <c r="F364" s="6" t="s">
        <v>1606</v>
      </c>
      <c r="G364" s="7"/>
      <c r="H364" s="7" t="s">
        <v>75</v>
      </c>
      <c r="I364" s="7" t="s">
        <v>32</v>
      </c>
      <c r="J364" s="7"/>
      <c r="K364" s="29">
        <v>424099</v>
      </c>
      <c r="L364" s="46" t="s">
        <v>791</v>
      </c>
      <c r="M364" s="10" t="s">
        <v>800</v>
      </c>
      <c r="N364" s="10" t="s">
        <v>801</v>
      </c>
      <c r="O364" s="11" t="s">
        <v>802</v>
      </c>
      <c r="P364" s="12">
        <v>42139</v>
      </c>
      <c r="Q364" s="13">
        <f t="shared" ca="1" si="198"/>
        <v>10.35728952772074</v>
      </c>
      <c r="R364" s="14">
        <v>3</v>
      </c>
      <c r="S364" s="15">
        <v>872</v>
      </c>
      <c r="T364" s="8">
        <v>872</v>
      </c>
      <c r="U364" s="16">
        <v>45017</v>
      </c>
      <c r="V364" s="17">
        <v>1</v>
      </c>
      <c r="W364" s="16">
        <v>45382</v>
      </c>
      <c r="X364" s="14">
        <v>192</v>
      </c>
      <c r="Y364" s="18">
        <f t="shared" si="193"/>
        <v>192</v>
      </c>
      <c r="Z364" s="18">
        <f t="shared" si="212"/>
        <v>1</v>
      </c>
      <c r="AA364" s="18" t="s">
        <v>36</v>
      </c>
      <c r="AB364" s="26" t="s">
        <v>794</v>
      </c>
      <c r="AC364" s="26" t="s">
        <v>794</v>
      </c>
      <c r="AD364" s="26" t="s">
        <v>1893</v>
      </c>
      <c r="AE364" s="147" t="str">
        <f t="shared" si="184"/>
        <v>0</v>
      </c>
      <c r="AF364" s="147" t="str">
        <f t="shared" si="199"/>
        <v>0</v>
      </c>
      <c r="AG364" s="147" t="str">
        <f t="shared" si="185"/>
        <v>1</v>
      </c>
      <c r="AH364" s="147" t="str">
        <f t="shared" si="200"/>
        <v>NO</v>
      </c>
      <c r="AI364" s="147" t="str">
        <f t="shared" si="201"/>
        <v>YES</v>
      </c>
      <c r="AJ364" s="147" t="str">
        <f t="shared" si="202"/>
        <v>NO</v>
      </c>
      <c r="AK364" s="147" t="str">
        <f t="shared" si="203"/>
        <v>NO</v>
      </c>
      <c r="AL364" s="21">
        <v>10152</v>
      </c>
      <c r="AM364" s="21">
        <f t="shared" si="213"/>
        <v>10152</v>
      </c>
      <c r="AN364" s="27" t="s">
        <v>37</v>
      </c>
      <c r="AO364" s="21">
        <v>1</v>
      </c>
      <c r="AP364" s="21">
        <f t="shared" si="211"/>
        <v>1</v>
      </c>
      <c r="AQ364" s="149">
        <f t="shared" si="183"/>
        <v>10152</v>
      </c>
      <c r="AR364" s="21">
        <v>10152</v>
      </c>
      <c r="AS364" s="610">
        <v>10152</v>
      </c>
      <c r="AT364" s="112">
        <v>10152</v>
      </c>
      <c r="AU364" s="4"/>
      <c r="AV364" s="4"/>
      <c r="AW364" s="23" t="e">
        <f>VLOOKUP(K364,#REF!,8,FALSE)</f>
        <v>#REF!</v>
      </c>
      <c r="AX364" s="23" t="e">
        <f>VLOOKUP(K364,#REF!,8,FALSE)</f>
        <v>#REF!</v>
      </c>
      <c r="AY364" s="23" t="e">
        <f>VLOOKUP(K364,#REF!,8,FALSE)</f>
        <v>#REF!</v>
      </c>
      <c r="AZ364" s="4"/>
      <c r="BA364" s="272"/>
      <c r="BB364" s="313">
        <f t="shared" si="209"/>
        <v>0</v>
      </c>
      <c r="BC364" s="269">
        <f t="shared" si="208"/>
        <v>10152</v>
      </c>
      <c r="BD364" t="str">
        <f t="shared" si="210"/>
        <v/>
      </c>
      <c r="BP364" s="166">
        <f t="shared" si="204"/>
        <v>10152</v>
      </c>
      <c r="BS364" s="165"/>
      <c r="BX364" s="495">
        <f t="shared" si="205"/>
        <v>10152</v>
      </c>
      <c r="BZ364" s="636">
        <f t="shared" si="191"/>
        <v>0</v>
      </c>
      <c r="CA364" s="633">
        <f t="shared" si="192"/>
        <v>0</v>
      </c>
    </row>
    <row r="365" spans="1:79" x14ac:dyDescent="0.2">
      <c r="A365" s="4">
        <v>0</v>
      </c>
      <c r="B365" s="4">
        <v>1</v>
      </c>
      <c r="C365" s="5">
        <f t="shared" si="194"/>
        <v>41119</v>
      </c>
      <c r="D365" s="6">
        <v>41119</v>
      </c>
      <c r="E365" s="6">
        <v>43014</v>
      </c>
      <c r="F365" s="6" t="s">
        <v>1606</v>
      </c>
      <c r="G365" s="7"/>
      <c r="H365" s="7" t="s">
        <v>75</v>
      </c>
      <c r="I365" s="7" t="s">
        <v>32</v>
      </c>
      <c r="J365" s="7" t="s">
        <v>142</v>
      </c>
      <c r="K365" s="29">
        <v>424099</v>
      </c>
      <c r="L365" s="46" t="s">
        <v>791</v>
      </c>
      <c r="M365" s="10" t="s">
        <v>800</v>
      </c>
      <c r="N365" s="10" t="s">
        <v>801</v>
      </c>
      <c r="O365" s="11" t="s">
        <v>802</v>
      </c>
      <c r="P365" s="12">
        <v>42139</v>
      </c>
      <c r="Q365" s="13">
        <f t="shared" ca="1" si="198"/>
        <v>10.35728952772074</v>
      </c>
      <c r="R365" s="14">
        <v>3</v>
      </c>
      <c r="S365" s="15">
        <v>872</v>
      </c>
      <c r="T365" s="8">
        <v>872</v>
      </c>
      <c r="U365" s="16">
        <v>45017</v>
      </c>
      <c r="V365" s="17">
        <v>1</v>
      </c>
      <c r="W365" s="16">
        <v>45382</v>
      </c>
      <c r="X365" s="14">
        <v>192</v>
      </c>
      <c r="Y365" s="18">
        <f t="shared" si="193"/>
        <v>192</v>
      </c>
      <c r="Z365" s="18">
        <f t="shared" si="212"/>
        <v>1</v>
      </c>
      <c r="AA365" s="18" t="s">
        <v>36</v>
      </c>
      <c r="AB365" s="26">
        <v>30</v>
      </c>
      <c r="AC365" s="26"/>
      <c r="AD365" s="26"/>
      <c r="AE365" s="147" t="str">
        <f t="shared" si="184"/>
        <v>0</v>
      </c>
      <c r="AF365" s="147" t="str">
        <f t="shared" si="199"/>
        <v>1</v>
      </c>
      <c r="AG365" s="147" t="str">
        <f t="shared" si="185"/>
        <v>0</v>
      </c>
      <c r="AH365" s="147" t="str">
        <f t="shared" si="200"/>
        <v>NO</v>
      </c>
      <c r="AI365" s="147" t="str">
        <f t="shared" si="201"/>
        <v>NO</v>
      </c>
      <c r="AJ365" s="147" t="str">
        <f t="shared" si="202"/>
        <v>NO</v>
      </c>
      <c r="AK365" s="147" t="str">
        <f t="shared" si="203"/>
        <v>NO</v>
      </c>
      <c r="AL365" s="21"/>
      <c r="AM365" s="21">
        <f>((AB365*$O$902)-6000)</f>
        <v>8183.0999999999985</v>
      </c>
      <c r="AN365" s="27" t="s">
        <v>37</v>
      </c>
      <c r="AO365" s="21">
        <v>1</v>
      </c>
      <c r="AP365" s="21">
        <f t="shared" si="211"/>
        <v>1</v>
      </c>
      <c r="AQ365" s="149">
        <f t="shared" si="183"/>
        <v>8183.0999999999985</v>
      </c>
      <c r="AR365" s="21">
        <v>8183.0999999999985</v>
      </c>
      <c r="AS365" s="610">
        <v>8183.0999999999985</v>
      </c>
      <c r="AT365" s="112">
        <v>8183.0999999999985</v>
      </c>
      <c r="AU365" s="4"/>
      <c r="AV365" s="4"/>
      <c r="AW365" s="23" t="e">
        <f>VLOOKUP(K365,#REF!,8,FALSE)</f>
        <v>#REF!</v>
      </c>
      <c r="AX365" s="23" t="e">
        <f>VLOOKUP(K365,#REF!,8,FALSE)</f>
        <v>#REF!</v>
      </c>
      <c r="AY365" s="23" t="e">
        <f>VLOOKUP(K365,#REF!,8,FALSE)</f>
        <v>#REF!</v>
      </c>
      <c r="AZ365" s="4"/>
      <c r="BA365" s="272"/>
      <c r="BB365" s="313">
        <f t="shared" si="209"/>
        <v>0</v>
      </c>
      <c r="BC365" s="269">
        <f t="shared" si="208"/>
        <v>8183.0999999999985</v>
      </c>
      <c r="BD365" t="str">
        <f t="shared" si="210"/>
        <v/>
      </c>
      <c r="BP365" s="166">
        <f t="shared" si="204"/>
        <v>8183.0999999999985</v>
      </c>
      <c r="BS365" s="165"/>
      <c r="BX365" s="495">
        <f t="shared" si="205"/>
        <v>8183.0999999999985</v>
      </c>
      <c r="BZ365" s="636">
        <f t="shared" si="191"/>
        <v>0</v>
      </c>
      <c r="CA365" s="633">
        <f t="shared" si="192"/>
        <v>0</v>
      </c>
    </row>
    <row r="366" spans="1:79" x14ac:dyDescent="0.2">
      <c r="A366" s="4">
        <v>1</v>
      </c>
      <c r="B366" s="4">
        <v>1</v>
      </c>
      <c r="C366" s="5">
        <f t="shared" si="194"/>
        <v>41119</v>
      </c>
      <c r="D366" s="6">
        <v>41119</v>
      </c>
      <c r="E366" s="6">
        <v>43014</v>
      </c>
      <c r="F366" s="6" t="s">
        <v>1606</v>
      </c>
      <c r="G366" s="7"/>
      <c r="H366" s="7" t="s">
        <v>75</v>
      </c>
      <c r="I366" s="7" t="s">
        <v>32</v>
      </c>
      <c r="J366" s="7"/>
      <c r="K366" s="29">
        <v>433325</v>
      </c>
      <c r="L366" s="46" t="s">
        <v>791</v>
      </c>
      <c r="M366" s="10" t="s">
        <v>803</v>
      </c>
      <c r="N366" s="10" t="s">
        <v>804</v>
      </c>
      <c r="O366" s="11" t="s">
        <v>805</v>
      </c>
      <c r="P366" s="12">
        <v>41079</v>
      </c>
      <c r="Q366" s="13">
        <f t="shared" ca="1" si="198"/>
        <v>13.259411362080767</v>
      </c>
      <c r="R366" s="14">
        <v>6</v>
      </c>
      <c r="S366" s="15">
        <v>872</v>
      </c>
      <c r="T366" s="8">
        <v>872</v>
      </c>
      <c r="U366" s="16">
        <v>45017</v>
      </c>
      <c r="V366" s="17">
        <v>1</v>
      </c>
      <c r="W366" s="16">
        <v>45128</v>
      </c>
      <c r="X366" s="14">
        <v>63</v>
      </c>
      <c r="Y366" s="18">
        <f t="shared" si="193"/>
        <v>63</v>
      </c>
      <c r="Z366" s="18">
        <f t="shared" si="212"/>
        <v>0.328125</v>
      </c>
      <c r="AA366" s="18" t="s">
        <v>48</v>
      </c>
      <c r="AB366" s="26" t="s">
        <v>794</v>
      </c>
      <c r="AC366" s="26" t="s">
        <v>794</v>
      </c>
      <c r="AD366" s="26" t="s">
        <v>1893</v>
      </c>
      <c r="AE366" s="147" t="str">
        <f t="shared" si="184"/>
        <v>0</v>
      </c>
      <c r="AF366" s="147" t="str">
        <f t="shared" si="199"/>
        <v>0</v>
      </c>
      <c r="AG366" s="147" t="str">
        <f t="shared" si="185"/>
        <v>1</v>
      </c>
      <c r="AH366" s="147" t="str">
        <f t="shared" si="200"/>
        <v>NO</v>
      </c>
      <c r="AI366" s="147" t="str">
        <f t="shared" si="201"/>
        <v>YES</v>
      </c>
      <c r="AJ366" s="147" t="str">
        <f t="shared" si="202"/>
        <v>NO</v>
      </c>
      <c r="AK366" s="147" t="str">
        <f t="shared" si="203"/>
        <v>NO</v>
      </c>
      <c r="AL366" s="21">
        <v>10152</v>
      </c>
      <c r="AM366" s="21">
        <f t="shared" ref="AM366:AM374" si="214">IF(H366="Y",AL366,((AB366*$O$902)-6000))</f>
        <v>10152</v>
      </c>
      <c r="AN366" s="27" t="s">
        <v>37</v>
      </c>
      <c r="AO366" s="21">
        <v>1</v>
      </c>
      <c r="AP366" s="21">
        <f t="shared" si="211"/>
        <v>0.328125</v>
      </c>
      <c r="AQ366" s="149">
        <f t="shared" si="183"/>
        <v>3331.125</v>
      </c>
      <c r="AR366" s="21">
        <v>3331.125</v>
      </c>
      <c r="AS366" s="610">
        <v>3331.125</v>
      </c>
      <c r="AT366" s="112">
        <v>3331.125</v>
      </c>
      <c r="AU366" s="4"/>
      <c r="AV366" s="4"/>
      <c r="AW366" s="23" t="e">
        <f>VLOOKUP(K366,#REF!,8,FALSE)</f>
        <v>#REF!</v>
      </c>
      <c r="AX366" s="23" t="s">
        <v>2218</v>
      </c>
      <c r="AY366" s="23" t="e">
        <f>VLOOKUP(K366,#REF!,8,FALSE)</f>
        <v>#REF!</v>
      </c>
      <c r="AZ366" s="4"/>
      <c r="BA366" s="272"/>
      <c r="BB366" s="313">
        <f t="shared" si="209"/>
        <v>0</v>
      </c>
      <c r="BC366" s="269">
        <f t="shared" si="208"/>
        <v>3331.125</v>
      </c>
      <c r="BD366" t="e">
        <f t="shared" si="210"/>
        <v>#REF!</v>
      </c>
      <c r="BE366" t="s">
        <v>2394</v>
      </c>
      <c r="BF366">
        <v>43012</v>
      </c>
      <c r="BH366" t="e">
        <f>VLOOKUP(K366,#REF!,8,FALSE)</f>
        <v>#REF!</v>
      </c>
      <c r="BJ366" t="str">
        <f>AB366</f>
        <v>HIGR_BAND4</v>
      </c>
      <c r="BK366" s="269">
        <f>AM366</f>
        <v>10152</v>
      </c>
      <c r="BL366" s="353"/>
      <c r="BM366" s="353" t="s">
        <v>75</v>
      </c>
      <c r="BN366" s="353"/>
      <c r="BO366" s="106">
        <f>BK366/192*127</f>
        <v>6715.125</v>
      </c>
      <c r="BP366" s="166">
        <f t="shared" si="204"/>
        <v>10046.25</v>
      </c>
      <c r="BS366" s="165"/>
      <c r="BX366" s="495">
        <f t="shared" si="205"/>
        <v>10046.25</v>
      </c>
      <c r="BZ366" s="636">
        <f t="shared" si="191"/>
        <v>0</v>
      </c>
      <c r="CA366" s="633">
        <f t="shared" si="192"/>
        <v>6715.125</v>
      </c>
    </row>
    <row r="367" spans="1:79" x14ac:dyDescent="0.2">
      <c r="A367" s="4">
        <v>1</v>
      </c>
      <c r="B367" s="4">
        <v>1</v>
      </c>
      <c r="C367" s="5">
        <f t="shared" si="194"/>
        <v>41119</v>
      </c>
      <c r="D367" s="6">
        <v>41119</v>
      </c>
      <c r="E367" s="6">
        <v>43014</v>
      </c>
      <c r="F367" s="6" t="s">
        <v>1606</v>
      </c>
      <c r="G367" s="7"/>
      <c r="H367" s="7" t="s">
        <v>75</v>
      </c>
      <c r="I367" s="7" t="s">
        <v>32</v>
      </c>
      <c r="J367" s="7"/>
      <c r="K367" s="29">
        <v>412277</v>
      </c>
      <c r="L367" s="46" t="s">
        <v>791</v>
      </c>
      <c r="M367" s="10" t="s">
        <v>519</v>
      </c>
      <c r="N367" s="10" t="s">
        <v>806</v>
      </c>
      <c r="O367" s="11" t="s">
        <v>807</v>
      </c>
      <c r="P367" s="12">
        <v>41521</v>
      </c>
      <c r="Q367" s="13">
        <f t="shared" ca="1" si="198"/>
        <v>12.049281314168377</v>
      </c>
      <c r="R367" s="14">
        <v>4</v>
      </c>
      <c r="S367" s="15">
        <v>872</v>
      </c>
      <c r="T367" s="8">
        <v>872</v>
      </c>
      <c r="U367" s="16">
        <v>45017</v>
      </c>
      <c r="V367" s="17">
        <v>1</v>
      </c>
      <c r="W367" s="16">
        <v>45382</v>
      </c>
      <c r="X367" s="14">
        <v>192</v>
      </c>
      <c r="Y367" s="18">
        <f t="shared" si="193"/>
        <v>192</v>
      </c>
      <c r="Z367" s="18">
        <f t="shared" si="212"/>
        <v>1</v>
      </c>
      <c r="AA367" s="18" t="s">
        <v>36</v>
      </c>
      <c r="AB367" s="26" t="s">
        <v>794</v>
      </c>
      <c r="AC367" s="26" t="s">
        <v>794</v>
      </c>
      <c r="AD367" s="26" t="s">
        <v>1893</v>
      </c>
      <c r="AE367" s="147" t="str">
        <f t="shared" si="184"/>
        <v>0</v>
      </c>
      <c r="AF367" s="147" t="str">
        <f t="shared" si="199"/>
        <v>0</v>
      </c>
      <c r="AG367" s="147" t="str">
        <f t="shared" si="185"/>
        <v>1</v>
      </c>
      <c r="AH367" s="147" t="str">
        <f t="shared" si="200"/>
        <v>NO</v>
      </c>
      <c r="AI367" s="147" t="str">
        <f t="shared" si="201"/>
        <v>YES</v>
      </c>
      <c r="AJ367" s="147" t="str">
        <f t="shared" si="202"/>
        <v>NO</v>
      </c>
      <c r="AK367" s="147" t="str">
        <f t="shared" si="203"/>
        <v>NO</v>
      </c>
      <c r="AL367" s="21">
        <v>10152</v>
      </c>
      <c r="AM367" s="21">
        <f t="shared" si="214"/>
        <v>10152</v>
      </c>
      <c r="AN367" s="27" t="s">
        <v>37</v>
      </c>
      <c r="AO367" s="21">
        <v>1</v>
      </c>
      <c r="AP367" s="21">
        <f t="shared" si="211"/>
        <v>1</v>
      </c>
      <c r="AQ367" s="149">
        <f t="shared" si="183"/>
        <v>10152</v>
      </c>
      <c r="AR367" s="21">
        <v>10152</v>
      </c>
      <c r="AS367" s="610">
        <v>10152</v>
      </c>
      <c r="AT367" s="112">
        <v>10152</v>
      </c>
      <c r="AU367" s="4"/>
      <c r="AV367" s="4"/>
      <c r="AW367" s="23" t="e">
        <f>VLOOKUP(K367,#REF!,8,FALSE)</f>
        <v>#REF!</v>
      </c>
      <c r="AX367" s="23" t="e">
        <f>VLOOKUP(K367,#REF!,8,FALSE)</f>
        <v>#REF!</v>
      </c>
      <c r="AY367" s="23" t="e">
        <f>VLOOKUP(K367,#REF!,8,FALSE)</f>
        <v>#REF!</v>
      </c>
      <c r="AZ367" s="4"/>
      <c r="BA367" s="272"/>
      <c r="BB367" s="313">
        <f t="shared" si="209"/>
        <v>0</v>
      </c>
      <c r="BC367" s="269">
        <f t="shared" si="208"/>
        <v>10152</v>
      </c>
      <c r="BD367" t="str">
        <f t="shared" si="210"/>
        <v/>
      </c>
      <c r="BP367" s="166">
        <f t="shared" si="204"/>
        <v>10152</v>
      </c>
      <c r="BS367" s="165"/>
      <c r="BX367" s="495">
        <f t="shared" si="205"/>
        <v>10152</v>
      </c>
      <c r="BZ367" s="636">
        <f t="shared" si="191"/>
        <v>0</v>
      </c>
      <c r="CA367" s="633">
        <f t="shared" si="192"/>
        <v>0</v>
      </c>
    </row>
    <row r="368" spans="1:79" x14ac:dyDescent="0.2">
      <c r="A368" s="4">
        <v>1</v>
      </c>
      <c r="B368" s="4">
        <v>1</v>
      </c>
      <c r="C368" s="5">
        <f t="shared" si="194"/>
        <v>41119</v>
      </c>
      <c r="D368" s="6">
        <v>41119</v>
      </c>
      <c r="E368" s="6">
        <v>43014</v>
      </c>
      <c r="F368" s="6" t="s">
        <v>1606</v>
      </c>
      <c r="G368" s="7"/>
      <c r="H368" s="7" t="s">
        <v>75</v>
      </c>
      <c r="I368" s="7" t="s">
        <v>32</v>
      </c>
      <c r="J368" s="7"/>
      <c r="K368" s="29">
        <v>426790</v>
      </c>
      <c r="L368" s="46" t="s">
        <v>791</v>
      </c>
      <c r="M368" s="10" t="s">
        <v>808</v>
      </c>
      <c r="N368" s="10" t="s">
        <v>809</v>
      </c>
      <c r="O368" s="11" t="s">
        <v>810</v>
      </c>
      <c r="P368" s="12">
        <v>42394</v>
      </c>
      <c r="Q368" s="13">
        <f t="shared" ca="1" si="198"/>
        <v>9.6591375770020527</v>
      </c>
      <c r="R368" s="14">
        <v>2</v>
      </c>
      <c r="S368" s="15">
        <v>872</v>
      </c>
      <c r="T368" s="8">
        <v>872</v>
      </c>
      <c r="U368" s="16">
        <v>45017</v>
      </c>
      <c r="V368" s="17">
        <v>1</v>
      </c>
      <c r="W368" s="16">
        <v>45382</v>
      </c>
      <c r="X368" s="14">
        <v>192</v>
      </c>
      <c r="Y368" s="18">
        <f t="shared" si="193"/>
        <v>192</v>
      </c>
      <c r="Z368" s="18">
        <f t="shared" si="212"/>
        <v>1</v>
      </c>
      <c r="AA368" s="18" t="s">
        <v>36</v>
      </c>
      <c r="AB368" s="26" t="s">
        <v>794</v>
      </c>
      <c r="AC368" s="26" t="s">
        <v>794</v>
      </c>
      <c r="AD368" s="26" t="s">
        <v>1893</v>
      </c>
      <c r="AE368" s="147" t="str">
        <f t="shared" si="184"/>
        <v>0</v>
      </c>
      <c r="AF368" s="147" t="str">
        <f t="shared" si="199"/>
        <v>0</v>
      </c>
      <c r="AG368" s="147" t="str">
        <f t="shared" si="185"/>
        <v>1</v>
      </c>
      <c r="AH368" s="147" t="str">
        <f t="shared" si="200"/>
        <v>NO</v>
      </c>
      <c r="AI368" s="147" t="str">
        <f t="shared" si="201"/>
        <v>YES</v>
      </c>
      <c r="AJ368" s="147" t="str">
        <f t="shared" si="202"/>
        <v>NO</v>
      </c>
      <c r="AK368" s="147" t="str">
        <f t="shared" si="203"/>
        <v>NO</v>
      </c>
      <c r="AL368" s="21">
        <v>10152</v>
      </c>
      <c r="AM368" s="21">
        <f t="shared" si="214"/>
        <v>10152</v>
      </c>
      <c r="AN368" s="27" t="s">
        <v>37</v>
      </c>
      <c r="AO368" s="21">
        <v>1</v>
      </c>
      <c r="AP368" s="21">
        <f t="shared" si="211"/>
        <v>1</v>
      </c>
      <c r="AQ368" s="149">
        <f t="shared" si="183"/>
        <v>10152</v>
      </c>
      <c r="AR368" s="21">
        <v>10152</v>
      </c>
      <c r="AS368" s="610">
        <v>10152</v>
      </c>
      <c r="AT368" s="112">
        <v>10152</v>
      </c>
      <c r="AU368" s="4"/>
      <c r="AV368" s="4"/>
      <c r="AW368" s="23" t="e">
        <f>VLOOKUP(K368,#REF!,8,FALSE)</f>
        <v>#REF!</v>
      </c>
      <c r="AX368" s="23" t="e">
        <f>VLOOKUP(K368,#REF!,8,FALSE)</f>
        <v>#REF!</v>
      </c>
      <c r="AY368" s="23" t="e">
        <f>VLOOKUP(K368,#REF!,8,FALSE)</f>
        <v>#REF!</v>
      </c>
      <c r="AZ368" s="4"/>
      <c r="BA368" s="272"/>
      <c r="BB368" s="313">
        <f t="shared" si="209"/>
        <v>0</v>
      </c>
      <c r="BC368" s="269">
        <f t="shared" si="208"/>
        <v>10152</v>
      </c>
      <c r="BD368" t="str">
        <f t="shared" si="210"/>
        <v/>
      </c>
      <c r="BP368" s="166">
        <f t="shared" si="204"/>
        <v>10152</v>
      </c>
      <c r="BS368" s="165"/>
      <c r="BX368" s="495">
        <f t="shared" si="205"/>
        <v>10152</v>
      </c>
      <c r="BZ368" s="636">
        <f t="shared" si="191"/>
        <v>0</v>
      </c>
      <c r="CA368" s="633">
        <f t="shared" si="192"/>
        <v>0</v>
      </c>
    </row>
    <row r="369" spans="1:79" x14ac:dyDescent="0.2">
      <c r="A369" s="4">
        <v>1</v>
      </c>
      <c r="B369" s="4">
        <v>1</v>
      </c>
      <c r="C369" s="5">
        <f t="shared" si="194"/>
        <v>41119</v>
      </c>
      <c r="D369" s="6">
        <v>41119</v>
      </c>
      <c r="E369" s="6">
        <v>43014</v>
      </c>
      <c r="F369" s="6" t="s">
        <v>1606</v>
      </c>
      <c r="G369" s="7"/>
      <c r="H369" s="7" t="s">
        <v>75</v>
      </c>
      <c r="I369" s="7" t="s">
        <v>32</v>
      </c>
      <c r="J369" s="7"/>
      <c r="K369" s="29">
        <v>431379</v>
      </c>
      <c r="L369" s="46" t="s">
        <v>791</v>
      </c>
      <c r="M369" s="10" t="s">
        <v>811</v>
      </c>
      <c r="N369" s="10" t="s">
        <v>812</v>
      </c>
      <c r="O369" s="11" t="s">
        <v>813</v>
      </c>
      <c r="P369" s="12">
        <v>42690</v>
      </c>
      <c r="Q369" s="13">
        <f t="shared" ca="1" si="198"/>
        <v>8.8487337440109517</v>
      </c>
      <c r="R369" s="14">
        <v>1</v>
      </c>
      <c r="S369" s="15">
        <v>872</v>
      </c>
      <c r="T369" s="8">
        <v>872</v>
      </c>
      <c r="U369" s="16">
        <v>45017</v>
      </c>
      <c r="V369" s="17">
        <v>1</v>
      </c>
      <c r="W369" s="16">
        <v>45382</v>
      </c>
      <c r="X369" s="14">
        <v>192</v>
      </c>
      <c r="Y369" s="18">
        <f t="shared" si="193"/>
        <v>192</v>
      </c>
      <c r="Z369" s="18">
        <f t="shared" si="212"/>
        <v>1</v>
      </c>
      <c r="AA369" s="18" t="s">
        <v>36</v>
      </c>
      <c r="AB369" s="26" t="s">
        <v>794</v>
      </c>
      <c r="AC369" s="26" t="s">
        <v>794</v>
      </c>
      <c r="AD369" s="26" t="s">
        <v>1893</v>
      </c>
      <c r="AE369" s="147" t="str">
        <f t="shared" si="184"/>
        <v>0</v>
      </c>
      <c r="AF369" s="147" t="str">
        <f t="shared" si="199"/>
        <v>0</v>
      </c>
      <c r="AG369" s="147" t="str">
        <f t="shared" si="185"/>
        <v>1</v>
      </c>
      <c r="AH369" s="147" t="str">
        <f t="shared" si="200"/>
        <v>NO</v>
      </c>
      <c r="AI369" s="147" t="str">
        <f t="shared" si="201"/>
        <v>YES</v>
      </c>
      <c r="AJ369" s="147" t="str">
        <f t="shared" si="202"/>
        <v>NO</v>
      </c>
      <c r="AK369" s="147" t="str">
        <f t="shared" si="203"/>
        <v>NO</v>
      </c>
      <c r="AL369" s="21">
        <v>10152</v>
      </c>
      <c r="AM369" s="21">
        <f t="shared" si="214"/>
        <v>10152</v>
      </c>
      <c r="AN369" s="27" t="s">
        <v>37</v>
      </c>
      <c r="AO369" s="21">
        <v>1</v>
      </c>
      <c r="AP369" s="21">
        <f t="shared" si="211"/>
        <v>1</v>
      </c>
      <c r="AQ369" s="149">
        <f t="shared" si="183"/>
        <v>10152</v>
      </c>
      <c r="AR369" s="21">
        <v>10152</v>
      </c>
      <c r="AS369" s="610">
        <v>10152</v>
      </c>
      <c r="AT369" s="112">
        <v>10152</v>
      </c>
      <c r="AU369" s="4"/>
      <c r="AV369" s="4"/>
      <c r="AW369" s="23" t="e">
        <f>VLOOKUP(K369,#REF!,8,FALSE)</f>
        <v>#REF!</v>
      </c>
      <c r="AX369" s="23" t="e">
        <f>VLOOKUP(K369,#REF!,8,FALSE)</f>
        <v>#REF!</v>
      </c>
      <c r="AY369" s="23" t="e">
        <f>VLOOKUP(K369,#REF!,8,FALSE)</f>
        <v>#REF!</v>
      </c>
      <c r="AZ369" s="4"/>
      <c r="BA369" s="272"/>
      <c r="BB369" s="313">
        <f t="shared" si="209"/>
        <v>0</v>
      </c>
      <c r="BC369" s="269">
        <f t="shared" si="208"/>
        <v>10152</v>
      </c>
      <c r="BD369" t="str">
        <f t="shared" si="210"/>
        <v/>
      </c>
      <c r="BP369" s="166">
        <f t="shared" si="204"/>
        <v>10152</v>
      </c>
      <c r="BS369" s="165"/>
      <c r="BX369" s="495">
        <f t="shared" si="205"/>
        <v>10152</v>
      </c>
      <c r="BZ369" s="636">
        <f t="shared" si="191"/>
        <v>0</v>
      </c>
      <c r="CA369" s="633">
        <f t="shared" si="192"/>
        <v>0</v>
      </c>
    </row>
    <row r="370" spans="1:79" x14ac:dyDescent="0.2">
      <c r="A370" s="4">
        <v>1</v>
      </c>
      <c r="B370" s="4">
        <v>1</v>
      </c>
      <c r="C370" s="5">
        <f t="shared" si="194"/>
        <v>41119</v>
      </c>
      <c r="D370" s="6">
        <v>41119</v>
      </c>
      <c r="E370" s="6">
        <v>43014</v>
      </c>
      <c r="F370" s="6" t="s">
        <v>1606</v>
      </c>
      <c r="G370" s="7"/>
      <c r="H370" s="7" t="s">
        <v>75</v>
      </c>
      <c r="I370" s="7" t="s">
        <v>32</v>
      </c>
      <c r="J370" s="7"/>
      <c r="K370" s="29">
        <v>429449</v>
      </c>
      <c r="L370" s="10" t="s">
        <v>791</v>
      </c>
      <c r="M370" s="10" t="s">
        <v>231</v>
      </c>
      <c r="N370" s="10" t="s">
        <v>814</v>
      </c>
      <c r="O370" s="11" t="s">
        <v>815</v>
      </c>
      <c r="P370" s="12">
        <v>42508</v>
      </c>
      <c r="Q370" s="13">
        <f t="shared" ca="1" si="198"/>
        <v>9.3470225872689934</v>
      </c>
      <c r="R370" s="14">
        <v>2</v>
      </c>
      <c r="S370" s="15">
        <v>872</v>
      </c>
      <c r="T370" s="8">
        <v>872</v>
      </c>
      <c r="U370" s="16">
        <v>45017</v>
      </c>
      <c r="V370" s="17">
        <v>1</v>
      </c>
      <c r="W370" s="16">
        <v>45382</v>
      </c>
      <c r="X370" s="14">
        <v>192</v>
      </c>
      <c r="Y370" s="18">
        <f t="shared" si="193"/>
        <v>192</v>
      </c>
      <c r="Z370" s="18">
        <f t="shared" si="212"/>
        <v>1</v>
      </c>
      <c r="AA370" s="18" t="s">
        <v>36</v>
      </c>
      <c r="AB370" s="26" t="s">
        <v>794</v>
      </c>
      <c r="AC370" s="26" t="s">
        <v>794</v>
      </c>
      <c r="AD370" s="26" t="s">
        <v>1893</v>
      </c>
      <c r="AE370" s="147" t="str">
        <f t="shared" si="184"/>
        <v>0</v>
      </c>
      <c r="AF370" s="147" t="str">
        <f t="shared" si="199"/>
        <v>0</v>
      </c>
      <c r="AG370" s="147" t="str">
        <f t="shared" si="185"/>
        <v>1</v>
      </c>
      <c r="AH370" s="147" t="str">
        <f t="shared" si="200"/>
        <v>NO</v>
      </c>
      <c r="AI370" s="147" t="str">
        <f t="shared" si="201"/>
        <v>YES</v>
      </c>
      <c r="AJ370" s="147" t="str">
        <f t="shared" si="202"/>
        <v>NO</v>
      </c>
      <c r="AK370" s="147" t="str">
        <f t="shared" si="203"/>
        <v>NO</v>
      </c>
      <c r="AL370" s="21">
        <v>10152</v>
      </c>
      <c r="AM370" s="21">
        <f t="shared" si="214"/>
        <v>10152</v>
      </c>
      <c r="AN370" s="27" t="s">
        <v>37</v>
      </c>
      <c r="AO370" s="21">
        <v>1</v>
      </c>
      <c r="AP370" s="21">
        <f t="shared" si="211"/>
        <v>1</v>
      </c>
      <c r="AQ370" s="149">
        <f t="shared" si="183"/>
        <v>10152</v>
      </c>
      <c r="AR370" s="21">
        <v>10152</v>
      </c>
      <c r="AS370" s="610">
        <v>10152</v>
      </c>
      <c r="AT370" s="112">
        <v>10152</v>
      </c>
      <c r="AU370" s="4"/>
      <c r="AV370" s="4"/>
      <c r="AW370" s="23" t="e">
        <f>VLOOKUP(K370,#REF!,8,FALSE)</f>
        <v>#REF!</v>
      </c>
      <c r="AX370" s="23" t="e">
        <f>VLOOKUP(K370,#REF!,8,FALSE)</f>
        <v>#REF!</v>
      </c>
      <c r="AY370" s="23" t="e">
        <f>VLOOKUP(K370,#REF!,8,FALSE)</f>
        <v>#REF!</v>
      </c>
      <c r="AZ370" s="4"/>
      <c r="BA370" s="272"/>
      <c r="BB370" s="313">
        <f t="shared" si="209"/>
        <v>0</v>
      </c>
      <c r="BC370" s="269">
        <f t="shared" si="208"/>
        <v>10152</v>
      </c>
      <c r="BD370" t="str">
        <f t="shared" si="210"/>
        <v/>
      </c>
      <c r="BP370" s="166">
        <f t="shared" si="204"/>
        <v>10152</v>
      </c>
      <c r="BS370" s="165"/>
      <c r="BX370" s="495">
        <f t="shared" si="205"/>
        <v>10152</v>
      </c>
      <c r="BZ370" s="636">
        <f t="shared" si="191"/>
        <v>0</v>
      </c>
      <c r="CA370" s="633">
        <f t="shared" si="192"/>
        <v>0</v>
      </c>
    </row>
    <row r="371" spans="1:79" x14ac:dyDescent="0.2">
      <c r="A371" s="4">
        <v>1</v>
      </c>
      <c r="B371" s="4">
        <v>1</v>
      </c>
      <c r="C371" s="5">
        <f t="shared" si="194"/>
        <v>41119</v>
      </c>
      <c r="D371" s="6">
        <v>41119</v>
      </c>
      <c r="E371" s="6">
        <v>43014</v>
      </c>
      <c r="F371" s="6" t="s">
        <v>1606</v>
      </c>
      <c r="G371" s="7"/>
      <c r="H371" s="7" t="s">
        <v>75</v>
      </c>
      <c r="I371" s="7" t="s">
        <v>32</v>
      </c>
      <c r="J371" s="7"/>
      <c r="K371" s="29">
        <v>412057</v>
      </c>
      <c r="L371" s="46" t="s">
        <v>791</v>
      </c>
      <c r="M371" s="10" t="s">
        <v>816</v>
      </c>
      <c r="N371" s="10" t="s">
        <v>817</v>
      </c>
      <c r="O371" s="11" t="s">
        <v>818</v>
      </c>
      <c r="P371" s="12">
        <v>41638</v>
      </c>
      <c r="Q371" s="13">
        <f t="shared" ca="1" si="198"/>
        <v>11.728952772073923</v>
      </c>
      <c r="R371" s="14">
        <v>4</v>
      </c>
      <c r="S371" s="15">
        <v>872</v>
      </c>
      <c r="T371" s="8">
        <v>872</v>
      </c>
      <c r="U371" s="16">
        <v>45017</v>
      </c>
      <c r="V371" s="17">
        <v>1</v>
      </c>
      <c r="W371" s="16">
        <v>45382</v>
      </c>
      <c r="X371" s="14">
        <v>192</v>
      </c>
      <c r="Y371" s="18">
        <f t="shared" si="193"/>
        <v>192</v>
      </c>
      <c r="Z371" s="18">
        <f t="shared" si="212"/>
        <v>1</v>
      </c>
      <c r="AA371" s="18" t="s">
        <v>36</v>
      </c>
      <c r="AB371" s="26" t="s">
        <v>794</v>
      </c>
      <c r="AC371" s="26" t="s">
        <v>794</v>
      </c>
      <c r="AD371" s="26" t="s">
        <v>1893</v>
      </c>
      <c r="AE371" s="147" t="str">
        <f t="shared" si="184"/>
        <v>0</v>
      </c>
      <c r="AF371" s="147" t="str">
        <f t="shared" si="199"/>
        <v>0</v>
      </c>
      <c r="AG371" s="147" t="str">
        <f t="shared" si="185"/>
        <v>1</v>
      </c>
      <c r="AH371" s="147" t="str">
        <f t="shared" si="200"/>
        <v>NO</v>
      </c>
      <c r="AI371" s="147" t="str">
        <f t="shared" si="201"/>
        <v>YES</v>
      </c>
      <c r="AJ371" s="147" t="str">
        <f t="shared" si="202"/>
        <v>NO</v>
      </c>
      <c r="AK371" s="147" t="str">
        <f t="shared" si="203"/>
        <v>NO</v>
      </c>
      <c r="AL371" s="21">
        <v>10152</v>
      </c>
      <c r="AM371" s="21">
        <f t="shared" si="214"/>
        <v>10152</v>
      </c>
      <c r="AN371" s="27" t="s">
        <v>37</v>
      </c>
      <c r="AO371" s="21">
        <v>1</v>
      </c>
      <c r="AP371" s="21">
        <f t="shared" si="211"/>
        <v>1</v>
      </c>
      <c r="AQ371" s="149">
        <f t="shared" si="183"/>
        <v>10152</v>
      </c>
      <c r="AR371" s="21">
        <v>10152</v>
      </c>
      <c r="AS371" s="610">
        <v>10152</v>
      </c>
      <c r="AT371" s="112">
        <v>10152</v>
      </c>
      <c r="AU371" s="4"/>
      <c r="AV371" s="4"/>
      <c r="AW371" s="23" t="e">
        <f>VLOOKUP(K371,#REF!,8,FALSE)</f>
        <v>#REF!</v>
      </c>
      <c r="AX371" s="23" t="e">
        <f>VLOOKUP(K371,#REF!,8,FALSE)</f>
        <v>#REF!</v>
      </c>
      <c r="AY371" s="23" t="e">
        <f>VLOOKUP(K371,#REF!,8,FALSE)</f>
        <v>#REF!</v>
      </c>
      <c r="AZ371" s="4"/>
      <c r="BA371" s="272"/>
      <c r="BB371" s="313">
        <f t="shared" si="209"/>
        <v>0</v>
      </c>
      <c r="BC371" s="269">
        <f t="shared" si="208"/>
        <v>10152</v>
      </c>
      <c r="BD371" t="str">
        <f t="shared" si="210"/>
        <v/>
      </c>
      <c r="BP371" s="166">
        <f t="shared" si="204"/>
        <v>10152</v>
      </c>
      <c r="BS371" s="165"/>
      <c r="BX371" s="495">
        <f t="shared" si="205"/>
        <v>10152</v>
      </c>
      <c r="BZ371" s="636">
        <f t="shared" si="191"/>
        <v>0</v>
      </c>
      <c r="CA371" s="633">
        <f t="shared" si="192"/>
        <v>0</v>
      </c>
    </row>
    <row r="372" spans="1:79" x14ac:dyDescent="0.2">
      <c r="A372" s="4">
        <v>0</v>
      </c>
      <c r="B372" s="4">
        <v>1</v>
      </c>
      <c r="C372" s="5">
        <f t="shared" si="194"/>
        <v>41119</v>
      </c>
      <c r="D372" s="6">
        <v>41119</v>
      </c>
      <c r="E372" s="6">
        <v>43014</v>
      </c>
      <c r="F372" s="6" t="s">
        <v>1606</v>
      </c>
      <c r="G372" s="7"/>
      <c r="H372" s="7" t="s">
        <v>75</v>
      </c>
      <c r="I372" s="7" t="s">
        <v>32</v>
      </c>
      <c r="J372" s="7"/>
      <c r="K372" s="29">
        <v>419910</v>
      </c>
      <c r="L372" s="46" t="s">
        <v>791</v>
      </c>
      <c r="M372" s="10" t="s">
        <v>819</v>
      </c>
      <c r="N372" s="10" t="s">
        <v>820</v>
      </c>
      <c r="O372" s="11" t="s">
        <v>821</v>
      </c>
      <c r="P372" s="12">
        <v>42201</v>
      </c>
      <c r="Q372" s="13">
        <f t="shared" ca="1" si="198"/>
        <v>10.18754277891855</v>
      </c>
      <c r="R372" s="14">
        <v>3</v>
      </c>
      <c r="S372" s="15">
        <v>872</v>
      </c>
      <c r="T372" s="8">
        <v>872</v>
      </c>
      <c r="U372" s="359">
        <v>45017</v>
      </c>
      <c r="V372" s="17">
        <v>1</v>
      </c>
      <c r="W372" s="359">
        <v>45017</v>
      </c>
      <c r="X372" s="14">
        <v>0</v>
      </c>
      <c r="Y372" s="18">
        <f t="shared" si="193"/>
        <v>0</v>
      </c>
      <c r="Z372" s="18">
        <f t="shared" si="212"/>
        <v>0</v>
      </c>
      <c r="AA372" s="18" t="s">
        <v>36</v>
      </c>
      <c r="AB372" s="26" t="s">
        <v>794</v>
      </c>
      <c r="AC372" s="26" t="s">
        <v>794</v>
      </c>
      <c r="AD372" s="26" t="s">
        <v>1893</v>
      </c>
      <c r="AE372" s="147" t="str">
        <f t="shared" si="184"/>
        <v>0</v>
      </c>
      <c r="AF372" s="147" t="str">
        <f t="shared" si="199"/>
        <v>0</v>
      </c>
      <c r="AG372" s="147" t="str">
        <f t="shared" si="185"/>
        <v>1</v>
      </c>
      <c r="AH372" s="147" t="str">
        <f t="shared" si="200"/>
        <v>NO</v>
      </c>
      <c r="AI372" s="147" t="str">
        <f t="shared" si="201"/>
        <v>YES</v>
      </c>
      <c r="AJ372" s="147" t="str">
        <f t="shared" si="202"/>
        <v>NO</v>
      </c>
      <c r="AK372" s="147" t="str">
        <f t="shared" si="203"/>
        <v>NO</v>
      </c>
      <c r="AL372" s="21">
        <v>10152</v>
      </c>
      <c r="AM372" s="21">
        <f t="shared" si="214"/>
        <v>10152</v>
      </c>
      <c r="AN372" s="27" t="s">
        <v>37</v>
      </c>
      <c r="AO372" s="21">
        <v>1</v>
      </c>
      <c r="AP372" s="21">
        <f t="shared" si="211"/>
        <v>0</v>
      </c>
      <c r="AQ372" s="149">
        <f t="shared" si="183"/>
        <v>0</v>
      </c>
      <c r="AR372" s="21">
        <v>0</v>
      </c>
      <c r="AS372" s="610">
        <v>10152</v>
      </c>
      <c r="AT372" s="112">
        <v>0</v>
      </c>
      <c r="AU372" s="4"/>
      <c r="AV372" s="4"/>
      <c r="AW372" s="23" t="e">
        <f>VLOOKUP(K372,#REF!,8,FALSE)</f>
        <v>#REF!</v>
      </c>
      <c r="AX372" s="23" t="e">
        <f>VLOOKUP(K372,#REF!,8,FALSE)</f>
        <v>#REF!</v>
      </c>
      <c r="AY372" s="23" t="e">
        <f>VLOOKUP(K372,#REF!,8,FALSE)</f>
        <v>#REF!</v>
      </c>
      <c r="AZ372" s="4"/>
      <c r="BA372" s="272"/>
      <c r="BB372" s="313">
        <f t="shared" si="209"/>
        <v>0</v>
      </c>
      <c r="BC372" s="269">
        <f t="shared" si="208"/>
        <v>0</v>
      </c>
      <c r="BD372" t="str">
        <f t="shared" si="210"/>
        <v/>
      </c>
      <c r="BP372" s="166">
        <f t="shared" si="204"/>
        <v>0</v>
      </c>
      <c r="BS372" s="165"/>
      <c r="BX372" s="495">
        <f t="shared" si="205"/>
        <v>0</v>
      </c>
      <c r="BZ372" s="636">
        <f t="shared" si="191"/>
        <v>0</v>
      </c>
      <c r="CA372" s="633">
        <f t="shared" si="192"/>
        <v>-10152</v>
      </c>
    </row>
    <row r="373" spans="1:79" x14ac:dyDescent="0.2">
      <c r="A373" s="4">
        <v>1</v>
      </c>
      <c r="B373" s="4">
        <v>1</v>
      </c>
      <c r="C373" s="5">
        <f t="shared" si="194"/>
        <v>41119</v>
      </c>
      <c r="D373" s="6">
        <v>41119</v>
      </c>
      <c r="E373" s="6">
        <v>43011</v>
      </c>
      <c r="F373" s="6" t="s">
        <v>1606</v>
      </c>
      <c r="G373" s="7"/>
      <c r="H373" s="7"/>
      <c r="I373" s="7" t="s">
        <v>32</v>
      </c>
      <c r="J373" s="7"/>
      <c r="K373" s="29">
        <v>407177</v>
      </c>
      <c r="L373" s="10" t="s">
        <v>791</v>
      </c>
      <c r="M373" s="10" t="s">
        <v>822</v>
      </c>
      <c r="N373" s="10" t="s">
        <v>823</v>
      </c>
      <c r="O373" s="11" t="s">
        <v>824</v>
      </c>
      <c r="P373" s="12">
        <v>41291</v>
      </c>
      <c r="Q373" s="13">
        <f t="shared" ca="1" si="198"/>
        <v>12.678986995208762</v>
      </c>
      <c r="R373" s="14">
        <v>5</v>
      </c>
      <c r="S373" s="15">
        <v>872</v>
      </c>
      <c r="T373" s="8">
        <v>872</v>
      </c>
      <c r="U373" s="16">
        <v>45017</v>
      </c>
      <c r="V373" s="17">
        <v>1</v>
      </c>
      <c r="W373" s="16">
        <v>45382</v>
      </c>
      <c r="X373" s="14">
        <v>192</v>
      </c>
      <c r="Y373" s="18">
        <f t="shared" si="193"/>
        <v>192</v>
      </c>
      <c r="Z373" s="18">
        <f t="shared" si="212"/>
        <v>1</v>
      </c>
      <c r="AA373" s="18" t="s">
        <v>36</v>
      </c>
      <c r="AB373" s="26">
        <v>22</v>
      </c>
      <c r="AC373" s="26"/>
      <c r="AD373" s="26"/>
      <c r="AE373" s="147" t="str">
        <f t="shared" si="184"/>
        <v>1</v>
      </c>
      <c r="AF373" s="147" t="str">
        <f t="shared" si="199"/>
        <v>0</v>
      </c>
      <c r="AG373" s="147" t="str">
        <f t="shared" si="185"/>
        <v>0</v>
      </c>
      <c r="AH373" s="147" t="str">
        <f t="shared" si="200"/>
        <v>NO</v>
      </c>
      <c r="AI373" s="147" t="str">
        <f t="shared" si="201"/>
        <v>NO</v>
      </c>
      <c r="AJ373" s="147" t="str">
        <f t="shared" si="202"/>
        <v>NO</v>
      </c>
      <c r="AK373" s="147" t="str">
        <f t="shared" si="203"/>
        <v>NO</v>
      </c>
      <c r="AL373" s="21"/>
      <c r="AM373" s="21">
        <f t="shared" si="214"/>
        <v>4400.9399999999987</v>
      </c>
      <c r="AN373" s="27" t="s">
        <v>56</v>
      </c>
      <c r="AO373" s="21">
        <v>1</v>
      </c>
      <c r="AP373" s="21">
        <f t="shared" si="211"/>
        <v>1</v>
      </c>
      <c r="AQ373" s="149">
        <f t="shared" si="183"/>
        <v>4400.9399999999987</v>
      </c>
      <c r="AR373" s="21">
        <v>4400.9399999999987</v>
      </c>
      <c r="AS373" s="610">
        <v>4400.9399999999987</v>
      </c>
      <c r="AT373" s="112">
        <v>4400.9399999999987</v>
      </c>
      <c r="AU373" s="4"/>
      <c r="AV373" s="4"/>
      <c r="AW373" s="23" t="e">
        <f>VLOOKUP(K373,#REF!,8,FALSE)</f>
        <v>#REF!</v>
      </c>
      <c r="AX373" s="23" t="e">
        <f>VLOOKUP(K373,#REF!,8,FALSE)</f>
        <v>#REF!</v>
      </c>
      <c r="AY373" s="23" t="e">
        <f>VLOOKUP(K373,#REF!,8,FALSE)</f>
        <v>#REF!</v>
      </c>
      <c r="AZ373" s="4"/>
      <c r="BA373" s="272"/>
      <c r="BB373" s="313">
        <f t="shared" si="209"/>
        <v>0</v>
      </c>
      <c r="BC373" s="269">
        <f t="shared" si="208"/>
        <v>4400.9399999999987</v>
      </c>
      <c r="BD373" t="str">
        <f t="shared" si="210"/>
        <v/>
      </c>
      <c r="BP373" s="166">
        <f t="shared" si="204"/>
        <v>4400.9399999999987</v>
      </c>
      <c r="BS373" s="165"/>
      <c r="BX373" s="495">
        <f t="shared" si="205"/>
        <v>4400.9399999999987</v>
      </c>
      <c r="BZ373" s="636">
        <f t="shared" si="191"/>
        <v>0</v>
      </c>
      <c r="CA373" s="633">
        <f t="shared" si="192"/>
        <v>0</v>
      </c>
    </row>
    <row r="374" spans="1:79" x14ac:dyDescent="0.2">
      <c r="A374" s="4">
        <v>1</v>
      </c>
      <c r="B374" s="4">
        <v>1</v>
      </c>
      <c r="C374" s="5">
        <f t="shared" si="194"/>
        <v>41119</v>
      </c>
      <c r="D374" s="6">
        <v>41119</v>
      </c>
      <c r="E374" s="6">
        <v>43011</v>
      </c>
      <c r="F374" s="6" t="s">
        <v>1606</v>
      </c>
      <c r="G374" s="7"/>
      <c r="H374" s="7"/>
      <c r="I374" s="7" t="s">
        <v>32</v>
      </c>
      <c r="J374" s="7"/>
      <c r="K374" s="29">
        <v>435808</v>
      </c>
      <c r="L374" s="10" t="s">
        <v>791</v>
      </c>
      <c r="M374" s="10" t="s">
        <v>40</v>
      </c>
      <c r="N374" s="10" t="s">
        <v>825</v>
      </c>
      <c r="O374" s="11" t="s">
        <v>826</v>
      </c>
      <c r="P374" s="12">
        <v>41002</v>
      </c>
      <c r="Q374" s="13">
        <f t="shared" ca="1" si="198"/>
        <v>13.470225872689939</v>
      </c>
      <c r="R374" s="14">
        <v>6</v>
      </c>
      <c r="S374" s="15">
        <v>872</v>
      </c>
      <c r="T374" s="8">
        <v>872</v>
      </c>
      <c r="U374" s="16">
        <v>45017</v>
      </c>
      <c r="V374" s="17">
        <v>1</v>
      </c>
      <c r="W374" s="16">
        <v>45128</v>
      </c>
      <c r="X374" s="14">
        <v>63</v>
      </c>
      <c r="Y374" s="18">
        <f t="shared" si="193"/>
        <v>63</v>
      </c>
      <c r="Z374" s="18">
        <f t="shared" si="212"/>
        <v>0.328125</v>
      </c>
      <c r="AA374" s="18" t="s">
        <v>48</v>
      </c>
      <c r="AB374" s="26">
        <v>25</v>
      </c>
      <c r="AC374" s="26"/>
      <c r="AD374" s="26"/>
      <c r="AE374" s="147" t="str">
        <f t="shared" si="184"/>
        <v>1</v>
      </c>
      <c r="AF374" s="147" t="str">
        <f t="shared" si="199"/>
        <v>0</v>
      </c>
      <c r="AG374" s="147" t="str">
        <f t="shared" si="185"/>
        <v>0</v>
      </c>
      <c r="AH374" s="147" t="str">
        <f t="shared" si="200"/>
        <v>NO</v>
      </c>
      <c r="AI374" s="147" t="str">
        <f t="shared" si="201"/>
        <v>NO</v>
      </c>
      <c r="AJ374" s="147" t="str">
        <f t="shared" si="202"/>
        <v>NO</v>
      </c>
      <c r="AK374" s="147" t="str">
        <f t="shared" si="203"/>
        <v>NO</v>
      </c>
      <c r="AL374" s="21"/>
      <c r="AM374" s="21">
        <f t="shared" si="214"/>
        <v>5819.25</v>
      </c>
      <c r="AN374" s="27" t="s">
        <v>66</v>
      </c>
      <c r="AO374" s="21">
        <v>1</v>
      </c>
      <c r="AP374" s="21">
        <f t="shared" si="211"/>
        <v>0.328125</v>
      </c>
      <c r="AQ374" s="149">
        <f t="shared" si="183"/>
        <v>1909.44140625</v>
      </c>
      <c r="AR374" s="21">
        <v>1909.44140625</v>
      </c>
      <c r="AS374" s="610">
        <v>1909.44140625</v>
      </c>
      <c r="AT374" s="112">
        <v>1909.44140625</v>
      </c>
      <c r="AU374" s="4"/>
      <c r="AV374" s="4"/>
      <c r="AW374" s="23" t="e">
        <f>VLOOKUP(K374,#REF!,8,FALSE)</f>
        <v>#REF!</v>
      </c>
      <c r="AX374" s="264" t="s">
        <v>2208</v>
      </c>
      <c r="AY374" s="23" t="e">
        <f>VLOOKUP(K374,#REF!,8,FALSE)</f>
        <v>#REF!</v>
      </c>
      <c r="AZ374" s="23" t="s">
        <v>75</v>
      </c>
      <c r="BA374" s="273">
        <f>AM374/3*2</f>
        <v>3879.5</v>
      </c>
      <c r="BB374" s="313">
        <f t="shared" si="209"/>
        <v>0</v>
      </c>
      <c r="BC374" s="269">
        <f t="shared" ref="BC374:BC405" si="215">AR374</f>
        <v>1909.44140625</v>
      </c>
      <c r="BD374" t="e">
        <f t="shared" si="210"/>
        <v>#REF!</v>
      </c>
      <c r="BE374" t="s">
        <v>2396</v>
      </c>
      <c r="BH374" t="e">
        <f>VLOOKUP(K374,#REF!,8,FALSE)</f>
        <v>#REF!</v>
      </c>
      <c r="BJ374">
        <f>AB374</f>
        <v>25</v>
      </c>
      <c r="BK374" s="269">
        <f>AM374</f>
        <v>5819.25</v>
      </c>
      <c r="BL374" s="353"/>
      <c r="BM374" s="353" t="s">
        <v>75</v>
      </c>
      <c r="BN374" s="353"/>
      <c r="BO374" s="106">
        <f>BK374/192*127</f>
        <v>3849.19140625</v>
      </c>
      <c r="BP374" s="166">
        <f t="shared" si="204"/>
        <v>5758.6328125</v>
      </c>
      <c r="BQ374" s="106">
        <v>3849.19140625</v>
      </c>
      <c r="BR374" t="s">
        <v>2446</v>
      </c>
      <c r="BS374" s="165"/>
      <c r="BX374" s="495">
        <f t="shared" si="205"/>
        <v>5758.6328125</v>
      </c>
      <c r="BZ374" s="636">
        <f t="shared" si="191"/>
        <v>0</v>
      </c>
      <c r="CA374" s="633">
        <f t="shared" si="192"/>
        <v>3849.19140625</v>
      </c>
    </row>
    <row r="375" spans="1:79" x14ac:dyDescent="0.2">
      <c r="A375" s="4">
        <v>1</v>
      </c>
      <c r="B375" s="4">
        <v>1</v>
      </c>
      <c r="C375" s="5">
        <f t="shared" si="194"/>
        <v>41119</v>
      </c>
      <c r="D375" s="6">
        <v>41119</v>
      </c>
      <c r="E375" s="6">
        <v>43011</v>
      </c>
      <c r="F375" s="6" t="s">
        <v>1606</v>
      </c>
      <c r="G375" s="7"/>
      <c r="H375" s="7"/>
      <c r="I375" s="7" t="s">
        <v>32</v>
      </c>
      <c r="J375" s="7"/>
      <c r="K375" s="29">
        <v>421524</v>
      </c>
      <c r="L375" s="10" t="s">
        <v>791</v>
      </c>
      <c r="M375" s="10" t="s">
        <v>827</v>
      </c>
      <c r="N375" s="10" t="s">
        <v>828</v>
      </c>
      <c r="O375" s="11" t="s">
        <v>829</v>
      </c>
      <c r="P375" s="12">
        <v>42144</v>
      </c>
      <c r="Q375" s="13">
        <f t="shared" ca="1" si="198"/>
        <v>10.343600273785079</v>
      </c>
      <c r="R375" s="14">
        <v>3</v>
      </c>
      <c r="S375" s="15">
        <v>872</v>
      </c>
      <c r="T375" s="8">
        <v>872</v>
      </c>
      <c r="U375" s="16">
        <v>45017</v>
      </c>
      <c r="V375" s="17">
        <v>1</v>
      </c>
      <c r="W375" s="16">
        <v>45382</v>
      </c>
      <c r="X375" s="14">
        <v>192</v>
      </c>
      <c r="Y375" s="18">
        <f t="shared" si="193"/>
        <v>192</v>
      </c>
      <c r="Z375" s="18">
        <f t="shared" si="212"/>
        <v>1</v>
      </c>
      <c r="AA375" s="18" t="s">
        <v>36</v>
      </c>
      <c r="AB375" s="26">
        <v>22008</v>
      </c>
      <c r="AC375" s="26"/>
      <c r="AD375" s="26"/>
      <c r="AE375" s="147" t="str">
        <f t="shared" si="184"/>
        <v>0</v>
      </c>
      <c r="AF375" s="147" t="str">
        <f t="shared" si="199"/>
        <v>0</v>
      </c>
      <c r="AG375" s="147" t="str">
        <f t="shared" si="185"/>
        <v>1</v>
      </c>
      <c r="AH375" s="147" t="str">
        <f t="shared" si="200"/>
        <v>NO</v>
      </c>
      <c r="AI375" s="147" t="str">
        <f t="shared" si="201"/>
        <v>NO</v>
      </c>
      <c r="AJ375" s="147" t="str">
        <f t="shared" si="202"/>
        <v>NO</v>
      </c>
      <c r="AK375" s="147" t="str">
        <f t="shared" si="203"/>
        <v>NO</v>
      </c>
      <c r="AL375" s="21"/>
      <c r="AM375" s="21">
        <v>22008</v>
      </c>
      <c r="AN375" s="27" t="s">
        <v>56</v>
      </c>
      <c r="AO375" s="21">
        <v>1</v>
      </c>
      <c r="AP375" s="21">
        <f t="shared" si="211"/>
        <v>1</v>
      </c>
      <c r="AQ375" s="149">
        <f t="shared" si="183"/>
        <v>22008</v>
      </c>
      <c r="AR375" s="21">
        <v>22008</v>
      </c>
      <c r="AS375" s="610">
        <v>0</v>
      </c>
      <c r="AT375" s="112">
        <v>22008</v>
      </c>
      <c r="AU375" s="4"/>
      <c r="AV375" s="4"/>
      <c r="AW375" s="23" t="e">
        <f>VLOOKUP(K375,#REF!,8,FALSE)</f>
        <v>#REF!</v>
      </c>
      <c r="AX375" s="23" t="e">
        <f>VLOOKUP(K375,#REF!,8,FALSE)</f>
        <v>#REF!</v>
      </c>
      <c r="AY375" s="23" t="e">
        <f>VLOOKUP(K375,#REF!,8,FALSE)</f>
        <v>#REF!</v>
      </c>
      <c r="AZ375" s="4"/>
      <c r="BA375" s="272"/>
      <c r="BB375" s="313">
        <f t="shared" si="209"/>
        <v>0</v>
      </c>
      <c r="BC375" s="269">
        <f t="shared" si="215"/>
        <v>22008</v>
      </c>
      <c r="BD375" t="str">
        <f t="shared" si="210"/>
        <v/>
      </c>
      <c r="BP375" s="166">
        <f t="shared" si="204"/>
        <v>22008</v>
      </c>
      <c r="BS375" s="165"/>
      <c r="BX375" s="495">
        <f t="shared" si="205"/>
        <v>22008</v>
      </c>
      <c r="BZ375" s="636">
        <f t="shared" si="191"/>
        <v>0</v>
      </c>
      <c r="CA375" s="633">
        <f t="shared" si="192"/>
        <v>22008</v>
      </c>
    </row>
    <row r="376" spans="1:79" x14ac:dyDescent="0.2">
      <c r="A376" s="4">
        <v>1</v>
      </c>
      <c r="B376" s="4">
        <v>1</v>
      </c>
      <c r="C376" s="5">
        <f t="shared" si="194"/>
        <v>41119</v>
      </c>
      <c r="D376" s="6">
        <v>41119</v>
      </c>
      <c r="E376" s="6">
        <v>43011</v>
      </c>
      <c r="F376" s="6" t="s">
        <v>1606</v>
      </c>
      <c r="G376" s="7"/>
      <c r="H376" s="7"/>
      <c r="I376" s="7" t="s">
        <v>32</v>
      </c>
      <c r="J376" s="7"/>
      <c r="K376" s="29">
        <v>415924</v>
      </c>
      <c r="L376" s="10" t="s">
        <v>791</v>
      </c>
      <c r="M376" s="10" t="s">
        <v>830</v>
      </c>
      <c r="N376" s="10" t="s">
        <v>831</v>
      </c>
      <c r="O376" s="11" t="s">
        <v>832</v>
      </c>
      <c r="P376" s="12">
        <v>41676</v>
      </c>
      <c r="Q376" s="13">
        <f t="shared" ca="1" si="198"/>
        <v>11.624914442162902</v>
      </c>
      <c r="R376" s="14">
        <v>4</v>
      </c>
      <c r="S376" s="15">
        <v>872</v>
      </c>
      <c r="T376" s="8">
        <v>872</v>
      </c>
      <c r="U376" s="16">
        <v>45017</v>
      </c>
      <c r="V376" s="17">
        <v>1</v>
      </c>
      <c r="W376" s="16">
        <v>45382</v>
      </c>
      <c r="X376" s="14">
        <v>192</v>
      </c>
      <c r="Y376" s="18">
        <f t="shared" si="193"/>
        <v>192</v>
      </c>
      <c r="Z376" s="18">
        <f t="shared" si="212"/>
        <v>1</v>
      </c>
      <c r="AA376" s="18" t="s">
        <v>36</v>
      </c>
      <c r="AB376" s="26">
        <v>25</v>
      </c>
      <c r="AC376" s="26"/>
      <c r="AD376" s="26"/>
      <c r="AE376" s="147" t="str">
        <f t="shared" si="184"/>
        <v>1</v>
      </c>
      <c r="AF376" s="147" t="str">
        <f t="shared" si="199"/>
        <v>0</v>
      </c>
      <c r="AG376" s="147" t="str">
        <f t="shared" si="185"/>
        <v>0</v>
      </c>
      <c r="AH376" s="147" t="str">
        <f t="shared" si="200"/>
        <v>NO</v>
      </c>
      <c r="AI376" s="147" t="str">
        <f t="shared" si="201"/>
        <v>NO</v>
      </c>
      <c r="AJ376" s="147" t="str">
        <f t="shared" si="202"/>
        <v>NO</v>
      </c>
      <c r="AK376" s="147" t="str">
        <f t="shared" si="203"/>
        <v>NO</v>
      </c>
      <c r="AL376" s="21"/>
      <c r="AM376" s="21">
        <f>IF(H376="Y",AL376,((AB376*$O$902)-6000))</f>
        <v>5819.25</v>
      </c>
      <c r="AN376" s="27" t="s">
        <v>56</v>
      </c>
      <c r="AO376" s="21">
        <v>1</v>
      </c>
      <c r="AP376" s="21">
        <f t="shared" si="211"/>
        <v>1</v>
      </c>
      <c r="AQ376" s="149">
        <f t="shared" si="183"/>
        <v>5819.25</v>
      </c>
      <c r="AR376" s="21">
        <v>5819.25</v>
      </c>
      <c r="AS376" s="610">
        <v>5819.25</v>
      </c>
      <c r="AT376" s="112">
        <v>5819.25</v>
      </c>
      <c r="AU376" s="4"/>
      <c r="AV376" s="4"/>
      <c r="AW376" s="23" t="e">
        <f>VLOOKUP(K376,#REF!,8,FALSE)</f>
        <v>#REF!</v>
      </c>
      <c r="AX376" s="23" t="e">
        <f>VLOOKUP(K376,#REF!,8,FALSE)</f>
        <v>#REF!</v>
      </c>
      <c r="AY376" s="23" t="e">
        <f>VLOOKUP(K376,#REF!,8,FALSE)</f>
        <v>#REF!</v>
      </c>
      <c r="AZ376" s="4"/>
      <c r="BA376" s="272"/>
      <c r="BB376" s="313">
        <f t="shared" si="209"/>
        <v>0</v>
      </c>
      <c r="BC376" s="269">
        <f t="shared" si="215"/>
        <v>5819.25</v>
      </c>
      <c r="BD376" t="str">
        <f t="shared" si="210"/>
        <v/>
      </c>
      <c r="BP376" s="166">
        <f t="shared" si="204"/>
        <v>5819.25</v>
      </c>
      <c r="BS376" s="165"/>
      <c r="BX376" s="495">
        <f t="shared" si="205"/>
        <v>5819.25</v>
      </c>
      <c r="BZ376" s="636">
        <f t="shared" si="191"/>
        <v>0</v>
      </c>
      <c r="CA376" s="633">
        <f t="shared" si="192"/>
        <v>0</v>
      </c>
    </row>
    <row r="377" spans="1:79" x14ac:dyDescent="0.2">
      <c r="A377" s="4">
        <v>1</v>
      </c>
      <c r="B377" s="4">
        <v>1</v>
      </c>
      <c r="C377" s="5">
        <f t="shared" si="194"/>
        <v>41119</v>
      </c>
      <c r="D377" s="6">
        <v>41119</v>
      </c>
      <c r="E377" s="6">
        <v>43011</v>
      </c>
      <c r="F377" s="6" t="s">
        <v>1606</v>
      </c>
      <c r="G377" s="7"/>
      <c r="H377" s="7"/>
      <c r="I377" s="7" t="s">
        <v>32</v>
      </c>
      <c r="J377" s="7"/>
      <c r="K377" s="29">
        <v>437274</v>
      </c>
      <c r="L377" s="10" t="s">
        <v>791</v>
      </c>
      <c r="M377" s="10" t="s">
        <v>126</v>
      </c>
      <c r="N377" s="10" t="s">
        <v>833</v>
      </c>
      <c r="O377" s="11" t="s">
        <v>834</v>
      </c>
      <c r="P377" s="12">
        <v>43204</v>
      </c>
      <c r="Q377" s="13">
        <f t="shared" ca="1" si="198"/>
        <v>7.4414784394250511</v>
      </c>
      <c r="R377" s="14">
        <v>0</v>
      </c>
      <c r="S377" s="15">
        <v>872</v>
      </c>
      <c r="T377" s="8">
        <v>872</v>
      </c>
      <c r="U377" s="16">
        <v>45017</v>
      </c>
      <c r="V377" s="17">
        <v>1</v>
      </c>
      <c r="W377" s="16">
        <v>45382</v>
      </c>
      <c r="X377" s="14">
        <v>192</v>
      </c>
      <c r="Y377" s="18">
        <f t="shared" si="193"/>
        <v>192</v>
      </c>
      <c r="Z377" s="18">
        <f t="shared" si="212"/>
        <v>1</v>
      </c>
      <c r="AA377" s="18" t="s">
        <v>36</v>
      </c>
      <c r="AB377" s="26">
        <v>26</v>
      </c>
      <c r="AC377" s="26"/>
      <c r="AD377" s="26"/>
      <c r="AE377" s="147" t="str">
        <f t="shared" si="184"/>
        <v>0</v>
      </c>
      <c r="AF377" s="147" t="str">
        <f t="shared" si="199"/>
        <v>1</v>
      </c>
      <c r="AG377" s="147" t="str">
        <f t="shared" si="185"/>
        <v>0</v>
      </c>
      <c r="AH377" s="147" t="str">
        <f t="shared" si="200"/>
        <v>NO</v>
      </c>
      <c r="AI377" s="147" t="str">
        <f t="shared" si="201"/>
        <v>NO</v>
      </c>
      <c r="AJ377" s="147" t="str">
        <f t="shared" si="202"/>
        <v>NO</v>
      </c>
      <c r="AK377" s="147" t="str">
        <f t="shared" si="203"/>
        <v>NO</v>
      </c>
      <c r="AL377" s="21"/>
      <c r="AM377" s="21">
        <f>IF(H377="Y",AL377,((AB377*$O$902)-6000))</f>
        <v>6292.02</v>
      </c>
      <c r="AN377" s="27" t="s">
        <v>43</v>
      </c>
      <c r="AO377" s="21">
        <v>1</v>
      </c>
      <c r="AP377" s="21">
        <f t="shared" si="211"/>
        <v>1</v>
      </c>
      <c r="AQ377" s="149">
        <f t="shared" si="183"/>
        <v>6292.02</v>
      </c>
      <c r="AR377" s="21">
        <v>6292.02</v>
      </c>
      <c r="AS377" s="610">
        <v>6292.02</v>
      </c>
      <c r="AT377" s="112">
        <v>6292.02</v>
      </c>
      <c r="AU377" s="4"/>
      <c r="AV377" s="4"/>
      <c r="AW377" s="23" t="e">
        <f>VLOOKUP(K377,#REF!,8,FALSE)</f>
        <v>#REF!</v>
      </c>
      <c r="AX377" s="23" t="e">
        <f>VLOOKUP(K377,#REF!,8,FALSE)</f>
        <v>#REF!</v>
      </c>
      <c r="AY377" s="23" t="e">
        <f>VLOOKUP(K377,#REF!,8,FALSE)</f>
        <v>#REF!</v>
      </c>
      <c r="AZ377" s="4"/>
      <c r="BA377" s="272"/>
      <c r="BB377" s="313">
        <f t="shared" si="209"/>
        <v>0</v>
      </c>
      <c r="BC377" s="269">
        <f t="shared" si="215"/>
        <v>6292.02</v>
      </c>
      <c r="BD377" t="str">
        <f t="shared" si="210"/>
        <v/>
      </c>
      <c r="BP377" s="166">
        <f t="shared" si="204"/>
        <v>6292.02</v>
      </c>
      <c r="BS377" s="165"/>
      <c r="BX377" s="495">
        <f t="shared" si="205"/>
        <v>6292.02</v>
      </c>
      <c r="BZ377" s="636">
        <f t="shared" si="191"/>
        <v>0</v>
      </c>
      <c r="CA377" s="633">
        <f t="shared" si="192"/>
        <v>0</v>
      </c>
    </row>
    <row r="378" spans="1:79" x14ac:dyDescent="0.2">
      <c r="A378" s="4">
        <v>1</v>
      </c>
      <c r="B378" s="4">
        <v>1</v>
      </c>
      <c r="C378" s="5">
        <f t="shared" si="194"/>
        <v>41119</v>
      </c>
      <c r="D378" s="6">
        <v>41119</v>
      </c>
      <c r="E378" s="6">
        <v>43011</v>
      </c>
      <c r="F378" s="6" t="s">
        <v>1606</v>
      </c>
      <c r="G378" s="7"/>
      <c r="H378" s="7"/>
      <c r="I378" s="7" t="s">
        <v>32</v>
      </c>
      <c r="J378" s="7"/>
      <c r="K378" s="29">
        <v>420020</v>
      </c>
      <c r="L378" s="10" t="s">
        <v>791</v>
      </c>
      <c r="M378" s="10" t="s">
        <v>835</v>
      </c>
      <c r="N378" s="10" t="s">
        <v>836</v>
      </c>
      <c r="O378" s="11" t="s">
        <v>837</v>
      </c>
      <c r="P378" s="12">
        <v>42008</v>
      </c>
      <c r="Q378" s="13">
        <f t="shared" ca="1" si="198"/>
        <v>10.715947980835045</v>
      </c>
      <c r="R378" s="14">
        <v>3</v>
      </c>
      <c r="S378" s="15">
        <v>872</v>
      </c>
      <c r="T378" s="8">
        <v>872</v>
      </c>
      <c r="U378" s="16">
        <v>45017</v>
      </c>
      <c r="V378" s="17">
        <v>1</v>
      </c>
      <c r="W378" s="16">
        <v>45128</v>
      </c>
      <c r="X378" s="14">
        <v>63</v>
      </c>
      <c r="Y378" s="18">
        <f t="shared" si="193"/>
        <v>63</v>
      </c>
      <c r="Z378" s="18">
        <f t="shared" si="212"/>
        <v>0.328125</v>
      </c>
      <c r="AA378" s="39">
        <v>45128</v>
      </c>
      <c r="AB378" s="26">
        <v>42220.55</v>
      </c>
      <c r="AC378" s="26"/>
      <c r="AD378" s="26"/>
      <c r="AE378" s="147" t="str">
        <f t="shared" si="184"/>
        <v>0</v>
      </c>
      <c r="AF378" s="147" t="str">
        <f t="shared" si="199"/>
        <v>0</v>
      </c>
      <c r="AG378" s="147" t="str">
        <f t="shared" si="185"/>
        <v>1</v>
      </c>
      <c r="AH378" s="147" t="str">
        <f t="shared" si="200"/>
        <v>NO</v>
      </c>
      <c r="AI378" s="147" t="str">
        <f t="shared" si="201"/>
        <v>NO</v>
      </c>
      <c r="AJ378" s="147" t="str">
        <f t="shared" si="202"/>
        <v>NO</v>
      </c>
      <c r="AK378" s="147" t="str">
        <f t="shared" si="203"/>
        <v>NO</v>
      </c>
      <c r="AL378" s="21"/>
      <c r="AM378" s="21">
        <v>42220.55</v>
      </c>
      <c r="AN378" s="27" t="s">
        <v>56</v>
      </c>
      <c r="AO378" s="21">
        <v>1</v>
      </c>
      <c r="AP378" s="21">
        <f t="shared" si="211"/>
        <v>0.328125</v>
      </c>
      <c r="AQ378" s="149">
        <f t="shared" si="183"/>
        <v>13853.617968750001</v>
      </c>
      <c r="AR378" s="21">
        <v>13853.617968750001</v>
      </c>
      <c r="AS378" s="610">
        <v>13853.617968750001</v>
      </c>
      <c r="AT378" s="112">
        <v>13853.617968750001</v>
      </c>
      <c r="AU378" s="4"/>
      <c r="AV378" s="4"/>
      <c r="AW378" s="23" t="e">
        <f>VLOOKUP(K378,#REF!,8,FALSE)</f>
        <v>#REF!</v>
      </c>
      <c r="AX378" s="23" t="e">
        <f>VLOOKUP(K378,#REF!,8,FALSE)</f>
        <v>#REF!</v>
      </c>
      <c r="AY378" s="23" t="e">
        <f>VLOOKUP(K378,#REF!,8,FALSE)</f>
        <v>#REF!</v>
      </c>
      <c r="AZ378" s="4"/>
      <c r="BA378" s="272"/>
      <c r="BB378" s="313">
        <f t="shared" si="209"/>
        <v>0</v>
      </c>
      <c r="BC378" s="269">
        <f t="shared" si="215"/>
        <v>13853.617968750001</v>
      </c>
      <c r="BD378" t="str">
        <f t="shared" si="210"/>
        <v/>
      </c>
      <c r="BJ378">
        <f>AB378</f>
        <v>42220.55</v>
      </c>
      <c r="BK378" s="269">
        <f>AM378</f>
        <v>42220.55</v>
      </c>
      <c r="BO378" s="106">
        <f>BK378/192*127</f>
        <v>27927.134635416671</v>
      </c>
      <c r="BP378" s="166">
        <f t="shared" si="204"/>
        <v>41780.752604166672</v>
      </c>
      <c r="BS378" s="165"/>
      <c r="BX378" s="495">
        <f t="shared" si="205"/>
        <v>41780.752604166672</v>
      </c>
      <c r="BZ378" s="636">
        <f t="shared" si="191"/>
        <v>0</v>
      </c>
      <c r="CA378" s="633">
        <f t="shared" si="192"/>
        <v>27927.134635416671</v>
      </c>
    </row>
    <row r="379" spans="1:79" x14ac:dyDescent="0.2">
      <c r="A379" s="4">
        <v>1</v>
      </c>
      <c r="B379" s="4">
        <v>1</v>
      </c>
      <c r="C379" s="5">
        <f t="shared" si="194"/>
        <v>41119</v>
      </c>
      <c r="D379" s="6">
        <v>41119</v>
      </c>
      <c r="E379" s="6">
        <v>43011</v>
      </c>
      <c r="F379" s="6" t="s">
        <v>1606</v>
      </c>
      <c r="G379" s="7"/>
      <c r="H379" s="7"/>
      <c r="I379" s="7" t="s">
        <v>32</v>
      </c>
      <c r="J379" s="7"/>
      <c r="K379" s="28">
        <v>424191</v>
      </c>
      <c r="L379" s="10" t="s">
        <v>791</v>
      </c>
      <c r="M379" s="10" t="s">
        <v>838</v>
      </c>
      <c r="N379" s="10" t="s">
        <v>839</v>
      </c>
      <c r="O379" s="11" t="s">
        <v>840</v>
      </c>
      <c r="P379" s="12">
        <v>42268</v>
      </c>
      <c r="Q379" s="13">
        <f t="shared" ca="1" si="198"/>
        <v>10.004106776180699</v>
      </c>
      <c r="R379" s="14">
        <v>2</v>
      </c>
      <c r="S379" s="15">
        <v>872</v>
      </c>
      <c r="T379" s="8">
        <v>872</v>
      </c>
      <c r="U379" s="16">
        <v>45017</v>
      </c>
      <c r="V379" s="17">
        <v>1</v>
      </c>
      <c r="W379" s="16">
        <v>45382</v>
      </c>
      <c r="X379" s="14">
        <v>192</v>
      </c>
      <c r="Y379" s="18">
        <f t="shared" si="193"/>
        <v>192</v>
      </c>
      <c r="Z379" s="18">
        <f t="shared" si="212"/>
        <v>1</v>
      </c>
      <c r="AA379" s="18" t="s">
        <v>36</v>
      </c>
      <c r="AB379" s="26">
        <v>25</v>
      </c>
      <c r="AC379" s="26"/>
      <c r="AD379" s="26"/>
      <c r="AE379" s="147" t="str">
        <f t="shared" si="184"/>
        <v>1</v>
      </c>
      <c r="AF379" s="147" t="str">
        <f t="shared" si="199"/>
        <v>0</v>
      </c>
      <c r="AG379" s="147" t="str">
        <f t="shared" si="185"/>
        <v>0</v>
      </c>
      <c r="AH379" s="147" t="str">
        <f t="shared" si="200"/>
        <v>NO</v>
      </c>
      <c r="AI379" s="147" t="str">
        <f t="shared" si="201"/>
        <v>NO</v>
      </c>
      <c r="AJ379" s="147" t="str">
        <f t="shared" si="202"/>
        <v>NO</v>
      </c>
      <c r="AK379" s="147" t="str">
        <f t="shared" si="203"/>
        <v>NO</v>
      </c>
      <c r="AL379" s="21"/>
      <c r="AM379" s="21">
        <f t="shared" ref="AM379:AM385" si="216">IF(H379="Y",AL379,((AB379*$O$902)-6000))</f>
        <v>5819.25</v>
      </c>
      <c r="AN379" s="27" t="s">
        <v>56</v>
      </c>
      <c r="AO379" s="21">
        <v>1</v>
      </c>
      <c r="AP379" s="21">
        <f t="shared" si="211"/>
        <v>1</v>
      </c>
      <c r="AQ379" s="149">
        <f t="shared" si="183"/>
        <v>5819.25</v>
      </c>
      <c r="AR379" s="21">
        <v>5819.25</v>
      </c>
      <c r="AS379" s="610">
        <v>5819.25</v>
      </c>
      <c r="AT379" s="112">
        <v>5819.25</v>
      </c>
      <c r="AU379" s="4"/>
      <c r="AV379" s="4"/>
      <c r="AW379" s="23" t="e">
        <f>VLOOKUP(K379,#REF!,8,FALSE)</f>
        <v>#REF!</v>
      </c>
      <c r="AX379" s="23" t="e">
        <f>VLOOKUP(K379,#REF!,8,FALSE)</f>
        <v>#REF!</v>
      </c>
      <c r="AY379" s="23" t="e">
        <f>VLOOKUP(K379,#REF!,8,FALSE)</f>
        <v>#REF!</v>
      </c>
      <c r="AZ379" s="4"/>
      <c r="BA379" s="272"/>
      <c r="BB379" s="313">
        <f t="shared" si="209"/>
        <v>0</v>
      </c>
      <c r="BC379" s="269">
        <f t="shared" si="215"/>
        <v>5819.25</v>
      </c>
      <c r="BD379" t="str">
        <f t="shared" si="210"/>
        <v/>
      </c>
      <c r="BP379" s="166">
        <f t="shared" si="204"/>
        <v>5819.25</v>
      </c>
      <c r="BS379" s="165"/>
      <c r="BX379" s="495">
        <f t="shared" si="205"/>
        <v>5819.25</v>
      </c>
      <c r="BZ379" s="636">
        <f t="shared" si="191"/>
        <v>0</v>
      </c>
      <c r="CA379" s="633">
        <f t="shared" si="192"/>
        <v>0</v>
      </c>
    </row>
    <row r="380" spans="1:79" x14ac:dyDescent="0.2">
      <c r="A380" s="4">
        <v>1</v>
      </c>
      <c r="B380" s="4">
        <v>1</v>
      </c>
      <c r="C380" s="5">
        <f t="shared" si="194"/>
        <v>41119</v>
      </c>
      <c r="D380" s="6">
        <v>41119</v>
      </c>
      <c r="E380" s="6">
        <v>43011</v>
      </c>
      <c r="F380" s="6" t="s">
        <v>1606</v>
      </c>
      <c r="G380" s="7"/>
      <c r="H380" s="7"/>
      <c r="I380" s="7" t="s">
        <v>32</v>
      </c>
      <c r="J380" s="7"/>
      <c r="K380" s="28">
        <v>412718</v>
      </c>
      <c r="L380" s="10" t="s">
        <v>791</v>
      </c>
      <c r="M380" s="261" t="s">
        <v>2299</v>
      </c>
      <c r="N380" s="261" t="s">
        <v>501</v>
      </c>
      <c r="O380" s="11" t="s">
        <v>2300</v>
      </c>
      <c r="P380" s="12">
        <v>41260</v>
      </c>
      <c r="Q380" s="13">
        <f t="shared" ca="1" si="198"/>
        <v>12.763860369609857</v>
      </c>
      <c r="R380" s="14">
        <v>5</v>
      </c>
      <c r="S380" s="15">
        <v>872</v>
      </c>
      <c r="T380" s="8">
        <v>872</v>
      </c>
      <c r="U380" s="16">
        <v>45082</v>
      </c>
      <c r="V380" s="17">
        <v>30</v>
      </c>
      <c r="W380" s="16">
        <v>45382</v>
      </c>
      <c r="X380" s="14">
        <v>192</v>
      </c>
      <c r="Y380" s="18">
        <f t="shared" si="193"/>
        <v>163</v>
      </c>
      <c r="Z380" s="18">
        <f t="shared" si="212"/>
        <v>0.84895833333333337</v>
      </c>
      <c r="AA380" s="18" t="s">
        <v>36</v>
      </c>
      <c r="AB380" s="26">
        <v>26</v>
      </c>
      <c r="AC380" s="26"/>
      <c r="AD380" s="26"/>
      <c r="AE380" s="147" t="str">
        <f t="shared" si="184"/>
        <v>0</v>
      </c>
      <c r="AF380" s="147" t="str">
        <f t="shared" si="199"/>
        <v>1</v>
      </c>
      <c r="AG380" s="147" t="str">
        <f t="shared" si="185"/>
        <v>0</v>
      </c>
      <c r="AH380" s="147" t="str">
        <f t="shared" si="200"/>
        <v>NO</v>
      </c>
      <c r="AI380" s="147" t="str">
        <f t="shared" si="201"/>
        <v>NO</v>
      </c>
      <c r="AJ380" s="147" t="str">
        <f t="shared" si="202"/>
        <v>NO</v>
      </c>
      <c r="AK380" s="147" t="str">
        <f t="shared" si="203"/>
        <v>NO</v>
      </c>
      <c r="AL380" s="21"/>
      <c r="AM380" s="21">
        <f t="shared" si="216"/>
        <v>6292.02</v>
      </c>
      <c r="AN380" s="27"/>
      <c r="AO380" s="21">
        <v>1</v>
      </c>
      <c r="AP380" s="21">
        <f t="shared" si="211"/>
        <v>0.84895833333333337</v>
      </c>
      <c r="AQ380" s="149">
        <f t="shared" si="183"/>
        <v>5341.6628125000007</v>
      </c>
      <c r="AR380" s="21">
        <v>5341.6628125000007</v>
      </c>
      <c r="AS380" s="610">
        <v>0</v>
      </c>
      <c r="AT380" s="112"/>
      <c r="AU380" s="4"/>
      <c r="AV380" s="4"/>
      <c r="AW380" s="23"/>
      <c r="AX380" s="23"/>
      <c r="AY380" s="23"/>
      <c r="AZ380" s="4"/>
      <c r="BA380" s="272"/>
      <c r="BB380" s="313">
        <f t="shared" si="209"/>
        <v>5341.6628125000007</v>
      </c>
      <c r="BC380" s="269">
        <f t="shared" si="215"/>
        <v>5341.6628125000007</v>
      </c>
      <c r="BD380" t="s">
        <v>2429</v>
      </c>
      <c r="BE380" t="s">
        <v>2430</v>
      </c>
      <c r="BF380">
        <v>43009</v>
      </c>
      <c r="BP380" s="166">
        <f t="shared" si="204"/>
        <v>5341.6628125000007</v>
      </c>
      <c r="BS380" s="165"/>
      <c r="BX380" s="495">
        <f t="shared" si="205"/>
        <v>5341.6628125000007</v>
      </c>
      <c r="BZ380" s="636">
        <f t="shared" si="191"/>
        <v>0</v>
      </c>
      <c r="CA380" s="633">
        <f t="shared" si="192"/>
        <v>5341.6628125000007</v>
      </c>
    </row>
    <row r="381" spans="1:79" x14ac:dyDescent="0.2">
      <c r="A381" s="4">
        <v>1</v>
      </c>
      <c r="B381" s="4">
        <v>1</v>
      </c>
      <c r="C381" s="5">
        <f t="shared" si="194"/>
        <v>41119</v>
      </c>
      <c r="D381" s="6">
        <v>41119</v>
      </c>
      <c r="E381" s="6">
        <v>43011</v>
      </c>
      <c r="F381" s="6" t="s">
        <v>1606</v>
      </c>
      <c r="G381" s="7"/>
      <c r="H381" s="7"/>
      <c r="I381" s="7" t="s">
        <v>32</v>
      </c>
      <c r="J381" s="7"/>
      <c r="K381" s="28">
        <v>431902</v>
      </c>
      <c r="L381" s="10" t="s">
        <v>791</v>
      </c>
      <c r="M381" s="261" t="s">
        <v>935</v>
      </c>
      <c r="N381" s="261" t="s">
        <v>2301</v>
      </c>
      <c r="O381" s="11" t="s">
        <v>2302</v>
      </c>
      <c r="P381" s="12">
        <v>42692</v>
      </c>
      <c r="Q381" s="13">
        <f t="shared" ca="1" si="198"/>
        <v>8.8432580424366876</v>
      </c>
      <c r="R381" s="14">
        <v>1</v>
      </c>
      <c r="S381" s="15">
        <v>872</v>
      </c>
      <c r="T381" s="8">
        <v>872</v>
      </c>
      <c r="U381" s="16">
        <v>45017</v>
      </c>
      <c r="V381" s="17">
        <v>1</v>
      </c>
      <c r="W381" s="16">
        <v>45382</v>
      </c>
      <c r="X381" s="14">
        <v>192</v>
      </c>
      <c r="Y381" s="18">
        <f t="shared" si="193"/>
        <v>192</v>
      </c>
      <c r="Z381" s="18">
        <f t="shared" si="212"/>
        <v>1</v>
      </c>
      <c r="AA381" s="18" t="s">
        <v>36</v>
      </c>
      <c r="AB381" s="26">
        <v>30</v>
      </c>
      <c r="AC381" s="26"/>
      <c r="AD381" s="26"/>
      <c r="AE381" s="147" t="str">
        <f t="shared" si="184"/>
        <v>0</v>
      </c>
      <c r="AF381" s="147" t="str">
        <f t="shared" si="199"/>
        <v>1</v>
      </c>
      <c r="AG381" s="147" t="str">
        <f t="shared" si="185"/>
        <v>0</v>
      </c>
      <c r="AH381" s="147" t="str">
        <f t="shared" si="200"/>
        <v>NO</v>
      </c>
      <c r="AI381" s="147" t="str">
        <f t="shared" si="201"/>
        <v>NO</v>
      </c>
      <c r="AJ381" s="147" t="str">
        <f t="shared" si="202"/>
        <v>NO</v>
      </c>
      <c r="AK381" s="147" t="str">
        <f t="shared" si="203"/>
        <v>NO</v>
      </c>
      <c r="AL381" s="21"/>
      <c r="AM381" s="21">
        <f t="shared" si="216"/>
        <v>8183.0999999999985</v>
      </c>
      <c r="AN381" s="27" t="s">
        <v>56</v>
      </c>
      <c r="AO381" s="21">
        <v>1</v>
      </c>
      <c r="AP381" s="21">
        <f t="shared" si="211"/>
        <v>1</v>
      </c>
      <c r="AQ381" s="149">
        <f t="shared" si="183"/>
        <v>8183.0999999999985</v>
      </c>
      <c r="AR381" s="21">
        <v>8183.0999999999985</v>
      </c>
      <c r="AS381" s="610">
        <v>0</v>
      </c>
      <c r="AT381" s="112"/>
      <c r="AU381" s="4"/>
      <c r="AV381" s="4"/>
      <c r="AW381" s="23"/>
      <c r="AX381" s="23"/>
      <c r="AY381" s="23"/>
      <c r="AZ381" s="4"/>
      <c r="BA381" s="272"/>
      <c r="BB381" s="313">
        <f t="shared" si="209"/>
        <v>8183.0999999999985</v>
      </c>
      <c r="BC381" s="269">
        <f t="shared" si="215"/>
        <v>8183.0999999999985</v>
      </c>
      <c r="BD381" t="str">
        <f t="shared" ref="BD381:BD412" si="217">BG381&amp;BH381&amp;BI381</f>
        <v/>
      </c>
      <c r="BP381" s="166">
        <f t="shared" si="204"/>
        <v>8183.0999999999985</v>
      </c>
      <c r="BS381" s="165"/>
      <c r="BX381" s="495">
        <f t="shared" si="205"/>
        <v>8183.0999999999985</v>
      </c>
      <c r="BZ381" s="636">
        <f t="shared" si="191"/>
        <v>0</v>
      </c>
      <c r="CA381" s="633">
        <f t="shared" si="192"/>
        <v>8183.0999999999985</v>
      </c>
    </row>
    <row r="382" spans="1:79" x14ac:dyDescent="0.2">
      <c r="A382" s="4">
        <v>1</v>
      </c>
      <c r="B382" s="4">
        <v>1</v>
      </c>
      <c r="C382" s="5">
        <f t="shared" si="194"/>
        <v>41119</v>
      </c>
      <c r="D382" s="6">
        <v>41119</v>
      </c>
      <c r="E382" s="6">
        <v>43011</v>
      </c>
      <c r="F382" s="6" t="s">
        <v>1606</v>
      </c>
      <c r="G382" s="7"/>
      <c r="H382" s="7"/>
      <c r="I382" s="7" t="s">
        <v>32</v>
      </c>
      <c r="J382" s="7"/>
      <c r="K382" s="28">
        <v>402929</v>
      </c>
      <c r="L382" s="10" t="s">
        <v>791</v>
      </c>
      <c r="M382" s="10" t="s">
        <v>841</v>
      </c>
      <c r="N382" s="10" t="s">
        <v>842</v>
      </c>
      <c r="O382" s="11" t="s">
        <v>843</v>
      </c>
      <c r="P382" s="12">
        <v>41055</v>
      </c>
      <c r="Q382" s="13">
        <f t="shared" ca="1" si="198"/>
        <v>13.325119780971937</v>
      </c>
      <c r="R382" s="14">
        <v>6</v>
      </c>
      <c r="S382" s="15">
        <v>872</v>
      </c>
      <c r="T382" s="8">
        <v>872</v>
      </c>
      <c r="U382" s="16">
        <v>45017</v>
      </c>
      <c r="V382" s="17">
        <v>1</v>
      </c>
      <c r="W382" s="16">
        <v>45128</v>
      </c>
      <c r="X382" s="14">
        <v>63</v>
      </c>
      <c r="Y382" s="18">
        <f t="shared" si="193"/>
        <v>63</v>
      </c>
      <c r="Z382" s="18">
        <f t="shared" si="212"/>
        <v>0.328125</v>
      </c>
      <c r="AA382" s="18" t="s">
        <v>48</v>
      </c>
      <c r="AB382" s="26">
        <v>21</v>
      </c>
      <c r="AC382" s="26"/>
      <c r="AD382" s="26"/>
      <c r="AE382" s="147" t="str">
        <f t="shared" si="184"/>
        <v>1</v>
      </c>
      <c r="AF382" s="147" t="str">
        <f t="shared" si="199"/>
        <v>0</v>
      </c>
      <c r="AG382" s="147" t="str">
        <f t="shared" si="185"/>
        <v>0</v>
      </c>
      <c r="AH382" s="147" t="str">
        <f t="shared" si="200"/>
        <v>NO</v>
      </c>
      <c r="AI382" s="147" t="str">
        <f t="shared" si="201"/>
        <v>NO</v>
      </c>
      <c r="AJ382" s="147" t="str">
        <f t="shared" si="202"/>
        <v>NO</v>
      </c>
      <c r="AK382" s="147" t="str">
        <f t="shared" si="203"/>
        <v>NO</v>
      </c>
      <c r="AL382" s="21"/>
      <c r="AM382" s="21">
        <f t="shared" si="216"/>
        <v>3928.17</v>
      </c>
      <c r="AN382" s="27" t="s">
        <v>81</v>
      </c>
      <c r="AO382" s="21">
        <v>1</v>
      </c>
      <c r="AP382" s="21">
        <f t="shared" si="211"/>
        <v>0.328125</v>
      </c>
      <c r="AQ382" s="149">
        <f t="shared" si="183"/>
        <v>1288.9307812500001</v>
      </c>
      <c r="AR382" s="21">
        <v>1288.9307812500001</v>
      </c>
      <c r="AS382" s="610">
        <v>1288.9307812500001</v>
      </c>
      <c r="AT382" s="112">
        <v>1288.9307812500001</v>
      </c>
      <c r="AU382" s="4"/>
      <c r="AV382" s="4"/>
      <c r="AW382" s="23" t="e">
        <f>VLOOKUP(K382,#REF!,8,FALSE)</f>
        <v>#REF!</v>
      </c>
      <c r="AX382" s="23" t="s">
        <v>2193</v>
      </c>
      <c r="AY382" s="23" t="e">
        <f>VLOOKUP(K382,#REF!,8,FALSE)</f>
        <v>#REF!</v>
      </c>
      <c r="AZ382" s="4"/>
      <c r="BA382" s="272"/>
      <c r="BB382" s="313">
        <f t="shared" ref="BB382:BB413" si="218">BC382-AT382</f>
        <v>0</v>
      </c>
      <c r="BC382" s="269">
        <f t="shared" si="215"/>
        <v>1288.9307812500001</v>
      </c>
      <c r="BD382" t="e">
        <f t="shared" si="217"/>
        <v>#REF!</v>
      </c>
      <c r="BE382" t="s">
        <v>2394</v>
      </c>
      <c r="BF382">
        <v>43012</v>
      </c>
      <c r="BH382" t="e">
        <f>VLOOKUP(K382,#REF!,8,FALSE)</f>
        <v>#REF!</v>
      </c>
      <c r="BJ382">
        <f>AB382</f>
        <v>21</v>
      </c>
      <c r="BK382" s="269">
        <f>AM382</f>
        <v>3928.17</v>
      </c>
      <c r="BL382" s="353"/>
      <c r="BM382" s="353" t="s">
        <v>75</v>
      </c>
      <c r="BN382" s="353"/>
      <c r="BO382" s="106">
        <f>BK382/192*127</f>
        <v>2598.32078125</v>
      </c>
      <c r="BP382" s="166">
        <f t="shared" si="204"/>
        <v>3887.2515625000001</v>
      </c>
      <c r="BS382" s="165"/>
      <c r="BX382" s="495">
        <f t="shared" si="205"/>
        <v>3887.2515625000001</v>
      </c>
      <c r="BZ382" s="636">
        <f t="shared" si="191"/>
        <v>0</v>
      </c>
      <c r="CA382" s="633">
        <f t="shared" si="192"/>
        <v>2598.32078125</v>
      </c>
    </row>
    <row r="383" spans="1:79" x14ac:dyDescent="0.2">
      <c r="A383" s="4">
        <v>1</v>
      </c>
      <c r="B383" s="4">
        <v>1</v>
      </c>
      <c r="C383" s="5">
        <f t="shared" si="194"/>
        <v>41119</v>
      </c>
      <c r="D383" s="6">
        <v>41119</v>
      </c>
      <c r="E383" s="6">
        <v>43011</v>
      </c>
      <c r="F383" s="6" t="s">
        <v>1606</v>
      </c>
      <c r="G383" s="7"/>
      <c r="H383" s="7"/>
      <c r="I383" s="7" t="s">
        <v>32</v>
      </c>
      <c r="J383" s="7"/>
      <c r="K383" s="28">
        <v>435033</v>
      </c>
      <c r="L383" s="10" t="s">
        <v>791</v>
      </c>
      <c r="M383" s="10" t="s">
        <v>755</v>
      </c>
      <c r="N383" s="10" t="s">
        <v>844</v>
      </c>
      <c r="O383" s="11" t="s">
        <v>845</v>
      </c>
      <c r="P383" s="12">
        <v>42879</v>
      </c>
      <c r="Q383" s="13">
        <f t="shared" ca="1" si="198"/>
        <v>8.3312799452429847</v>
      </c>
      <c r="R383" s="14">
        <v>1</v>
      </c>
      <c r="S383" s="15">
        <v>872</v>
      </c>
      <c r="T383" s="8">
        <v>872</v>
      </c>
      <c r="U383" s="16">
        <v>45017</v>
      </c>
      <c r="V383" s="17">
        <v>1</v>
      </c>
      <c r="W383" s="16">
        <v>45382</v>
      </c>
      <c r="X383" s="14">
        <v>192</v>
      </c>
      <c r="Y383" s="18">
        <f t="shared" si="193"/>
        <v>192</v>
      </c>
      <c r="Z383" s="18">
        <f t="shared" si="212"/>
        <v>1</v>
      </c>
      <c r="AA383" s="18" t="s">
        <v>36</v>
      </c>
      <c r="AB383" s="26">
        <v>30</v>
      </c>
      <c r="AC383" s="26"/>
      <c r="AD383" s="26"/>
      <c r="AE383" s="147" t="str">
        <f t="shared" si="184"/>
        <v>0</v>
      </c>
      <c r="AF383" s="147" t="str">
        <f t="shared" si="199"/>
        <v>1</v>
      </c>
      <c r="AG383" s="147" t="str">
        <f t="shared" si="185"/>
        <v>0</v>
      </c>
      <c r="AH383" s="147" t="str">
        <f t="shared" si="200"/>
        <v>NO</v>
      </c>
      <c r="AI383" s="147" t="str">
        <f t="shared" si="201"/>
        <v>NO</v>
      </c>
      <c r="AJ383" s="147" t="str">
        <f t="shared" si="202"/>
        <v>NO</v>
      </c>
      <c r="AK383" s="147" t="str">
        <f t="shared" si="203"/>
        <v>NO</v>
      </c>
      <c r="AL383" s="21"/>
      <c r="AM383" s="21">
        <f t="shared" si="216"/>
        <v>8183.0999999999985</v>
      </c>
      <c r="AN383" s="27" t="s">
        <v>37</v>
      </c>
      <c r="AO383" s="21">
        <v>1</v>
      </c>
      <c r="AP383" s="21">
        <f t="shared" si="211"/>
        <v>1</v>
      </c>
      <c r="AQ383" s="149">
        <f t="shared" si="183"/>
        <v>8183.0999999999985</v>
      </c>
      <c r="AR383" s="21">
        <v>8183.0999999999985</v>
      </c>
      <c r="AS383" s="610">
        <v>8183.0999999999985</v>
      </c>
      <c r="AT383" s="112">
        <v>8183.0999999999985</v>
      </c>
      <c r="AU383" s="4"/>
      <c r="AV383" s="4"/>
      <c r="AW383" s="23" t="e">
        <f>VLOOKUP(K383,#REF!,8,FALSE)</f>
        <v>#REF!</v>
      </c>
      <c r="AX383" s="23" t="e">
        <f>VLOOKUP(K383,#REF!,8,FALSE)</f>
        <v>#REF!</v>
      </c>
      <c r="AY383" s="23" t="e">
        <f>VLOOKUP(K383,#REF!,8,FALSE)</f>
        <v>#REF!</v>
      </c>
      <c r="AZ383" s="4"/>
      <c r="BA383" s="272"/>
      <c r="BB383" s="313">
        <f t="shared" si="218"/>
        <v>0</v>
      </c>
      <c r="BC383" s="269">
        <f t="shared" si="215"/>
        <v>8183.0999999999985</v>
      </c>
      <c r="BD383" t="str">
        <f t="shared" si="217"/>
        <v/>
      </c>
      <c r="BP383" s="166">
        <f t="shared" si="204"/>
        <v>8183.0999999999985</v>
      </c>
      <c r="BS383" s="165"/>
      <c r="BX383" s="495">
        <f t="shared" si="205"/>
        <v>8183.0999999999985</v>
      </c>
      <c r="BZ383" s="636">
        <f t="shared" si="191"/>
        <v>0</v>
      </c>
      <c r="CA383" s="633">
        <f t="shared" si="192"/>
        <v>0</v>
      </c>
    </row>
    <row r="384" spans="1:79" x14ac:dyDescent="0.2">
      <c r="A384" s="4">
        <v>0</v>
      </c>
      <c r="B384" s="4">
        <v>1</v>
      </c>
      <c r="C384" s="5">
        <f t="shared" si="194"/>
        <v>41119</v>
      </c>
      <c r="D384" s="6">
        <v>41119</v>
      </c>
      <c r="E384" s="6">
        <v>43011</v>
      </c>
      <c r="F384" s="6" t="s">
        <v>1606</v>
      </c>
      <c r="G384" s="7"/>
      <c r="H384" s="7"/>
      <c r="I384" s="7" t="s">
        <v>32</v>
      </c>
      <c r="J384" s="7"/>
      <c r="K384" s="24">
        <v>431663</v>
      </c>
      <c r="L384" s="10" t="s">
        <v>791</v>
      </c>
      <c r="M384" s="10" t="s">
        <v>846</v>
      </c>
      <c r="N384" s="10" t="s">
        <v>847</v>
      </c>
      <c r="O384" s="11" t="s">
        <v>848</v>
      </c>
      <c r="P384" s="12">
        <v>42143</v>
      </c>
      <c r="Q384" s="13">
        <f t="shared" ca="1" si="198"/>
        <v>10.346338124572211</v>
      </c>
      <c r="R384" s="14">
        <v>3</v>
      </c>
      <c r="S384" s="15">
        <v>872</v>
      </c>
      <c r="T384" s="8">
        <v>872</v>
      </c>
      <c r="U384" s="16">
        <v>45017</v>
      </c>
      <c r="V384" s="17">
        <v>1</v>
      </c>
      <c r="W384" s="16">
        <v>45017</v>
      </c>
      <c r="X384" s="14">
        <v>0</v>
      </c>
      <c r="Y384" s="18">
        <f t="shared" si="193"/>
        <v>0</v>
      </c>
      <c r="Z384" s="18">
        <f t="shared" si="212"/>
        <v>0</v>
      </c>
      <c r="AA384" s="18" t="s">
        <v>36</v>
      </c>
      <c r="AB384" s="26">
        <v>30</v>
      </c>
      <c r="AC384" s="26"/>
      <c r="AD384" s="26"/>
      <c r="AE384" s="147" t="str">
        <f t="shared" si="184"/>
        <v>0</v>
      </c>
      <c r="AF384" s="147" t="str">
        <f t="shared" si="199"/>
        <v>1</v>
      </c>
      <c r="AG384" s="147" t="str">
        <f t="shared" si="185"/>
        <v>0</v>
      </c>
      <c r="AH384" s="147" t="str">
        <f t="shared" si="200"/>
        <v>NO</v>
      </c>
      <c r="AI384" s="147" t="str">
        <f t="shared" si="201"/>
        <v>NO</v>
      </c>
      <c r="AJ384" s="147" t="str">
        <f t="shared" si="202"/>
        <v>NO</v>
      </c>
      <c r="AK384" s="147" t="str">
        <f t="shared" si="203"/>
        <v>NO</v>
      </c>
      <c r="AL384" s="21"/>
      <c r="AM384" s="21">
        <f t="shared" si="216"/>
        <v>8183.0999999999985</v>
      </c>
      <c r="AN384" s="27" t="s">
        <v>56</v>
      </c>
      <c r="AO384" s="21">
        <v>1</v>
      </c>
      <c r="AP384" s="21">
        <f t="shared" si="211"/>
        <v>0</v>
      </c>
      <c r="AQ384" s="149">
        <f t="shared" ref="AQ384:AQ447" si="219">AP384*AM384</f>
        <v>0</v>
      </c>
      <c r="AR384" s="21">
        <v>0</v>
      </c>
      <c r="AS384" s="610">
        <v>8183.0999999999985</v>
      </c>
      <c r="AT384" s="112">
        <v>0</v>
      </c>
      <c r="AU384" s="104" t="s">
        <v>2198</v>
      </c>
      <c r="AV384" s="4"/>
      <c r="AW384" s="23" t="e">
        <f>VLOOKUP(K384,#REF!,8,FALSE)</f>
        <v>#REF!</v>
      </c>
      <c r="AX384" s="23" t="e">
        <f>VLOOKUP(K384,#REF!,8,FALSE)</f>
        <v>#REF!</v>
      </c>
      <c r="AY384" s="23" t="e">
        <f>VLOOKUP(K384,#REF!,8,FALSE)</f>
        <v>#REF!</v>
      </c>
      <c r="AZ384" s="4"/>
      <c r="BA384" s="272"/>
      <c r="BB384" s="313">
        <f t="shared" si="218"/>
        <v>0</v>
      </c>
      <c r="BC384" s="269">
        <f t="shared" si="215"/>
        <v>0</v>
      </c>
      <c r="BD384" t="str">
        <f t="shared" si="217"/>
        <v/>
      </c>
      <c r="BP384" s="166">
        <f t="shared" si="204"/>
        <v>0</v>
      </c>
      <c r="BS384" s="165"/>
      <c r="BX384" s="495">
        <f t="shared" si="205"/>
        <v>0</v>
      </c>
      <c r="BZ384" s="636">
        <f t="shared" si="191"/>
        <v>0</v>
      </c>
      <c r="CA384" s="633">
        <f t="shared" si="192"/>
        <v>-8183.0999999999985</v>
      </c>
    </row>
    <row r="385" spans="1:79" x14ac:dyDescent="0.2">
      <c r="A385" s="104">
        <v>0</v>
      </c>
      <c r="B385" s="104">
        <v>0</v>
      </c>
      <c r="C385" s="5">
        <f t="shared" si="194"/>
        <v>41119</v>
      </c>
      <c r="D385" s="6">
        <v>41119</v>
      </c>
      <c r="E385" s="6">
        <v>43011</v>
      </c>
      <c r="F385" s="6" t="s">
        <v>1606</v>
      </c>
      <c r="G385" s="7"/>
      <c r="H385" s="7"/>
      <c r="I385" s="7" t="s">
        <v>32</v>
      </c>
      <c r="J385" s="7"/>
      <c r="K385" s="28">
        <v>409398</v>
      </c>
      <c r="L385" s="10" t="s">
        <v>791</v>
      </c>
      <c r="M385" s="10" t="s">
        <v>849</v>
      </c>
      <c r="N385" s="10" t="s">
        <v>850</v>
      </c>
      <c r="O385" s="11" t="s">
        <v>851</v>
      </c>
      <c r="P385" s="12">
        <v>41220</v>
      </c>
      <c r="Q385" s="13">
        <f t="shared" ca="1" si="198"/>
        <v>12.873374401095141</v>
      </c>
      <c r="R385" s="14">
        <v>5</v>
      </c>
      <c r="S385" s="15">
        <v>872</v>
      </c>
      <c r="T385" s="8">
        <v>872</v>
      </c>
      <c r="U385" s="16">
        <v>45017</v>
      </c>
      <c r="V385" s="17">
        <v>1</v>
      </c>
      <c r="W385" s="16">
        <v>45017</v>
      </c>
      <c r="X385" s="14">
        <v>0</v>
      </c>
      <c r="Y385" s="18">
        <v>0</v>
      </c>
      <c r="Z385" s="18">
        <f t="shared" si="212"/>
        <v>0</v>
      </c>
      <c r="AA385" s="18" t="s">
        <v>36</v>
      </c>
      <c r="AB385" s="26">
        <v>28</v>
      </c>
      <c r="AC385" s="26"/>
      <c r="AD385" s="26"/>
      <c r="AE385" s="147" t="str">
        <f t="shared" ref="AE385:AE448" si="220">IF(AND(AB385&lt;=25,AB385&gt;=20),"1","0")</f>
        <v>0</v>
      </c>
      <c r="AF385" s="147" t="str">
        <f t="shared" si="199"/>
        <v>1</v>
      </c>
      <c r="AG385" s="147" t="str">
        <f t="shared" ref="AG385:AG448" si="221">IF(AB385&gt;=31,"1","0")</f>
        <v>0</v>
      </c>
      <c r="AH385" s="147" t="str">
        <f t="shared" si="200"/>
        <v>NO</v>
      </c>
      <c r="AI385" s="147" t="str">
        <f t="shared" si="201"/>
        <v>NO</v>
      </c>
      <c r="AJ385" s="147" t="str">
        <f t="shared" si="202"/>
        <v>NO</v>
      </c>
      <c r="AK385" s="147" t="str">
        <f t="shared" si="203"/>
        <v>NO</v>
      </c>
      <c r="AL385" s="21"/>
      <c r="AM385" s="21">
        <f t="shared" si="216"/>
        <v>7237.5599999999995</v>
      </c>
      <c r="AN385" s="27" t="s">
        <v>56</v>
      </c>
      <c r="AO385" s="21">
        <v>1</v>
      </c>
      <c r="AP385" s="21">
        <f t="shared" ref="AP385:AP416" si="222">AO385*Z385</f>
        <v>0</v>
      </c>
      <c r="AQ385" s="149">
        <f t="shared" si="219"/>
        <v>0</v>
      </c>
      <c r="AR385" s="21">
        <v>7237.5599999999995</v>
      </c>
      <c r="AS385" s="610">
        <v>7237.5599999999995</v>
      </c>
      <c r="AT385" s="112">
        <v>7237.5599999999995</v>
      </c>
      <c r="AU385" s="4"/>
      <c r="AV385" s="4"/>
      <c r="AW385" s="23" t="e">
        <f>VLOOKUP(K385,#REF!,8,FALSE)</f>
        <v>#REF!</v>
      </c>
      <c r="AX385" s="23" t="e">
        <f>VLOOKUP(K385,#REF!,8,FALSE)</f>
        <v>#REF!</v>
      </c>
      <c r="AY385" s="23" t="e">
        <f>VLOOKUP(K385,#REF!,8,FALSE)</f>
        <v>#REF!</v>
      </c>
      <c r="AZ385" s="4"/>
      <c r="BA385" s="272"/>
      <c r="BB385" s="313">
        <f t="shared" si="218"/>
        <v>0</v>
      </c>
      <c r="BC385" s="269">
        <f t="shared" si="215"/>
        <v>7237.5599999999995</v>
      </c>
      <c r="BD385" t="str">
        <f t="shared" si="217"/>
        <v/>
      </c>
      <c r="BP385" s="166">
        <f t="shared" si="204"/>
        <v>7237.5599999999995</v>
      </c>
      <c r="BS385" s="165"/>
      <c r="BX385" s="495">
        <f t="shared" si="205"/>
        <v>0</v>
      </c>
      <c r="BY385" t="s">
        <v>2495</v>
      </c>
      <c r="BZ385" s="636">
        <f t="shared" si="191"/>
        <v>-7237.5599999999995</v>
      </c>
      <c r="CA385" s="633">
        <f t="shared" si="192"/>
        <v>-7237.5599999999995</v>
      </c>
    </row>
    <row r="386" spans="1:79" x14ac:dyDescent="0.2">
      <c r="A386" s="104">
        <v>0</v>
      </c>
      <c r="B386" s="104">
        <v>0</v>
      </c>
      <c r="C386" s="5">
        <f t="shared" si="194"/>
        <v>41119</v>
      </c>
      <c r="D386" s="6">
        <v>41119</v>
      </c>
      <c r="E386" s="6">
        <v>43011</v>
      </c>
      <c r="F386" s="6" t="s">
        <v>1606</v>
      </c>
      <c r="G386" s="7"/>
      <c r="H386" s="7"/>
      <c r="I386" s="7" t="s">
        <v>32</v>
      </c>
      <c r="J386" s="7" t="s">
        <v>142</v>
      </c>
      <c r="K386" s="28">
        <v>409398</v>
      </c>
      <c r="L386" s="10" t="s">
        <v>791</v>
      </c>
      <c r="M386" s="10" t="s">
        <v>849</v>
      </c>
      <c r="N386" s="10" t="s">
        <v>850</v>
      </c>
      <c r="O386" s="11" t="s">
        <v>851</v>
      </c>
      <c r="P386" s="12">
        <v>41220</v>
      </c>
      <c r="Q386" s="13">
        <f t="shared" ca="1" si="198"/>
        <v>12.873374401095141</v>
      </c>
      <c r="R386" s="14">
        <v>5</v>
      </c>
      <c r="S386" s="15">
        <v>872</v>
      </c>
      <c r="T386" s="8">
        <v>872</v>
      </c>
      <c r="U386" s="16">
        <v>45017</v>
      </c>
      <c r="V386" s="17">
        <v>1</v>
      </c>
      <c r="W386" s="16">
        <v>45017</v>
      </c>
      <c r="X386" s="14">
        <v>0</v>
      </c>
      <c r="Y386" s="18">
        <v>0</v>
      </c>
      <c r="Z386" s="18">
        <f t="shared" si="212"/>
        <v>0</v>
      </c>
      <c r="AA386" s="18" t="s">
        <v>36</v>
      </c>
      <c r="AB386" s="26">
        <v>14556.28</v>
      </c>
      <c r="AC386" s="26"/>
      <c r="AD386" s="26"/>
      <c r="AE386" s="147" t="str">
        <f t="shared" si="220"/>
        <v>0</v>
      </c>
      <c r="AF386" s="147" t="str">
        <f t="shared" si="199"/>
        <v>0</v>
      </c>
      <c r="AG386" s="147" t="str">
        <f t="shared" si="221"/>
        <v>1</v>
      </c>
      <c r="AH386" s="147" t="str">
        <f t="shared" si="200"/>
        <v>NO</v>
      </c>
      <c r="AI386" s="147" t="str">
        <f t="shared" si="201"/>
        <v>NO</v>
      </c>
      <c r="AJ386" s="147" t="str">
        <f t="shared" si="202"/>
        <v>NO</v>
      </c>
      <c r="AK386" s="147" t="str">
        <f t="shared" si="203"/>
        <v>NO</v>
      </c>
      <c r="AL386" s="21"/>
      <c r="AM386" s="21">
        <v>14556.28</v>
      </c>
      <c r="AN386" s="27" t="s">
        <v>56</v>
      </c>
      <c r="AO386" s="21">
        <v>1</v>
      </c>
      <c r="AP386" s="21">
        <f t="shared" si="222"/>
        <v>0</v>
      </c>
      <c r="AQ386" s="149">
        <f t="shared" si="219"/>
        <v>0</v>
      </c>
      <c r="AR386" s="21">
        <v>14556.28</v>
      </c>
      <c r="AS386" s="610">
        <v>14556.28</v>
      </c>
      <c r="AT386" s="112">
        <v>14556.28</v>
      </c>
      <c r="AU386" s="4"/>
      <c r="AV386" s="4"/>
      <c r="AW386" s="23" t="e">
        <f>VLOOKUP(K386,#REF!,8,FALSE)</f>
        <v>#REF!</v>
      </c>
      <c r="AX386" s="23" t="e">
        <f>VLOOKUP(K386,#REF!,8,FALSE)</f>
        <v>#REF!</v>
      </c>
      <c r="AY386" s="23" t="e">
        <f>VLOOKUP(K386,#REF!,8,FALSE)</f>
        <v>#REF!</v>
      </c>
      <c r="AZ386" s="4"/>
      <c r="BA386" s="272"/>
      <c r="BB386" s="313">
        <f t="shared" si="218"/>
        <v>0</v>
      </c>
      <c r="BC386" s="269">
        <f t="shared" si="215"/>
        <v>14556.28</v>
      </c>
      <c r="BD386" t="str">
        <f t="shared" si="217"/>
        <v/>
      </c>
      <c r="BP386" s="166">
        <f t="shared" si="204"/>
        <v>14556.28</v>
      </c>
      <c r="BS386" s="165"/>
      <c r="BX386" s="495">
        <f t="shared" si="205"/>
        <v>0</v>
      </c>
      <c r="BY386" t="s">
        <v>2495</v>
      </c>
      <c r="BZ386" s="636">
        <f t="shared" si="191"/>
        <v>-14556.28</v>
      </c>
      <c r="CA386" s="633">
        <f t="shared" si="192"/>
        <v>-14556.28</v>
      </c>
    </row>
    <row r="387" spans="1:79" x14ac:dyDescent="0.2">
      <c r="A387" s="4">
        <v>1</v>
      </c>
      <c r="B387" s="4">
        <v>1</v>
      </c>
      <c r="C387" s="5">
        <f t="shared" si="194"/>
        <v>41120</v>
      </c>
      <c r="D387" s="6">
        <v>41120</v>
      </c>
      <c r="E387" s="6">
        <v>43011</v>
      </c>
      <c r="F387" s="6" t="s">
        <v>1606</v>
      </c>
      <c r="G387" s="7"/>
      <c r="H387" s="7"/>
      <c r="I387" s="7" t="s">
        <v>32</v>
      </c>
      <c r="J387" s="7"/>
      <c r="K387" s="29">
        <v>416135</v>
      </c>
      <c r="L387" s="10" t="s">
        <v>852</v>
      </c>
      <c r="M387" s="10" t="s">
        <v>115</v>
      </c>
      <c r="N387" s="10" t="s">
        <v>853</v>
      </c>
      <c r="O387" s="11" t="s">
        <v>854</v>
      </c>
      <c r="P387" s="12">
        <v>42207</v>
      </c>
      <c r="Q387" s="13">
        <f t="shared" ca="1" si="198"/>
        <v>10.171115674195756</v>
      </c>
      <c r="R387" s="14">
        <v>3</v>
      </c>
      <c r="S387" s="15">
        <v>872</v>
      </c>
      <c r="T387" s="8">
        <v>872</v>
      </c>
      <c r="U387" s="16">
        <v>45017</v>
      </c>
      <c r="V387" s="17">
        <v>1</v>
      </c>
      <c r="W387" s="16">
        <v>45382</v>
      </c>
      <c r="X387" s="14">
        <v>192</v>
      </c>
      <c r="Y387" s="18">
        <f t="shared" ref="Y387:Y450" si="223">X387-V387+1</f>
        <v>192</v>
      </c>
      <c r="Z387" s="18">
        <f t="shared" si="212"/>
        <v>1</v>
      </c>
      <c r="AA387" s="18" t="s">
        <v>36</v>
      </c>
      <c r="AB387" s="26">
        <v>30</v>
      </c>
      <c r="AC387" s="26"/>
      <c r="AD387" s="26"/>
      <c r="AE387" s="147" t="str">
        <f t="shared" si="220"/>
        <v>0</v>
      </c>
      <c r="AF387" s="147" t="str">
        <f t="shared" si="199"/>
        <v>1</v>
      </c>
      <c r="AG387" s="147" t="str">
        <f t="shared" si="221"/>
        <v>0</v>
      </c>
      <c r="AH387" s="147" t="str">
        <f t="shared" si="200"/>
        <v>NO</v>
      </c>
      <c r="AI387" s="147" t="str">
        <f t="shared" si="201"/>
        <v>NO</v>
      </c>
      <c r="AJ387" s="147" t="str">
        <f t="shared" si="202"/>
        <v>NO</v>
      </c>
      <c r="AK387" s="147" t="str">
        <f t="shared" si="203"/>
        <v>NO</v>
      </c>
      <c r="AL387" s="21"/>
      <c r="AM387" s="21">
        <f t="shared" ref="AM387:AM394" si="224">IF(H387="Y",AL387,((AB387*$O$902)-6000))</f>
        <v>8183.0999999999985</v>
      </c>
      <c r="AN387" s="27" t="s">
        <v>43</v>
      </c>
      <c r="AO387" s="21">
        <v>1</v>
      </c>
      <c r="AP387" s="21">
        <f t="shared" si="222"/>
        <v>1</v>
      </c>
      <c r="AQ387" s="149">
        <f t="shared" si="219"/>
        <v>8183.0999999999985</v>
      </c>
      <c r="AR387" s="21">
        <v>8183.0999999999985</v>
      </c>
      <c r="AS387" s="610">
        <v>8183.0999999999985</v>
      </c>
      <c r="AT387" s="112">
        <v>8183.0999999999985</v>
      </c>
      <c r="AU387" s="4"/>
      <c r="AV387" s="4"/>
      <c r="AW387" s="23" t="e">
        <f>VLOOKUP(K387,#REF!,8,FALSE)</f>
        <v>#REF!</v>
      </c>
      <c r="AX387" s="23" t="e">
        <f>VLOOKUP(K387,#REF!,8,FALSE)</f>
        <v>#REF!</v>
      </c>
      <c r="AY387" s="23" t="e">
        <f>VLOOKUP(K387,#REF!,8,FALSE)</f>
        <v>#REF!</v>
      </c>
      <c r="AZ387" s="4"/>
      <c r="BA387" s="272"/>
      <c r="BB387" s="313">
        <f t="shared" si="218"/>
        <v>0</v>
      </c>
      <c r="BC387" s="269">
        <f t="shared" si="215"/>
        <v>8183.0999999999985</v>
      </c>
      <c r="BD387" t="str">
        <f t="shared" si="217"/>
        <v/>
      </c>
      <c r="BP387" s="166">
        <f t="shared" si="204"/>
        <v>8183.0999999999985</v>
      </c>
      <c r="BS387" s="165"/>
      <c r="BX387" s="495">
        <f t="shared" si="205"/>
        <v>8183.0999999999985</v>
      </c>
      <c r="BZ387" s="636">
        <f t="shared" ref="BZ387:BZ450" si="225">BX387-BP387</f>
        <v>0</v>
      </c>
      <c r="CA387" s="633">
        <f t="shared" ref="CA387:CA450" si="226">BX387-AS387</f>
        <v>0</v>
      </c>
    </row>
    <row r="388" spans="1:79" x14ac:dyDescent="0.2">
      <c r="A388" s="4">
        <v>1</v>
      </c>
      <c r="B388" s="4">
        <v>1</v>
      </c>
      <c r="C388" s="5">
        <f t="shared" si="194"/>
        <v>41120</v>
      </c>
      <c r="D388" s="6">
        <v>41120</v>
      </c>
      <c r="E388" s="6">
        <v>43011</v>
      </c>
      <c r="F388" s="6" t="s">
        <v>1606</v>
      </c>
      <c r="G388" s="7"/>
      <c r="H388" s="7"/>
      <c r="I388" s="7" t="s">
        <v>32</v>
      </c>
      <c r="J388" s="7"/>
      <c r="K388" s="29">
        <v>428106</v>
      </c>
      <c r="L388" s="10" t="s">
        <v>852</v>
      </c>
      <c r="M388" s="10" t="s">
        <v>855</v>
      </c>
      <c r="N388" s="10" t="s">
        <v>856</v>
      </c>
      <c r="O388" s="11" t="s">
        <v>857</v>
      </c>
      <c r="P388" s="12">
        <v>42474</v>
      </c>
      <c r="Q388" s="13">
        <f t="shared" ca="1" si="198"/>
        <v>9.4401095140314855</v>
      </c>
      <c r="R388" s="14">
        <v>2</v>
      </c>
      <c r="S388" s="15">
        <v>872</v>
      </c>
      <c r="T388" s="8">
        <v>872</v>
      </c>
      <c r="U388" s="16">
        <v>45017</v>
      </c>
      <c r="V388" s="17">
        <v>1</v>
      </c>
      <c r="W388" s="16">
        <v>45382</v>
      </c>
      <c r="X388" s="14">
        <v>192</v>
      </c>
      <c r="Y388" s="18">
        <f t="shared" si="223"/>
        <v>192</v>
      </c>
      <c r="Z388" s="18">
        <f t="shared" si="212"/>
        <v>1</v>
      </c>
      <c r="AA388" s="18" t="s">
        <v>36</v>
      </c>
      <c r="AB388" s="26">
        <v>30</v>
      </c>
      <c r="AC388" s="26"/>
      <c r="AD388" s="26"/>
      <c r="AE388" s="147" t="str">
        <f t="shared" si="220"/>
        <v>0</v>
      </c>
      <c r="AF388" s="147" t="str">
        <f t="shared" si="199"/>
        <v>1</v>
      </c>
      <c r="AG388" s="147" t="str">
        <f t="shared" si="221"/>
        <v>0</v>
      </c>
      <c r="AH388" s="147" t="str">
        <f t="shared" si="200"/>
        <v>NO</v>
      </c>
      <c r="AI388" s="147" t="str">
        <f t="shared" si="201"/>
        <v>NO</v>
      </c>
      <c r="AJ388" s="147" t="str">
        <f t="shared" si="202"/>
        <v>NO</v>
      </c>
      <c r="AK388" s="147" t="str">
        <f t="shared" si="203"/>
        <v>NO</v>
      </c>
      <c r="AL388" s="21"/>
      <c r="AM388" s="21">
        <f t="shared" si="224"/>
        <v>8183.0999999999985</v>
      </c>
      <c r="AN388" s="27" t="s">
        <v>56</v>
      </c>
      <c r="AO388" s="21">
        <v>1</v>
      </c>
      <c r="AP388" s="21">
        <f t="shared" si="222"/>
        <v>1</v>
      </c>
      <c r="AQ388" s="149">
        <f t="shared" si="219"/>
        <v>8183.0999999999985</v>
      </c>
      <c r="AR388" s="21">
        <v>8183.0999999999985</v>
      </c>
      <c r="AS388" s="610">
        <v>8183.0999999999985</v>
      </c>
      <c r="AT388" s="112">
        <v>8183.0999999999985</v>
      </c>
      <c r="AU388" s="4"/>
      <c r="AV388" s="4"/>
      <c r="AW388" s="23" t="e">
        <f>VLOOKUP(K388,#REF!,8,FALSE)</f>
        <v>#REF!</v>
      </c>
      <c r="AX388" s="23" t="e">
        <f>VLOOKUP(K388,#REF!,8,FALSE)</f>
        <v>#REF!</v>
      </c>
      <c r="AY388" s="23" t="e">
        <f>VLOOKUP(K388,#REF!,8,FALSE)</f>
        <v>#REF!</v>
      </c>
      <c r="AZ388" s="4"/>
      <c r="BA388" s="272"/>
      <c r="BB388" s="313">
        <f t="shared" si="218"/>
        <v>0</v>
      </c>
      <c r="BC388" s="269">
        <f t="shared" si="215"/>
        <v>8183.0999999999985</v>
      </c>
      <c r="BD388" t="str">
        <f t="shared" si="217"/>
        <v/>
      </c>
      <c r="BP388" s="166">
        <f t="shared" si="204"/>
        <v>8183.0999999999985</v>
      </c>
      <c r="BS388" s="165"/>
      <c r="BX388" s="495">
        <f t="shared" si="205"/>
        <v>8183.0999999999985</v>
      </c>
      <c r="BZ388" s="636">
        <f t="shared" si="225"/>
        <v>0</v>
      </c>
      <c r="CA388" s="633">
        <f t="shared" si="226"/>
        <v>0</v>
      </c>
    </row>
    <row r="389" spans="1:79" x14ac:dyDescent="0.2">
      <c r="A389" s="4">
        <v>1</v>
      </c>
      <c r="B389" s="4">
        <v>1</v>
      </c>
      <c r="C389" s="5">
        <f t="shared" ref="C389:C452" si="227">D389*1</f>
        <v>41120</v>
      </c>
      <c r="D389" s="6">
        <v>41120</v>
      </c>
      <c r="E389" s="6">
        <v>43011</v>
      </c>
      <c r="F389" s="6" t="s">
        <v>1606</v>
      </c>
      <c r="G389" s="7"/>
      <c r="H389" s="7"/>
      <c r="I389" s="7" t="s">
        <v>32</v>
      </c>
      <c r="J389" s="7"/>
      <c r="K389" s="29">
        <v>434422</v>
      </c>
      <c r="L389" s="10" t="s">
        <v>852</v>
      </c>
      <c r="M389" s="10" t="s">
        <v>858</v>
      </c>
      <c r="N389" s="10" t="s">
        <v>859</v>
      </c>
      <c r="O389" s="11" t="s">
        <v>860</v>
      </c>
      <c r="P389" s="12">
        <v>42865</v>
      </c>
      <c r="Q389" s="13">
        <f t="shared" ca="1" si="198"/>
        <v>8.3696098562628336</v>
      </c>
      <c r="R389" s="14">
        <v>1</v>
      </c>
      <c r="S389" s="15">
        <v>872</v>
      </c>
      <c r="T389" s="8">
        <v>872</v>
      </c>
      <c r="U389" s="16">
        <v>45017</v>
      </c>
      <c r="V389" s="17">
        <v>1</v>
      </c>
      <c r="W389" s="16">
        <v>45382</v>
      </c>
      <c r="X389" s="14">
        <v>192</v>
      </c>
      <c r="Y389" s="18">
        <f t="shared" si="223"/>
        <v>192</v>
      </c>
      <c r="Z389" s="18">
        <f t="shared" si="212"/>
        <v>1</v>
      </c>
      <c r="AA389" s="18" t="s">
        <v>36</v>
      </c>
      <c r="AB389" s="26">
        <v>30</v>
      </c>
      <c r="AC389" s="26"/>
      <c r="AD389" s="26"/>
      <c r="AE389" s="147" t="str">
        <f t="shared" si="220"/>
        <v>0</v>
      </c>
      <c r="AF389" s="147" t="str">
        <f t="shared" si="199"/>
        <v>1</v>
      </c>
      <c r="AG389" s="147" t="str">
        <f t="shared" si="221"/>
        <v>0</v>
      </c>
      <c r="AH389" s="147" t="str">
        <f t="shared" si="200"/>
        <v>NO</v>
      </c>
      <c r="AI389" s="147" t="str">
        <f t="shared" si="201"/>
        <v>NO</v>
      </c>
      <c r="AJ389" s="147" t="str">
        <f t="shared" si="202"/>
        <v>NO</v>
      </c>
      <c r="AK389" s="147" t="str">
        <f t="shared" si="203"/>
        <v>NO</v>
      </c>
      <c r="AL389" s="21"/>
      <c r="AM389" s="21">
        <f t="shared" si="224"/>
        <v>8183.0999999999985</v>
      </c>
      <c r="AN389" s="27"/>
      <c r="AO389" s="21">
        <v>1</v>
      </c>
      <c r="AP389" s="21">
        <f t="shared" si="222"/>
        <v>1</v>
      </c>
      <c r="AQ389" s="149">
        <f t="shared" si="219"/>
        <v>8183.0999999999985</v>
      </c>
      <c r="AR389" s="21">
        <v>8183.0999999999985</v>
      </c>
      <c r="AS389" s="610">
        <v>8183.0999999999985</v>
      </c>
      <c r="AT389" s="112">
        <v>8183.0999999999985</v>
      </c>
      <c r="AU389" s="4"/>
      <c r="AV389" s="4"/>
      <c r="AW389" s="23" t="e">
        <f>VLOOKUP(K389,#REF!,8,FALSE)</f>
        <v>#REF!</v>
      </c>
      <c r="AX389" s="23" t="e">
        <f>VLOOKUP(K389,#REF!,8,FALSE)</f>
        <v>#REF!</v>
      </c>
      <c r="AY389" s="23" t="e">
        <f>VLOOKUP(K389,#REF!,8,FALSE)</f>
        <v>#REF!</v>
      </c>
      <c r="AZ389" s="4"/>
      <c r="BA389" s="272"/>
      <c r="BB389" s="313">
        <f t="shared" si="218"/>
        <v>0</v>
      </c>
      <c r="BC389" s="269">
        <f t="shared" si="215"/>
        <v>8183.0999999999985</v>
      </c>
      <c r="BD389" t="str">
        <f t="shared" si="217"/>
        <v/>
      </c>
      <c r="BP389" s="166">
        <f t="shared" si="204"/>
        <v>8183.0999999999985</v>
      </c>
      <c r="BS389" s="165"/>
      <c r="BX389" s="495">
        <f t="shared" si="205"/>
        <v>8183.0999999999985</v>
      </c>
      <c r="BZ389" s="636">
        <f t="shared" si="225"/>
        <v>0</v>
      </c>
      <c r="CA389" s="633">
        <f t="shared" si="226"/>
        <v>0</v>
      </c>
    </row>
    <row r="390" spans="1:79" x14ac:dyDescent="0.2">
      <c r="A390" s="4">
        <v>1</v>
      </c>
      <c r="B390" s="4">
        <v>1</v>
      </c>
      <c r="C390" s="5">
        <f t="shared" si="227"/>
        <v>41120</v>
      </c>
      <c r="D390" s="6">
        <v>41120</v>
      </c>
      <c r="E390" s="6">
        <v>43011</v>
      </c>
      <c r="F390" s="6" t="s">
        <v>1606</v>
      </c>
      <c r="G390" s="7"/>
      <c r="H390" s="7"/>
      <c r="I390" s="7" t="s">
        <v>32</v>
      </c>
      <c r="J390" s="7"/>
      <c r="K390" s="29">
        <v>416913</v>
      </c>
      <c r="L390" s="10" t="s">
        <v>852</v>
      </c>
      <c r="M390" s="10" t="s">
        <v>578</v>
      </c>
      <c r="N390" s="10" t="s">
        <v>861</v>
      </c>
      <c r="O390" s="11" t="s">
        <v>862</v>
      </c>
      <c r="P390" s="12">
        <v>41865</v>
      </c>
      <c r="Q390" s="13">
        <f t="shared" ca="1" si="198"/>
        <v>11.107460643394935</v>
      </c>
      <c r="R390" s="14">
        <v>4</v>
      </c>
      <c r="S390" s="15">
        <v>872</v>
      </c>
      <c r="T390" s="8">
        <v>872</v>
      </c>
      <c r="U390" s="16">
        <v>45017</v>
      </c>
      <c r="V390" s="17">
        <v>1</v>
      </c>
      <c r="W390" s="16">
        <v>45382</v>
      </c>
      <c r="X390" s="14">
        <v>192</v>
      </c>
      <c r="Y390" s="18">
        <f t="shared" si="223"/>
        <v>192</v>
      </c>
      <c r="Z390" s="18">
        <f t="shared" si="212"/>
        <v>1</v>
      </c>
      <c r="AA390" s="18" t="s">
        <v>36</v>
      </c>
      <c r="AB390" s="26">
        <v>28</v>
      </c>
      <c r="AC390" s="26"/>
      <c r="AD390" s="26"/>
      <c r="AE390" s="147" t="str">
        <f t="shared" si="220"/>
        <v>0</v>
      </c>
      <c r="AF390" s="147" t="str">
        <f t="shared" si="199"/>
        <v>1</v>
      </c>
      <c r="AG390" s="147" t="str">
        <f t="shared" si="221"/>
        <v>0</v>
      </c>
      <c r="AH390" s="147" t="str">
        <f t="shared" si="200"/>
        <v>NO</v>
      </c>
      <c r="AI390" s="147" t="str">
        <f t="shared" si="201"/>
        <v>NO</v>
      </c>
      <c r="AJ390" s="147" t="str">
        <f t="shared" si="202"/>
        <v>NO</v>
      </c>
      <c r="AK390" s="147" t="str">
        <f t="shared" si="203"/>
        <v>NO</v>
      </c>
      <c r="AL390" s="21"/>
      <c r="AM390" s="21">
        <f t="shared" si="224"/>
        <v>7237.5599999999995</v>
      </c>
      <c r="AN390" s="27" t="s">
        <v>37</v>
      </c>
      <c r="AO390" s="21">
        <v>1</v>
      </c>
      <c r="AP390" s="21">
        <f t="shared" si="222"/>
        <v>1</v>
      </c>
      <c r="AQ390" s="149">
        <f t="shared" si="219"/>
        <v>7237.5599999999995</v>
      </c>
      <c r="AR390" s="21">
        <v>7237.5599999999995</v>
      </c>
      <c r="AS390" s="610">
        <v>7237.5599999999995</v>
      </c>
      <c r="AT390" s="112">
        <v>7237.5599999999995</v>
      </c>
      <c r="AU390" s="4"/>
      <c r="AV390" s="4"/>
      <c r="AW390" s="23" t="e">
        <f>VLOOKUP(K390,#REF!,8,FALSE)</f>
        <v>#REF!</v>
      </c>
      <c r="AX390" s="23" t="e">
        <f>VLOOKUP(K390,#REF!,8,FALSE)</f>
        <v>#REF!</v>
      </c>
      <c r="AY390" s="23" t="e">
        <f>VLOOKUP(K390,#REF!,8,FALSE)</f>
        <v>#REF!</v>
      </c>
      <c r="AZ390" s="4"/>
      <c r="BA390" s="272"/>
      <c r="BB390" s="313">
        <f t="shared" si="218"/>
        <v>0</v>
      </c>
      <c r="BC390" s="269">
        <f t="shared" si="215"/>
        <v>7237.5599999999995</v>
      </c>
      <c r="BD390" t="str">
        <f t="shared" si="217"/>
        <v/>
      </c>
      <c r="BP390" s="166">
        <f t="shared" si="204"/>
        <v>7237.5599999999995</v>
      </c>
      <c r="BS390" s="165"/>
      <c r="BX390" s="495">
        <f t="shared" si="205"/>
        <v>7237.5599999999995</v>
      </c>
      <c r="BZ390" s="636">
        <f t="shared" si="225"/>
        <v>0</v>
      </c>
      <c r="CA390" s="633">
        <f t="shared" si="226"/>
        <v>0</v>
      </c>
    </row>
    <row r="391" spans="1:79" x14ac:dyDescent="0.2">
      <c r="A391" s="4">
        <v>1</v>
      </c>
      <c r="B391" s="4">
        <v>1</v>
      </c>
      <c r="C391" s="5">
        <f t="shared" si="227"/>
        <v>41120</v>
      </c>
      <c r="D391" s="6">
        <v>41120</v>
      </c>
      <c r="E391" s="6">
        <v>43011</v>
      </c>
      <c r="F391" s="6" t="s">
        <v>1606</v>
      </c>
      <c r="G391" s="7"/>
      <c r="H391" s="7"/>
      <c r="I391" s="7" t="s">
        <v>32</v>
      </c>
      <c r="J391" s="7"/>
      <c r="K391" s="29">
        <v>396882</v>
      </c>
      <c r="L391" s="10" t="s">
        <v>852</v>
      </c>
      <c r="M391" s="10" t="s">
        <v>863</v>
      </c>
      <c r="N391" s="10" t="s">
        <v>864</v>
      </c>
      <c r="O391" s="11" t="s">
        <v>865</v>
      </c>
      <c r="P391" s="12">
        <v>41072</v>
      </c>
      <c r="Q391" s="13">
        <f t="shared" ca="1" si="198"/>
        <v>13.278576317590691</v>
      </c>
      <c r="R391" s="14">
        <v>6</v>
      </c>
      <c r="S391" s="15">
        <v>872</v>
      </c>
      <c r="T391" s="8">
        <v>872</v>
      </c>
      <c r="U391" s="16">
        <v>45017</v>
      </c>
      <c r="V391" s="17">
        <v>1</v>
      </c>
      <c r="W391" s="16">
        <v>45128</v>
      </c>
      <c r="X391" s="14">
        <v>63</v>
      </c>
      <c r="Y391" s="18">
        <f t="shared" si="223"/>
        <v>63</v>
      </c>
      <c r="Z391" s="18">
        <f t="shared" si="212"/>
        <v>0.328125</v>
      </c>
      <c r="AA391" s="18" t="s">
        <v>48</v>
      </c>
      <c r="AB391" s="26">
        <v>30</v>
      </c>
      <c r="AC391" s="26"/>
      <c r="AD391" s="26"/>
      <c r="AE391" s="147" t="str">
        <f t="shared" si="220"/>
        <v>0</v>
      </c>
      <c r="AF391" s="147" t="str">
        <f t="shared" si="199"/>
        <v>1</v>
      </c>
      <c r="AG391" s="147" t="str">
        <f t="shared" si="221"/>
        <v>0</v>
      </c>
      <c r="AH391" s="147" t="str">
        <f t="shared" si="200"/>
        <v>NO</v>
      </c>
      <c r="AI391" s="147" t="str">
        <f t="shared" si="201"/>
        <v>NO</v>
      </c>
      <c r="AJ391" s="147" t="str">
        <f t="shared" si="202"/>
        <v>NO</v>
      </c>
      <c r="AK391" s="147" t="str">
        <f t="shared" si="203"/>
        <v>NO</v>
      </c>
      <c r="AL391" s="21"/>
      <c r="AM391" s="21">
        <f t="shared" si="224"/>
        <v>8183.0999999999985</v>
      </c>
      <c r="AN391" s="27" t="s">
        <v>43</v>
      </c>
      <c r="AO391" s="21">
        <v>1</v>
      </c>
      <c r="AP391" s="21">
        <f t="shared" si="222"/>
        <v>0.328125</v>
      </c>
      <c r="AQ391" s="149">
        <f t="shared" si="219"/>
        <v>2685.0796874999996</v>
      </c>
      <c r="AR391" s="21">
        <v>2685.0796874999996</v>
      </c>
      <c r="AS391" s="610">
        <v>2685.0796874999996</v>
      </c>
      <c r="AT391" s="112">
        <v>2685.0796874999996</v>
      </c>
      <c r="AU391" s="4"/>
      <c r="AV391" s="4"/>
      <c r="AW391" s="23" t="e">
        <f>VLOOKUP(K391,#REF!,8,FALSE)</f>
        <v>#REF!</v>
      </c>
      <c r="AX391" s="23" t="s">
        <v>2253</v>
      </c>
      <c r="AY391" s="23" t="e">
        <f>VLOOKUP(K391,#REF!,8,FALSE)</f>
        <v>#REF!</v>
      </c>
      <c r="AZ391" s="4"/>
      <c r="BA391" s="272"/>
      <c r="BB391" s="313">
        <f t="shared" si="218"/>
        <v>0</v>
      </c>
      <c r="BC391" s="269">
        <f t="shared" si="215"/>
        <v>2685.0796874999996</v>
      </c>
      <c r="BD391" t="e">
        <f t="shared" si="217"/>
        <v>#REF!</v>
      </c>
      <c r="BE391" t="s">
        <v>2394</v>
      </c>
      <c r="BF391">
        <v>43012</v>
      </c>
      <c r="BH391" t="e">
        <f>VLOOKUP(K391,#REF!,8,FALSE)</f>
        <v>#REF!</v>
      </c>
      <c r="BJ391">
        <f>AB391</f>
        <v>30</v>
      </c>
      <c r="BK391" s="269">
        <f>AM391</f>
        <v>8183.0999999999985</v>
      </c>
      <c r="BL391" s="353"/>
      <c r="BM391" s="353" t="s">
        <v>75</v>
      </c>
      <c r="BN391" s="353"/>
      <c r="BO391" s="106">
        <f>BK391/192*127</f>
        <v>5412.7796874999985</v>
      </c>
      <c r="BP391" s="166">
        <f t="shared" si="204"/>
        <v>8097.8593749999982</v>
      </c>
      <c r="BS391" s="165"/>
      <c r="BX391" s="495">
        <f t="shared" si="205"/>
        <v>8097.8593749999982</v>
      </c>
      <c r="BZ391" s="636">
        <f t="shared" si="225"/>
        <v>0</v>
      </c>
      <c r="CA391" s="633">
        <f t="shared" si="226"/>
        <v>5412.7796874999985</v>
      </c>
    </row>
    <row r="392" spans="1:79" x14ac:dyDescent="0.2">
      <c r="A392" s="4">
        <v>1</v>
      </c>
      <c r="B392" s="4">
        <v>1</v>
      </c>
      <c r="C392" s="5">
        <f t="shared" si="227"/>
        <v>41120</v>
      </c>
      <c r="D392" s="6">
        <v>41120</v>
      </c>
      <c r="E392" s="6">
        <v>43011</v>
      </c>
      <c r="F392" s="6" t="s">
        <v>1606</v>
      </c>
      <c r="G392" s="7"/>
      <c r="H392" s="7"/>
      <c r="I392" s="7" t="s">
        <v>32</v>
      </c>
      <c r="J392" s="7"/>
      <c r="K392" s="29">
        <v>417829</v>
      </c>
      <c r="L392" s="10" t="s">
        <v>852</v>
      </c>
      <c r="M392" s="10" t="s">
        <v>866</v>
      </c>
      <c r="N392" s="10" t="s">
        <v>867</v>
      </c>
      <c r="O392" s="11" t="s">
        <v>868</v>
      </c>
      <c r="P392" s="12">
        <v>41932</v>
      </c>
      <c r="Q392" s="13">
        <f t="shared" ca="1" si="198"/>
        <v>10.924024640657084</v>
      </c>
      <c r="R392" s="14">
        <v>3</v>
      </c>
      <c r="S392" s="15">
        <v>872</v>
      </c>
      <c r="T392" s="8">
        <v>872</v>
      </c>
      <c r="U392" s="16">
        <v>45017</v>
      </c>
      <c r="V392" s="17">
        <v>1</v>
      </c>
      <c r="W392" s="16">
        <v>45382</v>
      </c>
      <c r="X392" s="14">
        <v>192</v>
      </c>
      <c r="Y392" s="18">
        <f t="shared" si="223"/>
        <v>192</v>
      </c>
      <c r="Z392" s="18">
        <f t="shared" si="212"/>
        <v>1</v>
      </c>
      <c r="AA392" s="18" t="s">
        <v>36</v>
      </c>
      <c r="AB392" s="26">
        <v>30</v>
      </c>
      <c r="AC392" s="26"/>
      <c r="AD392" s="26"/>
      <c r="AE392" s="147" t="str">
        <f t="shared" si="220"/>
        <v>0</v>
      </c>
      <c r="AF392" s="147" t="str">
        <f t="shared" si="199"/>
        <v>1</v>
      </c>
      <c r="AG392" s="147" t="str">
        <f t="shared" si="221"/>
        <v>0</v>
      </c>
      <c r="AH392" s="147" t="str">
        <f t="shared" si="200"/>
        <v>NO</v>
      </c>
      <c r="AI392" s="147" t="str">
        <f t="shared" si="201"/>
        <v>NO</v>
      </c>
      <c r="AJ392" s="147" t="str">
        <f t="shared" si="202"/>
        <v>NO</v>
      </c>
      <c r="AK392" s="147" t="str">
        <f t="shared" si="203"/>
        <v>NO</v>
      </c>
      <c r="AL392" s="21"/>
      <c r="AM392" s="21">
        <f t="shared" si="224"/>
        <v>8183.0999999999985</v>
      </c>
      <c r="AN392" s="27" t="s">
        <v>56</v>
      </c>
      <c r="AO392" s="21">
        <v>1</v>
      </c>
      <c r="AP392" s="21">
        <f t="shared" si="222"/>
        <v>1</v>
      </c>
      <c r="AQ392" s="149">
        <f t="shared" si="219"/>
        <v>8183.0999999999985</v>
      </c>
      <c r="AR392" s="21">
        <v>8183.0999999999985</v>
      </c>
      <c r="AS392" s="610">
        <v>8183.0999999999985</v>
      </c>
      <c r="AT392" s="112">
        <v>8183.0999999999985</v>
      </c>
      <c r="AU392" s="4"/>
      <c r="AV392" s="4"/>
      <c r="AW392" s="23" t="e">
        <f>VLOOKUP(K392,#REF!,8,FALSE)</f>
        <v>#REF!</v>
      </c>
      <c r="AX392" s="23" t="e">
        <f>VLOOKUP(K392,#REF!,8,FALSE)</f>
        <v>#REF!</v>
      </c>
      <c r="AY392" s="23" t="e">
        <f>VLOOKUP(K392,#REF!,8,FALSE)</f>
        <v>#REF!</v>
      </c>
      <c r="AZ392" s="4"/>
      <c r="BA392" s="272"/>
      <c r="BB392" s="313">
        <f t="shared" si="218"/>
        <v>0</v>
      </c>
      <c r="BC392" s="269">
        <f t="shared" si="215"/>
        <v>8183.0999999999985</v>
      </c>
      <c r="BD392" t="str">
        <f t="shared" si="217"/>
        <v/>
      </c>
      <c r="BP392" s="166">
        <f t="shared" si="204"/>
        <v>8183.0999999999985</v>
      </c>
      <c r="BS392" s="165"/>
      <c r="BX392" s="495">
        <f t="shared" si="205"/>
        <v>8183.0999999999985</v>
      </c>
      <c r="BZ392" s="636">
        <f t="shared" si="225"/>
        <v>0</v>
      </c>
      <c r="CA392" s="633">
        <f t="shared" si="226"/>
        <v>0</v>
      </c>
    </row>
    <row r="393" spans="1:79" x14ac:dyDescent="0.2">
      <c r="A393" s="4">
        <v>1</v>
      </c>
      <c r="B393" s="4">
        <v>1</v>
      </c>
      <c r="C393" s="5">
        <f t="shared" si="227"/>
        <v>41120</v>
      </c>
      <c r="D393" s="6">
        <v>41120</v>
      </c>
      <c r="E393" s="6">
        <v>43011</v>
      </c>
      <c r="F393" s="6" t="s">
        <v>1606</v>
      </c>
      <c r="G393" s="7"/>
      <c r="H393" s="7"/>
      <c r="I393" s="7" t="s">
        <v>32</v>
      </c>
      <c r="J393" s="7"/>
      <c r="K393" s="29">
        <v>396821</v>
      </c>
      <c r="L393" s="10" t="s">
        <v>852</v>
      </c>
      <c r="M393" s="10" t="s">
        <v>869</v>
      </c>
      <c r="N393" s="10" t="s">
        <v>870</v>
      </c>
      <c r="O393" s="11" t="s">
        <v>871</v>
      </c>
      <c r="P393" s="12">
        <v>41128</v>
      </c>
      <c r="Q393" s="13">
        <f t="shared" ca="1" si="198"/>
        <v>13.125256673511293</v>
      </c>
      <c r="R393" s="14">
        <v>6</v>
      </c>
      <c r="S393" s="15">
        <v>872</v>
      </c>
      <c r="T393" s="8">
        <v>872</v>
      </c>
      <c r="U393" s="16">
        <v>45017</v>
      </c>
      <c r="V393" s="17">
        <v>1</v>
      </c>
      <c r="W393" s="16">
        <v>45128</v>
      </c>
      <c r="X393" s="14">
        <v>63</v>
      </c>
      <c r="Y393" s="18">
        <f t="shared" si="223"/>
        <v>63</v>
      </c>
      <c r="Z393" s="18">
        <f t="shared" si="212"/>
        <v>0.328125</v>
      </c>
      <c r="AA393" s="18" t="s">
        <v>48</v>
      </c>
      <c r="AB393" s="26">
        <v>30</v>
      </c>
      <c r="AC393" s="26"/>
      <c r="AD393" s="26"/>
      <c r="AE393" s="147" t="str">
        <f t="shared" si="220"/>
        <v>0</v>
      </c>
      <c r="AF393" s="147" t="str">
        <f t="shared" si="199"/>
        <v>1</v>
      </c>
      <c r="AG393" s="147" t="str">
        <f t="shared" si="221"/>
        <v>0</v>
      </c>
      <c r="AH393" s="147" t="str">
        <f t="shared" si="200"/>
        <v>NO</v>
      </c>
      <c r="AI393" s="147" t="str">
        <f t="shared" si="201"/>
        <v>NO</v>
      </c>
      <c r="AJ393" s="147" t="str">
        <f t="shared" si="202"/>
        <v>NO</v>
      </c>
      <c r="AK393" s="147" t="str">
        <f t="shared" si="203"/>
        <v>NO</v>
      </c>
      <c r="AL393" s="21"/>
      <c r="AM393" s="21">
        <f t="shared" si="224"/>
        <v>8183.0999999999985</v>
      </c>
      <c r="AN393" s="27" t="s">
        <v>43</v>
      </c>
      <c r="AO393" s="21">
        <v>1</v>
      </c>
      <c r="AP393" s="21">
        <f t="shared" si="222"/>
        <v>0.328125</v>
      </c>
      <c r="AQ393" s="149">
        <f t="shared" si="219"/>
        <v>2685.0796874999996</v>
      </c>
      <c r="AR393" s="21">
        <v>2685.0796874999996</v>
      </c>
      <c r="AS393" s="610">
        <v>2685.0796874999996</v>
      </c>
      <c r="AT393" s="112">
        <v>2685.0796874999996</v>
      </c>
      <c r="AU393" s="4"/>
      <c r="AV393" s="4"/>
      <c r="AW393" s="23" t="e">
        <f>VLOOKUP(K393,#REF!,8,FALSE)</f>
        <v>#REF!</v>
      </c>
      <c r="AX393" s="23" t="s">
        <v>2237</v>
      </c>
      <c r="AY393" s="23" t="e">
        <f>VLOOKUP(K393,#REF!,8,FALSE)</f>
        <v>#REF!</v>
      </c>
      <c r="AZ393" s="4"/>
      <c r="BA393" s="272"/>
      <c r="BB393" s="313">
        <f t="shared" si="218"/>
        <v>0</v>
      </c>
      <c r="BC393" s="269">
        <f t="shared" si="215"/>
        <v>2685.0796874999996</v>
      </c>
      <c r="BD393" t="e">
        <f t="shared" si="217"/>
        <v>#REF!</v>
      </c>
      <c r="BE393" t="s">
        <v>2394</v>
      </c>
      <c r="BF393">
        <v>43012</v>
      </c>
      <c r="BH393" t="e">
        <f>VLOOKUP(K393,#REF!,8,FALSE)</f>
        <v>#REF!</v>
      </c>
      <c r="BJ393">
        <f>AB393</f>
        <v>30</v>
      </c>
      <c r="BK393" s="269">
        <f>AM393</f>
        <v>8183.0999999999985</v>
      </c>
      <c r="BL393" s="353"/>
      <c r="BM393" s="353" t="s">
        <v>75</v>
      </c>
      <c r="BN393" s="353"/>
      <c r="BO393" s="106">
        <f>BK393/192*127</f>
        <v>5412.7796874999985</v>
      </c>
      <c r="BP393" s="166">
        <f t="shared" si="204"/>
        <v>8097.8593749999982</v>
      </c>
      <c r="BS393" s="165"/>
      <c r="BX393" s="495">
        <f t="shared" si="205"/>
        <v>8097.8593749999982</v>
      </c>
      <c r="BZ393" s="636">
        <f t="shared" si="225"/>
        <v>0</v>
      </c>
      <c r="CA393" s="633">
        <f t="shared" si="226"/>
        <v>5412.7796874999985</v>
      </c>
    </row>
    <row r="394" spans="1:79" x14ac:dyDescent="0.2">
      <c r="A394" s="4">
        <v>1</v>
      </c>
      <c r="B394" s="4">
        <v>1</v>
      </c>
      <c r="C394" s="5">
        <f t="shared" si="227"/>
        <v>41120</v>
      </c>
      <c r="D394" s="6">
        <v>41120</v>
      </c>
      <c r="E394" s="6">
        <v>43011</v>
      </c>
      <c r="F394" s="6" t="s">
        <v>1606</v>
      </c>
      <c r="G394" s="7"/>
      <c r="H394" s="7"/>
      <c r="I394" s="7" t="s">
        <v>32</v>
      </c>
      <c r="J394" s="7"/>
      <c r="K394" s="35">
        <v>419637</v>
      </c>
      <c r="L394" s="10" t="s">
        <v>852</v>
      </c>
      <c r="M394" s="10" t="s">
        <v>872</v>
      </c>
      <c r="N394" s="10" t="s">
        <v>873</v>
      </c>
      <c r="O394" s="11" t="s">
        <v>874</v>
      </c>
      <c r="P394" s="12">
        <v>42337</v>
      </c>
      <c r="Q394" s="13">
        <f t="shared" ca="1" si="198"/>
        <v>9.8151950718685832</v>
      </c>
      <c r="R394" s="14">
        <v>2</v>
      </c>
      <c r="S394" s="15">
        <v>872</v>
      </c>
      <c r="T394" s="8">
        <v>872</v>
      </c>
      <c r="U394" s="16">
        <v>45017</v>
      </c>
      <c r="V394" s="17">
        <v>1</v>
      </c>
      <c r="W394" s="16">
        <v>45382</v>
      </c>
      <c r="X394" s="14">
        <v>192</v>
      </c>
      <c r="Y394" s="18">
        <f t="shared" si="223"/>
        <v>192</v>
      </c>
      <c r="Z394" s="18">
        <f t="shared" si="212"/>
        <v>1</v>
      </c>
      <c r="AA394" s="18" t="s">
        <v>36</v>
      </c>
      <c r="AB394" s="26">
        <v>30</v>
      </c>
      <c r="AC394" s="26"/>
      <c r="AD394" s="26"/>
      <c r="AE394" s="147" t="str">
        <f t="shared" si="220"/>
        <v>0</v>
      </c>
      <c r="AF394" s="147" t="str">
        <f t="shared" si="199"/>
        <v>1</v>
      </c>
      <c r="AG394" s="147" t="str">
        <f t="shared" si="221"/>
        <v>0</v>
      </c>
      <c r="AH394" s="147" t="str">
        <f t="shared" si="200"/>
        <v>NO</v>
      </c>
      <c r="AI394" s="147" t="str">
        <f t="shared" si="201"/>
        <v>NO</v>
      </c>
      <c r="AJ394" s="147" t="str">
        <f t="shared" si="202"/>
        <v>NO</v>
      </c>
      <c r="AK394" s="147" t="str">
        <f t="shared" si="203"/>
        <v>NO</v>
      </c>
      <c r="AL394" s="21"/>
      <c r="AM394" s="21">
        <f t="shared" si="224"/>
        <v>8183.0999999999985</v>
      </c>
      <c r="AN394" s="27" t="s">
        <v>37</v>
      </c>
      <c r="AO394" s="21">
        <v>1</v>
      </c>
      <c r="AP394" s="21">
        <f t="shared" si="222"/>
        <v>1</v>
      </c>
      <c r="AQ394" s="149">
        <f t="shared" si="219"/>
        <v>8183.0999999999985</v>
      </c>
      <c r="AR394" s="21">
        <v>8183.0999999999985</v>
      </c>
      <c r="AS394" s="610">
        <v>8183.0999999999985</v>
      </c>
      <c r="AT394" s="112">
        <v>8183.0999999999985</v>
      </c>
      <c r="AU394" s="4"/>
      <c r="AV394" s="4"/>
      <c r="AW394" s="23" t="e">
        <f>VLOOKUP(K394,#REF!,8,FALSE)</f>
        <v>#REF!</v>
      </c>
      <c r="AX394" s="23" t="e">
        <f>VLOOKUP(K394,#REF!,8,FALSE)</f>
        <v>#REF!</v>
      </c>
      <c r="AY394" s="23" t="e">
        <f>VLOOKUP(K394,#REF!,8,FALSE)</f>
        <v>#REF!</v>
      </c>
      <c r="AZ394" s="4"/>
      <c r="BA394" s="272"/>
      <c r="BB394" s="313">
        <f t="shared" si="218"/>
        <v>0</v>
      </c>
      <c r="BC394" s="269">
        <f t="shared" si="215"/>
        <v>8183.0999999999985</v>
      </c>
      <c r="BD394" t="str">
        <f t="shared" si="217"/>
        <v/>
      </c>
      <c r="BP394" s="166">
        <f t="shared" si="204"/>
        <v>8183.0999999999985</v>
      </c>
      <c r="BS394" s="165"/>
      <c r="BX394" s="495">
        <f t="shared" si="205"/>
        <v>8183.0999999999985</v>
      </c>
      <c r="BZ394" s="636">
        <f t="shared" si="225"/>
        <v>0</v>
      </c>
      <c r="CA394" s="633">
        <f t="shared" si="226"/>
        <v>0</v>
      </c>
    </row>
    <row r="395" spans="1:79" x14ac:dyDescent="0.2">
      <c r="A395" s="4">
        <v>0</v>
      </c>
      <c r="B395" s="4">
        <v>1</v>
      </c>
      <c r="C395" s="5">
        <f t="shared" si="227"/>
        <v>41120</v>
      </c>
      <c r="D395" s="6">
        <v>41120</v>
      </c>
      <c r="E395" s="6">
        <v>43011</v>
      </c>
      <c r="F395" s="6" t="s">
        <v>1606</v>
      </c>
      <c r="G395" s="7"/>
      <c r="H395" s="7"/>
      <c r="I395" s="7" t="s">
        <v>32</v>
      </c>
      <c r="J395" s="7" t="s">
        <v>192</v>
      </c>
      <c r="K395" s="35">
        <v>419637</v>
      </c>
      <c r="L395" s="10" t="s">
        <v>852</v>
      </c>
      <c r="M395" s="10" t="s">
        <v>872</v>
      </c>
      <c r="N395" s="10" t="s">
        <v>873</v>
      </c>
      <c r="O395" s="11" t="s">
        <v>874</v>
      </c>
      <c r="P395" s="12">
        <v>42337</v>
      </c>
      <c r="Q395" s="13">
        <f t="shared" ca="1" si="198"/>
        <v>9.8151950718685832</v>
      </c>
      <c r="R395" s="14">
        <v>2</v>
      </c>
      <c r="S395" s="15">
        <v>872</v>
      </c>
      <c r="T395" s="8">
        <v>872</v>
      </c>
      <c r="U395" s="16">
        <v>45033</v>
      </c>
      <c r="V395" s="17">
        <v>2</v>
      </c>
      <c r="W395" s="16">
        <v>45128</v>
      </c>
      <c r="X395" s="14">
        <v>63</v>
      </c>
      <c r="Y395" s="18">
        <f t="shared" si="223"/>
        <v>62</v>
      </c>
      <c r="Z395" s="18">
        <v>1</v>
      </c>
      <c r="AA395" s="16">
        <v>45128</v>
      </c>
      <c r="AB395" s="26">
        <v>24960</v>
      </c>
      <c r="AC395" s="26"/>
      <c r="AD395" s="26"/>
      <c r="AE395" s="147" t="str">
        <f t="shared" si="220"/>
        <v>0</v>
      </c>
      <c r="AF395" s="147" t="str">
        <f t="shared" si="199"/>
        <v>0</v>
      </c>
      <c r="AG395" s="147" t="str">
        <f t="shared" si="221"/>
        <v>1</v>
      </c>
      <c r="AH395" s="147" t="str">
        <f t="shared" si="200"/>
        <v>NO</v>
      </c>
      <c r="AI395" s="147" t="str">
        <f t="shared" si="201"/>
        <v>NO</v>
      </c>
      <c r="AJ395" s="147" t="str">
        <f t="shared" si="202"/>
        <v>NO</v>
      </c>
      <c r="AK395" s="147" t="str">
        <f t="shared" si="203"/>
        <v>NO</v>
      </c>
      <c r="AL395" s="21"/>
      <c r="AM395" s="21">
        <v>24960</v>
      </c>
      <c r="AN395" s="27" t="s">
        <v>37</v>
      </c>
      <c r="AO395" s="21">
        <v>1</v>
      </c>
      <c r="AP395" s="21">
        <f t="shared" si="222"/>
        <v>1</v>
      </c>
      <c r="AQ395" s="149">
        <f t="shared" si="219"/>
        <v>24960</v>
      </c>
      <c r="AR395" s="21">
        <v>24960</v>
      </c>
      <c r="AS395" s="610">
        <v>0</v>
      </c>
      <c r="AT395" s="112">
        <v>24960</v>
      </c>
      <c r="AU395" s="4"/>
      <c r="AV395" s="4"/>
      <c r="AW395" s="23" t="e">
        <f>VLOOKUP(K395,#REF!,8,FALSE)</f>
        <v>#REF!</v>
      </c>
      <c r="AX395" s="23" t="e">
        <f>VLOOKUP(K395,#REF!,8,FALSE)</f>
        <v>#REF!</v>
      </c>
      <c r="AY395" s="23" t="e">
        <f>VLOOKUP(K395,#REF!,8,FALSE)</f>
        <v>#REF!</v>
      </c>
      <c r="AZ395" s="4"/>
      <c r="BA395" s="272"/>
      <c r="BB395" s="313">
        <f t="shared" si="218"/>
        <v>0</v>
      </c>
      <c r="BC395" s="269">
        <f t="shared" si="215"/>
        <v>24960</v>
      </c>
      <c r="BD395" t="str">
        <f t="shared" si="217"/>
        <v/>
      </c>
      <c r="BJ395">
        <f>AB395</f>
        <v>24960</v>
      </c>
      <c r="BK395" s="269">
        <f>AM395</f>
        <v>24960</v>
      </c>
      <c r="BO395" s="106">
        <f>BK395/192*127</f>
        <v>16510</v>
      </c>
      <c r="BP395" s="166">
        <f t="shared" si="204"/>
        <v>41470</v>
      </c>
      <c r="BS395" s="165"/>
      <c r="BX395" s="495">
        <f t="shared" si="205"/>
        <v>41470</v>
      </c>
      <c r="BZ395" s="636">
        <f t="shared" si="225"/>
        <v>0</v>
      </c>
      <c r="CA395" s="633">
        <f t="shared" si="226"/>
        <v>41470</v>
      </c>
    </row>
    <row r="396" spans="1:79" x14ac:dyDescent="0.2">
      <c r="A396" s="4">
        <v>1</v>
      </c>
      <c r="B396" s="4">
        <v>1</v>
      </c>
      <c r="C396" s="5">
        <f t="shared" si="227"/>
        <v>41120</v>
      </c>
      <c r="D396" s="6">
        <v>41120</v>
      </c>
      <c r="E396" s="6">
        <v>43011</v>
      </c>
      <c r="F396" s="6" t="s">
        <v>1606</v>
      </c>
      <c r="G396" s="7"/>
      <c r="H396" s="7"/>
      <c r="I396" s="7" t="s">
        <v>32</v>
      </c>
      <c r="J396" s="7"/>
      <c r="K396" s="29">
        <v>407893</v>
      </c>
      <c r="L396" s="10" t="s">
        <v>852</v>
      </c>
      <c r="M396" s="10" t="s">
        <v>875</v>
      </c>
      <c r="N396" s="10" t="s">
        <v>876</v>
      </c>
      <c r="O396" s="11" t="s">
        <v>877</v>
      </c>
      <c r="P396" s="12">
        <v>41310</v>
      </c>
      <c r="Q396" s="13">
        <f t="shared" ca="1" si="198"/>
        <v>12.626967830253252</v>
      </c>
      <c r="R396" s="14">
        <v>5</v>
      </c>
      <c r="S396" s="15">
        <v>872</v>
      </c>
      <c r="T396" s="8">
        <v>872</v>
      </c>
      <c r="U396" s="16">
        <v>45017</v>
      </c>
      <c r="V396" s="17">
        <v>1</v>
      </c>
      <c r="W396" s="16">
        <v>45382</v>
      </c>
      <c r="X396" s="14">
        <v>192</v>
      </c>
      <c r="Y396" s="18">
        <f t="shared" si="223"/>
        <v>192</v>
      </c>
      <c r="Z396" s="18">
        <f t="shared" ref="Z396:Z412" si="228">Y396/192</f>
        <v>1</v>
      </c>
      <c r="AA396" s="18" t="s">
        <v>36</v>
      </c>
      <c r="AB396" s="26">
        <v>25</v>
      </c>
      <c r="AC396" s="26"/>
      <c r="AD396" s="26"/>
      <c r="AE396" s="147" t="str">
        <f t="shared" si="220"/>
        <v>1</v>
      </c>
      <c r="AF396" s="147" t="str">
        <f t="shared" si="199"/>
        <v>0</v>
      </c>
      <c r="AG396" s="147" t="str">
        <f t="shared" si="221"/>
        <v>0</v>
      </c>
      <c r="AH396" s="147" t="str">
        <f t="shared" si="200"/>
        <v>NO</v>
      </c>
      <c r="AI396" s="147" t="str">
        <f t="shared" si="201"/>
        <v>NO</v>
      </c>
      <c r="AJ396" s="147" t="str">
        <f t="shared" si="202"/>
        <v>NO</v>
      </c>
      <c r="AK396" s="147" t="str">
        <f t="shared" si="203"/>
        <v>NO</v>
      </c>
      <c r="AL396" s="21"/>
      <c r="AM396" s="21">
        <f t="shared" ref="AM396:AM412" si="229">IF(H396="Y",AL396,((AB396*$O$902)-6000))</f>
        <v>5819.25</v>
      </c>
      <c r="AN396" s="27" t="s">
        <v>56</v>
      </c>
      <c r="AO396" s="21">
        <v>1</v>
      </c>
      <c r="AP396" s="21">
        <f t="shared" si="222"/>
        <v>1</v>
      </c>
      <c r="AQ396" s="149">
        <f t="shared" si="219"/>
        <v>5819.25</v>
      </c>
      <c r="AR396" s="21">
        <v>5819.25</v>
      </c>
      <c r="AS396" s="610">
        <v>5819.25</v>
      </c>
      <c r="AT396" s="112">
        <v>5819.25</v>
      </c>
      <c r="AU396" s="4"/>
      <c r="AV396" s="4"/>
      <c r="AW396" s="23" t="e">
        <f>VLOOKUP(K396,#REF!,8,FALSE)</f>
        <v>#REF!</v>
      </c>
      <c r="AX396" s="23" t="e">
        <f>VLOOKUP(K396,#REF!,8,FALSE)</f>
        <v>#REF!</v>
      </c>
      <c r="AY396" s="23" t="e">
        <f>VLOOKUP(K396,#REF!,8,FALSE)</f>
        <v>#REF!</v>
      </c>
      <c r="AZ396" s="4"/>
      <c r="BA396" s="272"/>
      <c r="BB396" s="313">
        <f t="shared" si="218"/>
        <v>0</v>
      </c>
      <c r="BC396" s="269">
        <f t="shared" si="215"/>
        <v>5819.25</v>
      </c>
      <c r="BD396" t="str">
        <f t="shared" si="217"/>
        <v/>
      </c>
      <c r="BP396" s="166">
        <f t="shared" si="204"/>
        <v>5819.25</v>
      </c>
      <c r="BS396" s="165"/>
      <c r="BX396" s="495">
        <f t="shared" si="205"/>
        <v>5819.25</v>
      </c>
      <c r="BZ396" s="636">
        <f t="shared" si="225"/>
        <v>0</v>
      </c>
      <c r="CA396" s="633">
        <f t="shared" si="226"/>
        <v>0</v>
      </c>
    </row>
    <row r="397" spans="1:79" x14ac:dyDescent="0.2">
      <c r="A397" s="4">
        <v>1</v>
      </c>
      <c r="B397" s="4">
        <v>1</v>
      </c>
      <c r="C397" s="5">
        <f t="shared" si="227"/>
        <v>41120</v>
      </c>
      <c r="D397" s="6">
        <v>41120</v>
      </c>
      <c r="E397" s="6">
        <v>43011</v>
      </c>
      <c r="F397" s="6" t="s">
        <v>1606</v>
      </c>
      <c r="G397" s="7"/>
      <c r="H397" s="7"/>
      <c r="I397" s="7" t="s">
        <v>32</v>
      </c>
      <c r="J397" s="7"/>
      <c r="K397" s="29">
        <v>402953</v>
      </c>
      <c r="L397" s="10" t="s">
        <v>852</v>
      </c>
      <c r="M397" s="10" t="s">
        <v>878</v>
      </c>
      <c r="N397" s="10" t="s">
        <v>879</v>
      </c>
      <c r="O397" s="11" t="s">
        <v>880</v>
      </c>
      <c r="P397" s="12">
        <v>41115</v>
      </c>
      <c r="Q397" s="13">
        <f t="shared" ca="1" si="198"/>
        <v>13.160848733744011</v>
      </c>
      <c r="R397" s="14">
        <v>6</v>
      </c>
      <c r="S397" s="15">
        <v>872</v>
      </c>
      <c r="T397" s="8">
        <v>872</v>
      </c>
      <c r="U397" s="16">
        <v>45017</v>
      </c>
      <c r="V397" s="17">
        <v>1</v>
      </c>
      <c r="W397" s="16">
        <v>45128</v>
      </c>
      <c r="X397" s="14">
        <v>63</v>
      </c>
      <c r="Y397" s="18">
        <f t="shared" si="223"/>
        <v>63</v>
      </c>
      <c r="Z397" s="18">
        <f t="shared" si="228"/>
        <v>0.328125</v>
      </c>
      <c r="AA397" s="18" t="s">
        <v>48</v>
      </c>
      <c r="AB397" s="26">
        <v>28</v>
      </c>
      <c r="AC397" s="26"/>
      <c r="AD397" s="26"/>
      <c r="AE397" s="147" t="str">
        <f t="shared" si="220"/>
        <v>0</v>
      </c>
      <c r="AF397" s="147" t="str">
        <f t="shared" si="199"/>
        <v>1</v>
      </c>
      <c r="AG397" s="147" t="str">
        <f t="shared" si="221"/>
        <v>0</v>
      </c>
      <c r="AH397" s="147" t="str">
        <f t="shared" si="200"/>
        <v>NO</v>
      </c>
      <c r="AI397" s="147" t="str">
        <f t="shared" si="201"/>
        <v>NO</v>
      </c>
      <c r="AJ397" s="147" t="str">
        <f t="shared" si="202"/>
        <v>NO</v>
      </c>
      <c r="AK397" s="147" t="str">
        <f t="shared" si="203"/>
        <v>NO</v>
      </c>
      <c r="AL397" s="21"/>
      <c r="AM397" s="21">
        <f t="shared" si="229"/>
        <v>7237.5599999999995</v>
      </c>
      <c r="AN397" s="27" t="s">
        <v>43</v>
      </c>
      <c r="AO397" s="21">
        <v>1</v>
      </c>
      <c r="AP397" s="21">
        <f t="shared" si="222"/>
        <v>0.328125</v>
      </c>
      <c r="AQ397" s="149">
        <f t="shared" si="219"/>
        <v>2374.8243749999997</v>
      </c>
      <c r="AR397" s="21">
        <v>2374.8243749999997</v>
      </c>
      <c r="AS397" s="610">
        <v>2374.8243749999997</v>
      </c>
      <c r="AT397" s="112">
        <v>2374.8243749999997</v>
      </c>
      <c r="AU397" s="4"/>
      <c r="AV397" s="4"/>
      <c r="AW397" s="23" t="e">
        <f>VLOOKUP(K397,#REF!,8,FALSE)</f>
        <v>#REF!</v>
      </c>
      <c r="AX397" s="23" t="s">
        <v>2237</v>
      </c>
      <c r="AY397" s="23" t="e">
        <f>VLOOKUP(K397,#REF!,8,FALSE)</f>
        <v>#REF!</v>
      </c>
      <c r="AZ397" s="4"/>
      <c r="BA397" s="272"/>
      <c r="BB397" s="313">
        <f t="shared" si="218"/>
        <v>0</v>
      </c>
      <c r="BC397" s="269">
        <f t="shared" si="215"/>
        <v>2374.8243749999997</v>
      </c>
      <c r="BD397" t="e">
        <f t="shared" si="217"/>
        <v>#REF!</v>
      </c>
      <c r="BE397" t="s">
        <v>2394</v>
      </c>
      <c r="BF397">
        <v>43012</v>
      </c>
      <c r="BH397" t="e">
        <f>VLOOKUP(K397,#REF!,8,FALSE)</f>
        <v>#REF!</v>
      </c>
      <c r="BJ397">
        <f>AB397</f>
        <v>28</v>
      </c>
      <c r="BK397" s="269">
        <f>AM397</f>
        <v>7237.5599999999995</v>
      </c>
      <c r="BL397" s="353"/>
      <c r="BM397" s="353" t="s">
        <v>75</v>
      </c>
      <c r="BN397" s="353"/>
      <c r="BO397" s="106">
        <f>BK397/192*127</f>
        <v>4787.3443749999997</v>
      </c>
      <c r="BP397" s="166">
        <f t="shared" si="204"/>
        <v>7162.1687499999989</v>
      </c>
      <c r="BS397" s="165"/>
      <c r="BX397" s="495">
        <f t="shared" si="205"/>
        <v>7162.1687499999989</v>
      </c>
      <c r="BZ397" s="636">
        <f t="shared" si="225"/>
        <v>0</v>
      </c>
      <c r="CA397" s="633">
        <f t="shared" si="226"/>
        <v>4787.3443749999988</v>
      </c>
    </row>
    <row r="398" spans="1:79" x14ac:dyDescent="0.2">
      <c r="A398" s="4">
        <v>1</v>
      </c>
      <c r="B398" s="4">
        <v>1</v>
      </c>
      <c r="C398" s="5">
        <f t="shared" si="227"/>
        <v>41120</v>
      </c>
      <c r="D398" s="6">
        <v>41120</v>
      </c>
      <c r="E398" s="6">
        <v>43011</v>
      </c>
      <c r="F398" s="6" t="s">
        <v>1606</v>
      </c>
      <c r="G398" s="7"/>
      <c r="H398" s="7"/>
      <c r="I398" s="7" t="s">
        <v>32</v>
      </c>
      <c r="J398" s="7"/>
      <c r="K398" s="29">
        <v>434060</v>
      </c>
      <c r="L398" s="10" t="s">
        <v>852</v>
      </c>
      <c r="M398" s="10" t="s">
        <v>881</v>
      </c>
      <c r="N398" s="10" t="s">
        <v>882</v>
      </c>
      <c r="O398" s="11" t="s">
        <v>883</v>
      </c>
      <c r="P398" s="12">
        <v>42704</v>
      </c>
      <c r="Q398" s="13">
        <f t="shared" ca="1" si="198"/>
        <v>8.8104038329911027</v>
      </c>
      <c r="R398" s="14">
        <v>1</v>
      </c>
      <c r="S398" s="15">
        <v>872</v>
      </c>
      <c r="T398" s="8">
        <v>872</v>
      </c>
      <c r="U398" s="16">
        <v>45017</v>
      </c>
      <c r="V398" s="17">
        <v>1</v>
      </c>
      <c r="W398" s="16">
        <v>45382</v>
      </c>
      <c r="X398" s="14">
        <v>192</v>
      </c>
      <c r="Y398" s="18">
        <f t="shared" si="223"/>
        <v>192</v>
      </c>
      <c r="Z398" s="18">
        <f t="shared" si="228"/>
        <v>1</v>
      </c>
      <c r="AA398" s="18" t="s">
        <v>36</v>
      </c>
      <c r="AB398" s="26">
        <v>30</v>
      </c>
      <c r="AC398" s="26"/>
      <c r="AD398" s="26"/>
      <c r="AE398" s="147" t="str">
        <f t="shared" si="220"/>
        <v>0</v>
      </c>
      <c r="AF398" s="147" t="str">
        <f t="shared" si="199"/>
        <v>1</v>
      </c>
      <c r="AG398" s="147" t="str">
        <f t="shared" si="221"/>
        <v>0</v>
      </c>
      <c r="AH398" s="147" t="str">
        <f t="shared" si="200"/>
        <v>NO</v>
      </c>
      <c r="AI398" s="147" t="str">
        <f t="shared" si="201"/>
        <v>NO</v>
      </c>
      <c r="AJ398" s="147" t="str">
        <f t="shared" si="202"/>
        <v>NO</v>
      </c>
      <c r="AK398" s="147" t="str">
        <f t="shared" si="203"/>
        <v>NO</v>
      </c>
      <c r="AL398" s="21"/>
      <c r="AM398" s="21">
        <f t="shared" si="229"/>
        <v>8183.0999999999985</v>
      </c>
      <c r="AN398" s="27" t="s">
        <v>66</v>
      </c>
      <c r="AO398" s="21">
        <v>1</v>
      </c>
      <c r="AP398" s="21">
        <f t="shared" si="222"/>
        <v>1</v>
      </c>
      <c r="AQ398" s="149">
        <f t="shared" si="219"/>
        <v>8183.0999999999985</v>
      </c>
      <c r="AR398" s="21">
        <v>8183.0999999999985</v>
      </c>
      <c r="AS398" s="610">
        <v>8183.0999999999985</v>
      </c>
      <c r="AT398" s="112">
        <v>8183.0999999999985</v>
      </c>
      <c r="AU398" s="4"/>
      <c r="AV398" s="4"/>
      <c r="AW398" s="23" t="e">
        <f>VLOOKUP(K398,#REF!,8,FALSE)</f>
        <v>#REF!</v>
      </c>
      <c r="AX398" s="23" t="e">
        <f>VLOOKUP(K398,#REF!,8,FALSE)</f>
        <v>#REF!</v>
      </c>
      <c r="AY398" s="23" t="e">
        <f>VLOOKUP(K398,#REF!,8,FALSE)</f>
        <v>#REF!</v>
      </c>
      <c r="AZ398" s="4"/>
      <c r="BA398" s="272"/>
      <c r="BB398" s="313">
        <f t="shared" si="218"/>
        <v>0</v>
      </c>
      <c r="BC398" s="269">
        <f t="shared" si="215"/>
        <v>8183.0999999999985</v>
      </c>
      <c r="BD398" t="str">
        <f t="shared" si="217"/>
        <v/>
      </c>
      <c r="BP398" s="166">
        <f t="shared" si="204"/>
        <v>8183.0999999999985</v>
      </c>
      <c r="BS398" s="165"/>
      <c r="BX398" s="495">
        <f t="shared" si="205"/>
        <v>8183.0999999999985</v>
      </c>
      <c r="BZ398" s="636">
        <f t="shared" si="225"/>
        <v>0</v>
      </c>
      <c r="CA398" s="633">
        <f t="shared" si="226"/>
        <v>0</v>
      </c>
    </row>
    <row r="399" spans="1:79" x14ac:dyDescent="0.2">
      <c r="A399" s="4">
        <v>1</v>
      </c>
      <c r="B399" s="4">
        <v>1</v>
      </c>
      <c r="C399" s="5">
        <f t="shared" si="227"/>
        <v>41204</v>
      </c>
      <c r="D399" s="6">
        <v>41204</v>
      </c>
      <c r="E399" s="121">
        <v>43012</v>
      </c>
      <c r="F399" s="6" t="s">
        <v>1606</v>
      </c>
      <c r="G399" s="7" t="s">
        <v>75</v>
      </c>
      <c r="H399" s="7"/>
      <c r="I399" s="7" t="s">
        <v>157</v>
      </c>
      <c r="J399" s="7"/>
      <c r="K399" s="29">
        <v>384525</v>
      </c>
      <c r="L399" s="10" t="s">
        <v>884</v>
      </c>
      <c r="M399" s="10" t="s">
        <v>885</v>
      </c>
      <c r="N399" s="10" t="s">
        <v>886</v>
      </c>
      <c r="O399" s="11" t="s">
        <v>887</v>
      </c>
      <c r="P399" s="12">
        <v>39850</v>
      </c>
      <c r="Q399" s="13">
        <f t="shared" ca="1" si="198"/>
        <v>16.624229979466119</v>
      </c>
      <c r="R399" s="14">
        <v>9</v>
      </c>
      <c r="S399" s="15">
        <v>872</v>
      </c>
      <c r="T399" s="8">
        <v>872</v>
      </c>
      <c r="U399" s="16">
        <v>45037</v>
      </c>
      <c r="V399" s="17">
        <v>6</v>
      </c>
      <c r="W399" s="16">
        <v>45382</v>
      </c>
      <c r="X399" s="14">
        <v>192</v>
      </c>
      <c r="Y399" s="18">
        <f t="shared" si="223"/>
        <v>187</v>
      </c>
      <c r="Z399" s="18">
        <f t="shared" si="228"/>
        <v>0.97395833333333337</v>
      </c>
      <c r="AA399" s="18" t="s">
        <v>36</v>
      </c>
      <c r="AB399" s="26">
        <v>24</v>
      </c>
      <c r="AC399" s="26"/>
      <c r="AD399" s="26"/>
      <c r="AE399" s="147" t="str">
        <f t="shared" si="220"/>
        <v>1</v>
      </c>
      <c r="AF399" s="147" t="str">
        <f t="shared" si="199"/>
        <v>0</v>
      </c>
      <c r="AG399" s="147" t="str">
        <f t="shared" si="221"/>
        <v>0</v>
      </c>
      <c r="AH399" s="147" t="str">
        <f t="shared" si="200"/>
        <v>NO</v>
      </c>
      <c r="AI399" s="147" t="str">
        <f t="shared" si="201"/>
        <v>NO</v>
      </c>
      <c r="AJ399" s="147" t="str">
        <f t="shared" si="202"/>
        <v>NO</v>
      </c>
      <c r="AK399" s="147" t="str">
        <f t="shared" si="203"/>
        <v>NO</v>
      </c>
      <c r="AL399" s="21"/>
      <c r="AM399" s="21">
        <f t="shared" si="229"/>
        <v>5346.48</v>
      </c>
      <c r="AN399" s="27" t="s">
        <v>81</v>
      </c>
      <c r="AO399" s="21">
        <v>1</v>
      </c>
      <c r="AP399" s="21">
        <f t="shared" si="222"/>
        <v>0.97395833333333337</v>
      </c>
      <c r="AQ399" s="149">
        <f t="shared" si="219"/>
        <v>5207.2487499999997</v>
      </c>
      <c r="AR399" s="21">
        <v>5207.2487499999997</v>
      </c>
      <c r="AS399" s="610">
        <v>0</v>
      </c>
      <c r="AT399" s="112">
        <v>5207.2487499999997</v>
      </c>
      <c r="AU399" s="4"/>
      <c r="AV399" s="4"/>
      <c r="AW399" s="23" t="e">
        <f>VLOOKUP(K399,#REF!,8,FALSE)</f>
        <v>#REF!</v>
      </c>
      <c r="AX399" s="23" t="e">
        <f>VLOOKUP(K399,#REF!,8,FALSE)</f>
        <v>#REF!</v>
      </c>
      <c r="AY399" s="23" t="e">
        <f>VLOOKUP(K399,#REF!,8,FALSE)</f>
        <v>#REF!</v>
      </c>
      <c r="AZ399" s="4"/>
      <c r="BA399" s="272"/>
      <c r="BB399" s="313">
        <f t="shared" si="218"/>
        <v>0</v>
      </c>
      <c r="BC399" s="269">
        <f t="shared" si="215"/>
        <v>5207.2487499999997</v>
      </c>
      <c r="BD399" t="str">
        <f t="shared" si="217"/>
        <v/>
      </c>
      <c r="BP399" s="166">
        <f t="shared" si="204"/>
        <v>5207.2487499999997</v>
      </c>
      <c r="BS399" s="165"/>
      <c r="BX399" s="495">
        <f t="shared" si="205"/>
        <v>5207.2487499999997</v>
      </c>
      <c r="BZ399" s="636">
        <f t="shared" si="225"/>
        <v>0</v>
      </c>
      <c r="CA399" s="633">
        <f t="shared" si="226"/>
        <v>5207.2487499999997</v>
      </c>
    </row>
    <row r="400" spans="1:79" x14ac:dyDescent="0.2">
      <c r="A400" s="4">
        <v>1</v>
      </c>
      <c r="B400" s="4">
        <v>1</v>
      </c>
      <c r="C400" s="5">
        <f t="shared" si="227"/>
        <v>41204</v>
      </c>
      <c r="D400" s="6">
        <v>41204</v>
      </c>
      <c r="E400" s="121">
        <v>43012</v>
      </c>
      <c r="F400" s="6" t="s">
        <v>1606</v>
      </c>
      <c r="G400" s="7" t="s">
        <v>75</v>
      </c>
      <c r="H400" s="7"/>
      <c r="I400" s="7" t="s">
        <v>157</v>
      </c>
      <c r="J400" s="7"/>
      <c r="K400" s="29">
        <v>377192</v>
      </c>
      <c r="L400" s="10" t="s">
        <v>884</v>
      </c>
      <c r="M400" s="10" t="s">
        <v>888</v>
      </c>
      <c r="N400" s="10" t="s">
        <v>889</v>
      </c>
      <c r="O400" s="11" t="s">
        <v>890</v>
      </c>
      <c r="P400" s="12">
        <v>39605</v>
      </c>
      <c r="Q400" s="13">
        <f t="shared" ca="1" si="198"/>
        <v>17.295003422313485</v>
      </c>
      <c r="R400" s="14">
        <v>10</v>
      </c>
      <c r="S400" s="15">
        <v>872</v>
      </c>
      <c r="T400" s="8">
        <v>872</v>
      </c>
      <c r="U400" s="16">
        <v>45017</v>
      </c>
      <c r="V400" s="17">
        <v>1</v>
      </c>
      <c r="W400" s="16">
        <v>45382</v>
      </c>
      <c r="X400" s="14">
        <v>192</v>
      </c>
      <c r="Y400" s="18">
        <f t="shared" si="223"/>
        <v>192</v>
      </c>
      <c r="Z400" s="18">
        <f t="shared" si="228"/>
        <v>1</v>
      </c>
      <c r="AA400" s="18" t="s">
        <v>36</v>
      </c>
      <c r="AB400" s="26">
        <v>25</v>
      </c>
      <c r="AC400" s="26"/>
      <c r="AD400" s="26"/>
      <c r="AE400" s="147" t="str">
        <f t="shared" si="220"/>
        <v>1</v>
      </c>
      <c r="AF400" s="147" t="str">
        <f t="shared" si="199"/>
        <v>0</v>
      </c>
      <c r="AG400" s="147" t="str">
        <f t="shared" si="221"/>
        <v>0</v>
      </c>
      <c r="AH400" s="147" t="str">
        <f t="shared" si="200"/>
        <v>NO</v>
      </c>
      <c r="AI400" s="147" t="str">
        <f t="shared" si="201"/>
        <v>NO</v>
      </c>
      <c r="AJ400" s="147" t="str">
        <f t="shared" si="202"/>
        <v>NO</v>
      </c>
      <c r="AK400" s="147" t="str">
        <f t="shared" si="203"/>
        <v>NO</v>
      </c>
      <c r="AL400" s="21"/>
      <c r="AM400" s="21">
        <f t="shared" si="229"/>
        <v>5819.25</v>
      </c>
      <c r="AN400" s="27" t="s">
        <v>43</v>
      </c>
      <c r="AO400" s="21">
        <v>1</v>
      </c>
      <c r="AP400" s="21">
        <f t="shared" si="222"/>
        <v>1</v>
      </c>
      <c r="AQ400" s="149">
        <f t="shared" si="219"/>
        <v>5819.25</v>
      </c>
      <c r="AR400" s="21">
        <v>5819.25</v>
      </c>
      <c r="AS400" s="610">
        <v>5819.25</v>
      </c>
      <c r="AT400" s="112">
        <v>5819.25</v>
      </c>
      <c r="AU400" s="4"/>
      <c r="AV400" s="4"/>
      <c r="AW400" s="23" t="e">
        <f>VLOOKUP(K400,#REF!,8,FALSE)</f>
        <v>#REF!</v>
      </c>
      <c r="AX400" s="23" t="e">
        <f>VLOOKUP(K400,#REF!,8,FALSE)</f>
        <v>#REF!</v>
      </c>
      <c r="AY400" s="23" t="e">
        <f>VLOOKUP(K400,#REF!,8,FALSE)</f>
        <v>#REF!</v>
      </c>
      <c r="AZ400" s="4"/>
      <c r="BA400" s="272"/>
      <c r="BB400" s="313">
        <f t="shared" si="218"/>
        <v>0</v>
      </c>
      <c r="BC400" s="269">
        <f t="shared" si="215"/>
        <v>5819.25</v>
      </c>
      <c r="BD400" t="str">
        <f t="shared" si="217"/>
        <v/>
      </c>
      <c r="BP400" s="166">
        <f t="shared" si="204"/>
        <v>5819.25</v>
      </c>
      <c r="BS400" s="165"/>
      <c r="BX400" s="495">
        <f t="shared" si="205"/>
        <v>5819.25</v>
      </c>
      <c r="BZ400" s="636">
        <f t="shared" si="225"/>
        <v>0</v>
      </c>
      <c r="CA400" s="633">
        <f t="shared" si="226"/>
        <v>0</v>
      </c>
    </row>
    <row r="401" spans="1:79" x14ac:dyDescent="0.2">
      <c r="A401" s="4">
        <v>1</v>
      </c>
      <c r="B401" s="4">
        <v>1</v>
      </c>
      <c r="C401" s="5">
        <f t="shared" si="227"/>
        <v>41204</v>
      </c>
      <c r="D401" s="6">
        <v>41204</v>
      </c>
      <c r="E401" s="121">
        <v>43012</v>
      </c>
      <c r="F401" s="6" t="s">
        <v>1606</v>
      </c>
      <c r="G401" s="7" t="s">
        <v>75</v>
      </c>
      <c r="H401" s="7"/>
      <c r="I401" s="7" t="s">
        <v>157</v>
      </c>
      <c r="J401" s="7"/>
      <c r="K401" s="29">
        <v>366989</v>
      </c>
      <c r="L401" s="10" t="s">
        <v>884</v>
      </c>
      <c r="M401" s="10" t="s">
        <v>718</v>
      </c>
      <c r="N401" s="10" t="s">
        <v>891</v>
      </c>
      <c r="O401" s="11" t="s">
        <v>892</v>
      </c>
      <c r="P401" s="12">
        <v>39116</v>
      </c>
      <c r="Q401" s="13">
        <f t="shared" ca="1" si="198"/>
        <v>18.633812457221083</v>
      </c>
      <c r="R401" s="14">
        <v>11</v>
      </c>
      <c r="S401" s="15">
        <v>872</v>
      </c>
      <c r="T401" s="8">
        <v>872</v>
      </c>
      <c r="U401" s="16">
        <v>45017</v>
      </c>
      <c r="V401" s="17">
        <v>1</v>
      </c>
      <c r="W401" s="16">
        <v>45128</v>
      </c>
      <c r="X401" s="14">
        <v>63</v>
      </c>
      <c r="Y401" s="18">
        <f t="shared" si="223"/>
        <v>63</v>
      </c>
      <c r="Z401" s="18">
        <f t="shared" si="228"/>
        <v>0.328125</v>
      </c>
      <c r="AA401" s="16" t="s">
        <v>166</v>
      </c>
      <c r="AB401" s="26">
        <v>25</v>
      </c>
      <c r="AC401" s="26"/>
      <c r="AD401" s="26"/>
      <c r="AE401" s="147" t="str">
        <f t="shared" si="220"/>
        <v>1</v>
      </c>
      <c r="AF401" s="147" t="str">
        <f t="shared" si="199"/>
        <v>0</v>
      </c>
      <c r="AG401" s="147" t="str">
        <f t="shared" si="221"/>
        <v>0</v>
      </c>
      <c r="AH401" s="147" t="str">
        <f t="shared" si="200"/>
        <v>NO</v>
      </c>
      <c r="AI401" s="147" t="str">
        <f t="shared" si="201"/>
        <v>NO</v>
      </c>
      <c r="AJ401" s="147" t="str">
        <f t="shared" si="202"/>
        <v>NO</v>
      </c>
      <c r="AK401" s="147" t="str">
        <f t="shared" si="203"/>
        <v>NO</v>
      </c>
      <c r="AL401" s="21"/>
      <c r="AM401" s="21">
        <f t="shared" si="229"/>
        <v>5819.25</v>
      </c>
      <c r="AN401" s="27" t="s">
        <v>56</v>
      </c>
      <c r="AO401" s="21">
        <v>1</v>
      </c>
      <c r="AP401" s="21">
        <f t="shared" si="222"/>
        <v>0.328125</v>
      </c>
      <c r="AQ401" s="149">
        <f t="shared" si="219"/>
        <v>1909.44140625</v>
      </c>
      <c r="AR401" s="21">
        <v>1909.44140625</v>
      </c>
      <c r="AS401" s="610">
        <v>1909.44140625</v>
      </c>
      <c r="AT401" s="112">
        <v>1909.44140625</v>
      </c>
      <c r="AU401" s="4"/>
      <c r="AV401" s="4"/>
      <c r="AW401" s="23" t="e">
        <f>VLOOKUP(K401,#REF!,8,FALSE)</f>
        <v>#REF!</v>
      </c>
      <c r="AX401" s="23" t="e">
        <f>VLOOKUP(K401,#REF!,8,FALSE)</f>
        <v>#REF!</v>
      </c>
      <c r="AY401" s="266" t="s">
        <v>2142</v>
      </c>
      <c r="AZ401" s="268" t="s">
        <v>75</v>
      </c>
      <c r="BA401" s="274">
        <f>AM401/3*2</f>
        <v>3879.5</v>
      </c>
      <c r="BB401" s="313">
        <f t="shared" si="218"/>
        <v>0</v>
      </c>
      <c r="BC401" s="269">
        <f t="shared" si="215"/>
        <v>1909.44140625</v>
      </c>
      <c r="BD401" t="e">
        <f t="shared" si="217"/>
        <v>#REF!</v>
      </c>
      <c r="BE401" t="s">
        <v>2351</v>
      </c>
      <c r="BI401" t="e">
        <f>VLOOKUP(K401,#REF!,8,FALSE)</f>
        <v>#REF!</v>
      </c>
      <c r="BK401" s="269"/>
      <c r="BN401" s="353" t="s">
        <v>75</v>
      </c>
      <c r="BO401" s="106"/>
      <c r="BP401" s="166">
        <f t="shared" si="204"/>
        <v>1909.44140625</v>
      </c>
      <c r="BQ401" t="s">
        <v>2351</v>
      </c>
      <c r="BS401" s="165"/>
      <c r="BX401" s="495">
        <f t="shared" si="205"/>
        <v>1909.44140625</v>
      </c>
      <c r="BZ401" s="636">
        <f t="shared" si="225"/>
        <v>0</v>
      </c>
      <c r="CA401" s="633">
        <f t="shared" si="226"/>
        <v>0</v>
      </c>
    </row>
    <row r="402" spans="1:79" x14ac:dyDescent="0.2">
      <c r="A402" s="4">
        <v>1</v>
      </c>
      <c r="B402" s="4">
        <v>1</v>
      </c>
      <c r="C402" s="5">
        <f t="shared" si="227"/>
        <v>41204</v>
      </c>
      <c r="D402" s="6">
        <v>41204</v>
      </c>
      <c r="E402" s="121">
        <v>43012</v>
      </c>
      <c r="F402" s="6" t="s">
        <v>1606</v>
      </c>
      <c r="G402" s="7" t="s">
        <v>75</v>
      </c>
      <c r="H402" s="7"/>
      <c r="I402" s="7" t="s">
        <v>157</v>
      </c>
      <c r="J402" s="7"/>
      <c r="K402" s="29">
        <v>383918</v>
      </c>
      <c r="L402" s="10" t="s">
        <v>884</v>
      </c>
      <c r="M402" s="10" t="s">
        <v>742</v>
      </c>
      <c r="N402" s="10" t="s">
        <v>893</v>
      </c>
      <c r="O402" s="11" t="s">
        <v>894</v>
      </c>
      <c r="P402" s="12">
        <v>39870</v>
      </c>
      <c r="Q402" s="13">
        <f t="shared" ca="1" si="198"/>
        <v>16.569472963723477</v>
      </c>
      <c r="R402" s="14">
        <v>9</v>
      </c>
      <c r="S402" s="15">
        <v>872</v>
      </c>
      <c r="T402" s="8">
        <v>872</v>
      </c>
      <c r="U402" s="16">
        <v>45017</v>
      </c>
      <c r="V402" s="17">
        <v>1</v>
      </c>
      <c r="W402" s="16">
        <v>45382</v>
      </c>
      <c r="X402" s="14">
        <v>192</v>
      </c>
      <c r="Y402" s="18">
        <f t="shared" si="223"/>
        <v>192</v>
      </c>
      <c r="Z402" s="18">
        <f t="shared" si="228"/>
        <v>1</v>
      </c>
      <c r="AA402" s="18" t="s">
        <v>36</v>
      </c>
      <c r="AB402" s="26">
        <v>25</v>
      </c>
      <c r="AC402" s="26"/>
      <c r="AD402" s="26"/>
      <c r="AE402" s="147" t="str">
        <f t="shared" si="220"/>
        <v>1</v>
      </c>
      <c r="AF402" s="147" t="str">
        <f t="shared" si="199"/>
        <v>0</v>
      </c>
      <c r="AG402" s="147" t="str">
        <f t="shared" si="221"/>
        <v>0</v>
      </c>
      <c r="AH402" s="147" t="str">
        <f t="shared" si="200"/>
        <v>NO</v>
      </c>
      <c r="AI402" s="147" t="str">
        <f t="shared" si="201"/>
        <v>NO</v>
      </c>
      <c r="AJ402" s="147" t="str">
        <f t="shared" si="202"/>
        <v>NO</v>
      </c>
      <c r="AK402" s="147" t="str">
        <f t="shared" si="203"/>
        <v>NO</v>
      </c>
      <c r="AL402" s="21"/>
      <c r="AM402" s="21">
        <f t="shared" si="229"/>
        <v>5819.25</v>
      </c>
      <c r="AN402" s="27" t="s">
        <v>66</v>
      </c>
      <c r="AO402" s="21">
        <v>1</v>
      </c>
      <c r="AP402" s="21">
        <f t="shared" si="222"/>
        <v>1</v>
      </c>
      <c r="AQ402" s="149">
        <f t="shared" si="219"/>
        <v>5819.25</v>
      </c>
      <c r="AR402" s="21">
        <v>5819.25</v>
      </c>
      <c r="AS402" s="610">
        <v>5819.25</v>
      </c>
      <c r="AT402" s="112">
        <v>5819.25</v>
      </c>
      <c r="AU402" s="4"/>
      <c r="AV402" s="4"/>
      <c r="AW402" s="23" t="e">
        <f>VLOOKUP(K402,#REF!,8,FALSE)</f>
        <v>#REF!</v>
      </c>
      <c r="AX402" s="23" t="e">
        <f>VLOOKUP(K402,#REF!,8,FALSE)</f>
        <v>#REF!</v>
      </c>
      <c r="AY402" s="23" t="e">
        <f>VLOOKUP(K402,#REF!,8,FALSE)</f>
        <v>#REF!</v>
      </c>
      <c r="AZ402" s="4"/>
      <c r="BA402" s="272"/>
      <c r="BB402" s="313">
        <f t="shared" si="218"/>
        <v>0</v>
      </c>
      <c r="BC402" s="269">
        <f t="shared" si="215"/>
        <v>5819.25</v>
      </c>
      <c r="BD402" t="str">
        <f t="shared" si="217"/>
        <v/>
      </c>
      <c r="BP402" s="166">
        <f t="shared" si="204"/>
        <v>5819.25</v>
      </c>
      <c r="BS402" s="165"/>
      <c r="BX402" s="495">
        <f t="shared" si="205"/>
        <v>5819.25</v>
      </c>
      <c r="BZ402" s="636">
        <f t="shared" si="225"/>
        <v>0</v>
      </c>
      <c r="CA402" s="633">
        <f t="shared" si="226"/>
        <v>0</v>
      </c>
    </row>
    <row r="403" spans="1:79" x14ac:dyDescent="0.2">
      <c r="A403" s="4">
        <v>1</v>
      </c>
      <c r="B403" s="4">
        <v>1</v>
      </c>
      <c r="C403" s="5">
        <f t="shared" si="227"/>
        <v>41204</v>
      </c>
      <c r="D403" s="6">
        <v>41204</v>
      </c>
      <c r="E403" s="121">
        <v>43012</v>
      </c>
      <c r="F403" s="6" t="s">
        <v>1606</v>
      </c>
      <c r="G403" s="7" t="s">
        <v>75</v>
      </c>
      <c r="H403" s="7"/>
      <c r="I403" s="7" t="s">
        <v>157</v>
      </c>
      <c r="J403" s="7"/>
      <c r="K403" s="29">
        <v>396741</v>
      </c>
      <c r="L403" s="10" t="s">
        <v>884</v>
      </c>
      <c r="M403" s="10" t="s">
        <v>895</v>
      </c>
      <c r="N403" s="10" t="s">
        <v>584</v>
      </c>
      <c r="O403" s="11" t="s">
        <v>896</v>
      </c>
      <c r="P403" s="12">
        <v>40732</v>
      </c>
      <c r="Q403" s="13">
        <f t="shared" ref="Q403:Q455" ca="1" si="230">(TODAY()-P403)/365.25</f>
        <v>14.209445585215606</v>
      </c>
      <c r="R403" s="14">
        <v>7</v>
      </c>
      <c r="S403" s="15">
        <v>872</v>
      </c>
      <c r="T403" s="8">
        <v>872</v>
      </c>
      <c r="U403" s="16">
        <v>45017</v>
      </c>
      <c r="V403" s="17">
        <v>1</v>
      </c>
      <c r="W403" s="16">
        <v>45382</v>
      </c>
      <c r="X403" s="14">
        <v>192</v>
      </c>
      <c r="Y403" s="18">
        <f t="shared" si="223"/>
        <v>192</v>
      </c>
      <c r="Z403" s="18">
        <f t="shared" si="228"/>
        <v>1</v>
      </c>
      <c r="AA403" s="18" t="s">
        <v>36</v>
      </c>
      <c r="AB403" s="26">
        <v>23</v>
      </c>
      <c r="AC403" s="26"/>
      <c r="AD403" s="26"/>
      <c r="AE403" s="147" t="str">
        <f t="shared" si="220"/>
        <v>1</v>
      </c>
      <c r="AF403" s="147" t="str">
        <f t="shared" ref="AF403:AF466" si="231">IF(AND(AB403&lt;=30,AB403&gt;=26),"1","0")</f>
        <v>0</v>
      </c>
      <c r="AG403" s="147" t="str">
        <f t="shared" si="221"/>
        <v>0</v>
      </c>
      <c r="AH403" s="147" t="str">
        <f t="shared" ref="AH403:AH466" si="232">IF(AD403="BAND3","YES","NO")</f>
        <v>NO</v>
      </c>
      <c r="AI403" s="147" t="str">
        <f t="shared" ref="AI403:AI466" si="233">IF(AD403="BAND4","YES","NO")</f>
        <v>NO</v>
      </c>
      <c r="AJ403" s="147" t="str">
        <f t="shared" ref="AJ403:AJ466" si="234">IF(AD403="BAND5","YES","NO")</f>
        <v>NO</v>
      </c>
      <c r="AK403" s="147" t="str">
        <f t="shared" ref="AK403:AK466" si="235">IF(AD403="BAND6","YES","NO")</f>
        <v>NO</v>
      </c>
      <c r="AL403" s="21"/>
      <c r="AM403" s="21">
        <f t="shared" si="229"/>
        <v>4873.7099999999991</v>
      </c>
      <c r="AN403" s="27" t="s">
        <v>43</v>
      </c>
      <c r="AO403" s="21">
        <v>1</v>
      </c>
      <c r="AP403" s="21">
        <f t="shared" si="222"/>
        <v>1</v>
      </c>
      <c r="AQ403" s="149">
        <f t="shared" si="219"/>
        <v>4873.7099999999991</v>
      </c>
      <c r="AR403" s="21">
        <v>4873.7099999999991</v>
      </c>
      <c r="AS403" s="610">
        <v>4873.7099999999991</v>
      </c>
      <c r="AT403" s="112">
        <v>4873.7099999999991</v>
      </c>
      <c r="AU403" s="4"/>
      <c r="AV403" s="4"/>
      <c r="AW403" s="23" t="e">
        <f>VLOOKUP(K403,#REF!,8,FALSE)</f>
        <v>#REF!</v>
      </c>
      <c r="AX403" s="23" t="e">
        <f>VLOOKUP(K403,#REF!,8,FALSE)</f>
        <v>#REF!</v>
      </c>
      <c r="AY403" s="23" t="e">
        <f>VLOOKUP(K403,#REF!,8,FALSE)</f>
        <v>#REF!</v>
      </c>
      <c r="AZ403" s="4"/>
      <c r="BA403" s="272"/>
      <c r="BB403" s="313">
        <f t="shared" si="218"/>
        <v>0</v>
      </c>
      <c r="BC403" s="269">
        <f t="shared" si="215"/>
        <v>4873.7099999999991</v>
      </c>
      <c r="BD403" t="str">
        <f t="shared" si="217"/>
        <v/>
      </c>
      <c r="BP403" s="166">
        <f t="shared" ref="BP403:BP466" si="236">BC403+BO403</f>
        <v>4873.7099999999991</v>
      </c>
      <c r="BS403" s="165"/>
      <c r="BX403" s="495">
        <f t="shared" ref="BX403:BX466" si="237">AQ403+BO403+BU403</f>
        <v>4873.7099999999991</v>
      </c>
      <c r="BZ403" s="636">
        <f t="shared" si="225"/>
        <v>0</v>
      </c>
      <c r="CA403" s="633">
        <f t="shared" si="226"/>
        <v>0</v>
      </c>
    </row>
    <row r="404" spans="1:79" x14ac:dyDescent="0.2">
      <c r="A404" s="4">
        <v>1</v>
      </c>
      <c r="B404" s="4">
        <v>1</v>
      </c>
      <c r="C404" s="5">
        <f t="shared" si="227"/>
        <v>41204</v>
      </c>
      <c r="D404" s="6">
        <v>41204</v>
      </c>
      <c r="E404" s="121">
        <v>43012</v>
      </c>
      <c r="F404" s="6" t="s">
        <v>1606</v>
      </c>
      <c r="G404" s="7" t="s">
        <v>75</v>
      </c>
      <c r="H404" s="7"/>
      <c r="I404" s="7" t="s">
        <v>157</v>
      </c>
      <c r="J404" s="7"/>
      <c r="K404" s="29">
        <v>384047</v>
      </c>
      <c r="L404" s="10" t="s">
        <v>884</v>
      </c>
      <c r="M404" s="10" t="s">
        <v>897</v>
      </c>
      <c r="N404" s="10" t="s">
        <v>898</v>
      </c>
      <c r="O404" s="11" t="str">
        <f>M404&amp;N404</f>
        <v>MichelleEgwuagu</v>
      </c>
      <c r="P404" s="12">
        <v>39799</v>
      </c>
      <c r="Q404" s="13">
        <f t="shared" ca="1" si="230"/>
        <v>16.763860369609855</v>
      </c>
      <c r="R404" s="14">
        <v>9</v>
      </c>
      <c r="S404" s="15">
        <v>872</v>
      </c>
      <c r="T404" s="8">
        <v>872</v>
      </c>
      <c r="U404" s="16">
        <v>45017</v>
      </c>
      <c r="V404" s="17">
        <v>1</v>
      </c>
      <c r="W404" s="16">
        <v>45382</v>
      </c>
      <c r="X404" s="14">
        <v>192</v>
      </c>
      <c r="Y404" s="18">
        <f t="shared" si="223"/>
        <v>192</v>
      </c>
      <c r="Z404" s="18">
        <f t="shared" si="228"/>
        <v>1</v>
      </c>
      <c r="AA404" s="18" t="s">
        <v>36</v>
      </c>
      <c r="AB404" s="26">
        <v>30</v>
      </c>
      <c r="AC404" s="26"/>
      <c r="AD404" s="26"/>
      <c r="AE404" s="147" t="str">
        <f t="shared" si="220"/>
        <v>0</v>
      </c>
      <c r="AF404" s="147" t="str">
        <f t="shared" si="231"/>
        <v>1</v>
      </c>
      <c r="AG404" s="147" t="str">
        <f t="shared" si="221"/>
        <v>0</v>
      </c>
      <c r="AH404" s="147" t="str">
        <f t="shared" si="232"/>
        <v>NO</v>
      </c>
      <c r="AI404" s="147" t="str">
        <f t="shared" si="233"/>
        <v>NO</v>
      </c>
      <c r="AJ404" s="147" t="str">
        <f t="shared" si="234"/>
        <v>NO</v>
      </c>
      <c r="AK404" s="147" t="str">
        <f t="shared" si="235"/>
        <v>NO</v>
      </c>
      <c r="AL404" s="21"/>
      <c r="AM404" s="21">
        <f t="shared" si="229"/>
        <v>8183.0999999999985</v>
      </c>
      <c r="AN404" s="27" t="s">
        <v>43</v>
      </c>
      <c r="AO404" s="21">
        <v>1</v>
      </c>
      <c r="AP404" s="21">
        <f t="shared" si="222"/>
        <v>1</v>
      </c>
      <c r="AQ404" s="149">
        <f t="shared" si="219"/>
        <v>8183.0999999999985</v>
      </c>
      <c r="AR404" s="21">
        <v>8183.0999999999985</v>
      </c>
      <c r="AS404" s="610">
        <v>8183.0999999999985</v>
      </c>
      <c r="AT404" s="112">
        <v>8183.0999999999985</v>
      </c>
      <c r="AU404" s="4"/>
      <c r="AV404" s="4"/>
      <c r="AW404" s="23" t="e">
        <f>VLOOKUP(K404,#REF!,8,FALSE)</f>
        <v>#REF!</v>
      </c>
      <c r="AX404" s="23" t="e">
        <f>VLOOKUP(K404,#REF!,8,FALSE)</f>
        <v>#REF!</v>
      </c>
      <c r="AY404" s="23" t="e">
        <f>VLOOKUP(K404,#REF!,8,FALSE)</f>
        <v>#REF!</v>
      </c>
      <c r="AZ404" s="4"/>
      <c r="BA404" s="272"/>
      <c r="BB404" s="313">
        <f t="shared" si="218"/>
        <v>0</v>
      </c>
      <c r="BC404" s="269">
        <f t="shared" si="215"/>
        <v>8183.0999999999985</v>
      </c>
      <c r="BD404" t="str">
        <f t="shared" si="217"/>
        <v/>
      </c>
      <c r="BP404" s="166">
        <f t="shared" si="236"/>
        <v>8183.0999999999985</v>
      </c>
      <c r="BS404" s="165"/>
      <c r="BX404" s="495">
        <f t="shared" si="237"/>
        <v>8183.0999999999985</v>
      </c>
      <c r="BZ404" s="636">
        <f t="shared" si="225"/>
        <v>0</v>
      </c>
      <c r="CA404" s="633">
        <f t="shared" si="226"/>
        <v>0</v>
      </c>
    </row>
    <row r="405" spans="1:79" x14ac:dyDescent="0.2">
      <c r="A405" s="4">
        <v>1</v>
      </c>
      <c r="B405" s="4">
        <v>1</v>
      </c>
      <c r="C405" s="5">
        <f t="shared" si="227"/>
        <v>41204</v>
      </c>
      <c r="D405" s="6">
        <v>41204</v>
      </c>
      <c r="E405" s="121">
        <v>43012</v>
      </c>
      <c r="F405" s="6" t="s">
        <v>1606</v>
      </c>
      <c r="G405" s="7" t="s">
        <v>75</v>
      </c>
      <c r="H405" s="7"/>
      <c r="I405" s="7" t="s">
        <v>157</v>
      </c>
      <c r="J405" s="7"/>
      <c r="K405" s="29">
        <v>387783</v>
      </c>
      <c r="L405" s="10" t="s">
        <v>884</v>
      </c>
      <c r="M405" s="10" t="s">
        <v>697</v>
      </c>
      <c r="N405" s="10" t="s">
        <v>899</v>
      </c>
      <c r="O405" s="11" t="s">
        <v>900</v>
      </c>
      <c r="P405" s="12">
        <v>40241</v>
      </c>
      <c r="Q405" s="13">
        <f t="shared" ca="1" si="230"/>
        <v>15.553730321697467</v>
      </c>
      <c r="R405" s="14">
        <v>8</v>
      </c>
      <c r="S405" s="15">
        <v>872</v>
      </c>
      <c r="T405" s="8">
        <v>872</v>
      </c>
      <c r="U405" s="16">
        <v>45017</v>
      </c>
      <c r="V405" s="17">
        <v>1</v>
      </c>
      <c r="W405" s="16">
        <v>45382</v>
      </c>
      <c r="X405" s="14">
        <v>192</v>
      </c>
      <c r="Y405" s="18">
        <f t="shared" si="223"/>
        <v>192</v>
      </c>
      <c r="Z405" s="18">
        <f t="shared" si="228"/>
        <v>1</v>
      </c>
      <c r="AA405" s="18" t="s">
        <v>36</v>
      </c>
      <c r="AB405" s="26">
        <v>25</v>
      </c>
      <c r="AC405" s="26"/>
      <c r="AD405" s="26"/>
      <c r="AE405" s="147" t="str">
        <f t="shared" si="220"/>
        <v>1</v>
      </c>
      <c r="AF405" s="147" t="str">
        <f t="shared" si="231"/>
        <v>0</v>
      </c>
      <c r="AG405" s="147" t="str">
        <f t="shared" si="221"/>
        <v>0</v>
      </c>
      <c r="AH405" s="147" t="str">
        <f t="shared" si="232"/>
        <v>NO</v>
      </c>
      <c r="AI405" s="147" t="str">
        <f t="shared" si="233"/>
        <v>NO</v>
      </c>
      <c r="AJ405" s="147" t="str">
        <f t="shared" si="234"/>
        <v>NO</v>
      </c>
      <c r="AK405" s="147" t="str">
        <f t="shared" si="235"/>
        <v>NO</v>
      </c>
      <c r="AL405" s="21"/>
      <c r="AM405" s="21">
        <f t="shared" si="229"/>
        <v>5819.25</v>
      </c>
      <c r="AN405" s="27" t="s">
        <v>43</v>
      </c>
      <c r="AO405" s="21">
        <v>1</v>
      </c>
      <c r="AP405" s="21">
        <f t="shared" si="222"/>
        <v>1</v>
      </c>
      <c r="AQ405" s="149">
        <f t="shared" si="219"/>
        <v>5819.25</v>
      </c>
      <c r="AR405" s="21">
        <v>5819.25</v>
      </c>
      <c r="AS405" s="610">
        <v>5819.25</v>
      </c>
      <c r="AT405" s="112">
        <v>5819.25</v>
      </c>
      <c r="AU405" s="4"/>
      <c r="AV405" s="4"/>
      <c r="AW405" s="23" t="e">
        <f>VLOOKUP(K405,#REF!,8,FALSE)</f>
        <v>#REF!</v>
      </c>
      <c r="AX405" s="23" t="e">
        <f>VLOOKUP(K405,#REF!,8,FALSE)</f>
        <v>#REF!</v>
      </c>
      <c r="AY405" s="23" t="e">
        <f>VLOOKUP(K405,#REF!,8,FALSE)</f>
        <v>#REF!</v>
      </c>
      <c r="AZ405" s="4"/>
      <c r="BA405" s="272"/>
      <c r="BB405" s="313">
        <f t="shared" si="218"/>
        <v>0</v>
      </c>
      <c r="BC405" s="269">
        <f t="shared" si="215"/>
        <v>5819.25</v>
      </c>
      <c r="BD405" t="str">
        <f t="shared" si="217"/>
        <v/>
      </c>
      <c r="BP405" s="166">
        <f t="shared" si="236"/>
        <v>5819.25</v>
      </c>
      <c r="BS405" s="165"/>
      <c r="BX405" s="495">
        <f t="shared" si="237"/>
        <v>5819.25</v>
      </c>
      <c r="BZ405" s="636">
        <f t="shared" si="225"/>
        <v>0</v>
      </c>
      <c r="CA405" s="633">
        <f t="shared" si="226"/>
        <v>0</v>
      </c>
    </row>
    <row r="406" spans="1:79" x14ac:dyDescent="0.2">
      <c r="A406" s="4">
        <v>1</v>
      </c>
      <c r="B406" s="4">
        <v>1</v>
      </c>
      <c r="C406" s="5">
        <f t="shared" si="227"/>
        <v>41204</v>
      </c>
      <c r="D406" s="6">
        <v>41204</v>
      </c>
      <c r="E406" s="121">
        <v>43012</v>
      </c>
      <c r="F406" s="6" t="s">
        <v>1606</v>
      </c>
      <c r="G406" s="7" t="s">
        <v>75</v>
      </c>
      <c r="H406" s="7"/>
      <c r="I406" s="7" t="s">
        <v>157</v>
      </c>
      <c r="J406" s="7"/>
      <c r="K406" s="29">
        <v>390505</v>
      </c>
      <c r="L406" s="10" t="s">
        <v>884</v>
      </c>
      <c r="M406" s="10" t="s">
        <v>236</v>
      </c>
      <c r="N406" s="10" t="s">
        <v>901</v>
      </c>
      <c r="O406" s="11" t="s">
        <v>902</v>
      </c>
      <c r="P406" s="12">
        <v>40645</v>
      </c>
      <c r="Q406" s="13">
        <f t="shared" ca="1" si="230"/>
        <v>14.447638603696099</v>
      </c>
      <c r="R406" s="14">
        <v>7</v>
      </c>
      <c r="S406" s="15">
        <v>872</v>
      </c>
      <c r="T406" s="8">
        <v>872</v>
      </c>
      <c r="U406" s="16">
        <v>45017</v>
      </c>
      <c r="V406" s="17">
        <v>1</v>
      </c>
      <c r="W406" s="16">
        <v>45382</v>
      </c>
      <c r="X406" s="14">
        <v>192</v>
      </c>
      <c r="Y406" s="18">
        <f t="shared" si="223"/>
        <v>192</v>
      </c>
      <c r="Z406" s="18">
        <f t="shared" si="228"/>
        <v>1</v>
      </c>
      <c r="AA406" s="18" t="s">
        <v>36</v>
      </c>
      <c r="AB406" s="26">
        <v>25</v>
      </c>
      <c r="AC406" s="26"/>
      <c r="AD406" s="26"/>
      <c r="AE406" s="147" t="str">
        <f t="shared" si="220"/>
        <v>1</v>
      </c>
      <c r="AF406" s="147" t="str">
        <f t="shared" si="231"/>
        <v>0</v>
      </c>
      <c r="AG406" s="147" t="str">
        <f t="shared" si="221"/>
        <v>0</v>
      </c>
      <c r="AH406" s="147" t="str">
        <f t="shared" si="232"/>
        <v>NO</v>
      </c>
      <c r="AI406" s="147" t="str">
        <f t="shared" si="233"/>
        <v>NO</v>
      </c>
      <c r="AJ406" s="147" t="str">
        <f t="shared" si="234"/>
        <v>NO</v>
      </c>
      <c r="AK406" s="147" t="str">
        <f t="shared" si="235"/>
        <v>NO</v>
      </c>
      <c r="AL406" s="21"/>
      <c r="AM406" s="21">
        <f t="shared" si="229"/>
        <v>5819.25</v>
      </c>
      <c r="AN406" s="27" t="s">
        <v>37</v>
      </c>
      <c r="AO406" s="21">
        <v>1</v>
      </c>
      <c r="AP406" s="21">
        <f t="shared" si="222"/>
        <v>1</v>
      </c>
      <c r="AQ406" s="149">
        <f t="shared" si="219"/>
        <v>5819.25</v>
      </c>
      <c r="AR406" s="21">
        <v>5819.25</v>
      </c>
      <c r="AS406" s="610">
        <v>5819.25</v>
      </c>
      <c r="AT406" s="112">
        <v>5819.25</v>
      </c>
      <c r="AU406" s="4"/>
      <c r="AV406" s="4"/>
      <c r="AW406" s="23" t="e">
        <f>VLOOKUP(K406,#REF!,8,FALSE)</f>
        <v>#REF!</v>
      </c>
      <c r="AX406" s="23" t="e">
        <f>VLOOKUP(K406,#REF!,8,FALSE)</f>
        <v>#REF!</v>
      </c>
      <c r="AY406" s="23" t="e">
        <f>VLOOKUP(K406,#REF!,8,FALSE)</f>
        <v>#REF!</v>
      </c>
      <c r="AZ406" s="4"/>
      <c r="BA406" s="272"/>
      <c r="BB406" s="313">
        <f t="shared" si="218"/>
        <v>0</v>
      </c>
      <c r="BC406" s="269">
        <f t="shared" ref="BC406:BC440" si="238">AR406</f>
        <v>5819.25</v>
      </c>
      <c r="BD406" t="str">
        <f t="shared" si="217"/>
        <v/>
      </c>
      <c r="BP406" s="166">
        <f t="shared" si="236"/>
        <v>5819.25</v>
      </c>
      <c r="BS406" s="165"/>
      <c r="BX406" s="495">
        <f t="shared" si="237"/>
        <v>5819.25</v>
      </c>
      <c r="BZ406" s="636">
        <f t="shared" si="225"/>
        <v>0</v>
      </c>
      <c r="CA406" s="633">
        <f t="shared" si="226"/>
        <v>0</v>
      </c>
    </row>
    <row r="407" spans="1:79" x14ac:dyDescent="0.2">
      <c r="A407" s="4">
        <v>1</v>
      </c>
      <c r="B407" s="4">
        <v>1</v>
      </c>
      <c r="C407" s="5">
        <f t="shared" si="227"/>
        <v>41121</v>
      </c>
      <c r="D407" s="6">
        <v>41121</v>
      </c>
      <c r="E407" s="121">
        <v>43012</v>
      </c>
      <c r="F407" s="6" t="s">
        <v>1606</v>
      </c>
      <c r="G407" s="7" t="s">
        <v>75</v>
      </c>
      <c r="H407" s="7"/>
      <c r="I407" s="7" t="s">
        <v>32</v>
      </c>
      <c r="J407" s="7"/>
      <c r="K407" s="29">
        <v>434809</v>
      </c>
      <c r="L407" s="10" t="s">
        <v>903</v>
      </c>
      <c r="M407" s="10" t="s">
        <v>904</v>
      </c>
      <c r="N407" s="10" t="s">
        <v>905</v>
      </c>
      <c r="O407" s="11" t="s">
        <v>906</v>
      </c>
      <c r="P407" s="12">
        <v>42870</v>
      </c>
      <c r="Q407" s="13">
        <f t="shared" ca="1" si="230"/>
        <v>8.3559206023271724</v>
      </c>
      <c r="R407" s="14">
        <v>1</v>
      </c>
      <c r="S407" s="15">
        <v>872</v>
      </c>
      <c r="T407" s="8">
        <v>872</v>
      </c>
      <c r="U407" s="16">
        <v>45017</v>
      </c>
      <c r="V407" s="17">
        <v>1</v>
      </c>
      <c r="W407" s="16">
        <v>45382</v>
      </c>
      <c r="X407" s="14">
        <v>192</v>
      </c>
      <c r="Y407" s="18">
        <f t="shared" si="223"/>
        <v>192</v>
      </c>
      <c r="Z407" s="18">
        <f t="shared" si="228"/>
        <v>1</v>
      </c>
      <c r="AA407" s="18" t="s">
        <v>36</v>
      </c>
      <c r="AB407" s="26">
        <v>30</v>
      </c>
      <c r="AC407" s="26"/>
      <c r="AD407" s="26"/>
      <c r="AE407" s="147" t="str">
        <f t="shared" si="220"/>
        <v>0</v>
      </c>
      <c r="AF407" s="147" t="str">
        <f t="shared" si="231"/>
        <v>1</v>
      </c>
      <c r="AG407" s="147" t="str">
        <f t="shared" si="221"/>
        <v>0</v>
      </c>
      <c r="AH407" s="147" t="str">
        <f t="shared" si="232"/>
        <v>NO</v>
      </c>
      <c r="AI407" s="147" t="str">
        <f t="shared" si="233"/>
        <v>NO</v>
      </c>
      <c r="AJ407" s="147" t="str">
        <f t="shared" si="234"/>
        <v>NO</v>
      </c>
      <c r="AK407" s="147" t="str">
        <f t="shared" si="235"/>
        <v>NO</v>
      </c>
      <c r="AL407" s="21"/>
      <c r="AM407" s="21">
        <f t="shared" si="229"/>
        <v>8183.0999999999985</v>
      </c>
      <c r="AN407" s="27" t="s">
        <v>37</v>
      </c>
      <c r="AO407" s="21">
        <v>1</v>
      </c>
      <c r="AP407" s="21">
        <f t="shared" si="222"/>
        <v>1</v>
      </c>
      <c r="AQ407" s="149">
        <f t="shared" si="219"/>
        <v>8183.0999999999985</v>
      </c>
      <c r="AR407" s="21">
        <v>8183.0999999999985</v>
      </c>
      <c r="AS407" s="610">
        <v>8183.0999999999985</v>
      </c>
      <c r="AT407" s="112">
        <v>8183.0999999999985</v>
      </c>
      <c r="AU407" s="4"/>
      <c r="AV407" s="4"/>
      <c r="AW407" s="23" t="e">
        <f>VLOOKUP(K407,#REF!,8,FALSE)</f>
        <v>#REF!</v>
      </c>
      <c r="AX407" s="23" t="e">
        <f>VLOOKUP(K407,#REF!,8,FALSE)</f>
        <v>#REF!</v>
      </c>
      <c r="AY407" s="23" t="e">
        <f>VLOOKUP(K407,#REF!,8,FALSE)</f>
        <v>#REF!</v>
      </c>
      <c r="AZ407" s="4"/>
      <c r="BA407" s="272"/>
      <c r="BB407" s="313">
        <f t="shared" si="218"/>
        <v>0</v>
      </c>
      <c r="BC407" s="269">
        <f t="shared" si="238"/>
        <v>8183.0999999999985</v>
      </c>
      <c r="BD407" t="str">
        <f t="shared" si="217"/>
        <v/>
      </c>
      <c r="BP407" s="166">
        <f t="shared" si="236"/>
        <v>8183.0999999999985</v>
      </c>
      <c r="BS407" s="165"/>
      <c r="BX407" s="495">
        <f t="shared" si="237"/>
        <v>8183.0999999999985</v>
      </c>
      <c r="BZ407" s="636">
        <f t="shared" si="225"/>
        <v>0</v>
      </c>
      <c r="CA407" s="633">
        <f t="shared" si="226"/>
        <v>0</v>
      </c>
    </row>
    <row r="408" spans="1:79" x14ac:dyDescent="0.2">
      <c r="A408" s="4">
        <v>0</v>
      </c>
      <c r="B408" s="4">
        <v>1</v>
      </c>
      <c r="C408" s="5">
        <f t="shared" si="227"/>
        <v>41121</v>
      </c>
      <c r="D408" s="6">
        <v>41121</v>
      </c>
      <c r="E408" s="121">
        <v>43012</v>
      </c>
      <c r="F408" s="6" t="s">
        <v>1606</v>
      </c>
      <c r="G408" s="7" t="s">
        <v>75</v>
      </c>
      <c r="H408" s="7"/>
      <c r="I408" s="7" t="s">
        <v>32</v>
      </c>
      <c r="J408" s="7"/>
      <c r="K408" s="29">
        <v>413943</v>
      </c>
      <c r="L408" s="10" t="s">
        <v>903</v>
      </c>
      <c r="M408" s="10" t="s">
        <v>798</v>
      </c>
      <c r="N408" s="10" t="s">
        <v>907</v>
      </c>
      <c r="O408" s="11" t="s">
        <v>908</v>
      </c>
      <c r="P408" s="12">
        <v>42040</v>
      </c>
      <c r="Q408" s="13">
        <f t="shared" ca="1" si="230"/>
        <v>10.628336755646817</v>
      </c>
      <c r="R408" s="14">
        <v>3</v>
      </c>
      <c r="S408" s="15">
        <v>872</v>
      </c>
      <c r="T408" s="8">
        <v>872</v>
      </c>
      <c r="U408" s="16">
        <v>45017</v>
      </c>
      <c r="V408" s="17">
        <v>1</v>
      </c>
      <c r="W408" s="16">
        <v>45037</v>
      </c>
      <c r="X408" s="14">
        <v>5</v>
      </c>
      <c r="Y408" s="18">
        <f t="shared" si="223"/>
        <v>5</v>
      </c>
      <c r="Z408" s="18">
        <f t="shared" si="228"/>
        <v>2.6041666666666668E-2</v>
      </c>
      <c r="AA408" s="16">
        <v>45037</v>
      </c>
      <c r="AB408" s="26">
        <v>30</v>
      </c>
      <c r="AC408" s="26"/>
      <c r="AD408" s="26"/>
      <c r="AE408" s="147" t="str">
        <f t="shared" si="220"/>
        <v>0</v>
      </c>
      <c r="AF408" s="147" t="str">
        <f t="shared" si="231"/>
        <v>1</v>
      </c>
      <c r="AG408" s="147" t="str">
        <f t="shared" si="221"/>
        <v>0</v>
      </c>
      <c r="AH408" s="147" t="str">
        <f t="shared" si="232"/>
        <v>NO</v>
      </c>
      <c r="AI408" s="147" t="str">
        <f t="shared" si="233"/>
        <v>NO</v>
      </c>
      <c r="AJ408" s="147" t="str">
        <f t="shared" si="234"/>
        <v>NO</v>
      </c>
      <c r="AK408" s="147" t="str">
        <f t="shared" si="235"/>
        <v>NO</v>
      </c>
      <c r="AL408" s="21"/>
      <c r="AM408" s="21">
        <f t="shared" si="229"/>
        <v>8183.0999999999985</v>
      </c>
      <c r="AN408" s="27" t="s">
        <v>43</v>
      </c>
      <c r="AO408" s="21">
        <v>1</v>
      </c>
      <c r="AP408" s="21">
        <f t="shared" si="222"/>
        <v>2.6041666666666668E-2</v>
      </c>
      <c r="AQ408" s="149">
        <f t="shared" si="219"/>
        <v>213.10156249999997</v>
      </c>
      <c r="AR408" s="21">
        <v>213.10156249999997</v>
      </c>
      <c r="AS408" s="610">
        <v>8183.0999999999985</v>
      </c>
      <c r="AT408" s="112">
        <v>213.1015625</v>
      </c>
      <c r="AU408" s="4"/>
      <c r="AV408" s="4"/>
      <c r="AW408" s="23" t="e">
        <f>VLOOKUP(K408,#REF!,8,FALSE)</f>
        <v>#REF!</v>
      </c>
      <c r="AX408" s="23" t="e">
        <f>VLOOKUP(K408,#REF!,8,FALSE)</f>
        <v>#REF!</v>
      </c>
      <c r="AY408" s="23" t="e">
        <f>VLOOKUP(K408,#REF!,8,FALSE)</f>
        <v>#REF!</v>
      </c>
      <c r="AZ408" s="4"/>
      <c r="BA408" s="272"/>
      <c r="BB408" s="313">
        <f t="shared" si="218"/>
        <v>0</v>
      </c>
      <c r="BC408" s="269">
        <f t="shared" si="238"/>
        <v>213.10156249999997</v>
      </c>
      <c r="BD408" t="str">
        <f t="shared" si="217"/>
        <v/>
      </c>
      <c r="BP408" s="166">
        <f t="shared" si="236"/>
        <v>213.10156249999997</v>
      </c>
      <c r="BS408" s="165"/>
      <c r="BX408" s="495">
        <f t="shared" si="237"/>
        <v>213.10156249999997</v>
      </c>
      <c r="BZ408" s="636">
        <f t="shared" si="225"/>
        <v>0</v>
      </c>
      <c r="CA408" s="633">
        <f t="shared" si="226"/>
        <v>-7969.9984374999985</v>
      </c>
    </row>
    <row r="409" spans="1:79" x14ac:dyDescent="0.2">
      <c r="A409" s="4">
        <v>1</v>
      </c>
      <c r="B409" s="4">
        <v>1</v>
      </c>
      <c r="C409" s="5">
        <f t="shared" si="227"/>
        <v>41121</v>
      </c>
      <c r="D409" s="6">
        <v>41121</v>
      </c>
      <c r="E409" s="121">
        <v>43012</v>
      </c>
      <c r="F409" s="6" t="s">
        <v>1606</v>
      </c>
      <c r="G409" s="7" t="s">
        <v>75</v>
      </c>
      <c r="H409" s="7"/>
      <c r="I409" s="7" t="s">
        <v>32</v>
      </c>
      <c r="J409" s="7"/>
      <c r="K409" s="29">
        <v>431647</v>
      </c>
      <c r="L409" s="10" t="s">
        <v>903</v>
      </c>
      <c r="M409" s="10" t="s">
        <v>909</v>
      </c>
      <c r="N409" s="10" t="s">
        <v>910</v>
      </c>
      <c r="O409" s="11" t="s">
        <v>911</v>
      </c>
      <c r="P409" s="12">
        <v>42729</v>
      </c>
      <c r="Q409" s="13">
        <f t="shared" ca="1" si="230"/>
        <v>8.7419575633128002</v>
      </c>
      <c r="R409" s="14">
        <v>1</v>
      </c>
      <c r="S409" s="15">
        <v>872</v>
      </c>
      <c r="T409" s="8">
        <v>872</v>
      </c>
      <c r="U409" s="16">
        <v>45017</v>
      </c>
      <c r="V409" s="17">
        <v>1</v>
      </c>
      <c r="W409" s="16">
        <v>45382</v>
      </c>
      <c r="X409" s="14">
        <v>192</v>
      </c>
      <c r="Y409" s="18">
        <f t="shared" si="223"/>
        <v>192</v>
      </c>
      <c r="Z409" s="18">
        <f t="shared" si="228"/>
        <v>1</v>
      </c>
      <c r="AA409" s="18" t="s">
        <v>36</v>
      </c>
      <c r="AB409" s="26">
        <v>32</v>
      </c>
      <c r="AC409" s="26"/>
      <c r="AD409" s="26"/>
      <c r="AE409" s="147" t="str">
        <f t="shared" si="220"/>
        <v>0</v>
      </c>
      <c r="AF409" s="147" t="str">
        <f t="shared" si="231"/>
        <v>0</v>
      </c>
      <c r="AG409" s="147" t="str">
        <f t="shared" si="221"/>
        <v>1</v>
      </c>
      <c r="AH409" s="147" t="str">
        <f t="shared" si="232"/>
        <v>NO</v>
      </c>
      <c r="AI409" s="147" t="str">
        <f t="shared" si="233"/>
        <v>NO</v>
      </c>
      <c r="AJ409" s="147" t="str">
        <f t="shared" si="234"/>
        <v>NO</v>
      </c>
      <c r="AK409" s="147" t="str">
        <f t="shared" si="235"/>
        <v>NO</v>
      </c>
      <c r="AL409" s="21"/>
      <c r="AM409" s="21">
        <f t="shared" si="229"/>
        <v>9128.64</v>
      </c>
      <c r="AN409" s="27" t="s">
        <v>37</v>
      </c>
      <c r="AO409" s="21">
        <v>1</v>
      </c>
      <c r="AP409" s="21">
        <f t="shared" si="222"/>
        <v>1</v>
      </c>
      <c r="AQ409" s="149">
        <f t="shared" si="219"/>
        <v>9128.64</v>
      </c>
      <c r="AR409" s="21">
        <v>9128.64</v>
      </c>
      <c r="AS409" s="610">
        <v>9128.64</v>
      </c>
      <c r="AT409" s="112">
        <v>9128.64</v>
      </c>
      <c r="AU409" s="4"/>
      <c r="AV409" s="4"/>
      <c r="AW409" s="23" t="e">
        <f>VLOOKUP(K409,#REF!,8,FALSE)</f>
        <v>#REF!</v>
      </c>
      <c r="AX409" s="23" t="e">
        <f>VLOOKUP(K409,#REF!,8,FALSE)</f>
        <v>#REF!</v>
      </c>
      <c r="AY409" s="23" t="e">
        <f>VLOOKUP(K409,#REF!,8,FALSE)</f>
        <v>#REF!</v>
      </c>
      <c r="AZ409" s="4"/>
      <c r="BA409" s="272"/>
      <c r="BB409" s="313">
        <f t="shared" si="218"/>
        <v>0</v>
      </c>
      <c r="BC409" s="269">
        <f t="shared" si="238"/>
        <v>9128.64</v>
      </c>
      <c r="BD409" t="str">
        <f t="shared" si="217"/>
        <v/>
      </c>
      <c r="BP409" s="166">
        <f t="shared" si="236"/>
        <v>9128.64</v>
      </c>
      <c r="BS409" s="165"/>
      <c r="BX409" s="495">
        <f t="shared" si="237"/>
        <v>9128.64</v>
      </c>
      <c r="BZ409" s="636">
        <f t="shared" si="225"/>
        <v>0</v>
      </c>
      <c r="CA409" s="633">
        <f t="shared" si="226"/>
        <v>0</v>
      </c>
    </row>
    <row r="410" spans="1:79" x14ac:dyDescent="0.2">
      <c r="A410" s="4">
        <v>1</v>
      </c>
      <c r="B410" s="4">
        <v>1</v>
      </c>
      <c r="C410" s="5">
        <f t="shared" si="227"/>
        <v>41121</v>
      </c>
      <c r="D410" s="6">
        <v>41121</v>
      </c>
      <c r="E410" s="121">
        <v>43012</v>
      </c>
      <c r="F410" s="6" t="s">
        <v>1606</v>
      </c>
      <c r="G410" s="7" t="s">
        <v>75</v>
      </c>
      <c r="H410" s="7"/>
      <c r="I410" s="7" t="s">
        <v>32</v>
      </c>
      <c r="J410" s="7"/>
      <c r="K410" s="29">
        <v>427538</v>
      </c>
      <c r="L410" s="10" t="s">
        <v>903</v>
      </c>
      <c r="M410" s="10" t="s">
        <v>912</v>
      </c>
      <c r="N410" s="10" t="s">
        <v>913</v>
      </c>
      <c r="O410" s="11" t="s">
        <v>914</v>
      </c>
      <c r="P410" s="12">
        <v>42025</v>
      </c>
      <c r="Q410" s="13">
        <f t="shared" ca="1" si="230"/>
        <v>10.669404517453799</v>
      </c>
      <c r="R410" s="14">
        <v>3</v>
      </c>
      <c r="S410" s="15">
        <v>872</v>
      </c>
      <c r="T410" s="8">
        <v>872</v>
      </c>
      <c r="U410" s="16">
        <v>45020</v>
      </c>
      <c r="V410" s="17">
        <v>1</v>
      </c>
      <c r="W410" s="16">
        <v>45382</v>
      </c>
      <c r="X410" s="14">
        <v>192</v>
      </c>
      <c r="Y410" s="18">
        <f t="shared" si="223"/>
        <v>192</v>
      </c>
      <c r="Z410" s="18">
        <f t="shared" si="228"/>
        <v>1</v>
      </c>
      <c r="AA410" s="18" t="s">
        <v>36</v>
      </c>
      <c r="AB410" s="26">
        <v>25</v>
      </c>
      <c r="AC410" s="26"/>
      <c r="AD410" s="26"/>
      <c r="AE410" s="147" t="str">
        <f t="shared" si="220"/>
        <v>1</v>
      </c>
      <c r="AF410" s="147" t="str">
        <f t="shared" si="231"/>
        <v>0</v>
      </c>
      <c r="AG410" s="147" t="str">
        <f t="shared" si="221"/>
        <v>0</v>
      </c>
      <c r="AH410" s="147" t="str">
        <f t="shared" si="232"/>
        <v>NO</v>
      </c>
      <c r="AI410" s="147" t="str">
        <f t="shared" si="233"/>
        <v>NO</v>
      </c>
      <c r="AJ410" s="147" t="str">
        <f t="shared" si="234"/>
        <v>NO</v>
      </c>
      <c r="AK410" s="147" t="str">
        <f t="shared" si="235"/>
        <v>NO</v>
      </c>
      <c r="AL410" s="21"/>
      <c r="AM410" s="21">
        <f t="shared" si="229"/>
        <v>5819.25</v>
      </c>
      <c r="AN410" s="27" t="s">
        <v>185</v>
      </c>
      <c r="AO410" s="21">
        <v>1</v>
      </c>
      <c r="AP410" s="21">
        <f t="shared" si="222"/>
        <v>1</v>
      </c>
      <c r="AQ410" s="149">
        <f t="shared" si="219"/>
        <v>5819.25</v>
      </c>
      <c r="AR410" s="21">
        <v>5819.25</v>
      </c>
      <c r="AS410" s="610">
        <v>0</v>
      </c>
      <c r="AT410" s="112">
        <v>5819.25</v>
      </c>
      <c r="AU410" s="4"/>
      <c r="AV410" s="4"/>
      <c r="AW410" s="23" t="e">
        <f>VLOOKUP(K410,#REF!,8,FALSE)</f>
        <v>#REF!</v>
      </c>
      <c r="AX410" s="23" t="e">
        <f>VLOOKUP(K410,#REF!,8,FALSE)</f>
        <v>#REF!</v>
      </c>
      <c r="AY410" s="23" t="e">
        <f>VLOOKUP(K410,#REF!,8,FALSE)</f>
        <v>#REF!</v>
      </c>
      <c r="AZ410" s="4"/>
      <c r="BA410" s="272"/>
      <c r="BB410" s="313">
        <f t="shared" si="218"/>
        <v>0</v>
      </c>
      <c r="BC410" s="269">
        <f t="shared" si="238"/>
        <v>5819.25</v>
      </c>
      <c r="BD410" t="str">
        <f t="shared" si="217"/>
        <v/>
      </c>
      <c r="BP410" s="166">
        <f t="shared" si="236"/>
        <v>5819.25</v>
      </c>
      <c r="BS410" s="165"/>
      <c r="BX410" s="495">
        <f t="shared" si="237"/>
        <v>5819.25</v>
      </c>
      <c r="BZ410" s="636">
        <f t="shared" si="225"/>
        <v>0</v>
      </c>
      <c r="CA410" s="633">
        <f t="shared" si="226"/>
        <v>5819.25</v>
      </c>
    </row>
    <row r="411" spans="1:79" x14ac:dyDescent="0.2">
      <c r="A411" s="4">
        <v>1</v>
      </c>
      <c r="B411" s="4">
        <v>1</v>
      </c>
      <c r="C411" s="5">
        <f t="shared" si="227"/>
        <v>41121</v>
      </c>
      <c r="D411" s="6">
        <v>41121</v>
      </c>
      <c r="E411" s="121">
        <v>43012</v>
      </c>
      <c r="F411" s="6" t="s">
        <v>1606</v>
      </c>
      <c r="G411" s="7" t="s">
        <v>75</v>
      </c>
      <c r="H411" s="7"/>
      <c r="I411" s="7" t="s">
        <v>32</v>
      </c>
      <c r="J411" s="7"/>
      <c r="K411" s="29">
        <v>399449</v>
      </c>
      <c r="L411" s="10" t="s">
        <v>903</v>
      </c>
      <c r="M411" s="10" t="s">
        <v>915</v>
      </c>
      <c r="N411" s="10" t="s">
        <v>817</v>
      </c>
      <c r="O411" s="11" t="s">
        <v>916</v>
      </c>
      <c r="P411" s="12">
        <v>40808</v>
      </c>
      <c r="Q411" s="13">
        <f t="shared" ca="1" si="230"/>
        <v>14.001368925393566</v>
      </c>
      <c r="R411" s="14">
        <v>6</v>
      </c>
      <c r="S411" s="15">
        <v>872</v>
      </c>
      <c r="T411" s="8">
        <v>872</v>
      </c>
      <c r="U411" s="16">
        <v>45017</v>
      </c>
      <c r="V411" s="17">
        <v>1</v>
      </c>
      <c r="W411" s="16">
        <v>45128</v>
      </c>
      <c r="X411" s="14">
        <v>63</v>
      </c>
      <c r="Y411" s="18">
        <f t="shared" si="223"/>
        <v>63</v>
      </c>
      <c r="Z411" s="18">
        <f t="shared" si="228"/>
        <v>0.328125</v>
      </c>
      <c r="AA411" s="18" t="s">
        <v>48</v>
      </c>
      <c r="AB411" s="26">
        <v>30</v>
      </c>
      <c r="AC411" s="26"/>
      <c r="AD411" s="26"/>
      <c r="AE411" s="147" t="str">
        <f t="shared" si="220"/>
        <v>0</v>
      </c>
      <c r="AF411" s="147" t="str">
        <f t="shared" si="231"/>
        <v>1</v>
      </c>
      <c r="AG411" s="147" t="str">
        <f t="shared" si="221"/>
        <v>0</v>
      </c>
      <c r="AH411" s="147" t="str">
        <f t="shared" si="232"/>
        <v>NO</v>
      </c>
      <c r="AI411" s="147" t="str">
        <f t="shared" si="233"/>
        <v>NO</v>
      </c>
      <c r="AJ411" s="147" t="str">
        <f t="shared" si="234"/>
        <v>NO</v>
      </c>
      <c r="AK411" s="147" t="str">
        <f t="shared" si="235"/>
        <v>NO</v>
      </c>
      <c r="AL411" s="21"/>
      <c r="AM411" s="21">
        <f t="shared" si="229"/>
        <v>8183.0999999999985</v>
      </c>
      <c r="AN411" s="27" t="s">
        <v>43</v>
      </c>
      <c r="AO411" s="21">
        <v>1</v>
      </c>
      <c r="AP411" s="21">
        <f t="shared" si="222"/>
        <v>0.328125</v>
      </c>
      <c r="AQ411" s="149">
        <f t="shared" si="219"/>
        <v>2685.0796874999996</v>
      </c>
      <c r="AR411" s="21">
        <v>2685.0796874999996</v>
      </c>
      <c r="AS411" s="610">
        <v>2685.0796874999996</v>
      </c>
      <c r="AT411" s="112">
        <v>2685.0796874999996</v>
      </c>
      <c r="AU411" s="4"/>
      <c r="AV411" s="4"/>
      <c r="AW411" s="23" t="e">
        <f>VLOOKUP(K411,#REF!,8,FALSE)</f>
        <v>#REF!</v>
      </c>
      <c r="AX411" s="23" t="s">
        <v>2267</v>
      </c>
      <c r="AY411" s="23" t="e">
        <f>VLOOKUP(K411,#REF!,8,FALSE)</f>
        <v>#REF!</v>
      </c>
      <c r="AZ411" s="23" t="s">
        <v>75</v>
      </c>
      <c r="BA411" s="273">
        <f>AM411/3*2</f>
        <v>5455.3999999999987</v>
      </c>
      <c r="BB411" s="313">
        <f t="shared" si="218"/>
        <v>0</v>
      </c>
      <c r="BC411" s="269">
        <f t="shared" si="238"/>
        <v>2685.0796874999996</v>
      </c>
      <c r="BD411" t="e">
        <f t="shared" si="217"/>
        <v>#REF!</v>
      </c>
      <c r="BE411" t="s">
        <v>2267</v>
      </c>
      <c r="BF411">
        <v>43012</v>
      </c>
      <c r="BH411" t="e">
        <f>VLOOKUP(K411,#REF!,8,FALSE)</f>
        <v>#REF!</v>
      </c>
      <c r="BJ411">
        <f>AB411</f>
        <v>30</v>
      </c>
      <c r="BK411" s="269">
        <f>AM411</f>
        <v>8183.0999999999985</v>
      </c>
      <c r="BL411" s="353"/>
      <c r="BM411" s="353" t="s">
        <v>75</v>
      </c>
      <c r="BN411" s="353"/>
      <c r="BO411" s="106">
        <f>BK411/192*127</f>
        <v>5412.7796874999985</v>
      </c>
      <c r="BP411" s="166">
        <f t="shared" si="236"/>
        <v>8097.8593749999982</v>
      </c>
      <c r="BQ411" s="106">
        <v>5412.7796874999985</v>
      </c>
      <c r="BR411" t="s">
        <v>2446</v>
      </c>
      <c r="BS411" s="165"/>
      <c r="BX411" s="495">
        <f t="shared" si="237"/>
        <v>8097.8593749999982</v>
      </c>
      <c r="BZ411" s="636">
        <f t="shared" si="225"/>
        <v>0</v>
      </c>
      <c r="CA411" s="633">
        <f t="shared" si="226"/>
        <v>5412.7796874999985</v>
      </c>
    </row>
    <row r="412" spans="1:79" x14ac:dyDescent="0.2">
      <c r="A412" s="4">
        <v>1</v>
      </c>
      <c r="B412" s="4">
        <v>1</v>
      </c>
      <c r="C412" s="5">
        <f t="shared" si="227"/>
        <v>41121</v>
      </c>
      <c r="D412" s="6">
        <v>41121</v>
      </c>
      <c r="E412" s="121">
        <v>43012</v>
      </c>
      <c r="F412" s="6" t="s">
        <v>1606</v>
      </c>
      <c r="G412" s="7" t="s">
        <v>75</v>
      </c>
      <c r="H412" s="7"/>
      <c r="I412" s="7" t="s">
        <v>32</v>
      </c>
      <c r="J412" s="7"/>
      <c r="K412" s="29">
        <v>407761</v>
      </c>
      <c r="L412" s="10" t="s">
        <v>903</v>
      </c>
      <c r="M412" s="10" t="s">
        <v>917</v>
      </c>
      <c r="N412" s="10" t="s">
        <v>918</v>
      </c>
      <c r="O412" s="11" t="s">
        <v>919</v>
      </c>
      <c r="P412" s="12">
        <v>41362</v>
      </c>
      <c r="Q412" s="13">
        <f t="shared" ca="1" si="230"/>
        <v>12.484599589322382</v>
      </c>
      <c r="R412" s="14">
        <v>5</v>
      </c>
      <c r="S412" s="15">
        <v>872</v>
      </c>
      <c r="T412" s="8">
        <v>872</v>
      </c>
      <c r="U412" s="16">
        <v>45017</v>
      </c>
      <c r="V412" s="17">
        <v>1</v>
      </c>
      <c r="W412" s="16">
        <v>45382</v>
      </c>
      <c r="X412" s="14">
        <v>192</v>
      </c>
      <c r="Y412" s="18">
        <f t="shared" si="223"/>
        <v>192</v>
      </c>
      <c r="Z412" s="18">
        <f t="shared" si="228"/>
        <v>1</v>
      </c>
      <c r="AA412" s="18" t="s">
        <v>36</v>
      </c>
      <c r="AB412" s="26">
        <v>28</v>
      </c>
      <c r="AC412" s="26"/>
      <c r="AD412" s="26"/>
      <c r="AE412" s="147" t="str">
        <f t="shared" si="220"/>
        <v>0</v>
      </c>
      <c r="AF412" s="147" t="str">
        <f t="shared" si="231"/>
        <v>1</v>
      </c>
      <c r="AG412" s="147" t="str">
        <f t="shared" si="221"/>
        <v>0</v>
      </c>
      <c r="AH412" s="147" t="str">
        <f t="shared" si="232"/>
        <v>NO</v>
      </c>
      <c r="AI412" s="147" t="str">
        <f t="shared" si="233"/>
        <v>NO</v>
      </c>
      <c r="AJ412" s="147" t="str">
        <f t="shared" si="234"/>
        <v>NO</v>
      </c>
      <c r="AK412" s="147" t="str">
        <f t="shared" si="235"/>
        <v>NO</v>
      </c>
      <c r="AL412" s="21"/>
      <c r="AM412" s="21">
        <f t="shared" si="229"/>
        <v>7237.5599999999995</v>
      </c>
      <c r="AN412" s="27" t="s">
        <v>662</v>
      </c>
      <c r="AO412" s="21">
        <v>1</v>
      </c>
      <c r="AP412" s="21">
        <f t="shared" si="222"/>
        <v>1</v>
      </c>
      <c r="AQ412" s="149">
        <f t="shared" si="219"/>
        <v>7237.5599999999995</v>
      </c>
      <c r="AR412" s="21">
        <v>7237.5599999999995</v>
      </c>
      <c r="AS412" s="610">
        <v>7237.5599999999995</v>
      </c>
      <c r="AT412" s="112">
        <v>7237.5599999999995</v>
      </c>
      <c r="AU412" s="4"/>
      <c r="AV412" s="4"/>
      <c r="AW412" s="23" t="e">
        <f>VLOOKUP(K412,#REF!,8,FALSE)</f>
        <v>#REF!</v>
      </c>
      <c r="AX412" s="23" t="e">
        <f>VLOOKUP(K412,#REF!,8,FALSE)</f>
        <v>#REF!</v>
      </c>
      <c r="AY412" s="23" t="e">
        <f>VLOOKUP(K412,#REF!,8,FALSE)</f>
        <v>#REF!</v>
      </c>
      <c r="AZ412" s="4"/>
      <c r="BA412" s="272"/>
      <c r="BB412" s="313">
        <f t="shared" si="218"/>
        <v>0</v>
      </c>
      <c r="BC412" s="269">
        <f t="shared" si="238"/>
        <v>7237.5599999999995</v>
      </c>
      <c r="BD412" t="str">
        <f t="shared" si="217"/>
        <v/>
      </c>
      <c r="BP412" s="166">
        <f t="shared" si="236"/>
        <v>7237.5599999999995</v>
      </c>
      <c r="BS412" s="165"/>
      <c r="BX412" s="495">
        <f t="shared" si="237"/>
        <v>7237.5599999999995</v>
      </c>
      <c r="BZ412" s="636">
        <f t="shared" si="225"/>
        <v>0</v>
      </c>
      <c r="CA412" s="633">
        <f t="shared" si="226"/>
        <v>0</v>
      </c>
    </row>
    <row r="413" spans="1:79" x14ac:dyDescent="0.2">
      <c r="A413" s="4">
        <v>0</v>
      </c>
      <c r="B413" s="4">
        <v>1</v>
      </c>
      <c r="C413" s="5">
        <f t="shared" si="227"/>
        <v>41121</v>
      </c>
      <c r="D413" s="6">
        <v>41121</v>
      </c>
      <c r="E413" s="121">
        <v>43012</v>
      </c>
      <c r="F413" s="6" t="s">
        <v>1606</v>
      </c>
      <c r="G413" s="7" t="s">
        <v>75</v>
      </c>
      <c r="H413" s="7"/>
      <c r="I413" s="7" t="s">
        <v>32</v>
      </c>
      <c r="J413" s="7" t="s">
        <v>142</v>
      </c>
      <c r="K413" s="29">
        <v>407761</v>
      </c>
      <c r="L413" s="10" t="s">
        <v>903</v>
      </c>
      <c r="M413" s="10" t="s">
        <v>917</v>
      </c>
      <c r="N413" s="10" t="s">
        <v>918</v>
      </c>
      <c r="O413" s="11" t="s">
        <v>919</v>
      </c>
      <c r="P413" s="12">
        <v>41362</v>
      </c>
      <c r="Q413" s="13">
        <f t="shared" ca="1" si="230"/>
        <v>12.484599589322382</v>
      </c>
      <c r="R413" s="14">
        <v>5</v>
      </c>
      <c r="S413" s="15">
        <v>872</v>
      </c>
      <c r="T413" s="8">
        <v>872</v>
      </c>
      <c r="U413" s="16">
        <v>45017</v>
      </c>
      <c r="V413" s="17">
        <v>1</v>
      </c>
      <c r="W413" s="16">
        <v>45138</v>
      </c>
      <c r="X413" s="14">
        <v>63</v>
      </c>
      <c r="Y413" s="18">
        <f t="shared" si="223"/>
        <v>63</v>
      </c>
      <c r="Z413" s="18">
        <v>1</v>
      </c>
      <c r="AA413" s="16">
        <v>45138</v>
      </c>
      <c r="AB413" s="26">
        <v>1432.08</v>
      </c>
      <c r="AC413" s="26"/>
      <c r="AD413" s="26"/>
      <c r="AE413" s="147" t="str">
        <f t="shared" si="220"/>
        <v>0</v>
      </c>
      <c r="AF413" s="147" t="str">
        <f t="shared" si="231"/>
        <v>0</v>
      </c>
      <c r="AG413" s="147" t="str">
        <f t="shared" si="221"/>
        <v>1</v>
      </c>
      <c r="AH413" s="147" t="str">
        <f t="shared" si="232"/>
        <v>NO</v>
      </c>
      <c r="AI413" s="147" t="str">
        <f t="shared" si="233"/>
        <v>NO</v>
      </c>
      <c r="AJ413" s="147" t="str">
        <f t="shared" si="234"/>
        <v>NO</v>
      </c>
      <c r="AK413" s="147" t="str">
        <f t="shared" si="235"/>
        <v>NO</v>
      </c>
      <c r="AL413" s="21"/>
      <c r="AM413" s="21">
        <v>1432.08</v>
      </c>
      <c r="AN413" s="27" t="s">
        <v>662</v>
      </c>
      <c r="AO413" s="21">
        <v>1</v>
      </c>
      <c r="AP413" s="21">
        <f t="shared" si="222"/>
        <v>1</v>
      </c>
      <c r="AQ413" s="149">
        <f t="shared" si="219"/>
        <v>1432.08</v>
      </c>
      <c r="AR413" s="21">
        <v>1432.08</v>
      </c>
      <c r="AS413" s="610">
        <v>0</v>
      </c>
      <c r="AT413" s="112">
        <v>1432.08</v>
      </c>
      <c r="AU413" s="4"/>
      <c r="AV413" s="4"/>
      <c r="AW413" s="23" t="e">
        <f>VLOOKUP(K413,#REF!,8,FALSE)</f>
        <v>#REF!</v>
      </c>
      <c r="AX413" s="23" t="e">
        <f>VLOOKUP(K413,#REF!,8,FALSE)</f>
        <v>#REF!</v>
      </c>
      <c r="AY413" s="23" t="e">
        <f>VLOOKUP(K413,#REF!,8,FALSE)</f>
        <v>#REF!</v>
      </c>
      <c r="AZ413" s="4"/>
      <c r="BA413" s="272"/>
      <c r="BB413" s="313">
        <f t="shared" si="218"/>
        <v>0</v>
      </c>
      <c r="BC413" s="269">
        <f t="shared" si="238"/>
        <v>1432.08</v>
      </c>
      <c r="BD413" t="str">
        <f t="shared" ref="BD413:BD440" si="239">BG413&amp;BH413&amp;BI413</f>
        <v/>
      </c>
      <c r="BJ413">
        <f>AB413</f>
        <v>1432.08</v>
      </c>
      <c r="BK413" s="269">
        <f>AM413</f>
        <v>1432.08</v>
      </c>
      <c r="BO413" s="106">
        <f>BK413/192*127</f>
        <v>947.2612499999999</v>
      </c>
      <c r="BP413" s="166">
        <f t="shared" si="236"/>
        <v>2379.3412499999999</v>
      </c>
      <c r="BS413" s="165"/>
      <c r="BX413" s="495">
        <f t="shared" si="237"/>
        <v>2379.3412499999999</v>
      </c>
      <c r="BZ413" s="636">
        <f t="shared" si="225"/>
        <v>0</v>
      </c>
      <c r="CA413" s="633">
        <f t="shared" si="226"/>
        <v>2379.3412499999999</v>
      </c>
    </row>
    <row r="414" spans="1:79" x14ac:dyDescent="0.2">
      <c r="A414" s="4">
        <v>1</v>
      </c>
      <c r="B414" s="4">
        <v>1</v>
      </c>
      <c r="C414" s="5">
        <f t="shared" si="227"/>
        <v>41121</v>
      </c>
      <c r="D414" s="6">
        <v>41121</v>
      </c>
      <c r="E414" s="121">
        <v>43012</v>
      </c>
      <c r="F414" s="6" t="s">
        <v>1606</v>
      </c>
      <c r="G414" s="7" t="s">
        <v>75</v>
      </c>
      <c r="H414" s="7"/>
      <c r="I414" s="7" t="s">
        <v>32</v>
      </c>
      <c r="J414" s="7"/>
      <c r="K414" s="29">
        <v>439319</v>
      </c>
      <c r="L414" s="10" t="s">
        <v>903</v>
      </c>
      <c r="M414" s="10" t="s">
        <v>427</v>
      </c>
      <c r="N414" s="10" t="s">
        <v>920</v>
      </c>
      <c r="O414" s="11" t="s">
        <v>921</v>
      </c>
      <c r="P414" s="12">
        <v>43237</v>
      </c>
      <c r="Q414" s="13">
        <f t="shared" ca="1" si="230"/>
        <v>7.3511293634496919</v>
      </c>
      <c r="R414" s="14">
        <v>0</v>
      </c>
      <c r="S414" s="15">
        <v>872</v>
      </c>
      <c r="T414" s="8">
        <v>872</v>
      </c>
      <c r="U414" s="16">
        <v>45017</v>
      </c>
      <c r="V414" s="17">
        <v>1</v>
      </c>
      <c r="W414" s="16">
        <v>45382</v>
      </c>
      <c r="X414" s="14">
        <v>192</v>
      </c>
      <c r="Y414" s="18">
        <f t="shared" si="223"/>
        <v>192</v>
      </c>
      <c r="Z414" s="18">
        <f t="shared" ref="Z414:Z448" si="240">Y414/192</f>
        <v>1</v>
      </c>
      <c r="AA414" s="18" t="s">
        <v>36</v>
      </c>
      <c r="AB414" s="26">
        <v>31</v>
      </c>
      <c r="AC414" s="26"/>
      <c r="AD414" s="26"/>
      <c r="AE414" s="147" t="str">
        <f t="shared" si="220"/>
        <v>0</v>
      </c>
      <c r="AF414" s="147" t="str">
        <f t="shared" si="231"/>
        <v>0</v>
      </c>
      <c r="AG414" s="147" t="str">
        <f t="shared" si="221"/>
        <v>1</v>
      </c>
      <c r="AH414" s="147" t="str">
        <f t="shared" si="232"/>
        <v>NO</v>
      </c>
      <c r="AI414" s="147" t="str">
        <f t="shared" si="233"/>
        <v>NO</v>
      </c>
      <c r="AJ414" s="147" t="str">
        <f t="shared" si="234"/>
        <v>NO</v>
      </c>
      <c r="AK414" s="147" t="str">
        <f t="shared" si="235"/>
        <v>NO</v>
      </c>
      <c r="AL414" s="21"/>
      <c r="AM414" s="21">
        <f>IF(H414="Y",AL414,((AB414*$O$902)-6000))</f>
        <v>8655.869999999999</v>
      </c>
      <c r="AN414" s="27" t="s">
        <v>43</v>
      </c>
      <c r="AO414" s="21">
        <v>1</v>
      </c>
      <c r="AP414" s="21">
        <f t="shared" si="222"/>
        <v>1</v>
      </c>
      <c r="AQ414" s="149">
        <f t="shared" si="219"/>
        <v>8655.869999999999</v>
      </c>
      <c r="AR414" s="21">
        <v>8655.869999999999</v>
      </c>
      <c r="AS414" s="610">
        <v>0</v>
      </c>
      <c r="AT414" s="112">
        <v>8655.869999999999</v>
      </c>
      <c r="AU414" s="4"/>
      <c r="AV414" s="4"/>
      <c r="AW414" s="23" t="e">
        <f>VLOOKUP(K414,#REF!,8,FALSE)</f>
        <v>#REF!</v>
      </c>
      <c r="AX414" s="23" t="e">
        <f>VLOOKUP(K414,#REF!,8,FALSE)</f>
        <v>#REF!</v>
      </c>
      <c r="AY414" s="23" t="e">
        <f>VLOOKUP(K414,#REF!,8,FALSE)</f>
        <v>#REF!</v>
      </c>
      <c r="AZ414" s="4"/>
      <c r="BA414" s="272"/>
      <c r="BB414" s="313">
        <f t="shared" ref="BB414:BB440" si="241">BC414-AT414</f>
        <v>0</v>
      </c>
      <c r="BC414" s="269">
        <f t="shared" si="238"/>
        <v>8655.869999999999</v>
      </c>
      <c r="BD414" t="str">
        <f t="shared" si="239"/>
        <v/>
      </c>
      <c r="BP414" s="166">
        <f t="shared" si="236"/>
        <v>8655.869999999999</v>
      </c>
      <c r="BS414" s="165"/>
      <c r="BX414" s="495">
        <f t="shared" si="237"/>
        <v>8655.869999999999</v>
      </c>
      <c r="BZ414" s="636">
        <f t="shared" si="225"/>
        <v>0</v>
      </c>
      <c r="CA414" s="633">
        <f t="shared" si="226"/>
        <v>8655.869999999999</v>
      </c>
    </row>
    <row r="415" spans="1:79" x14ac:dyDescent="0.2">
      <c r="A415" s="4">
        <v>1</v>
      </c>
      <c r="B415" s="4">
        <v>1</v>
      </c>
      <c r="C415" s="5">
        <f t="shared" si="227"/>
        <v>41121</v>
      </c>
      <c r="D415" s="6">
        <v>41121</v>
      </c>
      <c r="E415" s="121">
        <v>43012</v>
      </c>
      <c r="F415" s="6" t="s">
        <v>1606</v>
      </c>
      <c r="G415" s="7" t="s">
        <v>75</v>
      </c>
      <c r="H415" s="7"/>
      <c r="I415" s="7" t="s">
        <v>32</v>
      </c>
      <c r="J415" s="7"/>
      <c r="K415" s="29">
        <v>401857</v>
      </c>
      <c r="L415" s="10" t="s">
        <v>903</v>
      </c>
      <c r="M415" s="10" t="s">
        <v>588</v>
      </c>
      <c r="N415" s="10" t="s">
        <v>922</v>
      </c>
      <c r="O415" s="11" t="s">
        <v>923</v>
      </c>
      <c r="P415" s="12">
        <v>41314</v>
      </c>
      <c r="Q415" s="13">
        <f t="shared" ca="1" si="230"/>
        <v>12.616016427104723</v>
      </c>
      <c r="R415" s="14">
        <v>5</v>
      </c>
      <c r="S415" s="15">
        <v>872</v>
      </c>
      <c r="T415" s="8">
        <v>872</v>
      </c>
      <c r="U415" s="16">
        <v>45017</v>
      </c>
      <c r="V415" s="17">
        <v>1</v>
      </c>
      <c r="W415" s="16">
        <v>45382</v>
      </c>
      <c r="X415" s="14">
        <v>192</v>
      </c>
      <c r="Y415" s="18">
        <f t="shared" si="223"/>
        <v>192</v>
      </c>
      <c r="Z415" s="18">
        <f t="shared" si="240"/>
        <v>1</v>
      </c>
      <c r="AA415" s="18" t="s">
        <v>36</v>
      </c>
      <c r="AB415" s="26">
        <v>27</v>
      </c>
      <c r="AC415" s="26"/>
      <c r="AD415" s="26"/>
      <c r="AE415" s="147" t="str">
        <f t="shared" si="220"/>
        <v>0</v>
      </c>
      <c r="AF415" s="147" t="str">
        <f t="shared" si="231"/>
        <v>1</v>
      </c>
      <c r="AG415" s="147" t="str">
        <f t="shared" si="221"/>
        <v>0</v>
      </c>
      <c r="AH415" s="147" t="str">
        <f t="shared" si="232"/>
        <v>NO</v>
      </c>
      <c r="AI415" s="147" t="str">
        <f t="shared" si="233"/>
        <v>NO</v>
      </c>
      <c r="AJ415" s="147" t="str">
        <f t="shared" si="234"/>
        <v>NO</v>
      </c>
      <c r="AK415" s="147" t="str">
        <f t="shared" si="235"/>
        <v>NO</v>
      </c>
      <c r="AL415" s="48"/>
      <c r="AM415" s="48">
        <f>IF(H415="Y",AL415,((AB415*$O$902)-6000))</f>
        <v>6764.7899999999991</v>
      </c>
      <c r="AN415" s="27" t="s">
        <v>254</v>
      </c>
      <c r="AO415" s="21">
        <v>1</v>
      </c>
      <c r="AP415" s="21">
        <f t="shared" si="222"/>
        <v>1</v>
      </c>
      <c r="AQ415" s="149">
        <f t="shared" si="219"/>
        <v>6764.7899999999991</v>
      </c>
      <c r="AR415" s="21">
        <v>6764.7899999999991</v>
      </c>
      <c r="AS415" s="610">
        <v>6764.7899999999991</v>
      </c>
      <c r="AT415" s="112">
        <v>6764.7899999999991</v>
      </c>
      <c r="AU415" s="4"/>
      <c r="AV415" s="4"/>
      <c r="AW415" s="23" t="e">
        <f>VLOOKUP(K415,#REF!,8,FALSE)</f>
        <v>#REF!</v>
      </c>
      <c r="AX415" s="23" t="e">
        <f>VLOOKUP(K415,#REF!,8,FALSE)</f>
        <v>#REF!</v>
      </c>
      <c r="AY415" s="23" t="e">
        <f>VLOOKUP(K415,#REF!,8,FALSE)</f>
        <v>#REF!</v>
      </c>
      <c r="AZ415" s="4"/>
      <c r="BA415" s="272"/>
      <c r="BB415" s="313">
        <f t="shared" si="241"/>
        <v>0</v>
      </c>
      <c r="BC415" s="269">
        <f t="shared" si="238"/>
        <v>6764.7899999999991</v>
      </c>
      <c r="BD415" t="str">
        <f t="shared" si="239"/>
        <v/>
      </c>
      <c r="BP415" s="166">
        <f t="shared" si="236"/>
        <v>6764.7899999999991</v>
      </c>
      <c r="BS415" s="165"/>
      <c r="BX415" s="495">
        <f t="shared" si="237"/>
        <v>6764.7899999999991</v>
      </c>
      <c r="BZ415" s="636">
        <f t="shared" si="225"/>
        <v>0</v>
      </c>
      <c r="CA415" s="633">
        <f t="shared" si="226"/>
        <v>0</v>
      </c>
    </row>
    <row r="416" spans="1:79" x14ac:dyDescent="0.2">
      <c r="A416" s="4">
        <v>1</v>
      </c>
      <c r="B416" s="4">
        <v>1</v>
      </c>
      <c r="C416" s="5">
        <f t="shared" si="227"/>
        <v>41121</v>
      </c>
      <c r="D416" s="6">
        <v>41121</v>
      </c>
      <c r="E416" s="121">
        <v>43012</v>
      </c>
      <c r="F416" s="6" t="s">
        <v>1606</v>
      </c>
      <c r="G416" s="7" t="s">
        <v>75</v>
      </c>
      <c r="H416" s="7"/>
      <c r="I416" s="7" t="s">
        <v>32</v>
      </c>
      <c r="J416" s="7"/>
      <c r="K416" s="29">
        <v>405773</v>
      </c>
      <c r="L416" s="10" t="s">
        <v>903</v>
      </c>
      <c r="M416" s="10" t="s">
        <v>924</v>
      </c>
      <c r="N416" s="10" t="s">
        <v>925</v>
      </c>
      <c r="O416" s="11" t="str">
        <f>M416&amp;N416</f>
        <v>JaydenSavory</v>
      </c>
      <c r="P416" s="12">
        <v>41166</v>
      </c>
      <c r="Q416" s="13">
        <f t="shared" ca="1" si="230"/>
        <v>13.021218343600275</v>
      </c>
      <c r="R416" s="14">
        <v>5</v>
      </c>
      <c r="S416" s="15">
        <v>872</v>
      </c>
      <c r="T416" s="8">
        <v>872</v>
      </c>
      <c r="U416" s="16">
        <v>45017</v>
      </c>
      <c r="V416" s="17">
        <v>1</v>
      </c>
      <c r="W416" s="16">
        <v>45382</v>
      </c>
      <c r="X416" s="14">
        <v>192</v>
      </c>
      <c r="Y416" s="18">
        <f t="shared" si="223"/>
        <v>192</v>
      </c>
      <c r="Z416" s="18">
        <f t="shared" si="240"/>
        <v>1</v>
      </c>
      <c r="AA416" s="18" t="s">
        <v>36</v>
      </c>
      <c r="AB416" s="26">
        <v>30</v>
      </c>
      <c r="AC416" s="26"/>
      <c r="AD416" s="26"/>
      <c r="AE416" s="147" t="str">
        <f t="shared" si="220"/>
        <v>0</v>
      </c>
      <c r="AF416" s="147" t="str">
        <f t="shared" si="231"/>
        <v>1</v>
      </c>
      <c r="AG416" s="147" t="str">
        <f t="shared" si="221"/>
        <v>0</v>
      </c>
      <c r="AH416" s="147" t="str">
        <f t="shared" si="232"/>
        <v>NO</v>
      </c>
      <c r="AI416" s="147" t="str">
        <f t="shared" si="233"/>
        <v>NO</v>
      </c>
      <c r="AJ416" s="147" t="str">
        <f t="shared" si="234"/>
        <v>NO</v>
      </c>
      <c r="AK416" s="147" t="str">
        <f t="shared" si="235"/>
        <v>NO</v>
      </c>
      <c r="AL416" s="48"/>
      <c r="AM416" s="48">
        <f>IF(H416="Y",AL416,((AB416*$O$902)-6000))</f>
        <v>8183.0999999999985</v>
      </c>
      <c r="AN416" s="27" t="s">
        <v>56</v>
      </c>
      <c r="AO416" s="21">
        <v>1</v>
      </c>
      <c r="AP416" s="21">
        <f t="shared" si="222"/>
        <v>1</v>
      </c>
      <c r="AQ416" s="149">
        <f t="shared" si="219"/>
        <v>8183.0999999999985</v>
      </c>
      <c r="AR416" s="21">
        <v>8183.0999999999985</v>
      </c>
      <c r="AS416" s="610">
        <v>8183.0999999999985</v>
      </c>
      <c r="AT416" s="112">
        <v>8183.0999999999985</v>
      </c>
      <c r="AU416" s="4"/>
      <c r="AV416" s="4"/>
      <c r="AW416" s="23" t="e">
        <f>VLOOKUP(K416,#REF!,8,FALSE)</f>
        <v>#REF!</v>
      </c>
      <c r="AX416" s="23" t="e">
        <f>VLOOKUP(K416,#REF!,8,FALSE)</f>
        <v>#REF!</v>
      </c>
      <c r="AY416" s="23" t="e">
        <f>VLOOKUP(K416,#REF!,8,FALSE)</f>
        <v>#REF!</v>
      </c>
      <c r="AZ416" s="4"/>
      <c r="BA416" s="272"/>
      <c r="BB416" s="313">
        <f t="shared" si="241"/>
        <v>0</v>
      </c>
      <c r="BC416" s="269">
        <f t="shared" si="238"/>
        <v>8183.0999999999985</v>
      </c>
      <c r="BD416" t="str">
        <f t="shared" si="239"/>
        <v/>
      </c>
      <c r="BP416" s="166">
        <f t="shared" si="236"/>
        <v>8183.0999999999985</v>
      </c>
      <c r="BS416" s="165"/>
      <c r="BX416" s="495">
        <f t="shared" si="237"/>
        <v>8183.0999999999985</v>
      </c>
      <c r="BZ416" s="636">
        <f t="shared" si="225"/>
        <v>0</v>
      </c>
      <c r="CA416" s="633">
        <f t="shared" si="226"/>
        <v>0</v>
      </c>
    </row>
    <row r="417" spans="1:79" x14ac:dyDescent="0.2">
      <c r="A417" s="4">
        <v>0</v>
      </c>
      <c r="B417" s="4">
        <v>1</v>
      </c>
      <c r="C417" s="5">
        <f t="shared" si="227"/>
        <v>41121</v>
      </c>
      <c r="D417" s="6">
        <v>41121</v>
      </c>
      <c r="E417" s="121">
        <v>43012</v>
      </c>
      <c r="F417" s="6" t="s">
        <v>1606</v>
      </c>
      <c r="G417" s="7" t="s">
        <v>75</v>
      </c>
      <c r="H417" s="7"/>
      <c r="I417" s="7" t="s">
        <v>32</v>
      </c>
      <c r="J417" s="7" t="s">
        <v>192</v>
      </c>
      <c r="K417" s="29">
        <v>405773</v>
      </c>
      <c r="L417" s="10" t="s">
        <v>903</v>
      </c>
      <c r="M417" s="10" t="s">
        <v>924</v>
      </c>
      <c r="N417" s="10" t="s">
        <v>925</v>
      </c>
      <c r="O417" s="11" t="str">
        <f>M417&amp;N417</f>
        <v>JaydenSavory</v>
      </c>
      <c r="P417" s="12">
        <v>41166</v>
      </c>
      <c r="Q417" s="13">
        <f t="shared" ca="1" si="230"/>
        <v>13.021218343600275</v>
      </c>
      <c r="R417" s="14">
        <v>5</v>
      </c>
      <c r="S417" s="15">
        <v>872</v>
      </c>
      <c r="T417" s="8">
        <v>872</v>
      </c>
      <c r="U417" s="16">
        <v>45017</v>
      </c>
      <c r="V417" s="17">
        <v>1</v>
      </c>
      <c r="W417" s="16">
        <v>45128</v>
      </c>
      <c r="X417" s="14">
        <v>63</v>
      </c>
      <c r="Y417" s="18">
        <f t="shared" si="223"/>
        <v>63</v>
      </c>
      <c r="Z417" s="18">
        <f t="shared" si="240"/>
        <v>0.328125</v>
      </c>
      <c r="AA417" s="39">
        <v>45128</v>
      </c>
      <c r="AB417" s="26">
        <v>14960</v>
      </c>
      <c r="AC417" s="26"/>
      <c r="AD417" s="26"/>
      <c r="AE417" s="147" t="str">
        <f t="shared" si="220"/>
        <v>0</v>
      </c>
      <c r="AF417" s="147" t="str">
        <f t="shared" si="231"/>
        <v>0</v>
      </c>
      <c r="AG417" s="147" t="str">
        <f t="shared" si="221"/>
        <v>1</v>
      </c>
      <c r="AH417" s="147" t="str">
        <f t="shared" si="232"/>
        <v>NO</v>
      </c>
      <c r="AI417" s="147" t="str">
        <f t="shared" si="233"/>
        <v>NO</v>
      </c>
      <c r="AJ417" s="147" t="str">
        <f t="shared" si="234"/>
        <v>NO</v>
      </c>
      <c r="AK417" s="147" t="str">
        <f t="shared" si="235"/>
        <v>NO</v>
      </c>
      <c r="AL417" s="48"/>
      <c r="AM417" s="48">
        <v>14960</v>
      </c>
      <c r="AN417" s="27" t="s">
        <v>56</v>
      </c>
      <c r="AO417" s="21">
        <v>1</v>
      </c>
      <c r="AP417" s="21">
        <f t="shared" ref="AP417:AP424" si="242">AO417*Z417</f>
        <v>0.328125</v>
      </c>
      <c r="AQ417" s="149">
        <f t="shared" si="219"/>
        <v>4908.75</v>
      </c>
      <c r="AR417" s="21">
        <v>4908.75</v>
      </c>
      <c r="AS417" s="610">
        <v>4908.75</v>
      </c>
      <c r="AT417" s="112">
        <v>4908.75</v>
      </c>
      <c r="AU417" s="4"/>
      <c r="AV417" s="4"/>
      <c r="AW417" s="23" t="e">
        <f>VLOOKUP(K417,#REF!,8,FALSE)</f>
        <v>#REF!</v>
      </c>
      <c r="AX417" s="23" t="e">
        <f>VLOOKUP(K417,#REF!,8,FALSE)</f>
        <v>#REF!</v>
      </c>
      <c r="AY417" s="23" t="e">
        <f>VLOOKUP(K417,#REF!,8,FALSE)</f>
        <v>#REF!</v>
      </c>
      <c r="AZ417" s="4"/>
      <c r="BA417" s="272"/>
      <c r="BB417" s="313">
        <f t="shared" si="241"/>
        <v>0</v>
      </c>
      <c r="BC417" s="269">
        <f t="shared" si="238"/>
        <v>4908.75</v>
      </c>
      <c r="BD417" t="str">
        <f t="shared" si="239"/>
        <v/>
      </c>
      <c r="BJ417">
        <f>AB417</f>
        <v>14960</v>
      </c>
      <c r="BK417" s="269">
        <f>AM417</f>
        <v>14960</v>
      </c>
      <c r="BO417" s="106">
        <f>BK417/192*127</f>
        <v>9895.4166666666679</v>
      </c>
      <c r="BP417" s="166">
        <f t="shared" si="236"/>
        <v>14804.166666666668</v>
      </c>
      <c r="BS417" s="165"/>
      <c r="BX417" s="495">
        <f t="shared" si="237"/>
        <v>14804.166666666668</v>
      </c>
      <c r="BZ417" s="636">
        <f t="shared" si="225"/>
        <v>0</v>
      </c>
      <c r="CA417" s="633">
        <f t="shared" si="226"/>
        <v>9895.4166666666679</v>
      </c>
    </row>
    <row r="418" spans="1:79" x14ac:dyDescent="0.2">
      <c r="A418" s="4">
        <v>1</v>
      </c>
      <c r="B418" s="4">
        <v>1</v>
      </c>
      <c r="C418" s="5">
        <f t="shared" si="227"/>
        <v>41121</v>
      </c>
      <c r="D418" s="6">
        <v>41121</v>
      </c>
      <c r="E418" s="121">
        <v>43012</v>
      </c>
      <c r="F418" s="6" t="s">
        <v>1606</v>
      </c>
      <c r="G418" s="7" t="s">
        <v>75</v>
      </c>
      <c r="H418" s="7"/>
      <c r="I418" s="7" t="s">
        <v>32</v>
      </c>
      <c r="J418" s="7"/>
      <c r="K418" s="29">
        <v>445598</v>
      </c>
      <c r="L418" s="10" t="s">
        <v>903</v>
      </c>
      <c r="M418" s="10" t="s">
        <v>926</v>
      </c>
      <c r="N418" s="10" t="s">
        <v>927</v>
      </c>
      <c r="O418" s="11" t="s">
        <v>928</v>
      </c>
      <c r="P418" s="12">
        <v>43182</v>
      </c>
      <c r="Q418" s="13">
        <f t="shared" ca="1" si="230"/>
        <v>7.5017111567419574</v>
      </c>
      <c r="R418" s="14">
        <v>0</v>
      </c>
      <c r="S418" s="15">
        <v>872</v>
      </c>
      <c r="T418" s="8">
        <v>872</v>
      </c>
      <c r="U418" s="16">
        <v>45017</v>
      </c>
      <c r="V418" s="17">
        <v>1</v>
      </c>
      <c r="W418" s="16">
        <v>45382</v>
      </c>
      <c r="X418" s="14">
        <v>192</v>
      </c>
      <c r="Y418" s="18">
        <f t="shared" si="223"/>
        <v>192</v>
      </c>
      <c r="Z418" s="18">
        <f t="shared" si="240"/>
        <v>1</v>
      </c>
      <c r="AA418" s="18" t="s">
        <v>36</v>
      </c>
      <c r="AB418" s="26">
        <v>28</v>
      </c>
      <c r="AC418" s="26"/>
      <c r="AD418" s="26"/>
      <c r="AE418" s="147" t="str">
        <f t="shared" si="220"/>
        <v>0</v>
      </c>
      <c r="AF418" s="147" t="str">
        <f t="shared" si="231"/>
        <v>1</v>
      </c>
      <c r="AG418" s="147" t="str">
        <f t="shared" si="221"/>
        <v>0</v>
      </c>
      <c r="AH418" s="147" t="str">
        <f t="shared" si="232"/>
        <v>NO</v>
      </c>
      <c r="AI418" s="147" t="str">
        <f t="shared" si="233"/>
        <v>NO</v>
      </c>
      <c r="AJ418" s="147" t="str">
        <f t="shared" si="234"/>
        <v>NO</v>
      </c>
      <c r="AK418" s="147" t="str">
        <f t="shared" si="235"/>
        <v>NO</v>
      </c>
      <c r="AL418" s="48"/>
      <c r="AM418" s="48">
        <f t="shared" ref="AM418:AM424" si="243">IF(H418="Y",AL418,((AB418*$O$902)-6000))</f>
        <v>7237.5599999999995</v>
      </c>
      <c r="AN418" s="27" t="s">
        <v>56</v>
      </c>
      <c r="AO418" s="21">
        <v>1</v>
      </c>
      <c r="AP418" s="21">
        <f t="shared" si="242"/>
        <v>1</v>
      </c>
      <c r="AQ418" s="149">
        <f t="shared" si="219"/>
        <v>7237.5599999999995</v>
      </c>
      <c r="AR418" s="21">
        <v>7237.5599999999995</v>
      </c>
      <c r="AS418" s="610">
        <v>7237.5599999999995</v>
      </c>
      <c r="AT418" s="112">
        <v>7237.5599999999995</v>
      </c>
      <c r="AU418" s="4"/>
      <c r="AV418" s="4"/>
      <c r="AW418" s="23" t="e">
        <f>VLOOKUP(K418,#REF!,8,FALSE)</f>
        <v>#REF!</v>
      </c>
      <c r="AX418" s="23" t="e">
        <f>VLOOKUP(K418,#REF!,8,FALSE)</f>
        <v>#REF!</v>
      </c>
      <c r="AY418" s="23" t="e">
        <f>VLOOKUP(K418,#REF!,8,FALSE)</f>
        <v>#REF!</v>
      </c>
      <c r="AZ418" s="4"/>
      <c r="BA418" s="272"/>
      <c r="BB418" s="313">
        <f t="shared" si="241"/>
        <v>0</v>
      </c>
      <c r="BC418" s="269">
        <f t="shared" si="238"/>
        <v>7237.5599999999995</v>
      </c>
      <c r="BD418" t="str">
        <f t="shared" si="239"/>
        <v/>
      </c>
      <c r="BP418" s="166">
        <f t="shared" si="236"/>
        <v>7237.5599999999995</v>
      </c>
      <c r="BS418" s="165"/>
      <c r="BX418" s="495">
        <f t="shared" si="237"/>
        <v>7237.5599999999995</v>
      </c>
      <c r="BZ418" s="636">
        <f t="shared" si="225"/>
        <v>0</v>
      </c>
      <c r="CA418" s="633">
        <f t="shared" si="226"/>
        <v>0</v>
      </c>
    </row>
    <row r="419" spans="1:79" x14ac:dyDescent="0.2">
      <c r="A419" s="4">
        <v>1</v>
      </c>
      <c r="B419" s="4">
        <v>1</v>
      </c>
      <c r="C419" s="5">
        <f t="shared" si="227"/>
        <v>41121</v>
      </c>
      <c r="D419" s="6">
        <v>41121</v>
      </c>
      <c r="E419" s="121">
        <v>43012</v>
      </c>
      <c r="F419" s="6" t="s">
        <v>1606</v>
      </c>
      <c r="G419" s="7" t="s">
        <v>75</v>
      </c>
      <c r="H419" s="7"/>
      <c r="I419" s="7" t="s">
        <v>32</v>
      </c>
      <c r="J419" s="7"/>
      <c r="K419" s="29">
        <v>409676</v>
      </c>
      <c r="L419" s="10" t="s">
        <v>903</v>
      </c>
      <c r="M419" s="10" t="s">
        <v>929</v>
      </c>
      <c r="N419" s="10" t="s">
        <v>930</v>
      </c>
      <c r="O419" s="11" t="s">
        <v>931</v>
      </c>
      <c r="P419" s="12">
        <v>41527</v>
      </c>
      <c r="Q419" s="13">
        <f t="shared" ca="1" si="230"/>
        <v>12.032854209445585</v>
      </c>
      <c r="R419" s="14">
        <v>4</v>
      </c>
      <c r="S419" s="15">
        <v>872</v>
      </c>
      <c r="T419" s="8">
        <v>872</v>
      </c>
      <c r="U419" s="16">
        <v>45017</v>
      </c>
      <c r="V419" s="17">
        <v>1</v>
      </c>
      <c r="W419" s="16">
        <v>45382</v>
      </c>
      <c r="X419" s="14">
        <v>192</v>
      </c>
      <c r="Y419" s="18">
        <f t="shared" si="223"/>
        <v>192</v>
      </c>
      <c r="Z419" s="18">
        <f t="shared" si="240"/>
        <v>1</v>
      </c>
      <c r="AA419" s="18" t="s">
        <v>36</v>
      </c>
      <c r="AB419" s="26">
        <v>27</v>
      </c>
      <c r="AC419" s="26"/>
      <c r="AD419" s="26"/>
      <c r="AE419" s="147" t="str">
        <f t="shared" si="220"/>
        <v>0</v>
      </c>
      <c r="AF419" s="147" t="str">
        <f t="shared" si="231"/>
        <v>1</v>
      </c>
      <c r="AG419" s="147" t="str">
        <f t="shared" si="221"/>
        <v>0</v>
      </c>
      <c r="AH419" s="147" t="str">
        <f t="shared" si="232"/>
        <v>NO</v>
      </c>
      <c r="AI419" s="147" t="str">
        <f t="shared" si="233"/>
        <v>NO</v>
      </c>
      <c r="AJ419" s="147" t="str">
        <f t="shared" si="234"/>
        <v>NO</v>
      </c>
      <c r="AK419" s="147" t="str">
        <f t="shared" si="235"/>
        <v>NO</v>
      </c>
      <c r="AL419" s="48"/>
      <c r="AM419" s="48">
        <f t="shared" si="243"/>
        <v>6764.7899999999991</v>
      </c>
      <c r="AN419" s="27" t="s">
        <v>56</v>
      </c>
      <c r="AO419" s="21">
        <v>1</v>
      </c>
      <c r="AP419" s="21">
        <f t="shared" si="242"/>
        <v>1</v>
      </c>
      <c r="AQ419" s="149">
        <f t="shared" si="219"/>
        <v>6764.7899999999991</v>
      </c>
      <c r="AR419" s="21">
        <v>6764.7899999999991</v>
      </c>
      <c r="AS419" s="610">
        <v>6764.7899999999991</v>
      </c>
      <c r="AT419" s="112">
        <v>6764.7899999999991</v>
      </c>
      <c r="AU419" s="4"/>
      <c r="AV419" s="4"/>
      <c r="AW419" s="23" t="e">
        <f>VLOOKUP(K419,#REF!,8,FALSE)</f>
        <v>#REF!</v>
      </c>
      <c r="AX419" s="23" t="e">
        <f>VLOOKUP(K419,#REF!,8,FALSE)</f>
        <v>#REF!</v>
      </c>
      <c r="AY419" s="23" t="e">
        <f>VLOOKUP(K419,#REF!,8,FALSE)</f>
        <v>#REF!</v>
      </c>
      <c r="AZ419" s="4"/>
      <c r="BA419" s="272"/>
      <c r="BB419" s="313">
        <f t="shared" si="241"/>
        <v>0</v>
      </c>
      <c r="BC419" s="269">
        <f t="shared" si="238"/>
        <v>6764.7899999999991</v>
      </c>
      <c r="BD419" t="str">
        <f t="shared" si="239"/>
        <v/>
      </c>
      <c r="BP419" s="166">
        <f t="shared" si="236"/>
        <v>6764.7899999999991</v>
      </c>
      <c r="BS419" s="165"/>
      <c r="BX419" s="495">
        <f t="shared" si="237"/>
        <v>6764.7899999999991</v>
      </c>
      <c r="BZ419" s="636">
        <f t="shared" si="225"/>
        <v>0</v>
      </c>
      <c r="CA419" s="633">
        <f t="shared" si="226"/>
        <v>0</v>
      </c>
    </row>
    <row r="420" spans="1:79" x14ac:dyDescent="0.2">
      <c r="A420" s="4">
        <v>1</v>
      </c>
      <c r="B420" s="4">
        <v>1</v>
      </c>
      <c r="C420" s="5">
        <f t="shared" si="227"/>
        <v>41121</v>
      </c>
      <c r="D420" s="6">
        <v>41121</v>
      </c>
      <c r="E420" s="121">
        <v>43012</v>
      </c>
      <c r="F420" s="6" t="s">
        <v>1606</v>
      </c>
      <c r="G420" s="7" t="s">
        <v>75</v>
      </c>
      <c r="H420" s="7"/>
      <c r="I420" s="7" t="s">
        <v>32</v>
      </c>
      <c r="J420" s="7"/>
      <c r="K420" s="29">
        <v>410177</v>
      </c>
      <c r="L420" s="10" t="s">
        <v>903</v>
      </c>
      <c r="M420" s="10" t="s">
        <v>932</v>
      </c>
      <c r="N420" s="10" t="s">
        <v>933</v>
      </c>
      <c r="O420" s="11" t="s">
        <v>934</v>
      </c>
      <c r="P420" s="12">
        <v>41765</v>
      </c>
      <c r="Q420" s="13">
        <f t="shared" ca="1" si="230"/>
        <v>11.381245722108146</v>
      </c>
      <c r="R420" s="14">
        <v>4</v>
      </c>
      <c r="S420" s="15">
        <v>872</v>
      </c>
      <c r="T420" s="8">
        <v>872</v>
      </c>
      <c r="U420" s="16">
        <v>45017</v>
      </c>
      <c r="V420" s="17">
        <v>1</v>
      </c>
      <c r="W420" s="16">
        <v>45382</v>
      </c>
      <c r="X420" s="14">
        <v>192</v>
      </c>
      <c r="Y420" s="18">
        <f t="shared" si="223"/>
        <v>192</v>
      </c>
      <c r="Z420" s="18">
        <f t="shared" si="240"/>
        <v>1</v>
      </c>
      <c r="AA420" s="18" t="s">
        <v>36</v>
      </c>
      <c r="AB420" s="26">
        <v>25</v>
      </c>
      <c r="AC420" s="26"/>
      <c r="AD420" s="26"/>
      <c r="AE420" s="147" t="str">
        <f t="shared" si="220"/>
        <v>1</v>
      </c>
      <c r="AF420" s="147" t="str">
        <f t="shared" si="231"/>
        <v>0</v>
      </c>
      <c r="AG420" s="147" t="str">
        <f t="shared" si="221"/>
        <v>0</v>
      </c>
      <c r="AH420" s="147" t="str">
        <f t="shared" si="232"/>
        <v>NO</v>
      </c>
      <c r="AI420" s="147" t="str">
        <f t="shared" si="233"/>
        <v>NO</v>
      </c>
      <c r="AJ420" s="147" t="str">
        <f t="shared" si="234"/>
        <v>NO</v>
      </c>
      <c r="AK420" s="147" t="str">
        <f t="shared" si="235"/>
        <v>NO</v>
      </c>
      <c r="AL420" s="48"/>
      <c r="AM420" s="48">
        <f t="shared" si="243"/>
        <v>5819.25</v>
      </c>
      <c r="AN420" s="27" t="s">
        <v>66</v>
      </c>
      <c r="AO420" s="21">
        <v>1</v>
      </c>
      <c r="AP420" s="21">
        <f t="shared" si="242"/>
        <v>1</v>
      </c>
      <c r="AQ420" s="149">
        <f t="shared" si="219"/>
        <v>5819.25</v>
      </c>
      <c r="AR420" s="21">
        <v>5819.25</v>
      </c>
      <c r="AS420" s="610">
        <v>5819.25</v>
      </c>
      <c r="AT420" s="112">
        <v>5819.25</v>
      </c>
      <c r="AU420" s="4"/>
      <c r="AV420" s="4"/>
      <c r="AW420" s="23" t="e">
        <f>VLOOKUP(K420,#REF!,8,FALSE)</f>
        <v>#REF!</v>
      </c>
      <c r="AX420" s="23" t="e">
        <f>VLOOKUP(K420,#REF!,8,FALSE)</f>
        <v>#REF!</v>
      </c>
      <c r="AY420" s="23" t="e">
        <f>VLOOKUP(K420,#REF!,8,FALSE)</f>
        <v>#REF!</v>
      </c>
      <c r="AZ420" s="4"/>
      <c r="BA420" s="272"/>
      <c r="BB420" s="313">
        <f t="shared" si="241"/>
        <v>0</v>
      </c>
      <c r="BC420" s="269">
        <f t="shared" si="238"/>
        <v>5819.25</v>
      </c>
      <c r="BD420" t="str">
        <f t="shared" si="239"/>
        <v/>
      </c>
      <c r="BP420" s="166">
        <f t="shared" si="236"/>
        <v>5819.25</v>
      </c>
      <c r="BS420" s="165"/>
      <c r="BX420" s="495">
        <f t="shared" si="237"/>
        <v>5819.25</v>
      </c>
      <c r="BZ420" s="636">
        <f t="shared" si="225"/>
        <v>0</v>
      </c>
      <c r="CA420" s="633">
        <f t="shared" si="226"/>
        <v>0</v>
      </c>
    </row>
    <row r="421" spans="1:79" x14ac:dyDescent="0.2">
      <c r="A421" s="4">
        <v>1</v>
      </c>
      <c r="B421" s="4">
        <v>1</v>
      </c>
      <c r="C421" s="5">
        <f t="shared" si="227"/>
        <v>41121</v>
      </c>
      <c r="D421" s="6">
        <v>41121</v>
      </c>
      <c r="E421" s="121">
        <v>43012</v>
      </c>
      <c r="F421" s="6" t="s">
        <v>1606</v>
      </c>
      <c r="G421" s="7" t="s">
        <v>75</v>
      </c>
      <c r="H421" s="7"/>
      <c r="I421" s="7" t="s">
        <v>32</v>
      </c>
      <c r="J421" s="7"/>
      <c r="K421" s="29">
        <v>429278</v>
      </c>
      <c r="L421" s="10" t="s">
        <v>903</v>
      </c>
      <c r="M421" s="10" t="s">
        <v>935</v>
      </c>
      <c r="N421" s="10" t="s">
        <v>936</v>
      </c>
      <c r="O421" s="11" t="s">
        <v>937</v>
      </c>
      <c r="P421" s="12">
        <v>42484</v>
      </c>
      <c r="Q421" s="13">
        <f t="shared" ca="1" si="230"/>
        <v>9.4127310061601648</v>
      </c>
      <c r="R421" s="14">
        <v>2</v>
      </c>
      <c r="S421" s="15">
        <v>872</v>
      </c>
      <c r="T421" s="8">
        <v>872</v>
      </c>
      <c r="U421" s="16">
        <v>45017</v>
      </c>
      <c r="V421" s="17">
        <v>1</v>
      </c>
      <c r="W421" s="16">
        <v>45382</v>
      </c>
      <c r="X421" s="14">
        <v>192</v>
      </c>
      <c r="Y421" s="18">
        <f t="shared" si="223"/>
        <v>192</v>
      </c>
      <c r="Z421" s="18">
        <f t="shared" si="240"/>
        <v>1</v>
      </c>
      <c r="AA421" s="18" t="s">
        <v>36</v>
      </c>
      <c r="AB421" s="26">
        <v>30</v>
      </c>
      <c r="AC421" s="26"/>
      <c r="AD421" s="26"/>
      <c r="AE421" s="147" t="str">
        <f t="shared" si="220"/>
        <v>0</v>
      </c>
      <c r="AF421" s="147" t="str">
        <f t="shared" si="231"/>
        <v>1</v>
      </c>
      <c r="AG421" s="147" t="str">
        <f t="shared" si="221"/>
        <v>0</v>
      </c>
      <c r="AH421" s="147" t="str">
        <f t="shared" si="232"/>
        <v>NO</v>
      </c>
      <c r="AI421" s="147" t="str">
        <f t="shared" si="233"/>
        <v>NO</v>
      </c>
      <c r="AJ421" s="147" t="str">
        <f t="shared" si="234"/>
        <v>NO</v>
      </c>
      <c r="AK421" s="147" t="str">
        <f t="shared" si="235"/>
        <v>NO</v>
      </c>
      <c r="AL421" s="48"/>
      <c r="AM421" s="48">
        <f t="shared" si="243"/>
        <v>8183.0999999999985</v>
      </c>
      <c r="AN421" s="27"/>
      <c r="AO421" s="21">
        <v>1</v>
      </c>
      <c r="AP421" s="21">
        <f t="shared" si="242"/>
        <v>1</v>
      </c>
      <c r="AQ421" s="149">
        <f t="shared" si="219"/>
        <v>8183.0999999999985</v>
      </c>
      <c r="AR421" s="21">
        <v>8183.0999999999985</v>
      </c>
      <c r="AS421" s="610">
        <v>8183.0999999999985</v>
      </c>
      <c r="AT421" s="112">
        <v>8183.0999999999985</v>
      </c>
      <c r="AU421" s="4"/>
      <c r="AV421" s="4"/>
      <c r="AW421" s="23" t="e">
        <f>VLOOKUP(K421,#REF!,8,FALSE)</f>
        <v>#REF!</v>
      </c>
      <c r="AX421" s="23" t="e">
        <f>VLOOKUP(K421,#REF!,8,FALSE)</f>
        <v>#REF!</v>
      </c>
      <c r="AY421" s="23" t="e">
        <f>VLOOKUP(K421,#REF!,8,FALSE)</f>
        <v>#REF!</v>
      </c>
      <c r="AZ421" s="4"/>
      <c r="BA421" s="272"/>
      <c r="BB421" s="313">
        <f t="shared" si="241"/>
        <v>0</v>
      </c>
      <c r="BC421" s="269">
        <f t="shared" si="238"/>
        <v>8183.0999999999985</v>
      </c>
      <c r="BD421" t="str">
        <f t="shared" si="239"/>
        <v/>
      </c>
      <c r="BP421" s="166">
        <f t="shared" si="236"/>
        <v>8183.0999999999985</v>
      </c>
      <c r="BS421" s="165"/>
      <c r="BX421" s="495">
        <f t="shared" si="237"/>
        <v>8183.0999999999985</v>
      </c>
      <c r="BZ421" s="636">
        <f t="shared" si="225"/>
        <v>0</v>
      </c>
      <c r="CA421" s="633">
        <f t="shared" si="226"/>
        <v>0</v>
      </c>
    </row>
    <row r="422" spans="1:79" x14ac:dyDescent="0.2">
      <c r="A422" s="4">
        <v>1</v>
      </c>
      <c r="B422" s="4">
        <v>1</v>
      </c>
      <c r="C422" s="5">
        <f t="shared" si="227"/>
        <v>41121</v>
      </c>
      <c r="D422" s="6">
        <v>41121</v>
      </c>
      <c r="E422" s="121">
        <v>43012</v>
      </c>
      <c r="F422" s="6" t="s">
        <v>1606</v>
      </c>
      <c r="G422" s="7" t="s">
        <v>75</v>
      </c>
      <c r="H422" s="7"/>
      <c r="I422" s="7" t="s">
        <v>32</v>
      </c>
      <c r="J422" s="7"/>
      <c r="K422" s="29">
        <v>405366</v>
      </c>
      <c r="L422" s="10" t="s">
        <v>903</v>
      </c>
      <c r="M422" s="10" t="s">
        <v>938</v>
      </c>
      <c r="N422" s="10" t="s">
        <v>939</v>
      </c>
      <c r="O422" s="11" t="s">
        <v>940</v>
      </c>
      <c r="P422" s="12">
        <v>41064</v>
      </c>
      <c r="Q422" s="13">
        <f t="shared" ca="1" si="230"/>
        <v>13.300479123887747</v>
      </c>
      <c r="R422" s="14">
        <v>6</v>
      </c>
      <c r="S422" s="15" t="s">
        <v>98</v>
      </c>
      <c r="T422" s="8" t="s">
        <v>98</v>
      </c>
      <c r="U422" s="16">
        <v>45017</v>
      </c>
      <c r="V422" s="17">
        <v>1</v>
      </c>
      <c r="W422" s="16">
        <v>45128</v>
      </c>
      <c r="X422" s="14">
        <v>63</v>
      </c>
      <c r="Y422" s="18">
        <f t="shared" si="223"/>
        <v>63</v>
      </c>
      <c r="Z422" s="18">
        <f t="shared" si="240"/>
        <v>0.328125</v>
      </c>
      <c r="AA422" s="18" t="s">
        <v>48</v>
      </c>
      <c r="AB422" s="26">
        <v>25</v>
      </c>
      <c r="AC422" s="26"/>
      <c r="AD422" s="26"/>
      <c r="AE422" s="147" t="str">
        <f t="shared" si="220"/>
        <v>1</v>
      </c>
      <c r="AF422" s="147" t="str">
        <f t="shared" si="231"/>
        <v>0</v>
      </c>
      <c r="AG422" s="147" t="str">
        <f t="shared" si="221"/>
        <v>0</v>
      </c>
      <c r="AH422" s="147" t="str">
        <f t="shared" si="232"/>
        <v>NO</v>
      </c>
      <c r="AI422" s="147" t="str">
        <f t="shared" si="233"/>
        <v>NO</v>
      </c>
      <c r="AJ422" s="147" t="str">
        <f t="shared" si="234"/>
        <v>NO</v>
      </c>
      <c r="AK422" s="147" t="str">
        <f t="shared" si="235"/>
        <v>NO</v>
      </c>
      <c r="AL422" s="48"/>
      <c r="AM422" s="48">
        <f t="shared" si="243"/>
        <v>5819.25</v>
      </c>
      <c r="AN422" s="27" t="s">
        <v>66</v>
      </c>
      <c r="AO422" s="21">
        <v>1</v>
      </c>
      <c r="AP422" s="21">
        <f t="shared" si="242"/>
        <v>0.328125</v>
      </c>
      <c r="AQ422" s="149">
        <f t="shared" si="219"/>
        <v>1909.44140625</v>
      </c>
      <c r="AR422" s="21">
        <v>1909.44140625</v>
      </c>
      <c r="AS422" s="610">
        <v>1909.44140625</v>
      </c>
      <c r="AT422" s="112">
        <v>1909.44140625</v>
      </c>
      <c r="AU422" s="4"/>
      <c r="AV422" s="4"/>
      <c r="AW422" s="23" t="e">
        <f>VLOOKUP(K422,#REF!,8,FALSE)</f>
        <v>#REF!</v>
      </c>
      <c r="AX422" s="23" t="s">
        <v>2237</v>
      </c>
      <c r="AY422" s="23" t="e">
        <f>VLOOKUP(K422,#REF!,8,FALSE)</f>
        <v>#REF!</v>
      </c>
      <c r="AZ422" s="4"/>
      <c r="BA422" s="272"/>
      <c r="BB422" s="313">
        <f t="shared" si="241"/>
        <v>0</v>
      </c>
      <c r="BC422" s="269">
        <f t="shared" si="238"/>
        <v>1909.44140625</v>
      </c>
      <c r="BD422" t="e">
        <f t="shared" si="239"/>
        <v>#REF!</v>
      </c>
      <c r="BE422" t="s">
        <v>2394</v>
      </c>
      <c r="BF422">
        <v>43012</v>
      </c>
      <c r="BH422" t="e">
        <f>VLOOKUP(K422,#REF!,8,FALSE)</f>
        <v>#REF!</v>
      </c>
      <c r="BJ422">
        <f>AB422</f>
        <v>25</v>
      </c>
      <c r="BK422" s="269">
        <f>AM422</f>
        <v>5819.25</v>
      </c>
      <c r="BL422" s="353"/>
      <c r="BM422" s="353" t="s">
        <v>75</v>
      </c>
      <c r="BN422" s="353"/>
      <c r="BO422" s="106">
        <f>BK422/192*127</f>
        <v>3849.19140625</v>
      </c>
      <c r="BP422" s="166">
        <f t="shared" si="236"/>
        <v>5758.6328125</v>
      </c>
      <c r="BS422" s="165"/>
      <c r="BX422" s="495">
        <f t="shared" si="237"/>
        <v>5758.6328125</v>
      </c>
      <c r="BZ422" s="636">
        <f t="shared" si="225"/>
        <v>0</v>
      </c>
      <c r="CA422" s="633">
        <f t="shared" si="226"/>
        <v>3849.19140625</v>
      </c>
    </row>
    <row r="423" spans="1:79" x14ac:dyDescent="0.2">
      <c r="A423" s="4">
        <v>1</v>
      </c>
      <c r="B423" s="4">
        <v>1</v>
      </c>
      <c r="C423" s="5">
        <f t="shared" si="227"/>
        <v>41121</v>
      </c>
      <c r="D423" s="6">
        <v>41121</v>
      </c>
      <c r="E423" s="121">
        <v>43012</v>
      </c>
      <c r="F423" s="6" t="s">
        <v>1606</v>
      </c>
      <c r="G423" s="7" t="s">
        <v>75</v>
      </c>
      <c r="H423" s="7"/>
      <c r="I423" s="7" t="s">
        <v>32</v>
      </c>
      <c r="J423" s="7"/>
      <c r="K423" s="29">
        <v>403357</v>
      </c>
      <c r="L423" s="49" t="s">
        <v>903</v>
      </c>
      <c r="M423" s="10" t="s">
        <v>941</v>
      </c>
      <c r="N423" s="10" t="s">
        <v>942</v>
      </c>
      <c r="O423" s="11" t="str">
        <f>M423&amp;N423</f>
        <v>OrsonLewis</v>
      </c>
      <c r="P423" s="50">
        <v>41066</v>
      </c>
      <c r="Q423" s="13">
        <f t="shared" ca="1" si="230"/>
        <v>13.295003422313483</v>
      </c>
      <c r="R423" s="14">
        <v>6</v>
      </c>
      <c r="S423" s="15" t="s">
        <v>98</v>
      </c>
      <c r="T423" s="8" t="s">
        <v>98</v>
      </c>
      <c r="U423" s="16">
        <v>45017</v>
      </c>
      <c r="V423" s="17">
        <v>1</v>
      </c>
      <c r="W423" s="16">
        <v>45128</v>
      </c>
      <c r="X423" s="14">
        <v>63</v>
      </c>
      <c r="Y423" s="18">
        <f t="shared" si="223"/>
        <v>63</v>
      </c>
      <c r="Z423" s="18">
        <f t="shared" si="240"/>
        <v>0.328125</v>
      </c>
      <c r="AA423" s="18" t="s">
        <v>48</v>
      </c>
      <c r="AB423" s="26">
        <v>25</v>
      </c>
      <c r="AC423" s="26"/>
      <c r="AD423" s="26"/>
      <c r="AE423" s="147" t="str">
        <f t="shared" si="220"/>
        <v>1</v>
      </c>
      <c r="AF423" s="147" t="str">
        <f t="shared" si="231"/>
        <v>0</v>
      </c>
      <c r="AG423" s="147" t="str">
        <f t="shared" si="221"/>
        <v>0</v>
      </c>
      <c r="AH423" s="147" t="str">
        <f t="shared" si="232"/>
        <v>NO</v>
      </c>
      <c r="AI423" s="147" t="str">
        <f t="shared" si="233"/>
        <v>NO</v>
      </c>
      <c r="AJ423" s="147" t="str">
        <f t="shared" si="234"/>
        <v>NO</v>
      </c>
      <c r="AK423" s="147" t="str">
        <f t="shared" si="235"/>
        <v>NO</v>
      </c>
      <c r="AL423" s="48"/>
      <c r="AM423" s="48">
        <f t="shared" si="243"/>
        <v>5819.25</v>
      </c>
      <c r="AN423" s="27" t="s">
        <v>56</v>
      </c>
      <c r="AO423" s="21">
        <v>1</v>
      </c>
      <c r="AP423" s="21">
        <f t="shared" si="242"/>
        <v>0.328125</v>
      </c>
      <c r="AQ423" s="149">
        <f t="shared" si="219"/>
        <v>1909.44140625</v>
      </c>
      <c r="AR423" s="21">
        <v>1909.44140625</v>
      </c>
      <c r="AS423" s="610">
        <v>1909.44140625</v>
      </c>
      <c r="AT423" s="112">
        <v>1909.44140625</v>
      </c>
      <c r="AU423" s="4"/>
      <c r="AV423" s="4"/>
      <c r="AW423" s="23" t="e">
        <f>VLOOKUP(K423,#REF!,8,FALSE)</f>
        <v>#REF!</v>
      </c>
      <c r="AX423" s="23" t="s">
        <v>2254</v>
      </c>
      <c r="AY423" s="23" t="e">
        <f>VLOOKUP(K423,#REF!,8,FALSE)</f>
        <v>#REF!</v>
      </c>
      <c r="AZ423" s="23"/>
      <c r="BA423" s="272"/>
      <c r="BB423" s="313">
        <f t="shared" si="241"/>
        <v>0</v>
      </c>
      <c r="BC423" s="269">
        <f t="shared" si="238"/>
        <v>1909.44140625</v>
      </c>
      <c r="BD423" t="e">
        <f t="shared" si="239"/>
        <v>#REF!</v>
      </c>
      <c r="BE423" t="s">
        <v>2394</v>
      </c>
      <c r="BF423">
        <v>43012</v>
      </c>
      <c r="BH423" t="e">
        <f>VLOOKUP(K423,#REF!,8,FALSE)</f>
        <v>#REF!</v>
      </c>
      <c r="BJ423">
        <f>AB423</f>
        <v>25</v>
      </c>
      <c r="BK423" s="269">
        <f>AM423</f>
        <v>5819.25</v>
      </c>
      <c r="BL423" s="353"/>
      <c r="BM423" s="353" t="s">
        <v>75</v>
      </c>
      <c r="BN423" s="353"/>
      <c r="BO423" s="106">
        <f>BK423/192*127</f>
        <v>3849.19140625</v>
      </c>
      <c r="BP423" s="166">
        <f t="shared" si="236"/>
        <v>5758.6328125</v>
      </c>
      <c r="BS423" s="165"/>
      <c r="BX423" s="495">
        <f t="shared" si="237"/>
        <v>5758.6328125</v>
      </c>
      <c r="BZ423" s="636">
        <f t="shared" si="225"/>
        <v>0</v>
      </c>
      <c r="CA423" s="633">
        <f t="shared" si="226"/>
        <v>3849.19140625</v>
      </c>
    </row>
    <row r="424" spans="1:79" x14ac:dyDescent="0.2">
      <c r="A424" s="4">
        <v>1</v>
      </c>
      <c r="B424" s="4">
        <v>1</v>
      </c>
      <c r="C424" s="5">
        <f t="shared" si="227"/>
        <v>41121</v>
      </c>
      <c r="D424" s="6">
        <v>41121</v>
      </c>
      <c r="E424" s="121">
        <v>43012</v>
      </c>
      <c r="F424" s="6" t="s">
        <v>1606</v>
      </c>
      <c r="G424" s="7" t="s">
        <v>75</v>
      </c>
      <c r="H424" s="7"/>
      <c r="I424" s="7" t="s">
        <v>32</v>
      </c>
      <c r="J424" s="7"/>
      <c r="K424" s="14">
        <v>409694</v>
      </c>
      <c r="L424" s="10" t="s">
        <v>903</v>
      </c>
      <c r="M424" s="10" t="s">
        <v>293</v>
      </c>
      <c r="N424" s="10" t="s">
        <v>943</v>
      </c>
      <c r="O424" s="11" t="s">
        <v>944</v>
      </c>
      <c r="P424" s="12">
        <v>41487</v>
      </c>
      <c r="Q424" s="13">
        <f t="shared" ca="1" si="230"/>
        <v>12.142368240930869</v>
      </c>
      <c r="R424" s="14">
        <v>5</v>
      </c>
      <c r="S424" s="15" t="s">
        <v>98</v>
      </c>
      <c r="T424" s="8" t="s">
        <v>98</v>
      </c>
      <c r="U424" s="16">
        <v>45017</v>
      </c>
      <c r="V424" s="17">
        <v>1</v>
      </c>
      <c r="W424" s="16">
        <v>45382</v>
      </c>
      <c r="X424" s="14">
        <v>192</v>
      </c>
      <c r="Y424" s="18">
        <f t="shared" si="223"/>
        <v>192</v>
      </c>
      <c r="Z424" s="18">
        <f t="shared" si="240"/>
        <v>1</v>
      </c>
      <c r="AA424" s="18" t="s">
        <v>36</v>
      </c>
      <c r="AB424" s="26">
        <v>30</v>
      </c>
      <c r="AC424" s="26"/>
      <c r="AD424" s="26"/>
      <c r="AE424" s="147" t="str">
        <f t="shared" si="220"/>
        <v>0</v>
      </c>
      <c r="AF424" s="147" t="str">
        <f t="shared" si="231"/>
        <v>1</v>
      </c>
      <c r="AG424" s="147" t="str">
        <f t="shared" si="221"/>
        <v>0</v>
      </c>
      <c r="AH424" s="147" t="str">
        <f t="shared" si="232"/>
        <v>NO</v>
      </c>
      <c r="AI424" s="147" t="str">
        <f t="shared" si="233"/>
        <v>NO</v>
      </c>
      <c r="AJ424" s="147" t="str">
        <f t="shared" si="234"/>
        <v>NO</v>
      </c>
      <c r="AK424" s="147" t="str">
        <f t="shared" si="235"/>
        <v>NO</v>
      </c>
      <c r="AL424" s="48"/>
      <c r="AM424" s="48">
        <f t="shared" si="243"/>
        <v>8183.0999999999985</v>
      </c>
      <c r="AN424" s="27" t="s">
        <v>43</v>
      </c>
      <c r="AO424" s="21">
        <v>1</v>
      </c>
      <c r="AP424" s="21">
        <f t="shared" si="242"/>
        <v>1</v>
      </c>
      <c r="AQ424" s="149">
        <f t="shared" si="219"/>
        <v>8183.0999999999985</v>
      </c>
      <c r="AR424" s="21">
        <v>8183.0999999999985</v>
      </c>
      <c r="AS424" s="610">
        <v>8183.0999999999985</v>
      </c>
      <c r="AT424" s="112">
        <v>8183.0999999999985</v>
      </c>
      <c r="AU424" s="4"/>
      <c r="AV424" s="4"/>
      <c r="AW424" s="23" t="e">
        <f>VLOOKUP(K424,#REF!,8,FALSE)</f>
        <v>#REF!</v>
      </c>
      <c r="AX424" s="23" t="e">
        <f>VLOOKUP(K424,#REF!,8,FALSE)</f>
        <v>#REF!</v>
      </c>
      <c r="AY424" s="23" t="e">
        <f>VLOOKUP(K424,#REF!,8,FALSE)</f>
        <v>#REF!</v>
      </c>
      <c r="AZ424" s="4"/>
      <c r="BA424" s="272"/>
      <c r="BB424" s="313">
        <f t="shared" si="241"/>
        <v>0</v>
      </c>
      <c r="BC424" s="269">
        <f t="shared" si="238"/>
        <v>8183.0999999999985</v>
      </c>
      <c r="BD424" t="str">
        <f t="shared" si="239"/>
        <v/>
      </c>
      <c r="BP424" s="166">
        <f t="shared" si="236"/>
        <v>8183.0999999999985</v>
      </c>
      <c r="BS424" s="165"/>
      <c r="BX424" s="495">
        <f t="shared" si="237"/>
        <v>8183.0999999999985</v>
      </c>
      <c r="BZ424" s="636">
        <f t="shared" si="225"/>
        <v>0</v>
      </c>
      <c r="CA424" s="633">
        <f t="shared" si="226"/>
        <v>0</v>
      </c>
    </row>
    <row r="425" spans="1:79" x14ac:dyDescent="0.2">
      <c r="A425" s="4">
        <v>0</v>
      </c>
      <c r="B425" s="4">
        <v>1</v>
      </c>
      <c r="C425" s="5">
        <f t="shared" si="227"/>
        <v>41121</v>
      </c>
      <c r="D425" s="6">
        <v>41121</v>
      </c>
      <c r="E425" s="121">
        <v>43012</v>
      </c>
      <c r="F425" s="6" t="s">
        <v>1606</v>
      </c>
      <c r="G425" s="7" t="s">
        <v>75</v>
      </c>
      <c r="H425" s="7"/>
      <c r="I425" s="7" t="s">
        <v>32</v>
      </c>
      <c r="J425" s="7" t="s">
        <v>142</v>
      </c>
      <c r="K425" s="14">
        <v>409694</v>
      </c>
      <c r="L425" s="10" t="s">
        <v>903</v>
      </c>
      <c r="M425" s="10" t="s">
        <v>293</v>
      </c>
      <c r="N425" s="10" t="s">
        <v>943</v>
      </c>
      <c r="O425" s="11" t="s">
        <v>944</v>
      </c>
      <c r="P425" s="12">
        <v>41487</v>
      </c>
      <c r="Q425" s="13">
        <f t="shared" ca="1" si="230"/>
        <v>12.142368240930869</v>
      </c>
      <c r="R425" s="14">
        <v>5</v>
      </c>
      <c r="S425" s="15" t="s">
        <v>98</v>
      </c>
      <c r="T425" s="8" t="s">
        <v>98</v>
      </c>
      <c r="U425" s="16">
        <v>45017</v>
      </c>
      <c r="V425" s="17">
        <v>1</v>
      </c>
      <c r="W425" s="16">
        <v>45128</v>
      </c>
      <c r="X425" s="14">
        <v>63</v>
      </c>
      <c r="Y425" s="18">
        <f t="shared" si="223"/>
        <v>63</v>
      </c>
      <c r="Z425" s="18">
        <f t="shared" si="240"/>
        <v>0.328125</v>
      </c>
      <c r="AA425" s="39">
        <v>45128</v>
      </c>
      <c r="AB425" s="26">
        <v>14006.6</v>
      </c>
      <c r="AC425" s="26"/>
      <c r="AD425" s="26"/>
      <c r="AE425" s="147" t="str">
        <f t="shared" si="220"/>
        <v>0</v>
      </c>
      <c r="AF425" s="147" t="str">
        <f t="shared" si="231"/>
        <v>0</v>
      </c>
      <c r="AG425" s="147" t="str">
        <f t="shared" si="221"/>
        <v>1</v>
      </c>
      <c r="AH425" s="147" t="str">
        <f t="shared" si="232"/>
        <v>NO</v>
      </c>
      <c r="AI425" s="147" t="str">
        <f t="shared" si="233"/>
        <v>NO</v>
      </c>
      <c r="AJ425" s="147" t="str">
        <f t="shared" si="234"/>
        <v>NO</v>
      </c>
      <c r="AK425" s="147" t="str">
        <f t="shared" si="235"/>
        <v>NO</v>
      </c>
      <c r="AL425" s="48"/>
      <c r="AM425" s="48">
        <v>9768.7099999999991</v>
      </c>
      <c r="AN425" s="27" t="s">
        <v>43</v>
      </c>
      <c r="AO425" s="21">
        <v>1</v>
      </c>
      <c r="AP425" s="21">
        <v>1</v>
      </c>
      <c r="AQ425" s="149">
        <f t="shared" si="219"/>
        <v>9768.7099999999991</v>
      </c>
      <c r="AR425" s="21">
        <v>9768.7099999999991</v>
      </c>
      <c r="AS425" s="610">
        <v>4595.9156250000005</v>
      </c>
      <c r="AT425" s="112">
        <v>4595.9156250000005</v>
      </c>
      <c r="AU425" s="4"/>
      <c r="AV425" s="4"/>
      <c r="AW425" s="23" t="e">
        <f>VLOOKUP(K425,#REF!,8,FALSE)</f>
        <v>#REF!</v>
      </c>
      <c r="AX425" s="23" t="e">
        <f>VLOOKUP(K425,#REF!,8,FALSE)</f>
        <v>#REF!</v>
      </c>
      <c r="AY425" s="23" t="e">
        <f>VLOOKUP(K425,#REF!,8,FALSE)</f>
        <v>#REF!</v>
      </c>
      <c r="AZ425" s="4"/>
      <c r="BA425" s="272"/>
      <c r="BB425" s="313">
        <f t="shared" si="241"/>
        <v>5172.7943749999986</v>
      </c>
      <c r="BC425" s="269">
        <f t="shared" si="238"/>
        <v>9768.7099999999991</v>
      </c>
      <c r="BD425" t="str">
        <f t="shared" si="239"/>
        <v/>
      </c>
      <c r="BJ425">
        <f>AB425</f>
        <v>14006.6</v>
      </c>
      <c r="BK425" s="269">
        <f>AM425</f>
        <v>9768.7099999999991</v>
      </c>
      <c r="BO425" s="106">
        <f>BK425/192*127</f>
        <v>6461.5946354166654</v>
      </c>
      <c r="BP425" s="166">
        <f t="shared" si="236"/>
        <v>16230.304635416665</v>
      </c>
      <c r="BS425" s="165"/>
      <c r="BX425" s="495">
        <f t="shared" si="237"/>
        <v>16230.304635416665</v>
      </c>
      <c r="BZ425" s="636">
        <f t="shared" si="225"/>
        <v>0</v>
      </c>
      <c r="CA425" s="633">
        <f t="shared" si="226"/>
        <v>11634.389010416664</v>
      </c>
    </row>
    <row r="426" spans="1:79" x14ac:dyDescent="0.2">
      <c r="A426" s="4">
        <v>1</v>
      </c>
      <c r="B426" s="4">
        <v>1</v>
      </c>
      <c r="C426" s="5">
        <f t="shared" si="227"/>
        <v>41121</v>
      </c>
      <c r="D426" s="6">
        <v>41121</v>
      </c>
      <c r="E426" s="121">
        <v>43012</v>
      </c>
      <c r="F426" s="6" t="s">
        <v>1606</v>
      </c>
      <c r="G426" s="7" t="s">
        <v>75</v>
      </c>
      <c r="H426" s="7"/>
      <c r="I426" s="7" t="s">
        <v>32</v>
      </c>
      <c r="J426" s="7" t="s">
        <v>192</v>
      </c>
      <c r="K426" s="14">
        <v>439929</v>
      </c>
      <c r="L426" s="10" t="s">
        <v>903</v>
      </c>
      <c r="M426" s="10" t="s">
        <v>2303</v>
      </c>
      <c r="N426" s="10" t="s">
        <v>2304</v>
      </c>
      <c r="O426" s="11" t="s">
        <v>2305</v>
      </c>
      <c r="P426" s="12">
        <v>41162</v>
      </c>
      <c r="Q426" s="13">
        <f t="shared" ca="1" si="230"/>
        <v>13.032169746748803</v>
      </c>
      <c r="R426" s="14">
        <v>5</v>
      </c>
      <c r="S426" s="15" t="s">
        <v>98</v>
      </c>
      <c r="T426" s="8" t="s">
        <v>98</v>
      </c>
      <c r="U426" s="16">
        <v>45089</v>
      </c>
      <c r="V426" s="17">
        <v>35</v>
      </c>
      <c r="W426" s="16">
        <v>45128</v>
      </c>
      <c r="X426" s="14">
        <v>63</v>
      </c>
      <c r="Y426" s="18">
        <f t="shared" si="223"/>
        <v>29</v>
      </c>
      <c r="Z426" s="18">
        <f t="shared" si="240"/>
        <v>0.15104166666666666</v>
      </c>
      <c r="AA426" s="321">
        <v>45219</v>
      </c>
      <c r="AB426" s="26">
        <v>6300</v>
      </c>
      <c r="AC426" s="26"/>
      <c r="AD426" s="26"/>
      <c r="AE426" s="147" t="str">
        <f t="shared" si="220"/>
        <v>0</v>
      </c>
      <c r="AF426" s="147" t="str">
        <f t="shared" si="231"/>
        <v>0</v>
      </c>
      <c r="AG426" s="147" t="str">
        <f t="shared" si="221"/>
        <v>1</v>
      </c>
      <c r="AH426" s="147" t="str">
        <f t="shared" si="232"/>
        <v>NO</v>
      </c>
      <c r="AI426" s="147" t="str">
        <f t="shared" si="233"/>
        <v>NO</v>
      </c>
      <c r="AJ426" s="147" t="str">
        <f t="shared" si="234"/>
        <v>NO</v>
      </c>
      <c r="AK426" s="147" t="str">
        <f t="shared" si="235"/>
        <v>NO</v>
      </c>
      <c r="AL426" s="48"/>
      <c r="AM426" s="48">
        <f>AB426</f>
        <v>6300</v>
      </c>
      <c r="AN426" s="27" t="s">
        <v>43</v>
      </c>
      <c r="AO426" s="21">
        <v>1</v>
      </c>
      <c r="AP426" s="21">
        <v>1</v>
      </c>
      <c r="AQ426" s="149">
        <f t="shared" si="219"/>
        <v>6300</v>
      </c>
      <c r="AR426" s="21">
        <v>6300</v>
      </c>
      <c r="AS426" s="610">
        <v>0</v>
      </c>
      <c r="AT426" s="112">
        <v>0</v>
      </c>
      <c r="AU426" s="4"/>
      <c r="AV426" s="4"/>
      <c r="AW426" s="23"/>
      <c r="AX426" s="23"/>
      <c r="AY426" s="23"/>
      <c r="AZ426" s="4"/>
      <c r="BA426" s="272"/>
      <c r="BB426" s="313">
        <f t="shared" si="241"/>
        <v>6300</v>
      </c>
      <c r="BC426" s="269">
        <f t="shared" si="238"/>
        <v>6300</v>
      </c>
      <c r="BD426" t="str">
        <f t="shared" si="239"/>
        <v/>
      </c>
      <c r="BJ426">
        <f>AB426</f>
        <v>6300</v>
      </c>
      <c r="BK426" s="269">
        <f>AM426</f>
        <v>6300</v>
      </c>
      <c r="BO426" s="106">
        <f>BK426/192*127</f>
        <v>4167.1875</v>
      </c>
      <c r="BP426" s="166">
        <f t="shared" si="236"/>
        <v>10467.1875</v>
      </c>
      <c r="BS426" s="165"/>
      <c r="BX426" s="495">
        <f t="shared" si="237"/>
        <v>10467.1875</v>
      </c>
      <c r="BZ426" s="636">
        <f t="shared" si="225"/>
        <v>0</v>
      </c>
      <c r="CA426" s="633">
        <f t="shared" si="226"/>
        <v>10467.1875</v>
      </c>
    </row>
    <row r="427" spans="1:79" x14ac:dyDescent="0.2">
      <c r="A427" s="4">
        <v>1</v>
      </c>
      <c r="B427" s="4">
        <v>1</v>
      </c>
      <c r="C427" s="5">
        <f t="shared" si="227"/>
        <v>41122</v>
      </c>
      <c r="D427" s="6">
        <v>41122</v>
      </c>
      <c r="E427" s="6">
        <v>43014</v>
      </c>
      <c r="F427" s="6" t="s">
        <v>1606</v>
      </c>
      <c r="G427" s="7"/>
      <c r="H427" s="7" t="s">
        <v>75</v>
      </c>
      <c r="I427" s="7" t="s">
        <v>32</v>
      </c>
      <c r="J427" s="7"/>
      <c r="K427" s="29">
        <v>436168</v>
      </c>
      <c r="L427" s="10" t="s">
        <v>945</v>
      </c>
      <c r="M427" s="10" t="s">
        <v>946</v>
      </c>
      <c r="N427" s="10" t="s">
        <v>947</v>
      </c>
      <c r="O427" s="11" t="s">
        <v>948</v>
      </c>
      <c r="P427" s="12">
        <v>42669</v>
      </c>
      <c r="Q427" s="13">
        <f t="shared" ca="1" si="230"/>
        <v>8.906228610540726</v>
      </c>
      <c r="R427" s="14">
        <v>1</v>
      </c>
      <c r="S427" s="15">
        <v>872</v>
      </c>
      <c r="T427" s="8">
        <v>872</v>
      </c>
      <c r="U427" s="16">
        <v>45017</v>
      </c>
      <c r="V427" s="17">
        <v>1</v>
      </c>
      <c r="W427" s="16">
        <v>45382</v>
      </c>
      <c r="X427" s="14">
        <v>192</v>
      </c>
      <c r="Y427" s="18">
        <f t="shared" si="223"/>
        <v>192</v>
      </c>
      <c r="Z427" s="18">
        <f t="shared" si="240"/>
        <v>1</v>
      </c>
      <c r="AA427" s="18" t="s">
        <v>36</v>
      </c>
      <c r="AB427" s="26" t="s">
        <v>949</v>
      </c>
      <c r="AC427" s="26" t="s">
        <v>949</v>
      </c>
      <c r="AD427" s="26" t="s">
        <v>1893</v>
      </c>
      <c r="AE427" s="147" t="str">
        <f t="shared" si="220"/>
        <v>0</v>
      </c>
      <c r="AF427" s="147" t="str">
        <f t="shared" si="231"/>
        <v>0</v>
      </c>
      <c r="AG427" s="147" t="str">
        <f t="shared" si="221"/>
        <v>1</v>
      </c>
      <c r="AH427" s="147" t="str">
        <f t="shared" si="232"/>
        <v>NO</v>
      </c>
      <c r="AI427" s="147" t="str">
        <f t="shared" si="233"/>
        <v>YES</v>
      </c>
      <c r="AJ427" s="147" t="str">
        <f t="shared" si="234"/>
        <v>NO</v>
      </c>
      <c r="AK427" s="147" t="str">
        <f t="shared" si="235"/>
        <v>NO</v>
      </c>
      <c r="AL427" s="48">
        <v>7223</v>
      </c>
      <c r="AM427" s="48">
        <f t="shared" ref="AM427:AM445" si="244">IF(H427="Y",AL427,((AB427*$O$902)-6000))</f>
        <v>7223</v>
      </c>
      <c r="AN427" s="27" t="s">
        <v>37</v>
      </c>
      <c r="AO427" s="21">
        <v>1</v>
      </c>
      <c r="AP427" s="21">
        <f t="shared" ref="AP427:AP458" si="245">AO427*Z427</f>
        <v>1</v>
      </c>
      <c r="AQ427" s="149">
        <f t="shared" si="219"/>
        <v>7223</v>
      </c>
      <c r="AR427" s="21">
        <v>7223</v>
      </c>
      <c r="AS427" s="610">
        <v>7223</v>
      </c>
      <c r="AT427" s="112">
        <v>7223</v>
      </c>
      <c r="AU427" s="4"/>
      <c r="AV427" s="4"/>
      <c r="AW427" s="23" t="e">
        <f>VLOOKUP(K427,#REF!,8,FALSE)</f>
        <v>#REF!</v>
      </c>
      <c r="AX427" s="23" t="e">
        <f>VLOOKUP(K427,#REF!,8,FALSE)</f>
        <v>#REF!</v>
      </c>
      <c r="AY427" s="23" t="e">
        <f>VLOOKUP(K427,#REF!,8,FALSE)</f>
        <v>#REF!</v>
      </c>
      <c r="AZ427" s="4"/>
      <c r="BA427" s="272"/>
      <c r="BB427" s="313">
        <f t="shared" si="241"/>
        <v>0</v>
      </c>
      <c r="BC427" s="269">
        <f t="shared" si="238"/>
        <v>7223</v>
      </c>
      <c r="BD427" t="str">
        <f t="shared" si="239"/>
        <v/>
      </c>
      <c r="BP427" s="166">
        <f t="shared" si="236"/>
        <v>7223</v>
      </c>
      <c r="BS427" s="165"/>
      <c r="BX427" s="495">
        <f t="shared" si="237"/>
        <v>7223</v>
      </c>
      <c r="BZ427" s="636">
        <f t="shared" si="225"/>
        <v>0</v>
      </c>
      <c r="CA427" s="633">
        <f t="shared" si="226"/>
        <v>0</v>
      </c>
    </row>
    <row r="428" spans="1:79" x14ac:dyDescent="0.2">
      <c r="A428" s="4">
        <v>0</v>
      </c>
      <c r="B428" s="4">
        <v>1</v>
      </c>
      <c r="C428" s="5">
        <f t="shared" si="227"/>
        <v>41122</v>
      </c>
      <c r="D428" s="6">
        <v>41122</v>
      </c>
      <c r="E428" s="6">
        <v>43014</v>
      </c>
      <c r="F428" s="6" t="s">
        <v>1606</v>
      </c>
      <c r="G428" s="7"/>
      <c r="H428" s="7" t="s">
        <v>75</v>
      </c>
      <c r="I428" s="7" t="s">
        <v>32</v>
      </c>
      <c r="J428" s="7" t="s">
        <v>142</v>
      </c>
      <c r="K428" s="29">
        <v>436168</v>
      </c>
      <c r="L428" s="10" t="s">
        <v>945</v>
      </c>
      <c r="M428" s="10" t="s">
        <v>946</v>
      </c>
      <c r="N428" s="10" t="s">
        <v>947</v>
      </c>
      <c r="O428" s="11" t="s">
        <v>948</v>
      </c>
      <c r="P428" s="12">
        <v>42669</v>
      </c>
      <c r="Q428" s="13">
        <f t="shared" ca="1" si="230"/>
        <v>8.906228610540726</v>
      </c>
      <c r="R428" s="14">
        <v>1</v>
      </c>
      <c r="S428" s="15">
        <v>872</v>
      </c>
      <c r="T428" s="8">
        <v>872</v>
      </c>
      <c r="U428" s="16">
        <v>45017</v>
      </c>
      <c r="V428" s="17">
        <v>1</v>
      </c>
      <c r="W428" s="16">
        <v>45382</v>
      </c>
      <c r="X428" s="14">
        <v>192</v>
      </c>
      <c r="Y428" s="18">
        <f t="shared" si="223"/>
        <v>192</v>
      </c>
      <c r="Z428" s="18">
        <f t="shared" si="240"/>
        <v>1</v>
      </c>
      <c r="AA428" s="18" t="s">
        <v>36</v>
      </c>
      <c r="AB428" s="26" t="s">
        <v>949</v>
      </c>
      <c r="AC428" s="26" t="s">
        <v>949</v>
      </c>
      <c r="AD428" s="26"/>
      <c r="AE428" s="147" t="str">
        <f t="shared" si="220"/>
        <v>0</v>
      </c>
      <c r="AF428" s="147" t="str">
        <f t="shared" si="231"/>
        <v>0</v>
      </c>
      <c r="AG428" s="147" t="str">
        <f t="shared" si="221"/>
        <v>1</v>
      </c>
      <c r="AH428" s="147" t="str">
        <f t="shared" si="232"/>
        <v>NO</v>
      </c>
      <c r="AI428" s="147" t="str">
        <f t="shared" si="233"/>
        <v>NO</v>
      </c>
      <c r="AJ428" s="147" t="str">
        <f t="shared" si="234"/>
        <v>NO</v>
      </c>
      <c r="AK428" s="147" t="str">
        <f t="shared" si="235"/>
        <v>NO</v>
      </c>
      <c r="AL428" s="48">
        <v>15550</v>
      </c>
      <c r="AM428" s="48">
        <f t="shared" si="244"/>
        <v>15550</v>
      </c>
      <c r="AN428" s="27" t="s">
        <v>37</v>
      </c>
      <c r="AO428" s="21">
        <v>1</v>
      </c>
      <c r="AP428" s="21">
        <f t="shared" si="245"/>
        <v>1</v>
      </c>
      <c r="AQ428" s="149">
        <f t="shared" si="219"/>
        <v>15550</v>
      </c>
      <c r="AR428" s="21">
        <v>15550</v>
      </c>
      <c r="AS428" s="610">
        <v>15550</v>
      </c>
      <c r="AT428" s="112">
        <v>15550</v>
      </c>
      <c r="AU428" s="4"/>
      <c r="AV428" s="4"/>
      <c r="AW428" s="23" t="e">
        <f>VLOOKUP(K428,#REF!,8,FALSE)</f>
        <v>#REF!</v>
      </c>
      <c r="AX428" s="23" t="e">
        <f>VLOOKUP(K428,#REF!,8,FALSE)</f>
        <v>#REF!</v>
      </c>
      <c r="AY428" s="23" t="e">
        <f>VLOOKUP(K428,#REF!,8,FALSE)</f>
        <v>#REF!</v>
      </c>
      <c r="AZ428" s="4"/>
      <c r="BA428" s="272"/>
      <c r="BB428" s="313">
        <f t="shared" si="241"/>
        <v>0</v>
      </c>
      <c r="BC428" s="269">
        <f t="shared" si="238"/>
        <v>15550</v>
      </c>
      <c r="BD428" t="str">
        <f t="shared" si="239"/>
        <v/>
      </c>
      <c r="BP428" s="166">
        <f t="shared" si="236"/>
        <v>15550</v>
      </c>
      <c r="BS428" s="165"/>
      <c r="BX428" s="495">
        <f t="shared" si="237"/>
        <v>15550</v>
      </c>
      <c r="BZ428" s="636">
        <f t="shared" si="225"/>
        <v>0</v>
      </c>
      <c r="CA428" s="633">
        <f t="shared" si="226"/>
        <v>0</v>
      </c>
    </row>
    <row r="429" spans="1:79" x14ac:dyDescent="0.2">
      <c r="A429" s="4">
        <v>1</v>
      </c>
      <c r="B429" s="4">
        <v>1</v>
      </c>
      <c r="C429" s="5">
        <f t="shared" si="227"/>
        <v>41122</v>
      </c>
      <c r="D429" s="6">
        <v>41122</v>
      </c>
      <c r="E429" s="6">
        <v>43014</v>
      </c>
      <c r="F429" s="6" t="s">
        <v>1606</v>
      </c>
      <c r="G429" s="7"/>
      <c r="H429" s="7" t="s">
        <v>75</v>
      </c>
      <c r="I429" s="7" t="s">
        <v>32</v>
      </c>
      <c r="J429" s="7"/>
      <c r="K429" s="28">
        <v>421517</v>
      </c>
      <c r="L429" s="10" t="s">
        <v>945</v>
      </c>
      <c r="M429" s="10" t="s">
        <v>950</v>
      </c>
      <c r="N429" s="10" t="s">
        <v>951</v>
      </c>
      <c r="O429" s="25" t="s">
        <v>952</v>
      </c>
      <c r="P429" s="12">
        <v>42172</v>
      </c>
      <c r="Q429" s="13">
        <f t="shared" ca="1" si="230"/>
        <v>10.266940451745381</v>
      </c>
      <c r="R429" s="14">
        <v>3</v>
      </c>
      <c r="S429" s="15">
        <v>872</v>
      </c>
      <c r="T429" s="8">
        <v>872</v>
      </c>
      <c r="U429" s="16">
        <v>45017</v>
      </c>
      <c r="V429" s="17">
        <v>1</v>
      </c>
      <c r="W429" s="16">
        <v>45382</v>
      </c>
      <c r="X429" s="14">
        <v>192</v>
      </c>
      <c r="Y429" s="18">
        <f t="shared" si="223"/>
        <v>192</v>
      </c>
      <c r="Z429" s="18">
        <f t="shared" si="240"/>
        <v>1</v>
      </c>
      <c r="AA429" s="18" t="s">
        <v>36</v>
      </c>
      <c r="AB429" s="26" t="s">
        <v>953</v>
      </c>
      <c r="AC429" s="26" t="s">
        <v>953</v>
      </c>
      <c r="AD429" s="26" t="s">
        <v>1893</v>
      </c>
      <c r="AE429" s="147" t="str">
        <f t="shared" si="220"/>
        <v>0</v>
      </c>
      <c r="AF429" s="147" t="str">
        <f t="shared" si="231"/>
        <v>0</v>
      </c>
      <c r="AG429" s="147" t="str">
        <f t="shared" si="221"/>
        <v>1</v>
      </c>
      <c r="AH429" s="147" t="str">
        <f t="shared" si="232"/>
        <v>NO</v>
      </c>
      <c r="AI429" s="147" t="str">
        <f t="shared" si="233"/>
        <v>YES</v>
      </c>
      <c r="AJ429" s="147" t="str">
        <f t="shared" si="234"/>
        <v>NO</v>
      </c>
      <c r="AK429" s="147" t="str">
        <f t="shared" si="235"/>
        <v>NO</v>
      </c>
      <c r="AL429" s="48">
        <v>10152</v>
      </c>
      <c r="AM429" s="48">
        <f t="shared" si="244"/>
        <v>10152</v>
      </c>
      <c r="AN429" s="27" t="s">
        <v>81</v>
      </c>
      <c r="AO429" s="21">
        <v>1</v>
      </c>
      <c r="AP429" s="21">
        <f t="shared" si="245"/>
        <v>1</v>
      </c>
      <c r="AQ429" s="149">
        <f t="shared" si="219"/>
        <v>10152</v>
      </c>
      <c r="AR429" s="21">
        <v>10152</v>
      </c>
      <c r="AS429" s="610">
        <v>10152</v>
      </c>
      <c r="AT429" s="112">
        <v>10152</v>
      </c>
      <c r="AU429" s="4"/>
      <c r="AV429" s="4"/>
      <c r="AW429" s="23" t="e">
        <f>VLOOKUP(K429,#REF!,8,FALSE)</f>
        <v>#REF!</v>
      </c>
      <c r="AX429" s="23" t="e">
        <f>VLOOKUP(K429,#REF!,8,FALSE)</f>
        <v>#REF!</v>
      </c>
      <c r="AY429" s="23" t="e">
        <f>VLOOKUP(K429,#REF!,8,FALSE)</f>
        <v>#REF!</v>
      </c>
      <c r="AZ429" s="4"/>
      <c r="BA429" s="272"/>
      <c r="BB429" s="313">
        <f t="shared" si="241"/>
        <v>0</v>
      </c>
      <c r="BC429" s="269">
        <f t="shared" si="238"/>
        <v>10152</v>
      </c>
      <c r="BD429" t="str">
        <f t="shared" si="239"/>
        <v/>
      </c>
      <c r="BP429" s="166">
        <f t="shared" si="236"/>
        <v>10152</v>
      </c>
      <c r="BS429" s="165"/>
      <c r="BX429" s="495">
        <f t="shared" si="237"/>
        <v>10152</v>
      </c>
      <c r="BZ429" s="636">
        <f t="shared" si="225"/>
        <v>0</v>
      </c>
      <c r="CA429" s="633">
        <f t="shared" si="226"/>
        <v>0</v>
      </c>
    </row>
    <row r="430" spans="1:79" x14ac:dyDescent="0.2">
      <c r="A430" s="4">
        <v>1</v>
      </c>
      <c r="B430" s="4">
        <v>1</v>
      </c>
      <c r="C430" s="5">
        <f t="shared" si="227"/>
        <v>41122</v>
      </c>
      <c r="D430" s="6">
        <v>41122</v>
      </c>
      <c r="E430" s="6">
        <v>43014</v>
      </c>
      <c r="F430" s="6" t="s">
        <v>1606</v>
      </c>
      <c r="G430" s="7"/>
      <c r="H430" s="7" t="s">
        <v>75</v>
      </c>
      <c r="I430" s="7" t="s">
        <v>32</v>
      </c>
      <c r="J430" s="7"/>
      <c r="K430" s="29">
        <v>441653</v>
      </c>
      <c r="L430" s="10" t="s">
        <v>945</v>
      </c>
      <c r="M430" s="10" t="s">
        <v>954</v>
      </c>
      <c r="N430" s="10" t="s">
        <v>955</v>
      </c>
      <c r="O430" s="11" t="s">
        <v>956</v>
      </c>
      <c r="P430" s="12">
        <v>43340</v>
      </c>
      <c r="Q430" s="13">
        <f t="shared" ca="1" si="230"/>
        <v>7.0691307323750854</v>
      </c>
      <c r="R430" s="14">
        <v>0</v>
      </c>
      <c r="S430" s="15">
        <v>872</v>
      </c>
      <c r="T430" s="8">
        <v>872</v>
      </c>
      <c r="U430" s="16">
        <v>45017</v>
      </c>
      <c r="V430" s="17">
        <v>1</v>
      </c>
      <c r="W430" s="16">
        <v>45382</v>
      </c>
      <c r="X430" s="14">
        <v>192</v>
      </c>
      <c r="Y430" s="18">
        <f t="shared" si="223"/>
        <v>192</v>
      </c>
      <c r="Z430" s="18">
        <f t="shared" si="240"/>
        <v>1</v>
      </c>
      <c r="AA430" s="18" t="s">
        <v>36</v>
      </c>
      <c r="AB430" s="26" t="s">
        <v>953</v>
      </c>
      <c r="AC430" s="26" t="s">
        <v>953</v>
      </c>
      <c r="AD430" s="26" t="s">
        <v>1893</v>
      </c>
      <c r="AE430" s="147" t="str">
        <f t="shared" si="220"/>
        <v>0</v>
      </c>
      <c r="AF430" s="147" t="str">
        <f t="shared" si="231"/>
        <v>0</v>
      </c>
      <c r="AG430" s="147" t="str">
        <f t="shared" si="221"/>
        <v>1</v>
      </c>
      <c r="AH430" s="147" t="str">
        <f t="shared" si="232"/>
        <v>NO</v>
      </c>
      <c r="AI430" s="147" t="str">
        <f t="shared" si="233"/>
        <v>YES</v>
      </c>
      <c r="AJ430" s="147" t="str">
        <f t="shared" si="234"/>
        <v>NO</v>
      </c>
      <c r="AK430" s="147" t="str">
        <f t="shared" si="235"/>
        <v>NO</v>
      </c>
      <c r="AL430" s="48">
        <v>10152</v>
      </c>
      <c r="AM430" s="48">
        <f t="shared" si="244"/>
        <v>10152</v>
      </c>
      <c r="AN430" s="27"/>
      <c r="AO430" s="21">
        <v>1</v>
      </c>
      <c r="AP430" s="21">
        <f t="shared" si="245"/>
        <v>1</v>
      </c>
      <c r="AQ430" s="149">
        <f t="shared" si="219"/>
        <v>10152</v>
      </c>
      <c r="AR430" s="21">
        <v>10152</v>
      </c>
      <c r="AS430" s="610">
        <v>10152</v>
      </c>
      <c r="AT430" s="112">
        <v>10152</v>
      </c>
      <c r="AU430" s="4"/>
      <c r="AV430" s="4"/>
      <c r="AW430" s="23" t="e">
        <f>VLOOKUP(K430,#REF!,8,FALSE)</f>
        <v>#REF!</v>
      </c>
      <c r="AX430" s="23" t="e">
        <f>VLOOKUP(K430,#REF!,8,FALSE)</f>
        <v>#REF!</v>
      </c>
      <c r="AY430" s="23" t="e">
        <f>VLOOKUP(K430,#REF!,8,FALSE)</f>
        <v>#REF!</v>
      </c>
      <c r="AZ430" s="4"/>
      <c r="BA430" s="272"/>
      <c r="BB430" s="313">
        <f t="shared" si="241"/>
        <v>0</v>
      </c>
      <c r="BC430" s="269">
        <f t="shared" si="238"/>
        <v>10152</v>
      </c>
      <c r="BD430" t="str">
        <f t="shared" si="239"/>
        <v/>
      </c>
      <c r="BP430" s="166">
        <f t="shared" si="236"/>
        <v>10152</v>
      </c>
      <c r="BS430" s="165"/>
      <c r="BX430" s="495">
        <f t="shared" si="237"/>
        <v>10152</v>
      </c>
      <c r="BZ430" s="636">
        <f t="shared" si="225"/>
        <v>0</v>
      </c>
      <c r="CA430" s="633">
        <f t="shared" si="226"/>
        <v>0</v>
      </c>
    </row>
    <row r="431" spans="1:79" x14ac:dyDescent="0.2">
      <c r="A431" s="4">
        <v>1</v>
      </c>
      <c r="B431" s="4">
        <v>1</v>
      </c>
      <c r="C431" s="5">
        <f t="shared" si="227"/>
        <v>41122</v>
      </c>
      <c r="D431" s="6">
        <v>41122</v>
      </c>
      <c r="E431" s="6">
        <v>43011</v>
      </c>
      <c r="F431" s="6" t="s">
        <v>1606</v>
      </c>
      <c r="G431" s="7"/>
      <c r="H431" s="7"/>
      <c r="I431" s="7" t="s">
        <v>32</v>
      </c>
      <c r="J431" s="7"/>
      <c r="K431" s="29">
        <v>437314</v>
      </c>
      <c r="L431" s="10" t="s">
        <v>945</v>
      </c>
      <c r="M431" s="10" t="s">
        <v>957</v>
      </c>
      <c r="N431" s="10" t="s">
        <v>958</v>
      </c>
      <c r="O431" s="11" t="str">
        <f>M431&amp;N431</f>
        <v>AlfredEaton</v>
      </c>
      <c r="P431" s="12">
        <v>43010</v>
      </c>
      <c r="Q431" s="13">
        <f t="shared" ca="1" si="230"/>
        <v>7.9726214921286793</v>
      </c>
      <c r="R431" s="14">
        <v>0</v>
      </c>
      <c r="S431" s="15">
        <v>872</v>
      </c>
      <c r="T431" s="8">
        <v>872</v>
      </c>
      <c r="U431" s="16">
        <v>45017</v>
      </c>
      <c r="V431" s="17">
        <v>1</v>
      </c>
      <c r="W431" s="16">
        <v>45382</v>
      </c>
      <c r="X431" s="14">
        <v>192</v>
      </c>
      <c r="Y431" s="18">
        <f t="shared" si="223"/>
        <v>192</v>
      </c>
      <c r="Z431" s="18">
        <f t="shared" si="240"/>
        <v>1</v>
      </c>
      <c r="AA431" s="18" t="s">
        <v>36</v>
      </c>
      <c r="AB431" s="26">
        <v>30</v>
      </c>
      <c r="AC431" s="26"/>
      <c r="AD431" s="26"/>
      <c r="AE431" s="147" t="str">
        <f t="shared" si="220"/>
        <v>0</v>
      </c>
      <c r="AF431" s="147" t="str">
        <f t="shared" si="231"/>
        <v>1</v>
      </c>
      <c r="AG431" s="147" t="str">
        <f t="shared" si="221"/>
        <v>0</v>
      </c>
      <c r="AH431" s="147" t="str">
        <f t="shared" si="232"/>
        <v>NO</v>
      </c>
      <c r="AI431" s="147" t="str">
        <f t="shared" si="233"/>
        <v>NO</v>
      </c>
      <c r="AJ431" s="147" t="str">
        <f t="shared" si="234"/>
        <v>NO</v>
      </c>
      <c r="AK431" s="147" t="str">
        <f t="shared" si="235"/>
        <v>NO</v>
      </c>
      <c r="AL431" s="48"/>
      <c r="AM431" s="48">
        <f t="shared" si="244"/>
        <v>8183.0999999999985</v>
      </c>
      <c r="AN431" s="27"/>
      <c r="AO431" s="21">
        <v>1</v>
      </c>
      <c r="AP431" s="21">
        <f t="shared" si="245"/>
        <v>1</v>
      </c>
      <c r="AQ431" s="149">
        <f t="shared" si="219"/>
        <v>8183.0999999999985</v>
      </c>
      <c r="AR431" s="21">
        <v>8183.0999999999985</v>
      </c>
      <c r="AS431" s="610">
        <v>8183.0999999999985</v>
      </c>
      <c r="AT431" s="112">
        <v>8183.0999999999985</v>
      </c>
      <c r="AU431" s="4"/>
      <c r="AV431" s="4"/>
      <c r="AW431" s="23" t="e">
        <f>VLOOKUP(K431,#REF!,8,FALSE)</f>
        <v>#REF!</v>
      </c>
      <c r="AX431" s="23" t="e">
        <f>VLOOKUP(K431,#REF!,8,FALSE)</f>
        <v>#REF!</v>
      </c>
      <c r="AY431" s="23" t="e">
        <f>VLOOKUP(K431,#REF!,8,FALSE)</f>
        <v>#REF!</v>
      </c>
      <c r="AZ431" s="4"/>
      <c r="BA431" s="272"/>
      <c r="BB431" s="313">
        <f t="shared" si="241"/>
        <v>0</v>
      </c>
      <c r="BC431" s="269">
        <f t="shared" si="238"/>
        <v>8183.0999999999985</v>
      </c>
      <c r="BD431" t="str">
        <f t="shared" si="239"/>
        <v/>
      </c>
      <c r="BP431" s="166">
        <f t="shared" si="236"/>
        <v>8183.0999999999985</v>
      </c>
      <c r="BS431" s="165"/>
      <c r="BX431" s="495">
        <f t="shared" si="237"/>
        <v>8183.0999999999985</v>
      </c>
      <c r="BZ431" s="636">
        <f t="shared" si="225"/>
        <v>0</v>
      </c>
      <c r="CA431" s="633">
        <f t="shared" si="226"/>
        <v>0</v>
      </c>
    </row>
    <row r="432" spans="1:79" x14ac:dyDescent="0.2">
      <c r="A432" s="4">
        <v>1</v>
      </c>
      <c r="B432" s="4">
        <v>1</v>
      </c>
      <c r="C432" s="5">
        <f t="shared" si="227"/>
        <v>41122</v>
      </c>
      <c r="D432" s="6">
        <v>41122</v>
      </c>
      <c r="E432" s="6">
        <v>43011</v>
      </c>
      <c r="F432" s="6" t="s">
        <v>1606</v>
      </c>
      <c r="G432" s="7"/>
      <c r="H432" s="7"/>
      <c r="I432" s="7" t="s">
        <v>32</v>
      </c>
      <c r="J432" s="7"/>
      <c r="K432" s="29">
        <v>435619</v>
      </c>
      <c r="L432" s="10" t="s">
        <v>945</v>
      </c>
      <c r="M432" s="10" t="s">
        <v>959</v>
      </c>
      <c r="N432" s="10" t="s">
        <v>960</v>
      </c>
      <c r="O432" s="11" t="s">
        <v>961</v>
      </c>
      <c r="P432" s="12">
        <v>42878</v>
      </c>
      <c r="Q432" s="13">
        <f t="shared" ca="1" si="230"/>
        <v>8.3340177960301158</v>
      </c>
      <c r="R432" s="14">
        <v>1</v>
      </c>
      <c r="S432" s="15">
        <v>872</v>
      </c>
      <c r="T432" s="8">
        <v>872</v>
      </c>
      <c r="U432" s="16">
        <v>45017</v>
      </c>
      <c r="V432" s="17">
        <v>1</v>
      </c>
      <c r="W432" s="16">
        <v>45382</v>
      </c>
      <c r="X432" s="14">
        <v>192</v>
      </c>
      <c r="Y432" s="18">
        <f t="shared" si="223"/>
        <v>192</v>
      </c>
      <c r="Z432" s="18">
        <f t="shared" si="240"/>
        <v>1</v>
      </c>
      <c r="AA432" s="18" t="s">
        <v>36</v>
      </c>
      <c r="AB432" s="26">
        <v>30</v>
      </c>
      <c r="AC432" s="26"/>
      <c r="AD432" s="26"/>
      <c r="AE432" s="147" t="str">
        <f t="shared" si="220"/>
        <v>0</v>
      </c>
      <c r="AF432" s="147" t="str">
        <f t="shared" si="231"/>
        <v>1</v>
      </c>
      <c r="AG432" s="147" t="str">
        <f t="shared" si="221"/>
        <v>0</v>
      </c>
      <c r="AH432" s="147" t="str">
        <f t="shared" si="232"/>
        <v>NO</v>
      </c>
      <c r="AI432" s="147" t="str">
        <f t="shared" si="233"/>
        <v>NO</v>
      </c>
      <c r="AJ432" s="147" t="str">
        <f t="shared" si="234"/>
        <v>NO</v>
      </c>
      <c r="AK432" s="147" t="str">
        <f t="shared" si="235"/>
        <v>NO</v>
      </c>
      <c r="AL432" s="48"/>
      <c r="AM432" s="48">
        <f t="shared" si="244"/>
        <v>8183.0999999999985</v>
      </c>
      <c r="AN432" s="27" t="s">
        <v>37</v>
      </c>
      <c r="AO432" s="21">
        <v>1</v>
      </c>
      <c r="AP432" s="21">
        <f t="shared" si="245"/>
        <v>1</v>
      </c>
      <c r="AQ432" s="149">
        <f t="shared" si="219"/>
        <v>8183.0999999999985</v>
      </c>
      <c r="AR432" s="21">
        <v>8183.0999999999985</v>
      </c>
      <c r="AS432" s="610">
        <v>8183.0999999999985</v>
      </c>
      <c r="AT432" s="112">
        <v>8183.0999999999985</v>
      </c>
      <c r="AU432" s="4"/>
      <c r="AV432" s="4"/>
      <c r="AW432" s="23" t="e">
        <f>VLOOKUP(K432,#REF!,8,FALSE)</f>
        <v>#REF!</v>
      </c>
      <c r="AX432" s="23" t="e">
        <f>VLOOKUP(K432,#REF!,8,FALSE)</f>
        <v>#REF!</v>
      </c>
      <c r="AY432" s="23" t="e">
        <f>VLOOKUP(K432,#REF!,8,FALSE)</f>
        <v>#REF!</v>
      </c>
      <c r="AZ432" s="4"/>
      <c r="BA432" s="272"/>
      <c r="BB432" s="313">
        <f t="shared" si="241"/>
        <v>0</v>
      </c>
      <c r="BC432" s="269">
        <f t="shared" si="238"/>
        <v>8183.0999999999985</v>
      </c>
      <c r="BD432" t="str">
        <f t="shared" si="239"/>
        <v/>
      </c>
      <c r="BP432" s="166">
        <f t="shared" si="236"/>
        <v>8183.0999999999985</v>
      </c>
      <c r="BS432" s="165"/>
      <c r="BX432" s="495">
        <f t="shared" si="237"/>
        <v>8183.0999999999985</v>
      </c>
      <c r="BZ432" s="636">
        <f t="shared" si="225"/>
        <v>0</v>
      </c>
      <c r="CA432" s="633">
        <f t="shared" si="226"/>
        <v>0</v>
      </c>
    </row>
    <row r="433" spans="1:79" x14ac:dyDescent="0.2">
      <c r="A433" s="4">
        <v>1</v>
      </c>
      <c r="B433" s="4">
        <v>1</v>
      </c>
      <c r="C433" s="5">
        <f t="shared" si="227"/>
        <v>41122</v>
      </c>
      <c r="D433" s="6">
        <v>41122</v>
      </c>
      <c r="E433" s="6">
        <v>43011</v>
      </c>
      <c r="F433" s="6" t="s">
        <v>1606</v>
      </c>
      <c r="G433" s="7"/>
      <c r="H433" s="7"/>
      <c r="I433" s="7" t="s">
        <v>32</v>
      </c>
      <c r="J433" s="7"/>
      <c r="K433" s="29">
        <v>397326</v>
      </c>
      <c r="L433" s="10" t="s">
        <v>945</v>
      </c>
      <c r="M433" s="10" t="s">
        <v>704</v>
      </c>
      <c r="N433" s="10" t="s">
        <v>962</v>
      </c>
      <c r="O433" s="11" t="s">
        <v>963</v>
      </c>
      <c r="P433" s="12">
        <v>42626</v>
      </c>
      <c r="Q433" s="13">
        <f t="shared" ca="1" si="230"/>
        <v>9.0239561943874058</v>
      </c>
      <c r="R433" s="14">
        <v>6</v>
      </c>
      <c r="S433" s="15">
        <v>872</v>
      </c>
      <c r="T433" s="8">
        <v>872</v>
      </c>
      <c r="U433" s="16">
        <v>45017</v>
      </c>
      <c r="V433" s="17">
        <v>1</v>
      </c>
      <c r="W433" s="16">
        <v>45128</v>
      </c>
      <c r="X433" s="14">
        <v>63</v>
      </c>
      <c r="Y433" s="18">
        <f t="shared" si="223"/>
        <v>63</v>
      </c>
      <c r="Z433" s="18">
        <f t="shared" si="240"/>
        <v>0.328125</v>
      </c>
      <c r="AA433" s="18" t="s">
        <v>48</v>
      </c>
      <c r="AB433" s="26">
        <v>28</v>
      </c>
      <c r="AC433" s="26"/>
      <c r="AD433" s="26"/>
      <c r="AE433" s="147" t="str">
        <f t="shared" si="220"/>
        <v>0</v>
      </c>
      <c r="AF433" s="147" t="str">
        <f t="shared" si="231"/>
        <v>1</v>
      </c>
      <c r="AG433" s="147" t="str">
        <f t="shared" si="221"/>
        <v>0</v>
      </c>
      <c r="AH433" s="147" t="str">
        <f t="shared" si="232"/>
        <v>NO</v>
      </c>
      <c r="AI433" s="147" t="str">
        <f t="shared" si="233"/>
        <v>NO</v>
      </c>
      <c r="AJ433" s="147" t="str">
        <f t="shared" si="234"/>
        <v>NO</v>
      </c>
      <c r="AK433" s="147" t="str">
        <f t="shared" si="235"/>
        <v>NO</v>
      </c>
      <c r="AL433" s="48"/>
      <c r="AM433" s="48">
        <f t="shared" si="244"/>
        <v>7237.5599999999995</v>
      </c>
      <c r="AN433" s="27" t="s">
        <v>56</v>
      </c>
      <c r="AO433" s="21">
        <v>1</v>
      </c>
      <c r="AP433" s="21">
        <f t="shared" si="245"/>
        <v>0.328125</v>
      </c>
      <c r="AQ433" s="149">
        <f t="shared" si="219"/>
        <v>2374.8243749999997</v>
      </c>
      <c r="AR433" s="21">
        <v>2374.8243749999997</v>
      </c>
      <c r="AS433" s="610">
        <v>2374.8243749999997</v>
      </c>
      <c r="AT433" s="112">
        <v>2374.8243749999997</v>
      </c>
      <c r="AU433" s="4"/>
      <c r="AV433" s="4"/>
      <c r="AW433" s="23" t="e">
        <f>VLOOKUP(K433,#REF!,8,FALSE)</f>
        <v>#REF!</v>
      </c>
      <c r="AX433" s="264" t="s">
        <v>2208</v>
      </c>
      <c r="AY433" s="23" t="e">
        <f>VLOOKUP(K433,#REF!,8,FALSE)</f>
        <v>#REF!</v>
      </c>
      <c r="AZ433" s="23" t="s">
        <v>75</v>
      </c>
      <c r="BA433" s="273">
        <f>AM433/3*2</f>
        <v>4825.04</v>
      </c>
      <c r="BB433" s="313">
        <f t="shared" si="241"/>
        <v>0</v>
      </c>
      <c r="BC433" s="269">
        <f t="shared" si="238"/>
        <v>2374.8243749999997</v>
      </c>
      <c r="BD433" t="e">
        <f t="shared" si="239"/>
        <v>#REF!</v>
      </c>
      <c r="BE433" t="s">
        <v>2396</v>
      </c>
      <c r="BH433" t="e">
        <f>VLOOKUP(K433,#REF!,8,FALSE)</f>
        <v>#REF!</v>
      </c>
      <c r="BJ433">
        <f>AB433</f>
        <v>28</v>
      </c>
      <c r="BK433" s="269">
        <f>AM433</f>
        <v>7237.5599999999995</v>
      </c>
      <c r="BL433" s="353"/>
      <c r="BM433" s="353" t="s">
        <v>75</v>
      </c>
      <c r="BN433" s="353"/>
      <c r="BO433" s="106">
        <f>BK433/192*127</f>
        <v>4787.3443749999997</v>
      </c>
      <c r="BP433" s="166">
        <f t="shared" si="236"/>
        <v>7162.1687499999989</v>
      </c>
      <c r="BQ433" s="106">
        <v>4787.3443749999997</v>
      </c>
      <c r="BR433" t="s">
        <v>2446</v>
      </c>
      <c r="BS433" s="165"/>
      <c r="BX433" s="495">
        <f t="shared" si="237"/>
        <v>7162.1687499999989</v>
      </c>
      <c r="BZ433" s="636">
        <f t="shared" si="225"/>
        <v>0</v>
      </c>
      <c r="CA433" s="633">
        <f t="shared" si="226"/>
        <v>4787.3443749999988</v>
      </c>
    </row>
    <row r="434" spans="1:79" x14ac:dyDescent="0.2">
      <c r="A434" s="4">
        <v>1</v>
      </c>
      <c r="B434" s="4">
        <v>1</v>
      </c>
      <c r="C434" s="5">
        <f t="shared" si="227"/>
        <v>41122</v>
      </c>
      <c r="D434" s="6">
        <v>41122</v>
      </c>
      <c r="E434" s="6">
        <v>43011</v>
      </c>
      <c r="F434" s="6" t="s">
        <v>1606</v>
      </c>
      <c r="G434" s="7"/>
      <c r="H434" s="7"/>
      <c r="I434" s="7" t="s">
        <v>32</v>
      </c>
      <c r="J434" s="7"/>
      <c r="K434" s="29">
        <v>414007</v>
      </c>
      <c r="L434" s="10" t="s">
        <v>945</v>
      </c>
      <c r="M434" s="10" t="s">
        <v>964</v>
      </c>
      <c r="N434" s="10" t="s">
        <v>965</v>
      </c>
      <c r="O434" s="11" t="s">
        <v>966</v>
      </c>
      <c r="P434" s="12">
        <v>42014</v>
      </c>
      <c r="Q434" s="13">
        <f t="shared" ca="1" si="230"/>
        <v>10.699520876112253</v>
      </c>
      <c r="R434" s="14">
        <v>3</v>
      </c>
      <c r="S434" s="15">
        <v>872</v>
      </c>
      <c r="T434" s="8">
        <v>872</v>
      </c>
      <c r="U434" s="16">
        <v>45017</v>
      </c>
      <c r="V434" s="17">
        <v>1</v>
      </c>
      <c r="W434" s="16">
        <v>45382</v>
      </c>
      <c r="X434" s="14">
        <v>192</v>
      </c>
      <c r="Y434" s="18">
        <f t="shared" si="223"/>
        <v>192</v>
      </c>
      <c r="Z434" s="18">
        <f t="shared" si="240"/>
        <v>1</v>
      </c>
      <c r="AA434" s="18" t="s">
        <v>36</v>
      </c>
      <c r="AB434" s="26">
        <v>30</v>
      </c>
      <c r="AC434" s="26"/>
      <c r="AD434" s="26"/>
      <c r="AE434" s="147" t="str">
        <f t="shared" si="220"/>
        <v>0</v>
      </c>
      <c r="AF434" s="147" t="str">
        <f t="shared" si="231"/>
        <v>1</v>
      </c>
      <c r="AG434" s="147" t="str">
        <f t="shared" si="221"/>
        <v>0</v>
      </c>
      <c r="AH434" s="147" t="str">
        <f t="shared" si="232"/>
        <v>NO</v>
      </c>
      <c r="AI434" s="147" t="str">
        <f t="shared" si="233"/>
        <v>NO</v>
      </c>
      <c r="AJ434" s="147" t="str">
        <f t="shared" si="234"/>
        <v>NO</v>
      </c>
      <c r="AK434" s="147" t="str">
        <f t="shared" si="235"/>
        <v>NO</v>
      </c>
      <c r="AL434" s="48"/>
      <c r="AM434" s="48">
        <f t="shared" si="244"/>
        <v>8183.0999999999985</v>
      </c>
      <c r="AN434" s="27" t="s">
        <v>56</v>
      </c>
      <c r="AO434" s="21">
        <v>1</v>
      </c>
      <c r="AP434" s="21">
        <f t="shared" si="245"/>
        <v>1</v>
      </c>
      <c r="AQ434" s="149">
        <f t="shared" si="219"/>
        <v>8183.0999999999985</v>
      </c>
      <c r="AR434" s="21">
        <v>8183.0999999999985</v>
      </c>
      <c r="AS434" s="610">
        <v>8183.0999999999985</v>
      </c>
      <c r="AT434" s="112">
        <v>8183.0999999999985</v>
      </c>
      <c r="AU434" s="4"/>
      <c r="AV434" s="4"/>
      <c r="AW434" s="23" t="e">
        <f>VLOOKUP(K434,#REF!,8,FALSE)</f>
        <v>#REF!</v>
      </c>
      <c r="AX434" s="23" t="e">
        <f>VLOOKUP(K434,#REF!,8,FALSE)</f>
        <v>#REF!</v>
      </c>
      <c r="AY434" s="23" t="e">
        <f>VLOOKUP(K434,#REF!,8,FALSE)</f>
        <v>#REF!</v>
      </c>
      <c r="AZ434" s="4"/>
      <c r="BA434" s="272"/>
      <c r="BB434" s="313">
        <f t="shared" si="241"/>
        <v>0</v>
      </c>
      <c r="BC434" s="269">
        <f t="shared" si="238"/>
        <v>8183.0999999999985</v>
      </c>
      <c r="BD434" t="str">
        <f t="shared" si="239"/>
        <v/>
      </c>
      <c r="BP434" s="166">
        <f t="shared" si="236"/>
        <v>8183.0999999999985</v>
      </c>
      <c r="BS434" s="165"/>
      <c r="BX434" s="495">
        <f t="shared" si="237"/>
        <v>8183.0999999999985</v>
      </c>
      <c r="BZ434" s="636">
        <f t="shared" si="225"/>
        <v>0</v>
      </c>
      <c r="CA434" s="633">
        <f t="shared" si="226"/>
        <v>0</v>
      </c>
    </row>
    <row r="435" spans="1:79" x14ac:dyDescent="0.2">
      <c r="A435" s="4">
        <v>1</v>
      </c>
      <c r="B435" s="4">
        <v>1</v>
      </c>
      <c r="C435" s="5">
        <f t="shared" si="227"/>
        <v>41122</v>
      </c>
      <c r="D435" s="6">
        <v>41122</v>
      </c>
      <c r="E435" s="6">
        <v>43011</v>
      </c>
      <c r="F435" s="6" t="s">
        <v>1606</v>
      </c>
      <c r="G435" s="7"/>
      <c r="H435" s="7"/>
      <c r="I435" s="7" t="s">
        <v>32</v>
      </c>
      <c r="J435" s="7"/>
      <c r="K435" s="29">
        <v>412300</v>
      </c>
      <c r="L435" s="10" t="s">
        <v>945</v>
      </c>
      <c r="M435" s="10" t="s">
        <v>122</v>
      </c>
      <c r="N435" s="10" t="s">
        <v>965</v>
      </c>
      <c r="O435" s="11" t="s">
        <v>967</v>
      </c>
      <c r="P435" s="12">
        <v>41700</v>
      </c>
      <c r="Q435" s="13">
        <f t="shared" ca="1" si="230"/>
        <v>11.559206023271731</v>
      </c>
      <c r="R435" s="14">
        <v>4</v>
      </c>
      <c r="S435" s="15">
        <v>872</v>
      </c>
      <c r="T435" s="8">
        <v>872</v>
      </c>
      <c r="U435" s="16">
        <v>45017</v>
      </c>
      <c r="V435" s="17">
        <v>1</v>
      </c>
      <c r="W435" s="16">
        <v>45382</v>
      </c>
      <c r="X435" s="14">
        <v>192</v>
      </c>
      <c r="Y435" s="18">
        <f t="shared" si="223"/>
        <v>192</v>
      </c>
      <c r="Z435" s="18">
        <f t="shared" si="240"/>
        <v>1</v>
      </c>
      <c r="AA435" s="18" t="s">
        <v>36</v>
      </c>
      <c r="AB435" s="26">
        <v>30</v>
      </c>
      <c r="AC435" s="26"/>
      <c r="AD435" s="26"/>
      <c r="AE435" s="147" t="str">
        <f t="shared" si="220"/>
        <v>0</v>
      </c>
      <c r="AF435" s="147" t="str">
        <f t="shared" si="231"/>
        <v>1</v>
      </c>
      <c r="AG435" s="147" t="str">
        <f t="shared" si="221"/>
        <v>0</v>
      </c>
      <c r="AH435" s="147" t="str">
        <f t="shared" si="232"/>
        <v>NO</v>
      </c>
      <c r="AI435" s="147" t="str">
        <f t="shared" si="233"/>
        <v>NO</v>
      </c>
      <c r="AJ435" s="147" t="str">
        <f t="shared" si="234"/>
        <v>NO</v>
      </c>
      <c r="AK435" s="147" t="str">
        <f t="shared" si="235"/>
        <v>NO</v>
      </c>
      <c r="AL435" s="48"/>
      <c r="AM435" s="48">
        <f t="shared" si="244"/>
        <v>8183.0999999999985</v>
      </c>
      <c r="AN435" s="27" t="s">
        <v>56</v>
      </c>
      <c r="AO435" s="21">
        <v>1</v>
      </c>
      <c r="AP435" s="21">
        <f t="shared" si="245"/>
        <v>1</v>
      </c>
      <c r="AQ435" s="149">
        <f t="shared" si="219"/>
        <v>8183.0999999999985</v>
      </c>
      <c r="AR435" s="21">
        <v>8183.0999999999985</v>
      </c>
      <c r="AS435" s="610">
        <v>8183.0999999999985</v>
      </c>
      <c r="AT435" s="112">
        <v>8183.0999999999985</v>
      </c>
      <c r="AU435" s="4"/>
      <c r="AV435" s="4"/>
      <c r="AW435" s="23" t="e">
        <f>VLOOKUP(K435,#REF!,8,FALSE)</f>
        <v>#REF!</v>
      </c>
      <c r="AX435" s="23" t="e">
        <f>VLOOKUP(K435,#REF!,8,FALSE)</f>
        <v>#REF!</v>
      </c>
      <c r="AY435" s="23" t="e">
        <f>VLOOKUP(K435,#REF!,8,FALSE)</f>
        <v>#REF!</v>
      </c>
      <c r="AZ435" s="4"/>
      <c r="BA435" s="272"/>
      <c r="BB435" s="313">
        <f t="shared" si="241"/>
        <v>0</v>
      </c>
      <c r="BC435" s="269">
        <f t="shared" si="238"/>
        <v>8183.0999999999985</v>
      </c>
      <c r="BD435" t="str">
        <f t="shared" si="239"/>
        <v/>
      </c>
      <c r="BP435" s="166">
        <f t="shared" si="236"/>
        <v>8183.0999999999985</v>
      </c>
      <c r="BS435" s="165"/>
      <c r="BX435" s="495">
        <f t="shared" si="237"/>
        <v>8183.0999999999985</v>
      </c>
      <c r="BZ435" s="636">
        <f t="shared" si="225"/>
        <v>0</v>
      </c>
      <c r="CA435" s="633">
        <f t="shared" si="226"/>
        <v>0</v>
      </c>
    </row>
    <row r="436" spans="1:79" x14ac:dyDescent="0.2">
      <c r="A436" s="4">
        <v>1</v>
      </c>
      <c r="B436" s="4">
        <v>1</v>
      </c>
      <c r="C436" s="5">
        <f t="shared" si="227"/>
        <v>41122</v>
      </c>
      <c r="D436" s="6">
        <v>41122</v>
      </c>
      <c r="E436" s="6">
        <v>43011</v>
      </c>
      <c r="F436" s="6" t="s">
        <v>1606</v>
      </c>
      <c r="G436" s="7"/>
      <c r="H436" s="7"/>
      <c r="I436" s="7" t="s">
        <v>32</v>
      </c>
      <c r="J436" s="7"/>
      <c r="K436" s="29">
        <v>410673</v>
      </c>
      <c r="L436" s="10" t="s">
        <v>945</v>
      </c>
      <c r="M436" s="10" t="s">
        <v>427</v>
      </c>
      <c r="N436" s="10" t="s">
        <v>968</v>
      </c>
      <c r="O436" s="11" t="s">
        <v>969</v>
      </c>
      <c r="P436" s="12">
        <v>41232</v>
      </c>
      <c r="Q436" s="13">
        <f t="shared" ca="1" si="230"/>
        <v>12.840520191649555</v>
      </c>
      <c r="R436" s="14">
        <v>5</v>
      </c>
      <c r="S436" s="15">
        <v>872</v>
      </c>
      <c r="T436" s="8">
        <v>872</v>
      </c>
      <c r="U436" s="16">
        <v>45017</v>
      </c>
      <c r="V436" s="17">
        <v>1</v>
      </c>
      <c r="W436" s="16">
        <v>45382</v>
      </c>
      <c r="X436" s="14">
        <v>192</v>
      </c>
      <c r="Y436" s="18">
        <f t="shared" si="223"/>
        <v>192</v>
      </c>
      <c r="Z436" s="18">
        <f t="shared" si="240"/>
        <v>1</v>
      </c>
      <c r="AA436" s="18" t="s">
        <v>36</v>
      </c>
      <c r="AB436" s="26">
        <v>25</v>
      </c>
      <c r="AC436" s="26"/>
      <c r="AD436" s="26"/>
      <c r="AE436" s="147" t="str">
        <f t="shared" si="220"/>
        <v>1</v>
      </c>
      <c r="AF436" s="147" t="str">
        <f t="shared" si="231"/>
        <v>0</v>
      </c>
      <c r="AG436" s="147" t="str">
        <f t="shared" si="221"/>
        <v>0</v>
      </c>
      <c r="AH436" s="147" t="str">
        <f t="shared" si="232"/>
        <v>NO</v>
      </c>
      <c r="AI436" s="147" t="str">
        <f t="shared" si="233"/>
        <v>NO</v>
      </c>
      <c r="AJ436" s="147" t="str">
        <f t="shared" si="234"/>
        <v>NO</v>
      </c>
      <c r="AK436" s="147" t="str">
        <f t="shared" si="235"/>
        <v>NO</v>
      </c>
      <c r="AL436" s="48"/>
      <c r="AM436" s="48">
        <f t="shared" si="244"/>
        <v>5819.25</v>
      </c>
      <c r="AN436" s="27" t="s">
        <v>66</v>
      </c>
      <c r="AO436" s="21">
        <v>1</v>
      </c>
      <c r="AP436" s="21">
        <f t="shared" si="245"/>
        <v>1</v>
      </c>
      <c r="AQ436" s="149">
        <f t="shared" si="219"/>
        <v>5819.25</v>
      </c>
      <c r="AR436" s="21">
        <v>5819.25</v>
      </c>
      <c r="AS436" s="610">
        <v>0</v>
      </c>
      <c r="AT436" s="112">
        <v>5819.25</v>
      </c>
      <c r="AU436" s="4"/>
      <c r="AV436" s="4"/>
      <c r="AW436" s="23" t="e">
        <f>VLOOKUP(K436,#REF!,8,FALSE)</f>
        <v>#REF!</v>
      </c>
      <c r="AX436" s="23" t="e">
        <f>VLOOKUP(K436,#REF!,8,FALSE)</f>
        <v>#REF!</v>
      </c>
      <c r="AY436" s="23" t="e">
        <f>VLOOKUP(K436,#REF!,8,FALSE)</f>
        <v>#REF!</v>
      </c>
      <c r="AZ436" s="4"/>
      <c r="BA436" s="272"/>
      <c r="BB436" s="313">
        <f t="shared" si="241"/>
        <v>0</v>
      </c>
      <c r="BC436" s="269">
        <f t="shared" si="238"/>
        <v>5819.25</v>
      </c>
      <c r="BD436" t="str">
        <f t="shared" si="239"/>
        <v/>
      </c>
      <c r="BP436" s="166">
        <f t="shared" si="236"/>
        <v>5819.25</v>
      </c>
      <c r="BS436" s="165"/>
      <c r="BX436" s="495">
        <f t="shared" si="237"/>
        <v>5819.25</v>
      </c>
      <c r="BZ436" s="636">
        <f t="shared" si="225"/>
        <v>0</v>
      </c>
      <c r="CA436" s="633">
        <f t="shared" si="226"/>
        <v>5819.25</v>
      </c>
    </row>
    <row r="437" spans="1:79" x14ac:dyDescent="0.2">
      <c r="A437" s="4">
        <v>1</v>
      </c>
      <c r="B437" s="4">
        <v>1</v>
      </c>
      <c r="C437" s="5">
        <f t="shared" si="227"/>
        <v>41122</v>
      </c>
      <c r="D437" s="6">
        <v>41122</v>
      </c>
      <c r="E437" s="6">
        <v>43011</v>
      </c>
      <c r="F437" s="6" t="s">
        <v>1606</v>
      </c>
      <c r="G437" s="7"/>
      <c r="H437" s="7"/>
      <c r="I437" s="7" t="s">
        <v>32</v>
      </c>
      <c r="J437" s="7"/>
      <c r="K437" s="29">
        <v>421620</v>
      </c>
      <c r="L437" s="10" t="s">
        <v>945</v>
      </c>
      <c r="M437" s="10" t="s">
        <v>583</v>
      </c>
      <c r="N437" s="10" t="s">
        <v>333</v>
      </c>
      <c r="O437" s="11" t="s">
        <v>970</v>
      </c>
      <c r="P437" s="12">
        <v>42183</v>
      </c>
      <c r="Q437" s="13">
        <f t="shared" ca="1" si="230"/>
        <v>10.236824093086927</v>
      </c>
      <c r="R437" s="14">
        <v>3</v>
      </c>
      <c r="S437" s="15">
        <v>872</v>
      </c>
      <c r="T437" s="8">
        <v>872</v>
      </c>
      <c r="U437" s="16">
        <v>45017</v>
      </c>
      <c r="V437" s="17">
        <v>1</v>
      </c>
      <c r="W437" s="16">
        <v>45382</v>
      </c>
      <c r="X437" s="14">
        <v>192</v>
      </c>
      <c r="Y437" s="18">
        <f t="shared" si="223"/>
        <v>192</v>
      </c>
      <c r="Z437" s="18">
        <f t="shared" si="240"/>
        <v>1</v>
      </c>
      <c r="AA437" s="18" t="s">
        <v>36</v>
      </c>
      <c r="AB437" s="26">
        <v>30</v>
      </c>
      <c r="AC437" s="26"/>
      <c r="AD437" s="26"/>
      <c r="AE437" s="147" t="str">
        <f t="shared" si="220"/>
        <v>0</v>
      </c>
      <c r="AF437" s="147" t="str">
        <f t="shared" si="231"/>
        <v>1</v>
      </c>
      <c r="AG437" s="147" t="str">
        <f t="shared" si="221"/>
        <v>0</v>
      </c>
      <c r="AH437" s="147" t="str">
        <f t="shared" si="232"/>
        <v>NO</v>
      </c>
      <c r="AI437" s="147" t="str">
        <f t="shared" si="233"/>
        <v>NO</v>
      </c>
      <c r="AJ437" s="147" t="str">
        <f t="shared" si="234"/>
        <v>NO</v>
      </c>
      <c r="AK437" s="147" t="str">
        <f t="shared" si="235"/>
        <v>NO</v>
      </c>
      <c r="AL437" s="48"/>
      <c r="AM437" s="48">
        <f t="shared" si="244"/>
        <v>8183.0999999999985</v>
      </c>
      <c r="AN437" s="27" t="s">
        <v>37</v>
      </c>
      <c r="AO437" s="21">
        <v>1</v>
      </c>
      <c r="AP437" s="21">
        <f t="shared" si="245"/>
        <v>1</v>
      </c>
      <c r="AQ437" s="149">
        <f t="shared" si="219"/>
        <v>8183.0999999999985</v>
      </c>
      <c r="AR437" s="21">
        <v>8183.0999999999985</v>
      </c>
      <c r="AS437" s="610">
        <v>8183.0999999999985</v>
      </c>
      <c r="AT437" s="112">
        <v>8183.0999999999985</v>
      </c>
      <c r="AU437" s="4"/>
      <c r="AV437" s="4"/>
      <c r="AW437" s="23" t="e">
        <f>VLOOKUP(K437,#REF!,8,FALSE)</f>
        <v>#REF!</v>
      </c>
      <c r="AX437" s="23" t="e">
        <f>VLOOKUP(K437,#REF!,8,FALSE)</f>
        <v>#REF!</v>
      </c>
      <c r="AY437" s="23" t="e">
        <f>VLOOKUP(K437,#REF!,8,FALSE)</f>
        <v>#REF!</v>
      </c>
      <c r="AZ437" s="4"/>
      <c r="BA437" s="272"/>
      <c r="BB437" s="313">
        <f t="shared" si="241"/>
        <v>0</v>
      </c>
      <c r="BC437" s="269">
        <f t="shared" si="238"/>
        <v>8183.0999999999985</v>
      </c>
      <c r="BD437" t="str">
        <f t="shared" si="239"/>
        <v/>
      </c>
      <c r="BP437" s="166">
        <f t="shared" si="236"/>
        <v>8183.0999999999985</v>
      </c>
      <c r="BS437" s="165"/>
      <c r="BX437" s="495">
        <f t="shared" si="237"/>
        <v>8183.0999999999985</v>
      </c>
      <c r="BZ437" s="636">
        <f t="shared" si="225"/>
        <v>0</v>
      </c>
      <c r="CA437" s="633">
        <f t="shared" si="226"/>
        <v>0</v>
      </c>
    </row>
    <row r="438" spans="1:79" x14ac:dyDescent="0.2">
      <c r="A438" s="4">
        <v>1</v>
      </c>
      <c r="B438" s="4">
        <v>1</v>
      </c>
      <c r="C438" s="5">
        <f t="shared" si="227"/>
        <v>41122</v>
      </c>
      <c r="D438" s="6">
        <v>41122</v>
      </c>
      <c r="E438" s="6">
        <v>43011</v>
      </c>
      <c r="F438" s="6" t="s">
        <v>1606</v>
      </c>
      <c r="G438" s="7"/>
      <c r="H438" s="7"/>
      <c r="I438" s="7" t="s">
        <v>32</v>
      </c>
      <c r="J438" s="7"/>
      <c r="K438" s="29">
        <v>415330</v>
      </c>
      <c r="L438" s="10" t="s">
        <v>945</v>
      </c>
      <c r="M438" s="10" t="s">
        <v>95</v>
      </c>
      <c r="N438" s="10" t="s">
        <v>971</v>
      </c>
      <c r="O438" s="11" t="s">
        <v>972</v>
      </c>
      <c r="P438" s="12">
        <v>41865</v>
      </c>
      <c r="Q438" s="13">
        <f t="shared" ca="1" si="230"/>
        <v>11.107460643394935</v>
      </c>
      <c r="R438" s="14">
        <v>4</v>
      </c>
      <c r="S438" s="15">
        <v>872</v>
      </c>
      <c r="T438" s="8">
        <v>872</v>
      </c>
      <c r="U438" s="16">
        <v>45017</v>
      </c>
      <c r="V438" s="17">
        <v>1</v>
      </c>
      <c r="W438" s="16">
        <v>45382</v>
      </c>
      <c r="X438" s="14">
        <v>192</v>
      </c>
      <c r="Y438" s="18">
        <f t="shared" si="223"/>
        <v>192</v>
      </c>
      <c r="Z438" s="18">
        <f t="shared" si="240"/>
        <v>1</v>
      </c>
      <c r="AA438" s="18" t="s">
        <v>36</v>
      </c>
      <c r="AB438" s="26">
        <v>30</v>
      </c>
      <c r="AC438" s="26"/>
      <c r="AD438" s="26"/>
      <c r="AE438" s="147" t="str">
        <f t="shared" si="220"/>
        <v>0</v>
      </c>
      <c r="AF438" s="147" t="str">
        <f t="shared" si="231"/>
        <v>1</v>
      </c>
      <c r="AG438" s="147" t="str">
        <f t="shared" si="221"/>
        <v>0</v>
      </c>
      <c r="AH438" s="147" t="str">
        <f t="shared" si="232"/>
        <v>NO</v>
      </c>
      <c r="AI438" s="147" t="str">
        <f t="shared" si="233"/>
        <v>NO</v>
      </c>
      <c r="AJ438" s="147" t="str">
        <f t="shared" si="234"/>
        <v>NO</v>
      </c>
      <c r="AK438" s="147" t="str">
        <f t="shared" si="235"/>
        <v>NO</v>
      </c>
      <c r="AL438" s="21"/>
      <c r="AM438" s="21">
        <f t="shared" si="244"/>
        <v>8183.0999999999985</v>
      </c>
      <c r="AN438" s="27" t="s">
        <v>56</v>
      </c>
      <c r="AO438" s="21">
        <v>1</v>
      </c>
      <c r="AP438" s="21">
        <f t="shared" si="245"/>
        <v>1</v>
      </c>
      <c r="AQ438" s="149">
        <f t="shared" si="219"/>
        <v>8183.0999999999985</v>
      </c>
      <c r="AR438" s="21">
        <v>8183.0999999999985</v>
      </c>
      <c r="AS438" s="610">
        <v>8183.0999999999985</v>
      </c>
      <c r="AT438" s="112">
        <v>8183.0999999999985</v>
      </c>
      <c r="AU438" s="4"/>
      <c r="AV438" s="4"/>
      <c r="AW438" s="23" t="e">
        <f>VLOOKUP(K438,#REF!,8,FALSE)</f>
        <v>#REF!</v>
      </c>
      <c r="AX438" s="23" t="e">
        <f>VLOOKUP(K438,#REF!,8,FALSE)</f>
        <v>#REF!</v>
      </c>
      <c r="AY438" s="23" t="e">
        <f>VLOOKUP(K438,#REF!,8,FALSE)</f>
        <v>#REF!</v>
      </c>
      <c r="AZ438" s="4"/>
      <c r="BA438" s="272"/>
      <c r="BB438" s="313">
        <f t="shared" si="241"/>
        <v>0</v>
      </c>
      <c r="BC438" s="269">
        <f t="shared" si="238"/>
        <v>8183.0999999999985</v>
      </c>
      <c r="BD438" t="str">
        <f t="shared" si="239"/>
        <v/>
      </c>
      <c r="BP438" s="166">
        <f t="shared" si="236"/>
        <v>8183.0999999999985</v>
      </c>
      <c r="BS438" s="165"/>
      <c r="BX438" s="495">
        <f t="shared" si="237"/>
        <v>8183.0999999999985</v>
      </c>
      <c r="BZ438" s="636">
        <f t="shared" si="225"/>
        <v>0</v>
      </c>
      <c r="CA438" s="633">
        <f t="shared" si="226"/>
        <v>0</v>
      </c>
    </row>
    <row r="439" spans="1:79" x14ac:dyDescent="0.2">
      <c r="A439" s="4">
        <v>1</v>
      </c>
      <c r="B439" s="4">
        <v>1</v>
      </c>
      <c r="C439" s="5">
        <f t="shared" si="227"/>
        <v>41122</v>
      </c>
      <c r="D439" s="6">
        <v>41122</v>
      </c>
      <c r="E439" s="6">
        <v>43011</v>
      </c>
      <c r="F439" s="6" t="s">
        <v>1606</v>
      </c>
      <c r="G439" s="7"/>
      <c r="H439" s="7"/>
      <c r="I439" s="7" t="s">
        <v>32</v>
      </c>
      <c r="J439" s="7"/>
      <c r="K439" s="29">
        <v>399848</v>
      </c>
      <c r="L439" s="10" t="s">
        <v>945</v>
      </c>
      <c r="M439" s="10" t="s">
        <v>973</v>
      </c>
      <c r="N439" s="10" t="s">
        <v>339</v>
      </c>
      <c r="O439" s="11" t="s">
        <v>974</v>
      </c>
      <c r="P439" s="12">
        <v>40905</v>
      </c>
      <c r="Q439" s="13">
        <f t="shared" ca="1" si="230"/>
        <v>13.735797399041752</v>
      </c>
      <c r="R439" s="14">
        <v>6</v>
      </c>
      <c r="S439" s="15">
        <v>872</v>
      </c>
      <c r="T439" s="8">
        <v>872</v>
      </c>
      <c r="U439" s="16">
        <v>45017</v>
      </c>
      <c r="V439" s="17">
        <v>1</v>
      </c>
      <c r="W439" s="16">
        <v>45128</v>
      </c>
      <c r="X439" s="14">
        <v>63</v>
      </c>
      <c r="Y439" s="18">
        <f t="shared" si="223"/>
        <v>63</v>
      </c>
      <c r="Z439" s="18">
        <f t="shared" si="240"/>
        <v>0.328125</v>
      </c>
      <c r="AA439" s="18" t="s">
        <v>48</v>
      </c>
      <c r="AB439" s="26">
        <v>25</v>
      </c>
      <c r="AC439" s="26"/>
      <c r="AD439" s="26"/>
      <c r="AE439" s="147" t="str">
        <f t="shared" si="220"/>
        <v>1</v>
      </c>
      <c r="AF439" s="147" t="str">
        <f t="shared" si="231"/>
        <v>0</v>
      </c>
      <c r="AG439" s="147" t="str">
        <f t="shared" si="221"/>
        <v>0</v>
      </c>
      <c r="AH439" s="147" t="str">
        <f t="shared" si="232"/>
        <v>NO</v>
      </c>
      <c r="AI439" s="147" t="str">
        <f t="shared" si="233"/>
        <v>NO</v>
      </c>
      <c r="AJ439" s="147" t="str">
        <f t="shared" si="234"/>
        <v>NO</v>
      </c>
      <c r="AK439" s="147" t="str">
        <f t="shared" si="235"/>
        <v>NO</v>
      </c>
      <c r="AL439" s="21"/>
      <c r="AM439" s="21">
        <f t="shared" si="244"/>
        <v>5819.25</v>
      </c>
      <c r="AN439" s="27" t="s">
        <v>56</v>
      </c>
      <c r="AO439" s="21">
        <v>1</v>
      </c>
      <c r="AP439" s="21">
        <f t="shared" si="245"/>
        <v>0.328125</v>
      </c>
      <c r="AQ439" s="149">
        <f t="shared" si="219"/>
        <v>1909.44140625</v>
      </c>
      <c r="AR439" s="21">
        <v>1909.44140625</v>
      </c>
      <c r="AS439" s="610">
        <v>1909.44140625</v>
      </c>
      <c r="AT439" s="112">
        <v>1909.44140625</v>
      </c>
      <c r="AU439" s="4"/>
      <c r="AV439" s="4"/>
      <c r="AW439" s="23" t="e">
        <f>VLOOKUP(K439,#REF!,8,FALSE)</f>
        <v>#REF!</v>
      </c>
      <c r="AX439" s="264" t="s">
        <v>2208</v>
      </c>
      <c r="AY439" s="23" t="e">
        <f>VLOOKUP(K439,#REF!,8,FALSE)</f>
        <v>#REF!</v>
      </c>
      <c r="AZ439" s="23" t="s">
        <v>75</v>
      </c>
      <c r="BA439" s="273">
        <f>AM439/3*2</f>
        <v>3879.5</v>
      </c>
      <c r="BB439" s="313">
        <f t="shared" si="241"/>
        <v>0</v>
      </c>
      <c r="BC439" s="269">
        <f t="shared" si="238"/>
        <v>1909.44140625</v>
      </c>
      <c r="BD439" t="e">
        <f t="shared" si="239"/>
        <v>#REF!</v>
      </c>
      <c r="BE439" t="s">
        <v>2396</v>
      </c>
      <c r="BH439" t="e">
        <f>VLOOKUP(K439,#REF!,8,FALSE)</f>
        <v>#REF!</v>
      </c>
      <c r="BJ439">
        <f>AB439</f>
        <v>25</v>
      </c>
      <c r="BK439" s="269">
        <f>AM439</f>
        <v>5819.25</v>
      </c>
      <c r="BL439" s="353"/>
      <c r="BM439" s="353" t="s">
        <v>75</v>
      </c>
      <c r="BN439" s="353"/>
      <c r="BO439" s="106">
        <f>BK439/192*127</f>
        <v>3849.19140625</v>
      </c>
      <c r="BP439" s="166">
        <f t="shared" si="236"/>
        <v>5758.6328125</v>
      </c>
      <c r="BQ439" s="106">
        <v>3849.19140625</v>
      </c>
      <c r="BR439" t="s">
        <v>2446</v>
      </c>
      <c r="BS439" s="165"/>
      <c r="BX439" s="495">
        <f t="shared" si="237"/>
        <v>5758.6328125</v>
      </c>
      <c r="BZ439" s="636">
        <f t="shared" si="225"/>
        <v>0</v>
      </c>
      <c r="CA439" s="633">
        <f t="shared" si="226"/>
        <v>3849.19140625</v>
      </c>
    </row>
    <row r="440" spans="1:79" x14ac:dyDescent="0.2">
      <c r="A440" s="4">
        <v>0</v>
      </c>
      <c r="B440" s="4">
        <v>1</v>
      </c>
      <c r="C440" s="5">
        <f t="shared" si="227"/>
        <v>41153</v>
      </c>
      <c r="D440" s="6">
        <v>41153</v>
      </c>
      <c r="E440" s="6">
        <v>43011</v>
      </c>
      <c r="F440" s="6" t="s">
        <v>1606</v>
      </c>
      <c r="G440" s="7"/>
      <c r="H440" s="7"/>
      <c r="I440" s="7" t="s">
        <v>32</v>
      </c>
      <c r="J440" s="7"/>
      <c r="K440" s="29">
        <v>438647</v>
      </c>
      <c r="L440" s="10" t="s">
        <v>975</v>
      </c>
      <c r="M440" s="10" t="s">
        <v>976</v>
      </c>
      <c r="N440" s="10" t="s">
        <v>977</v>
      </c>
      <c r="O440" s="11" t="s">
        <v>978</v>
      </c>
      <c r="P440" s="12">
        <v>42653</v>
      </c>
      <c r="Q440" s="13">
        <f t="shared" ca="1" si="230"/>
        <v>8.9500342231348391</v>
      </c>
      <c r="R440" s="14">
        <v>1</v>
      </c>
      <c r="S440" s="15">
        <v>872</v>
      </c>
      <c r="T440" s="8">
        <v>872</v>
      </c>
      <c r="U440" s="16">
        <v>45017</v>
      </c>
      <c r="V440" s="17">
        <v>1</v>
      </c>
      <c r="W440" s="16">
        <v>45017</v>
      </c>
      <c r="X440" s="14">
        <v>0</v>
      </c>
      <c r="Y440" s="18">
        <f t="shared" si="223"/>
        <v>0</v>
      </c>
      <c r="Z440" s="18">
        <f t="shared" si="240"/>
        <v>0</v>
      </c>
      <c r="AA440" s="16">
        <v>45017</v>
      </c>
      <c r="AB440" s="26">
        <v>30</v>
      </c>
      <c r="AC440" s="26"/>
      <c r="AD440" s="26"/>
      <c r="AE440" s="147" t="str">
        <f t="shared" si="220"/>
        <v>0</v>
      </c>
      <c r="AF440" s="147" t="str">
        <f t="shared" si="231"/>
        <v>1</v>
      </c>
      <c r="AG440" s="147" t="str">
        <f t="shared" si="221"/>
        <v>0</v>
      </c>
      <c r="AH440" s="147" t="str">
        <f t="shared" si="232"/>
        <v>NO</v>
      </c>
      <c r="AI440" s="147" t="str">
        <f t="shared" si="233"/>
        <v>NO</v>
      </c>
      <c r="AJ440" s="147" t="str">
        <f t="shared" si="234"/>
        <v>NO</v>
      </c>
      <c r="AK440" s="147" t="str">
        <f t="shared" si="235"/>
        <v>NO</v>
      </c>
      <c r="AL440" s="21"/>
      <c r="AM440" s="21">
        <f t="shared" si="244"/>
        <v>8183.0999999999985</v>
      </c>
      <c r="AN440" s="27" t="s">
        <v>37</v>
      </c>
      <c r="AO440" s="21">
        <v>1</v>
      </c>
      <c r="AP440" s="21">
        <f t="shared" si="245"/>
        <v>0</v>
      </c>
      <c r="AQ440" s="149">
        <f t="shared" si="219"/>
        <v>0</v>
      </c>
      <c r="AR440" s="21">
        <v>0</v>
      </c>
      <c r="AS440" s="610">
        <v>8183.0999999999985</v>
      </c>
      <c r="AT440" s="112">
        <v>0</v>
      </c>
      <c r="AU440" s="4"/>
      <c r="AV440" s="4"/>
      <c r="AW440" s="23" t="e">
        <f>VLOOKUP(K440,#REF!,8,FALSE)</f>
        <v>#REF!</v>
      </c>
      <c r="AX440" s="23" t="e">
        <f>VLOOKUP(K440,#REF!,8,FALSE)</f>
        <v>#REF!</v>
      </c>
      <c r="AY440" s="23" t="e">
        <f>VLOOKUP(K440,#REF!,8,FALSE)</f>
        <v>#REF!</v>
      </c>
      <c r="AZ440" s="4"/>
      <c r="BA440" s="272"/>
      <c r="BB440" s="313">
        <f t="shared" si="241"/>
        <v>0</v>
      </c>
      <c r="BC440" s="269">
        <f t="shared" si="238"/>
        <v>0</v>
      </c>
      <c r="BD440" t="str">
        <f t="shared" si="239"/>
        <v/>
      </c>
      <c r="BP440" s="166">
        <f t="shared" si="236"/>
        <v>0</v>
      </c>
      <c r="BS440" s="165"/>
      <c r="BX440" s="495">
        <f t="shared" si="237"/>
        <v>0</v>
      </c>
      <c r="BZ440" s="636">
        <f t="shared" si="225"/>
        <v>0</v>
      </c>
      <c r="CA440" s="633">
        <f t="shared" si="226"/>
        <v>-8183.0999999999985</v>
      </c>
    </row>
    <row r="441" spans="1:79" x14ac:dyDescent="0.2">
      <c r="A441" s="4">
        <v>1</v>
      </c>
      <c r="B441" s="4">
        <v>1</v>
      </c>
      <c r="C441" s="5">
        <f t="shared" si="227"/>
        <v>41153</v>
      </c>
      <c r="D441" s="6">
        <v>41153</v>
      </c>
      <c r="E441" s="6">
        <v>43011</v>
      </c>
      <c r="F441" s="6" t="s">
        <v>1606</v>
      </c>
      <c r="G441" s="7"/>
      <c r="H441" s="7"/>
      <c r="I441" s="7" t="s">
        <v>32</v>
      </c>
      <c r="J441" s="7"/>
      <c r="K441" s="29">
        <v>448924</v>
      </c>
      <c r="L441" s="10" t="s">
        <v>975</v>
      </c>
      <c r="M441" s="10" t="s">
        <v>979</v>
      </c>
      <c r="N441" s="10" t="s">
        <v>822</v>
      </c>
      <c r="O441" s="11" t="s">
        <v>980</v>
      </c>
      <c r="P441" s="12">
        <v>43617</v>
      </c>
      <c r="Q441" s="13">
        <f t="shared" ca="1" si="230"/>
        <v>6.3107460643394937</v>
      </c>
      <c r="R441" s="14">
        <v>-1</v>
      </c>
      <c r="S441" s="15">
        <v>872</v>
      </c>
      <c r="T441" s="8">
        <v>872</v>
      </c>
      <c r="U441" s="16">
        <v>45017</v>
      </c>
      <c r="V441" s="17">
        <v>1</v>
      </c>
      <c r="W441" s="16">
        <v>45017</v>
      </c>
      <c r="X441" s="14">
        <v>0</v>
      </c>
      <c r="Y441" s="18">
        <f t="shared" si="223"/>
        <v>0</v>
      </c>
      <c r="Z441" s="18">
        <f t="shared" si="240"/>
        <v>0</v>
      </c>
      <c r="AA441" s="18" t="s">
        <v>36</v>
      </c>
      <c r="AB441" s="26">
        <v>30</v>
      </c>
      <c r="AC441" s="26"/>
      <c r="AD441" s="26"/>
      <c r="AE441" s="147" t="str">
        <f t="shared" si="220"/>
        <v>0</v>
      </c>
      <c r="AF441" s="147" t="str">
        <f t="shared" si="231"/>
        <v>1</v>
      </c>
      <c r="AG441" s="147" t="str">
        <f t="shared" si="221"/>
        <v>0</v>
      </c>
      <c r="AH441" s="147" t="str">
        <f t="shared" si="232"/>
        <v>NO</v>
      </c>
      <c r="AI441" s="147" t="str">
        <f t="shared" si="233"/>
        <v>NO</v>
      </c>
      <c r="AJ441" s="147" t="str">
        <f t="shared" si="234"/>
        <v>NO</v>
      </c>
      <c r="AK441" s="147" t="str">
        <f t="shared" si="235"/>
        <v>NO</v>
      </c>
      <c r="AL441" s="21"/>
      <c r="AM441" s="21">
        <f t="shared" si="244"/>
        <v>8183.0999999999985</v>
      </c>
      <c r="AN441" s="27" t="s">
        <v>37</v>
      </c>
      <c r="AO441" s="124">
        <v>0.5</v>
      </c>
      <c r="AP441" s="21">
        <f t="shared" si="245"/>
        <v>0</v>
      </c>
      <c r="AQ441" s="149">
        <f t="shared" si="219"/>
        <v>0</v>
      </c>
      <c r="AR441" s="21">
        <v>4091.5499999999993</v>
      </c>
      <c r="AS441" s="610">
        <v>0</v>
      </c>
      <c r="AT441" s="112">
        <v>4091.5499999999993</v>
      </c>
      <c r="AU441" s="4"/>
      <c r="AV441" s="4"/>
      <c r="AW441" s="23" t="e">
        <f>VLOOKUP(K441,#REF!,8,FALSE)</f>
        <v>#REF!</v>
      </c>
      <c r="AX441" s="23" t="e">
        <f>VLOOKUP(K441,#REF!,8,FALSE)</f>
        <v>#REF!</v>
      </c>
      <c r="AY441" s="23" t="e">
        <f>VLOOKUP(K441,#REF!,8,FALSE)</f>
        <v>#REF!</v>
      </c>
      <c r="AZ441" s="4"/>
      <c r="BA441" s="272"/>
      <c r="BB441" s="313">
        <f>BC441</f>
        <v>4091.5499999999993</v>
      </c>
      <c r="BC441" s="269">
        <v>4091.5499999999993</v>
      </c>
      <c r="BD441" t="s">
        <v>2448</v>
      </c>
      <c r="BP441" s="166">
        <f t="shared" si="236"/>
        <v>4091.5499999999993</v>
      </c>
      <c r="BS441" s="165" t="s">
        <v>2496</v>
      </c>
      <c r="BX441" s="495">
        <f t="shared" si="237"/>
        <v>0</v>
      </c>
      <c r="BZ441" s="636">
        <f t="shared" si="225"/>
        <v>-4091.5499999999993</v>
      </c>
      <c r="CA441" s="633">
        <f t="shared" si="226"/>
        <v>0</v>
      </c>
    </row>
    <row r="442" spans="1:79" x14ac:dyDescent="0.2">
      <c r="A442" s="4">
        <v>1</v>
      </c>
      <c r="B442" s="4">
        <v>1</v>
      </c>
      <c r="C442" s="5">
        <f t="shared" si="227"/>
        <v>41153</v>
      </c>
      <c r="D442" s="6">
        <v>41153</v>
      </c>
      <c r="E442" s="6">
        <v>43011</v>
      </c>
      <c r="F442" s="6" t="s">
        <v>1606</v>
      </c>
      <c r="G442" s="7"/>
      <c r="H442" s="7"/>
      <c r="I442" s="7" t="s">
        <v>32</v>
      </c>
      <c r="J442" s="7"/>
      <c r="K442" s="29">
        <v>419575</v>
      </c>
      <c r="L442" s="10" t="s">
        <v>975</v>
      </c>
      <c r="M442" s="10" t="s">
        <v>427</v>
      </c>
      <c r="N442" s="10" t="s">
        <v>206</v>
      </c>
      <c r="O442" s="11" t="str">
        <f>M442&amp;N442</f>
        <v>JacobBrown</v>
      </c>
      <c r="P442" s="12">
        <v>42037</v>
      </c>
      <c r="Q442" s="13">
        <f t="shared" ca="1" si="230"/>
        <v>10.636550308008214</v>
      </c>
      <c r="R442" s="14">
        <v>3</v>
      </c>
      <c r="S442" s="15">
        <v>872</v>
      </c>
      <c r="T442" s="8">
        <v>872</v>
      </c>
      <c r="U442" s="16">
        <v>45017</v>
      </c>
      <c r="V442" s="17">
        <v>1</v>
      </c>
      <c r="W442" s="16">
        <v>45382</v>
      </c>
      <c r="X442" s="14">
        <v>192</v>
      </c>
      <c r="Y442" s="18">
        <f t="shared" si="223"/>
        <v>192</v>
      </c>
      <c r="Z442" s="18">
        <f t="shared" si="240"/>
        <v>1</v>
      </c>
      <c r="AA442" s="18" t="s">
        <v>36</v>
      </c>
      <c r="AB442" s="26">
        <v>25</v>
      </c>
      <c r="AC442" s="26"/>
      <c r="AD442" s="26"/>
      <c r="AE442" s="147" t="str">
        <f t="shared" si="220"/>
        <v>1</v>
      </c>
      <c r="AF442" s="147" t="str">
        <f t="shared" si="231"/>
        <v>0</v>
      </c>
      <c r="AG442" s="147" t="str">
        <f t="shared" si="221"/>
        <v>0</v>
      </c>
      <c r="AH442" s="147" t="str">
        <f t="shared" si="232"/>
        <v>NO</v>
      </c>
      <c r="AI442" s="147" t="str">
        <f t="shared" si="233"/>
        <v>NO</v>
      </c>
      <c r="AJ442" s="147" t="str">
        <f t="shared" si="234"/>
        <v>NO</v>
      </c>
      <c r="AK442" s="147" t="str">
        <f t="shared" si="235"/>
        <v>NO</v>
      </c>
      <c r="AL442" s="21"/>
      <c r="AM442" s="21">
        <f t="shared" si="244"/>
        <v>5819.25</v>
      </c>
      <c r="AN442" s="27" t="s">
        <v>43</v>
      </c>
      <c r="AO442" s="21">
        <v>1</v>
      </c>
      <c r="AP442" s="21">
        <f t="shared" si="245"/>
        <v>1</v>
      </c>
      <c r="AQ442" s="149">
        <f t="shared" si="219"/>
        <v>5819.25</v>
      </c>
      <c r="AR442" s="21">
        <v>5819.25</v>
      </c>
      <c r="AS442" s="610">
        <v>5819.25</v>
      </c>
      <c r="AT442" s="112">
        <v>5819.25</v>
      </c>
      <c r="AU442" s="4"/>
      <c r="AV442" s="4"/>
      <c r="AW442" s="23" t="e">
        <f>VLOOKUP(K442,#REF!,8,FALSE)</f>
        <v>#REF!</v>
      </c>
      <c r="AX442" s="23" t="e">
        <f>VLOOKUP(K442,#REF!,8,FALSE)</f>
        <v>#REF!</v>
      </c>
      <c r="AY442" s="23" t="e">
        <f>VLOOKUP(K442,#REF!,8,FALSE)</f>
        <v>#REF!</v>
      </c>
      <c r="AZ442" s="4"/>
      <c r="BA442" s="272"/>
      <c r="BB442" s="313">
        <f t="shared" ref="BB442:BB473" si="246">BC442-AT442</f>
        <v>0</v>
      </c>
      <c r="BC442" s="269">
        <f t="shared" ref="BC442:BC473" si="247">AR442</f>
        <v>5819.25</v>
      </c>
      <c r="BD442" t="str">
        <f t="shared" ref="BD442:BD473" si="248">BG442&amp;BH442&amp;BI442</f>
        <v/>
      </c>
      <c r="BP442" s="166">
        <f t="shared" si="236"/>
        <v>5819.25</v>
      </c>
      <c r="BS442" s="165"/>
      <c r="BX442" s="495">
        <f t="shared" si="237"/>
        <v>5819.25</v>
      </c>
      <c r="BZ442" s="636">
        <f t="shared" si="225"/>
        <v>0</v>
      </c>
      <c r="CA442" s="633">
        <f t="shared" si="226"/>
        <v>0</v>
      </c>
    </row>
    <row r="443" spans="1:79" x14ac:dyDescent="0.2">
      <c r="A443" s="4">
        <v>1</v>
      </c>
      <c r="B443" s="4">
        <v>1</v>
      </c>
      <c r="C443" s="5">
        <f t="shared" si="227"/>
        <v>41153</v>
      </c>
      <c r="D443" s="6">
        <v>41153</v>
      </c>
      <c r="E443" s="6">
        <v>43011</v>
      </c>
      <c r="F443" s="6" t="s">
        <v>1606</v>
      </c>
      <c r="G443" s="7"/>
      <c r="H443" s="7"/>
      <c r="I443" s="7" t="s">
        <v>32</v>
      </c>
      <c r="J443" s="7"/>
      <c r="K443" s="29">
        <v>433163</v>
      </c>
      <c r="L443" s="10" t="s">
        <v>975</v>
      </c>
      <c r="M443" s="10" t="s">
        <v>427</v>
      </c>
      <c r="N443" s="10" t="s">
        <v>981</v>
      </c>
      <c r="O443" s="11" t="str">
        <f>M443&amp;N443</f>
        <v>JacobTaylor-Glover</v>
      </c>
      <c r="P443" s="12">
        <v>43123</v>
      </c>
      <c r="Q443" s="13">
        <f t="shared" ca="1" si="230"/>
        <v>7.6632443531827512</v>
      </c>
      <c r="R443" s="14">
        <v>0</v>
      </c>
      <c r="S443" s="15">
        <v>872</v>
      </c>
      <c r="T443" s="8">
        <v>872</v>
      </c>
      <c r="U443" s="16">
        <v>45017</v>
      </c>
      <c r="V443" s="17">
        <v>1</v>
      </c>
      <c r="W443" s="16">
        <v>45382</v>
      </c>
      <c r="X443" s="14">
        <v>192</v>
      </c>
      <c r="Y443" s="18">
        <f t="shared" si="223"/>
        <v>192</v>
      </c>
      <c r="Z443" s="18">
        <f t="shared" si="240"/>
        <v>1</v>
      </c>
      <c r="AA443" s="18" t="s">
        <v>36</v>
      </c>
      <c r="AB443" s="26">
        <v>30</v>
      </c>
      <c r="AC443" s="26"/>
      <c r="AD443" s="26"/>
      <c r="AE443" s="147" t="str">
        <f t="shared" si="220"/>
        <v>0</v>
      </c>
      <c r="AF443" s="147" t="str">
        <f t="shared" si="231"/>
        <v>1</v>
      </c>
      <c r="AG443" s="147" t="str">
        <f t="shared" si="221"/>
        <v>0</v>
      </c>
      <c r="AH443" s="147" t="str">
        <f t="shared" si="232"/>
        <v>NO</v>
      </c>
      <c r="AI443" s="147" t="str">
        <f t="shared" si="233"/>
        <v>NO</v>
      </c>
      <c r="AJ443" s="147" t="str">
        <f t="shared" si="234"/>
        <v>NO</v>
      </c>
      <c r="AK443" s="147" t="str">
        <f t="shared" si="235"/>
        <v>NO</v>
      </c>
      <c r="AL443" s="21"/>
      <c r="AM443" s="21">
        <f t="shared" si="244"/>
        <v>8183.0999999999985</v>
      </c>
      <c r="AN443" s="27"/>
      <c r="AO443" s="21">
        <v>1</v>
      </c>
      <c r="AP443" s="21">
        <f t="shared" si="245"/>
        <v>1</v>
      </c>
      <c r="AQ443" s="149">
        <f t="shared" si="219"/>
        <v>8183.0999999999985</v>
      </c>
      <c r="AR443" s="21">
        <v>8183.0999999999985</v>
      </c>
      <c r="AS443" s="610">
        <v>8183.0999999999985</v>
      </c>
      <c r="AT443" s="112">
        <v>8183.0999999999985</v>
      </c>
      <c r="AU443" s="4"/>
      <c r="AV443" s="4"/>
      <c r="AW443" s="23" t="e">
        <f>VLOOKUP(K443,#REF!,8,FALSE)</f>
        <v>#REF!</v>
      </c>
      <c r="AX443" s="23" t="e">
        <f>VLOOKUP(K443,#REF!,8,FALSE)</f>
        <v>#REF!</v>
      </c>
      <c r="AY443" s="23" t="e">
        <f>VLOOKUP(K443,#REF!,8,FALSE)</f>
        <v>#REF!</v>
      </c>
      <c r="AZ443" s="4"/>
      <c r="BA443" s="272"/>
      <c r="BB443" s="313">
        <f t="shared" si="246"/>
        <v>0</v>
      </c>
      <c r="BC443" s="269">
        <f t="shared" si="247"/>
        <v>8183.0999999999985</v>
      </c>
      <c r="BD443" t="str">
        <f t="shared" si="248"/>
        <v/>
      </c>
      <c r="BP443" s="166">
        <f t="shared" si="236"/>
        <v>8183.0999999999985</v>
      </c>
      <c r="BS443" s="165"/>
      <c r="BX443" s="495">
        <f t="shared" si="237"/>
        <v>8183.0999999999985</v>
      </c>
      <c r="BZ443" s="636">
        <f t="shared" si="225"/>
        <v>0</v>
      </c>
      <c r="CA443" s="633">
        <f t="shared" si="226"/>
        <v>0</v>
      </c>
    </row>
    <row r="444" spans="1:79" x14ac:dyDescent="0.2">
      <c r="A444" s="4">
        <v>1</v>
      </c>
      <c r="B444" s="4">
        <v>1</v>
      </c>
      <c r="C444" s="5">
        <f t="shared" si="227"/>
        <v>41153</v>
      </c>
      <c r="D444" s="6">
        <v>41153</v>
      </c>
      <c r="E444" s="6">
        <v>43011</v>
      </c>
      <c r="F444" s="6" t="s">
        <v>1606</v>
      </c>
      <c r="G444" s="7"/>
      <c r="H444" s="7"/>
      <c r="I444" s="7" t="s">
        <v>32</v>
      </c>
      <c r="J444" s="7"/>
      <c r="K444" s="29">
        <v>407658</v>
      </c>
      <c r="L444" s="10" t="s">
        <v>975</v>
      </c>
      <c r="M444" s="10" t="s">
        <v>63</v>
      </c>
      <c r="N444" s="10" t="s">
        <v>982</v>
      </c>
      <c r="O444" s="11" t="s">
        <v>983</v>
      </c>
      <c r="P444" s="12">
        <v>41300</v>
      </c>
      <c r="Q444" s="13">
        <f t="shared" ca="1" si="230"/>
        <v>12.654346338124572</v>
      </c>
      <c r="R444" s="14">
        <v>5</v>
      </c>
      <c r="S444" s="15">
        <v>872</v>
      </c>
      <c r="T444" s="8">
        <v>872</v>
      </c>
      <c r="U444" s="16">
        <v>45017</v>
      </c>
      <c r="V444" s="17">
        <v>1</v>
      </c>
      <c r="W444" s="16">
        <v>45382</v>
      </c>
      <c r="X444" s="14">
        <v>192</v>
      </c>
      <c r="Y444" s="18">
        <f t="shared" si="223"/>
        <v>192</v>
      </c>
      <c r="Z444" s="18">
        <f t="shared" si="240"/>
        <v>1</v>
      </c>
      <c r="AA444" s="18" t="s">
        <v>36</v>
      </c>
      <c r="AB444" s="26">
        <v>23</v>
      </c>
      <c r="AC444" s="26"/>
      <c r="AD444" s="26"/>
      <c r="AE444" s="147" t="str">
        <f t="shared" si="220"/>
        <v>1</v>
      </c>
      <c r="AF444" s="147" t="str">
        <f t="shared" si="231"/>
        <v>0</v>
      </c>
      <c r="AG444" s="147" t="str">
        <f t="shared" si="221"/>
        <v>0</v>
      </c>
      <c r="AH444" s="147" t="str">
        <f t="shared" si="232"/>
        <v>NO</v>
      </c>
      <c r="AI444" s="147" t="str">
        <f t="shared" si="233"/>
        <v>NO</v>
      </c>
      <c r="AJ444" s="147" t="str">
        <f t="shared" si="234"/>
        <v>NO</v>
      </c>
      <c r="AK444" s="147" t="str">
        <f t="shared" si="235"/>
        <v>NO</v>
      </c>
      <c r="AL444" s="21"/>
      <c r="AM444" s="21">
        <f t="shared" si="244"/>
        <v>4873.7099999999991</v>
      </c>
      <c r="AN444" s="27" t="s">
        <v>56</v>
      </c>
      <c r="AO444" s="21">
        <v>1</v>
      </c>
      <c r="AP444" s="21">
        <f t="shared" si="245"/>
        <v>1</v>
      </c>
      <c r="AQ444" s="149">
        <f t="shared" si="219"/>
        <v>4873.7099999999991</v>
      </c>
      <c r="AR444" s="21">
        <v>4873.7099999999991</v>
      </c>
      <c r="AS444" s="610">
        <v>4873.7099999999991</v>
      </c>
      <c r="AT444" s="112">
        <v>4873.7099999999991</v>
      </c>
      <c r="AU444" s="4"/>
      <c r="AV444" s="4"/>
      <c r="AW444" s="23" t="e">
        <f>VLOOKUP(K444,#REF!,8,FALSE)</f>
        <v>#REF!</v>
      </c>
      <c r="AX444" s="23" t="e">
        <f>VLOOKUP(K444,#REF!,8,FALSE)</f>
        <v>#REF!</v>
      </c>
      <c r="AY444" s="23" t="e">
        <f>VLOOKUP(K444,#REF!,8,FALSE)</f>
        <v>#REF!</v>
      </c>
      <c r="AZ444" s="4"/>
      <c r="BA444" s="272"/>
      <c r="BB444" s="313">
        <f t="shared" si="246"/>
        <v>0</v>
      </c>
      <c r="BC444" s="269">
        <f t="shared" si="247"/>
        <v>4873.7099999999991</v>
      </c>
      <c r="BD444" t="str">
        <f t="shared" si="248"/>
        <v/>
      </c>
      <c r="BP444" s="166">
        <f t="shared" si="236"/>
        <v>4873.7099999999991</v>
      </c>
      <c r="BS444" s="165"/>
      <c r="BX444" s="495">
        <f t="shared" si="237"/>
        <v>4873.7099999999991</v>
      </c>
      <c r="BZ444" s="636">
        <f t="shared" si="225"/>
        <v>0</v>
      </c>
      <c r="CA444" s="633">
        <f t="shared" si="226"/>
        <v>0</v>
      </c>
    </row>
    <row r="445" spans="1:79" x14ac:dyDescent="0.2">
      <c r="A445" s="4">
        <v>1</v>
      </c>
      <c r="B445" s="4">
        <v>1</v>
      </c>
      <c r="C445" s="5">
        <f t="shared" si="227"/>
        <v>41153</v>
      </c>
      <c r="D445" s="6">
        <v>41153</v>
      </c>
      <c r="E445" s="6">
        <v>43011</v>
      </c>
      <c r="F445" s="6" t="s">
        <v>1606</v>
      </c>
      <c r="G445" s="7"/>
      <c r="H445" s="7"/>
      <c r="I445" s="7" t="s">
        <v>32</v>
      </c>
      <c r="J445" s="7"/>
      <c r="K445" s="29">
        <v>436857</v>
      </c>
      <c r="L445" s="10" t="s">
        <v>975</v>
      </c>
      <c r="M445" s="10" t="s">
        <v>506</v>
      </c>
      <c r="N445" s="10" t="s">
        <v>984</v>
      </c>
      <c r="O445" s="11" t="s">
        <v>985</v>
      </c>
      <c r="P445" s="12">
        <v>41784</v>
      </c>
      <c r="Q445" s="13">
        <f t="shared" ca="1" si="230"/>
        <v>11.329226557152635</v>
      </c>
      <c r="R445" s="14">
        <v>4</v>
      </c>
      <c r="S445" s="15">
        <v>872</v>
      </c>
      <c r="T445" s="8">
        <v>872</v>
      </c>
      <c r="U445" s="16">
        <v>45017</v>
      </c>
      <c r="V445" s="17">
        <v>1</v>
      </c>
      <c r="W445" s="16">
        <v>45382</v>
      </c>
      <c r="X445" s="14">
        <v>192</v>
      </c>
      <c r="Y445" s="18">
        <f t="shared" si="223"/>
        <v>192</v>
      </c>
      <c r="Z445" s="18">
        <f t="shared" si="240"/>
        <v>1</v>
      </c>
      <c r="AA445" s="18" t="s">
        <v>36</v>
      </c>
      <c r="AB445" s="26">
        <v>28</v>
      </c>
      <c r="AC445" s="26"/>
      <c r="AD445" s="26"/>
      <c r="AE445" s="147" t="str">
        <f t="shared" si="220"/>
        <v>0</v>
      </c>
      <c r="AF445" s="147" t="str">
        <f t="shared" si="231"/>
        <v>1</v>
      </c>
      <c r="AG445" s="147" t="str">
        <f t="shared" si="221"/>
        <v>0</v>
      </c>
      <c r="AH445" s="147" t="str">
        <f t="shared" si="232"/>
        <v>NO</v>
      </c>
      <c r="AI445" s="147" t="str">
        <f t="shared" si="233"/>
        <v>NO</v>
      </c>
      <c r="AJ445" s="147" t="str">
        <f t="shared" si="234"/>
        <v>NO</v>
      </c>
      <c r="AK445" s="147" t="str">
        <f t="shared" si="235"/>
        <v>NO</v>
      </c>
      <c r="AL445" s="21"/>
      <c r="AM445" s="21">
        <f t="shared" si="244"/>
        <v>7237.5599999999995</v>
      </c>
      <c r="AN445" s="27" t="s">
        <v>43</v>
      </c>
      <c r="AO445" s="21">
        <v>1</v>
      </c>
      <c r="AP445" s="21">
        <f t="shared" si="245"/>
        <v>1</v>
      </c>
      <c r="AQ445" s="149">
        <f t="shared" si="219"/>
        <v>7237.5599999999995</v>
      </c>
      <c r="AR445" s="21">
        <v>7237.5599999999995</v>
      </c>
      <c r="AS445" s="610">
        <v>7237.5599999999995</v>
      </c>
      <c r="AT445" s="112">
        <v>7237.5599999999995</v>
      </c>
      <c r="AU445" s="4"/>
      <c r="AV445" s="4"/>
      <c r="AW445" s="23" t="e">
        <f>VLOOKUP(K445,#REF!,8,FALSE)</f>
        <v>#REF!</v>
      </c>
      <c r="AX445" s="23" t="e">
        <f>VLOOKUP(K445,#REF!,8,FALSE)</f>
        <v>#REF!</v>
      </c>
      <c r="AY445" s="23" t="e">
        <f>VLOOKUP(K445,#REF!,8,FALSE)</f>
        <v>#REF!</v>
      </c>
      <c r="AZ445" s="4"/>
      <c r="BA445" s="272"/>
      <c r="BB445" s="313">
        <f t="shared" si="246"/>
        <v>0</v>
      </c>
      <c r="BC445" s="269">
        <f t="shared" si="247"/>
        <v>7237.5599999999995</v>
      </c>
      <c r="BD445" t="str">
        <f t="shared" si="248"/>
        <v/>
      </c>
      <c r="BP445" s="166">
        <f t="shared" si="236"/>
        <v>7237.5599999999995</v>
      </c>
      <c r="BS445" s="165"/>
      <c r="BX445" s="495">
        <f t="shared" si="237"/>
        <v>7237.5599999999995</v>
      </c>
      <c r="BZ445" s="636">
        <f t="shared" si="225"/>
        <v>0</v>
      </c>
      <c r="CA445" s="633">
        <f t="shared" si="226"/>
        <v>0</v>
      </c>
    </row>
    <row r="446" spans="1:79" x14ac:dyDescent="0.2">
      <c r="A446" s="4">
        <v>0</v>
      </c>
      <c r="B446" s="4">
        <v>1</v>
      </c>
      <c r="C446" s="5">
        <f t="shared" si="227"/>
        <v>41153</v>
      </c>
      <c r="D446" s="6">
        <v>41153</v>
      </c>
      <c r="E446" s="6">
        <v>43011</v>
      </c>
      <c r="F446" s="6" t="s">
        <v>1606</v>
      </c>
      <c r="G446" s="7"/>
      <c r="H446" s="7"/>
      <c r="I446" s="7" t="s">
        <v>32</v>
      </c>
      <c r="J446" s="7" t="s">
        <v>192</v>
      </c>
      <c r="K446" s="29">
        <v>436857</v>
      </c>
      <c r="L446" s="10" t="s">
        <v>975</v>
      </c>
      <c r="M446" s="10" t="s">
        <v>506</v>
      </c>
      <c r="N446" s="10" t="s">
        <v>984</v>
      </c>
      <c r="O446" s="11" t="s">
        <v>985</v>
      </c>
      <c r="P446" s="12">
        <v>41784</v>
      </c>
      <c r="Q446" s="13">
        <f t="shared" ca="1" si="230"/>
        <v>11.329226557152635</v>
      </c>
      <c r="R446" s="14">
        <v>4</v>
      </c>
      <c r="S446" s="15">
        <v>872</v>
      </c>
      <c r="T446" s="8">
        <v>872</v>
      </c>
      <c r="U446" s="16">
        <v>45017</v>
      </c>
      <c r="V446" s="17">
        <v>1</v>
      </c>
      <c r="W446" s="16">
        <v>45128</v>
      </c>
      <c r="X446" s="14">
        <v>63</v>
      </c>
      <c r="Y446" s="18">
        <f t="shared" si="223"/>
        <v>63</v>
      </c>
      <c r="Z446" s="18">
        <f t="shared" si="240"/>
        <v>0.328125</v>
      </c>
      <c r="AA446" s="39">
        <v>45128</v>
      </c>
      <c r="AB446" s="26">
        <v>6000.8</v>
      </c>
      <c r="AC446" s="26"/>
      <c r="AD446" s="26"/>
      <c r="AE446" s="147" t="str">
        <f t="shared" si="220"/>
        <v>0</v>
      </c>
      <c r="AF446" s="147" t="str">
        <f t="shared" si="231"/>
        <v>0</v>
      </c>
      <c r="AG446" s="147" t="str">
        <f t="shared" si="221"/>
        <v>1</v>
      </c>
      <c r="AH446" s="147" t="str">
        <f t="shared" si="232"/>
        <v>NO</v>
      </c>
      <c r="AI446" s="147" t="str">
        <f t="shared" si="233"/>
        <v>NO</v>
      </c>
      <c r="AJ446" s="147" t="str">
        <f t="shared" si="234"/>
        <v>NO</v>
      </c>
      <c r="AK446" s="147" t="str">
        <f t="shared" si="235"/>
        <v>NO</v>
      </c>
      <c r="AL446" s="21">
        <v>6000.8</v>
      </c>
      <c r="AM446" s="21">
        <v>6000.8</v>
      </c>
      <c r="AN446" s="27" t="s">
        <v>43</v>
      </c>
      <c r="AO446" s="21">
        <v>1</v>
      </c>
      <c r="AP446" s="21">
        <f t="shared" si="245"/>
        <v>0.328125</v>
      </c>
      <c r="AQ446" s="149">
        <f t="shared" si="219"/>
        <v>1969.0125</v>
      </c>
      <c r="AR446" s="21">
        <v>1969.0125</v>
      </c>
      <c r="AS446" s="610">
        <v>1969.0125</v>
      </c>
      <c r="AT446" s="112">
        <v>1969.0125</v>
      </c>
      <c r="AU446" s="4"/>
      <c r="AV446" s="4"/>
      <c r="AW446" s="23" t="e">
        <f>VLOOKUP(K446,#REF!,8,FALSE)</f>
        <v>#REF!</v>
      </c>
      <c r="AX446" s="23" t="e">
        <f>VLOOKUP(K446,#REF!,8,FALSE)</f>
        <v>#REF!</v>
      </c>
      <c r="AY446" s="23" t="e">
        <f>VLOOKUP(K446,#REF!,8,FALSE)</f>
        <v>#REF!</v>
      </c>
      <c r="AZ446" s="4"/>
      <c r="BA446" s="272"/>
      <c r="BB446" s="313">
        <f t="shared" si="246"/>
        <v>0</v>
      </c>
      <c r="BC446" s="269">
        <f t="shared" si="247"/>
        <v>1969.0125</v>
      </c>
      <c r="BD446" t="str">
        <f t="shared" si="248"/>
        <v/>
      </c>
      <c r="BJ446">
        <f>AB446</f>
        <v>6000.8</v>
      </c>
      <c r="BK446" s="269">
        <f>AM446</f>
        <v>6000.8</v>
      </c>
      <c r="BO446" s="106">
        <f>BK446/192*127</f>
        <v>3969.2791666666667</v>
      </c>
      <c r="BP446" s="166">
        <f t="shared" si="236"/>
        <v>5938.291666666667</v>
      </c>
      <c r="BS446" s="165"/>
      <c r="BX446" s="495">
        <f t="shared" si="237"/>
        <v>5938.291666666667</v>
      </c>
      <c r="BZ446" s="636">
        <f t="shared" si="225"/>
        <v>0</v>
      </c>
      <c r="CA446" s="633">
        <f t="shared" si="226"/>
        <v>3969.2791666666672</v>
      </c>
    </row>
    <row r="447" spans="1:79" x14ac:dyDescent="0.2">
      <c r="A447" s="4">
        <v>1</v>
      </c>
      <c r="B447" s="4">
        <v>1</v>
      </c>
      <c r="C447" s="5">
        <f t="shared" si="227"/>
        <v>41153</v>
      </c>
      <c r="D447" s="6">
        <v>41153</v>
      </c>
      <c r="E447" s="6">
        <v>43011</v>
      </c>
      <c r="F447" s="6" t="s">
        <v>1606</v>
      </c>
      <c r="G447" s="7"/>
      <c r="H447" s="7"/>
      <c r="I447" s="7" t="s">
        <v>32</v>
      </c>
      <c r="J447" s="7"/>
      <c r="K447" s="29">
        <v>436107</v>
      </c>
      <c r="L447" s="10" t="s">
        <v>975</v>
      </c>
      <c r="M447" s="10" t="s">
        <v>2306</v>
      </c>
      <c r="N447" s="10" t="s">
        <v>2307</v>
      </c>
      <c r="O447" s="11" t="s">
        <v>2308</v>
      </c>
      <c r="P447" s="12">
        <v>43152</v>
      </c>
      <c r="Q447" s="13">
        <f t="shared" ca="1" si="230"/>
        <v>7.5838466803559204</v>
      </c>
      <c r="R447" s="14">
        <v>0</v>
      </c>
      <c r="S447" s="15">
        <v>872</v>
      </c>
      <c r="T447" s="8">
        <v>872</v>
      </c>
      <c r="U447" s="16">
        <v>45017</v>
      </c>
      <c r="V447" s="17">
        <v>1</v>
      </c>
      <c r="W447" s="16">
        <v>45382</v>
      </c>
      <c r="X447" s="14">
        <v>192</v>
      </c>
      <c r="Y447" s="18">
        <f t="shared" si="223"/>
        <v>192</v>
      </c>
      <c r="Z447" s="18">
        <f t="shared" si="240"/>
        <v>1</v>
      </c>
      <c r="AA447" s="18" t="s">
        <v>36</v>
      </c>
      <c r="AB447" s="26">
        <v>27</v>
      </c>
      <c r="AC447" s="26"/>
      <c r="AD447" s="26"/>
      <c r="AE447" s="147" t="str">
        <f t="shared" si="220"/>
        <v>0</v>
      </c>
      <c r="AF447" s="147" t="str">
        <f t="shared" si="231"/>
        <v>1</v>
      </c>
      <c r="AG447" s="147" t="str">
        <f t="shared" si="221"/>
        <v>0</v>
      </c>
      <c r="AH447" s="147" t="str">
        <f t="shared" si="232"/>
        <v>NO</v>
      </c>
      <c r="AI447" s="147" t="str">
        <f t="shared" si="233"/>
        <v>NO</v>
      </c>
      <c r="AJ447" s="147" t="str">
        <f t="shared" si="234"/>
        <v>NO</v>
      </c>
      <c r="AK447" s="147" t="str">
        <f t="shared" si="235"/>
        <v>NO</v>
      </c>
      <c r="AL447" s="21"/>
      <c r="AM447" s="21">
        <f t="shared" ref="AM447:AM454" si="249">IF(H447="Y",AL447,((AB447*$O$902)-6000))</f>
        <v>6764.7899999999991</v>
      </c>
      <c r="AN447" s="27" t="s">
        <v>37</v>
      </c>
      <c r="AO447" s="21">
        <v>1</v>
      </c>
      <c r="AP447" s="21">
        <f t="shared" si="245"/>
        <v>1</v>
      </c>
      <c r="AQ447" s="149">
        <f t="shared" si="219"/>
        <v>6764.7899999999991</v>
      </c>
      <c r="AR447" s="21">
        <v>6764.7899999999991</v>
      </c>
      <c r="AS447" s="610">
        <v>0</v>
      </c>
      <c r="AT447" s="112">
        <v>0</v>
      </c>
      <c r="AU447" s="4"/>
      <c r="AV447" s="4"/>
      <c r="AW447" s="23"/>
      <c r="AX447" s="23"/>
      <c r="AY447" s="23"/>
      <c r="AZ447" s="4"/>
      <c r="BA447" s="272"/>
      <c r="BB447" s="313">
        <f t="shared" si="246"/>
        <v>6764.7899999999991</v>
      </c>
      <c r="BC447" s="269">
        <f t="shared" si="247"/>
        <v>6764.7899999999991</v>
      </c>
      <c r="BD447" t="str">
        <f t="shared" si="248"/>
        <v/>
      </c>
      <c r="BP447" s="166">
        <f t="shared" si="236"/>
        <v>6764.7899999999991</v>
      </c>
      <c r="BS447" s="165"/>
      <c r="BX447" s="495">
        <f t="shared" si="237"/>
        <v>6764.7899999999991</v>
      </c>
      <c r="BZ447" s="636">
        <f t="shared" si="225"/>
        <v>0</v>
      </c>
      <c r="CA447" s="633">
        <f t="shared" si="226"/>
        <v>6764.7899999999991</v>
      </c>
    </row>
    <row r="448" spans="1:79" x14ac:dyDescent="0.2">
      <c r="A448" s="4">
        <v>1</v>
      </c>
      <c r="B448" s="4">
        <v>1</v>
      </c>
      <c r="C448" s="5">
        <f t="shared" si="227"/>
        <v>41153</v>
      </c>
      <c r="D448" s="6">
        <v>41153</v>
      </c>
      <c r="E448" s="6">
        <v>43011</v>
      </c>
      <c r="F448" s="6" t="s">
        <v>1606</v>
      </c>
      <c r="G448" s="7"/>
      <c r="H448" s="7"/>
      <c r="I448" s="7" t="s">
        <v>32</v>
      </c>
      <c r="J448" s="7"/>
      <c r="K448" s="29">
        <v>405463</v>
      </c>
      <c r="L448" s="10" t="s">
        <v>975</v>
      </c>
      <c r="M448" s="10" t="s">
        <v>639</v>
      </c>
      <c r="N448" s="10" t="s">
        <v>986</v>
      </c>
      <c r="O448" s="11" t="s">
        <v>987</v>
      </c>
      <c r="P448" s="12">
        <v>41211</v>
      </c>
      <c r="Q448" s="13">
        <f t="shared" ca="1" si="230"/>
        <v>12.898015058179329</v>
      </c>
      <c r="R448" s="14">
        <v>5</v>
      </c>
      <c r="S448" s="15">
        <v>872</v>
      </c>
      <c r="T448" s="8">
        <v>872</v>
      </c>
      <c r="U448" s="16">
        <v>45017</v>
      </c>
      <c r="V448" s="17">
        <v>1</v>
      </c>
      <c r="W448" s="16">
        <v>45382</v>
      </c>
      <c r="X448" s="14">
        <v>192</v>
      </c>
      <c r="Y448" s="18">
        <f t="shared" si="223"/>
        <v>192</v>
      </c>
      <c r="Z448" s="18">
        <f t="shared" si="240"/>
        <v>1</v>
      </c>
      <c r="AA448" s="18" t="s">
        <v>36</v>
      </c>
      <c r="AB448" s="26">
        <v>37</v>
      </c>
      <c r="AC448" s="26"/>
      <c r="AD448" s="26"/>
      <c r="AE448" s="147" t="str">
        <f t="shared" si="220"/>
        <v>0</v>
      </c>
      <c r="AF448" s="147" t="str">
        <f t="shared" si="231"/>
        <v>0</v>
      </c>
      <c r="AG448" s="147" t="str">
        <f t="shared" si="221"/>
        <v>1</v>
      </c>
      <c r="AH448" s="147" t="str">
        <f t="shared" si="232"/>
        <v>NO</v>
      </c>
      <c r="AI448" s="147" t="str">
        <f t="shared" si="233"/>
        <v>NO</v>
      </c>
      <c r="AJ448" s="147" t="str">
        <f t="shared" si="234"/>
        <v>NO</v>
      </c>
      <c r="AK448" s="147" t="str">
        <f t="shared" si="235"/>
        <v>NO</v>
      </c>
      <c r="AL448" s="21"/>
      <c r="AM448" s="21">
        <f t="shared" si="249"/>
        <v>11492.489999999998</v>
      </c>
      <c r="AN448" s="27" t="s">
        <v>56</v>
      </c>
      <c r="AO448" s="21">
        <v>1</v>
      </c>
      <c r="AP448" s="21">
        <f t="shared" si="245"/>
        <v>1</v>
      </c>
      <c r="AQ448" s="149">
        <f t="shared" ref="AQ448:AQ511" si="250">AP448*AM448</f>
        <v>11492.489999999998</v>
      </c>
      <c r="AR448" s="21">
        <v>11492.489999999998</v>
      </c>
      <c r="AS448" s="610">
        <v>11492.489999999998</v>
      </c>
      <c r="AT448" s="112">
        <v>11492.489999999998</v>
      </c>
      <c r="AU448" s="4"/>
      <c r="AV448" s="4"/>
      <c r="AW448" s="23" t="e">
        <f>VLOOKUP(K448,#REF!,8,FALSE)</f>
        <v>#REF!</v>
      </c>
      <c r="AX448" s="23" t="e">
        <f>VLOOKUP(K448,#REF!,8,FALSE)</f>
        <v>#REF!</v>
      </c>
      <c r="AY448" s="23" t="e">
        <f>VLOOKUP(K448,#REF!,8,FALSE)</f>
        <v>#REF!</v>
      </c>
      <c r="AZ448" s="4"/>
      <c r="BA448" s="272"/>
      <c r="BB448" s="313">
        <f t="shared" si="246"/>
        <v>0</v>
      </c>
      <c r="BC448" s="269">
        <f t="shared" si="247"/>
        <v>11492.489999999998</v>
      </c>
      <c r="BD448" t="str">
        <f t="shared" si="248"/>
        <v/>
      </c>
      <c r="BP448" s="166">
        <f t="shared" si="236"/>
        <v>11492.489999999998</v>
      </c>
      <c r="BS448" s="165"/>
      <c r="BX448" s="495">
        <f t="shared" si="237"/>
        <v>11492.489999999998</v>
      </c>
      <c r="BZ448" s="636">
        <f t="shared" si="225"/>
        <v>0</v>
      </c>
      <c r="CA448" s="633">
        <f t="shared" si="226"/>
        <v>0</v>
      </c>
    </row>
    <row r="449" spans="1:79" x14ac:dyDescent="0.2">
      <c r="A449" s="4">
        <v>1</v>
      </c>
      <c r="B449" s="4">
        <v>1</v>
      </c>
      <c r="C449" s="5">
        <f t="shared" si="227"/>
        <v>41205</v>
      </c>
      <c r="D449" s="6">
        <v>41205</v>
      </c>
      <c r="E449" s="121">
        <v>43015</v>
      </c>
      <c r="F449" s="6" t="s">
        <v>1606</v>
      </c>
      <c r="G449" s="7" t="s">
        <v>75</v>
      </c>
      <c r="H449" s="7" t="s">
        <v>75</v>
      </c>
      <c r="I449" s="7" t="s">
        <v>157</v>
      </c>
      <c r="J449" s="7"/>
      <c r="K449" s="29">
        <v>387983</v>
      </c>
      <c r="L449" s="10" t="s">
        <v>988</v>
      </c>
      <c r="M449" s="10" t="s">
        <v>163</v>
      </c>
      <c r="N449" s="10" t="s">
        <v>989</v>
      </c>
      <c r="O449" s="11" t="s">
        <v>990</v>
      </c>
      <c r="P449" s="12">
        <v>40235</v>
      </c>
      <c r="Q449" s="13">
        <f t="shared" ca="1" si="230"/>
        <v>15.570157426420261</v>
      </c>
      <c r="R449" s="14">
        <v>8</v>
      </c>
      <c r="S449" s="15">
        <v>872</v>
      </c>
      <c r="T449" s="8">
        <v>872</v>
      </c>
      <c r="U449" s="16">
        <v>45017</v>
      </c>
      <c r="V449" s="17">
        <v>1</v>
      </c>
      <c r="W449" s="16">
        <v>45382</v>
      </c>
      <c r="X449" s="14">
        <v>192</v>
      </c>
      <c r="Y449" s="18">
        <f t="shared" si="223"/>
        <v>192</v>
      </c>
      <c r="Z449" s="18">
        <v>0</v>
      </c>
      <c r="AA449" s="18" t="s">
        <v>991</v>
      </c>
      <c r="AB449" s="26" t="s">
        <v>992</v>
      </c>
      <c r="AC449" s="26" t="s">
        <v>992</v>
      </c>
      <c r="AD449" s="26"/>
      <c r="AE449" s="147" t="str">
        <f t="shared" ref="AE449:AE512" si="251">IF(AND(AB449&lt;=25,AB449&gt;=20),"1","0")</f>
        <v>0</v>
      </c>
      <c r="AF449" s="147" t="str">
        <f t="shared" si="231"/>
        <v>0</v>
      </c>
      <c r="AG449" s="147" t="str">
        <f t="shared" ref="AG449:AG512" si="252">IF(AB449&gt;=31,"1","0")</f>
        <v>1</v>
      </c>
      <c r="AH449" s="147" t="str">
        <f t="shared" si="232"/>
        <v>NO</v>
      </c>
      <c r="AI449" s="147" t="str">
        <f t="shared" si="233"/>
        <v>NO</v>
      </c>
      <c r="AJ449" s="147" t="str">
        <f t="shared" si="234"/>
        <v>NO</v>
      </c>
      <c r="AK449" s="147" t="str">
        <f t="shared" si="235"/>
        <v>NO</v>
      </c>
      <c r="AL449" s="51">
        <v>20645</v>
      </c>
      <c r="AM449" s="21">
        <f t="shared" si="249"/>
        <v>20645</v>
      </c>
      <c r="AN449" s="27" t="s">
        <v>56</v>
      </c>
      <c r="AO449" s="21">
        <v>1</v>
      </c>
      <c r="AP449" s="21">
        <f t="shared" si="245"/>
        <v>0</v>
      </c>
      <c r="AQ449" s="149">
        <f t="shared" si="250"/>
        <v>0</v>
      </c>
      <c r="AR449" s="21">
        <v>0</v>
      </c>
      <c r="AS449" s="610">
        <v>0</v>
      </c>
      <c r="AT449" s="112">
        <v>0</v>
      </c>
      <c r="AU449" s="4"/>
      <c r="AV449" s="4"/>
      <c r="AW449" s="23" t="e">
        <f>VLOOKUP(K449,#REF!,8,FALSE)</f>
        <v>#REF!</v>
      </c>
      <c r="AX449" s="23" t="e">
        <f>VLOOKUP(K449,#REF!,8,FALSE)</f>
        <v>#REF!</v>
      </c>
      <c r="AY449" s="23" t="e">
        <f>VLOOKUP(K449,#REF!,8,FALSE)</f>
        <v>#REF!</v>
      </c>
      <c r="AZ449" s="4"/>
      <c r="BA449" s="272"/>
      <c r="BB449" s="313">
        <f t="shared" si="246"/>
        <v>0</v>
      </c>
      <c r="BC449" s="269">
        <f t="shared" si="247"/>
        <v>0</v>
      </c>
      <c r="BD449" t="str">
        <f t="shared" si="248"/>
        <v/>
      </c>
      <c r="BP449" s="166">
        <f t="shared" si="236"/>
        <v>0</v>
      </c>
      <c r="BS449" s="165"/>
      <c r="BX449" s="495">
        <f t="shared" si="237"/>
        <v>0</v>
      </c>
      <c r="BZ449" s="636">
        <f t="shared" si="225"/>
        <v>0</v>
      </c>
      <c r="CA449" s="633">
        <f t="shared" si="226"/>
        <v>0</v>
      </c>
    </row>
    <row r="450" spans="1:79" x14ac:dyDescent="0.2">
      <c r="A450" s="4">
        <v>1</v>
      </c>
      <c r="B450" s="4">
        <v>1</v>
      </c>
      <c r="C450" s="5">
        <f t="shared" si="227"/>
        <v>41205</v>
      </c>
      <c r="D450" s="6">
        <v>41205</v>
      </c>
      <c r="E450" s="121">
        <v>43015</v>
      </c>
      <c r="F450" s="6" t="s">
        <v>1606</v>
      </c>
      <c r="G450" s="7" t="s">
        <v>75</v>
      </c>
      <c r="H450" s="7" t="s">
        <v>75</v>
      </c>
      <c r="I450" s="7" t="s">
        <v>157</v>
      </c>
      <c r="J450" s="7"/>
      <c r="K450" s="53">
        <v>397352</v>
      </c>
      <c r="L450" s="54" t="s">
        <v>988</v>
      </c>
      <c r="M450" s="54" t="s">
        <v>904</v>
      </c>
      <c r="N450" s="54" t="s">
        <v>993</v>
      </c>
      <c r="O450" s="55" t="s">
        <v>994</v>
      </c>
      <c r="P450" s="12">
        <v>40735</v>
      </c>
      <c r="Q450" s="13">
        <f t="shared" ca="1" si="230"/>
        <v>14.201232032854209</v>
      </c>
      <c r="R450" s="14">
        <v>7</v>
      </c>
      <c r="S450" s="56">
        <v>872</v>
      </c>
      <c r="T450" s="57">
        <v>872</v>
      </c>
      <c r="U450" s="16">
        <v>45017</v>
      </c>
      <c r="V450" s="17">
        <v>1</v>
      </c>
      <c r="W450" s="16">
        <v>45382</v>
      </c>
      <c r="X450" s="14">
        <v>192</v>
      </c>
      <c r="Y450" s="18">
        <f t="shared" si="223"/>
        <v>192</v>
      </c>
      <c r="Z450" s="18">
        <v>0</v>
      </c>
      <c r="AA450" s="18" t="s">
        <v>991</v>
      </c>
      <c r="AB450" s="26" t="s">
        <v>992</v>
      </c>
      <c r="AC450" s="26" t="s">
        <v>992</v>
      </c>
      <c r="AD450" s="26"/>
      <c r="AE450" s="147" t="str">
        <f t="shared" si="251"/>
        <v>0</v>
      </c>
      <c r="AF450" s="147" t="str">
        <f t="shared" si="231"/>
        <v>0</v>
      </c>
      <c r="AG450" s="147" t="str">
        <f t="shared" si="252"/>
        <v>1</v>
      </c>
      <c r="AH450" s="147" t="str">
        <f t="shared" si="232"/>
        <v>NO</v>
      </c>
      <c r="AI450" s="147" t="str">
        <f t="shared" si="233"/>
        <v>NO</v>
      </c>
      <c r="AJ450" s="147" t="str">
        <f t="shared" si="234"/>
        <v>NO</v>
      </c>
      <c r="AK450" s="147" t="str">
        <f t="shared" si="235"/>
        <v>NO</v>
      </c>
      <c r="AL450" s="51">
        <v>20645</v>
      </c>
      <c r="AM450" s="21">
        <f t="shared" si="249"/>
        <v>20645</v>
      </c>
      <c r="AN450" s="27" t="s">
        <v>37</v>
      </c>
      <c r="AO450" s="21">
        <v>1</v>
      </c>
      <c r="AP450" s="21">
        <f t="shared" si="245"/>
        <v>0</v>
      </c>
      <c r="AQ450" s="149">
        <f t="shared" si="250"/>
        <v>0</v>
      </c>
      <c r="AR450" s="21">
        <v>0</v>
      </c>
      <c r="AS450" s="610">
        <v>0</v>
      </c>
      <c r="AT450" s="112">
        <v>0</v>
      </c>
      <c r="AU450" s="4"/>
      <c r="AV450" s="4"/>
      <c r="AW450" s="23" t="e">
        <f>VLOOKUP(K450,#REF!,8,FALSE)</f>
        <v>#REF!</v>
      </c>
      <c r="AX450" s="23" t="e">
        <f>VLOOKUP(K450,#REF!,8,FALSE)</f>
        <v>#REF!</v>
      </c>
      <c r="AY450" s="23" t="e">
        <f>VLOOKUP(K450,#REF!,8,FALSE)</f>
        <v>#REF!</v>
      </c>
      <c r="AZ450" s="4"/>
      <c r="BA450" s="272"/>
      <c r="BB450" s="313">
        <f t="shared" si="246"/>
        <v>0</v>
      </c>
      <c r="BC450" s="269">
        <f t="shared" si="247"/>
        <v>0</v>
      </c>
      <c r="BD450" t="str">
        <f t="shared" si="248"/>
        <v/>
      </c>
      <c r="BP450" s="166">
        <f t="shared" si="236"/>
        <v>0</v>
      </c>
      <c r="BS450" s="165"/>
      <c r="BX450" s="495">
        <f t="shared" si="237"/>
        <v>0</v>
      </c>
      <c r="BZ450" s="636">
        <f t="shared" si="225"/>
        <v>0</v>
      </c>
      <c r="CA450" s="633">
        <f t="shared" si="226"/>
        <v>0</v>
      </c>
    </row>
    <row r="451" spans="1:79" x14ac:dyDescent="0.2">
      <c r="A451" s="4">
        <v>1</v>
      </c>
      <c r="B451" s="4">
        <v>1</v>
      </c>
      <c r="C451" s="5">
        <f t="shared" si="227"/>
        <v>41205</v>
      </c>
      <c r="D451" s="6">
        <v>41205</v>
      </c>
      <c r="E451" s="121">
        <v>43015</v>
      </c>
      <c r="F451" s="6" t="s">
        <v>1606</v>
      </c>
      <c r="G451" s="7" t="s">
        <v>75</v>
      </c>
      <c r="H451" s="52" t="s">
        <v>75</v>
      </c>
      <c r="I451" s="7" t="s">
        <v>157</v>
      </c>
      <c r="J451" s="7"/>
      <c r="K451" s="29">
        <v>397519</v>
      </c>
      <c r="L451" s="10" t="s">
        <v>988</v>
      </c>
      <c r="M451" s="10" t="s">
        <v>895</v>
      </c>
      <c r="N451" s="10" t="s">
        <v>995</v>
      </c>
      <c r="O451" s="11" t="s">
        <v>996</v>
      </c>
      <c r="P451" s="12">
        <v>40611</v>
      </c>
      <c r="Q451" s="13">
        <f t="shared" ca="1" si="230"/>
        <v>14.540725530458589</v>
      </c>
      <c r="R451" s="14">
        <v>7</v>
      </c>
      <c r="S451" s="15">
        <v>872</v>
      </c>
      <c r="T451" s="8">
        <v>872</v>
      </c>
      <c r="U451" s="16">
        <v>45017</v>
      </c>
      <c r="V451" s="17">
        <v>1</v>
      </c>
      <c r="W451" s="16">
        <v>45382</v>
      </c>
      <c r="X451" s="14">
        <v>192</v>
      </c>
      <c r="Y451" s="18">
        <f t="shared" ref="Y451:Y514" si="253">X451-V451+1</f>
        <v>192</v>
      </c>
      <c r="Z451" s="18">
        <v>0</v>
      </c>
      <c r="AA451" s="18" t="s">
        <v>991</v>
      </c>
      <c r="AB451" s="26" t="s">
        <v>992</v>
      </c>
      <c r="AC451" s="26" t="s">
        <v>992</v>
      </c>
      <c r="AD451" s="26"/>
      <c r="AE451" s="147" t="str">
        <f t="shared" si="251"/>
        <v>0</v>
      </c>
      <c r="AF451" s="147" t="str">
        <f t="shared" si="231"/>
        <v>0</v>
      </c>
      <c r="AG451" s="147" t="str">
        <f t="shared" si="252"/>
        <v>1</v>
      </c>
      <c r="AH451" s="147" t="str">
        <f t="shared" si="232"/>
        <v>NO</v>
      </c>
      <c r="AI451" s="147" t="str">
        <f t="shared" si="233"/>
        <v>NO</v>
      </c>
      <c r="AJ451" s="147" t="str">
        <f t="shared" si="234"/>
        <v>NO</v>
      </c>
      <c r="AK451" s="147" t="str">
        <f t="shared" si="235"/>
        <v>NO</v>
      </c>
      <c r="AL451" s="51">
        <v>20645</v>
      </c>
      <c r="AM451" s="21">
        <f t="shared" si="249"/>
        <v>20645</v>
      </c>
      <c r="AN451" s="27" t="s">
        <v>56</v>
      </c>
      <c r="AO451" s="21">
        <v>1</v>
      </c>
      <c r="AP451" s="21">
        <f t="shared" si="245"/>
        <v>0</v>
      </c>
      <c r="AQ451" s="149">
        <f t="shared" si="250"/>
        <v>0</v>
      </c>
      <c r="AR451" s="21">
        <v>0</v>
      </c>
      <c r="AS451" s="610">
        <v>0</v>
      </c>
      <c r="AT451" s="112">
        <v>0</v>
      </c>
      <c r="AU451" s="4"/>
      <c r="AV451" s="4"/>
      <c r="AW451" s="23" t="e">
        <f>VLOOKUP(K451,#REF!,8,FALSE)</f>
        <v>#REF!</v>
      </c>
      <c r="AX451" s="23" t="e">
        <f>VLOOKUP(K451,#REF!,8,FALSE)</f>
        <v>#REF!</v>
      </c>
      <c r="AY451" s="23" t="e">
        <f>VLOOKUP(K451,#REF!,8,FALSE)</f>
        <v>#REF!</v>
      </c>
      <c r="AZ451" s="4"/>
      <c r="BA451" s="272"/>
      <c r="BB451" s="313">
        <f t="shared" si="246"/>
        <v>0</v>
      </c>
      <c r="BC451" s="269">
        <f t="shared" si="247"/>
        <v>0</v>
      </c>
      <c r="BD451" t="str">
        <f t="shared" si="248"/>
        <v/>
      </c>
      <c r="BP451" s="166">
        <f t="shared" si="236"/>
        <v>0</v>
      </c>
      <c r="BS451" s="165"/>
      <c r="BX451" s="495">
        <f t="shared" si="237"/>
        <v>0</v>
      </c>
      <c r="BZ451" s="636">
        <f t="shared" ref="BZ451:BZ514" si="254">BX451-BP451</f>
        <v>0</v>
      </c>
      <c r="CA451" s="633">
        <f t="shared" ref="CA451:CA514" si="255">BX451-AS451</f>
        <v>0</v>
      </c>
    </row>
    <row r="452" spans="1:79" x14ac:dyDescent="0.2">
      <c r="A452" s="4">
        <v>1</v>
      </c>
      <c r="B452" s="4">
        <v>1</v>
      </c>
      <c r="C452" s="5">
        <f t="shared" si="227"/>
        <v>41205</v>
      </c>
      <c r="D452" s="6">
        <v>41205</v>
      </c>
      <c r="E452" s="121">
        <v>43015</v>
      </c>
      <c r="F452" s="6" t="s">
        <v>1606</v>
      </c>
      <c r="G452" s="7" t="s">
        <v>75</v>
      </c>
      <c r="H452" s="52" t="s">
        <v>75</v>
      </c>
      <c r="I452" s="7" t="s">
        <v>157</v>
      </c>
      <c r="J452" s="7"/>
      <c r="K452" s="29">
        <v>438323</v>
      </c>
      <c r="L452" s="10" t="s">
        <v>988</v>
      </c>
      <c r="M452" s="10" t="s">
        <v>211</v>
      </c>
      <c r="N452" s="10" t="s">
        <v>997</v>
      </c>
      <c r="O452" s="11" t="s">
        <v>998</v>
      </c>
      <c r="P452" s="12">
        <v>40395</v>
      </c>
      <c r="Q452" s="13">
        <f t="shared" ca="1" si="230"/>
        <v>15.132101300479125</v>
      </c>
      <c r="R452" s="14">
        <v>8</v>
      </c>
      <c r="S452" s="15">
        <v>872</v>
      </c>
      <c r="T452" s="8">
        <v>872</v>
      </c>
      <c r="U452" s="16">
        <v>45017</v>
      </c>
      <c r="V452" s="17">
        <v>1</v>
      </c>
      <c r="W452" s="16">
        <v>45382</v>
      </c>
      <c r="X452" s="14">
        <v>192</v>
      </c>
      <c r="Y452" s="18">
        <f t="shared" si="253"/>
        <v>192</v>
      </c>
      <c r="Z452" s="18">
        <v>0</v>
      </c>
      <c r="AA452" s="18" t="s">
        <v>991</v>
      </c>
      <c r="AB452" s="26" t="s">
        <v>992</v>
      </c>
      <c r="AC452" s="26" t="s">
        <v>992</v>
      </c>
      <c r="AD452" s="26"/>
      <c r="AE452" s="147" t="str">
        <f t="shared" si="251"/>
        <v>0</v>
      </c>
      <c r="AF452" s="147" t="str">
        <f t="shared" si="231"/>
        <v>0</v>
      </c>
      <c r="AG452" s="147" t="str">
        <f t="shared" si="252"/>
        <v>1</v>
      </c>
      <c r="AH452" s="147" t="str">
        <f t="shared" si="232"/>
        <v>NO</v>
      </c>
      <c r="AI452" s="147" t="str">
        <f t="shared" si="233"/>
        <v>NO</v>
      </c>
      <c r="AJ452" s="147" t="str">
        <f t="shared" si="234"/>
        <v>NO</v>
      </c>
      <c r="AK452" s="147" t="str">
        <f t="shared" si="235"/>
        <v>NO</v>
      </c>
      <c r="AL452" s="51">
        <v>20645</v>
      </c>
      <c r="AM452" s="21">
        <f t="shared" si="249"/>
        <v>20645</v>
      </c>
      <c r="AN452" s="27" t="s">
        <v>56</v>
      </c>
      <c r="AO452" s="21">
        <v>1</v>
      </c>
      <c r="AP452" s="21">
        <f t="shared" si="245"/>
        <v>0</v>
      </c>
      <c r="AQ452" s="149">
        <f t="shared" si="250"/>
        <v>0</v>
      </c>
      <c r="AR452" s="21">
        <v>0</v>
      </c>
      <c r="AS452" s="610">
        <v>0</v>
      </c>
      <c r="AT452" s="112">
        <v>0</v>
      </c>
      <c r="AU452" s="4"/>
      <c r="AV452" s="4"/>
      <c r="AW452" s="23" t="e">
        <f>VLOOKUP(K452,#REF!,8,FALSE)</f>
        <v>#REF!</v>
      </c>
      <c r="AX452" s="23" t="e">
        <f>VLOOKUP(K452,#REF!,8,FALSE)</f>
        <v>#REF!</v>
      </c>
      <c r="AY452" s="23" t="e">
        <f>VLOOKUP(K452,#REF!,8,FALSE)</f>
        <v>#REF!</v>
      </c>
      <c r="AZ452" s="4"/>
      <c r="BA452" s="272"/>
      <c r="BB452" s="313">
        <f t="shared" si="246"/>
        <v>0</v>
      </c>
      <c r="BC452" s="269">
        <f t="shared" si="247"/>
        <v>0</v>
      </c>
      <c r="BD452" t="str">
        <f t="shared" si="248"/>
        <v/>
      </c>
      <c r="BP452" s="166">
        <f t="shared" si="236"/>
        <v>0</v>
      </c>
      <c r="BS452" s="165"/>
      <c r="BX452" s="495">
        <f t="shared" si="237"/>
        <v>0</v>
      </c>
      <c r="BZ452" s="636">
        <f t="shared" si="254"/>
        <v>0</v>
      </c>
      <c r="CA452" s="633">
        <f t="shared" si="255"/>
        <v>0</v>
      </c>
    </row>
    <row r="453" spans="1:79" x14ac:dyDescent="0.2">
      <c r="A453" s="4">
        <v>1</v>
      </c>
      <c r="B453" s="4">
        <v>1</v>
      </c>
      <c r="C453" s="5">
        <f t="shared" ref="C453:C516" si="256">D453*1</f>
        <v>41205</v>
      </c>
      <c r="D453" s="6">
        <v>41205</v>
      </c>
      <c r="E453" s="121">
        <v>43015</v>
      </c>
      <c r="F453" s="6" t="s">
        <v>1606</v>
      </c>
      <c r="G453" s="7" t="s">
        <v>75</v>
      </c>
      <c r="H453" s="7" t="s">
        <v>75</v>
      </c>
      <c r="I453" s="7" t="s">
        <v>157</v>
      </c>
      <c r="J453" s="7"/>
      <c r="K453" s="29">
        <v>385788</v>
      </c>
      <c r="L453" s="10" t="s">
        <v>988</v>
      </c>
      <c r="M453" s="10" t="s">
        <v>999</v>
      </c>
      <c r="N453" s="10" t="s">
        <v>1000</v>
      </c>
      <c r="O453" s="11" t="s">
        <v>1001</v>
      </c>
      <c r="P453" s="12">
        <v>40160</v>
      </c>
      <c r="Q453" s="13">
        <f t="shared" ca="1" si="230"/>
        <v>15.775496235455167</v>
      </c>
      <c r="R453" s="14">
        <v>8</v>
      </c>
      <c r="S453" s="15">
        <v>872</v>
      </c>
      <c r="T453" s="8">
        <v>872</v>
      </c>
      <c r="U453" s="16">
        <v>45017</v>
      </c>
      <c r="V453" s="17">
        <v>1</v>
      </c>
      <c r="W453" s="16">
        <v>45382</v>
      </c>
      <c r="X453" s="14">
        <v>192</v>
      </c>
      <c r="Y453" s="18">
        <f t="shared" si="253"/>
        <v>192</v>
      </c>
      <c r="Z453" s="18">
        <v>0</v>
      </c>
      <c r="AA453" s="18" t="s">
        <v>991</v>
      </c>
      <c r="AB453" s="26" t="s">
        <v>992</v>
      </c>
      <c r="AC453" s="26" t="s">
        <v>992</v>
      </c>
      <c r="AD453" s="26"/>
      <c r="AE453" s="147" t="str">
        <f t="shared" si="251"/>
        <v>0</v>
      </c>
      <c r="AF453" s="147" t="str">
        <f t="shared" si="231"/>
        <v>0</v>
      </c>
      <c r="AG453" s="147" t="str">
        <f t="shared" si="252"/>
        <v>1</v>
      </c>
      <c r="AH453" s="147" t="str">
        <f t="shared" si="232"/>
        <v>NO</v>
      </c>
      <c r="AI453" s="147" t="str">
        <f t="shared" si="233"/>
        <v>NO</v>
      </c>
      <c r="AJ453" s="147" t="str">
        <f t="shared" si="234"/>
        <v>NO</v>
      </c>
      <c r="AK453" s="147" t="str">
        <f t="shared" si="235"/>
        <v>NO</v>
      </c>
      <c r="AL453" s="51">
        <v>20645</v>
      </c>
      <c r="AM453" s="21">
        <f t="shared" si="249"/>
        <v>20645</v>
      </c>
      <c r="AN453" s="27" t="s">
        <v>56</v>
      </c>
      <c r="AO453" s="21">
        <v>1</v>
      </c>
      <c r="AP453" s="21">
        <f t="shared" si="245"/>
        <v>0</v>
      </c>
      <c r="AQ453" s="149">
        <f t="shared" si="250"/>
        <v>0</v>
      </c>
      <c r="AR453" s="21">
        <v>0</v>
      </c>
      <c r="AS453" s="610">
        <v>0</v>
      </c>
      <c r="AT453" s="112">
        <v>0</v>
      </c>
      <c r="AU453" s="4"/>
      <c r="AV453" s="4"/>
      <c r="AW453" s="23" t="e">
        <f>VLOOKUP(K453,#REF!,8,FALSE)</f>
        <v>#REF!</v>
      </c>
      <c r="AX453" s="23" t="e">
        <f>VLOOKUP(K453,#REF!,8,FALSE)</f>
        <v>#REF!</v>
      </c>
      <c r="AY453" s="23" t="e">
        <f>VLOOKUP(K453,#REF!,8,FALSE)</f>
        <v>#REF!</v>
      </c>
      <c r="AZ453" s="4"/>
      <c r="BA453" s="272"/>
      <c r="BB453" s="313">
        <f t="shared" si="246"/>
        <v>0</v>
      </c>
      <c r="BC453" s="269">
        <f t="shared" si="247"/>
        <v>0</v>
      </c>
      <c r="BD453" t="str">
        <f t="shared" si="248"/>
        <v/>
      </c>
      <c r="BP453" s="166">
        <f t="shared" si="236"/>
        <v>0</v>
      </c>
      <c r="BS453" s="165"/>
      <c r="BX453" s="495">
        <f t="shared" si="237"/>
        <v>0</v>
      </c>
      <c r="BZ453" s="636">
        <f t="shared" si="254"/>
        <v>0</v>
      </c>
      <c r="CA453" s="633">
        <f t="shared" si="255"/>
        <v>0</v>
      </c>
    </row>
    <row r="454" spans="1:79" x14ac:dyDescent="0.2">
      <c r="A454" s="4">
        <v>1</v>
      </c>
      <c r="B454" s="4">
        <v>1</v>
      </c>
      <c r="C454" s="5">
        <f t="shared" si="256"/>
        <v>41205</v>
      </c>
      <c r="D454" s="6">
        <v>41205</v>
      </c>
      <c r="E454" s="121">
        <v>43015</v>
      </c>
      <c r="F454" s="6" t="s">
        <v>1606</v>
      </c>
      <c r="G454" s="7" t="s">
        <v>75</v>
      </c>
      <c r="H454" s="7" t="s">
        <v>75</v>
      </c>
      <c r="I454" s="7" t="s">
        <v>157</v>
      </c>
      <c r="J454" s="7"/>
      <c r="K454" s="29">
        <v>389506</v>
      </c>
      <c r="L454" s="10" t="s">
        <v>988</v>
      </c>
      <c r="M454" s="10" t="s">
        <v>1002</v>
      </c>
      <c r="N454" s="10" t="s">
        <v>1003</v>
      </c>
      <c r="O454" s="11" t="s">
        <v>1004</v>
      </c>
      <c r="P454" s="12">
        <v>40277</v>
      </c>
      <c r="Q454" s="13">
        <f t="shared" ca="1" si="230"/>
        <v>15.455167693360712</v>
      </c>
      <c r="R454" s="14">
        <v>8</v>
      </c>
      <c r="S454" s="15">
        <v>872</v>
      </c>
      <c r="T454" s="8">
        <v>872</v>
      </c>
      <c r="U454" s="16">
        <v>45017</v>
      </c>
      <c r="V454" s="17">
        <v>1</v>
      </c>
      <c r="W454" s="16">
        <v>45382</v>
      </c>
      <c r="X454" s="14">
        <v>192</v>
      </c>
      <c r="Y454" s="18">
        <f t="shared" si="253"/>
        <v>192</v>
      </c>
      <c r="Z454" s="18">
        <v>0</v>
      </c>
      <c r="AA454" s="18" t="s">
        <v>991</v>
      </c>
      <c r="AB454" s="26" t="s">
        <v>992</v>
      </c>
      <c r="AC454" s="26" t="s">
        <v>992</v>
      </c>
      <c r="AD454" s="26"/>
      <c r="AE454" s="147" t="str">
        <f t="shared" si="251"/>
        <v>0</v>
      </c>
      <c r="AF454" s="147" t="str">
        <f t="shared" si="231"/>
        <v>0</v>
      </c>
      <c r="AG454" s="147" t="str">
        <f t="shared" si="252"/>
        <v>1</v>
      </c>
      <c r="AH454" s="147" t="str">
        <f t="shared" si="232"/>
        <v>NO</v>
      </c>
      <c r="AI454" s="147" t="str">
        <f t="shared" si="233"/>
        <v>NO</v>
      </c>
      <c r="AJ454" s="147" t="str">
        <f t="shared" si="234"/>
        <v>NO</v>
      </c>
      <c r="AK454" s="147" t="str">
        <f t="shared" si="235"/>
        <v>NO</v>
      </c>
      <c r="AL454" s="51">
        <v>20645</v>
      </c>
      <c r="AM454" s="21">
        <f t="shared" si="249"/>
        <v>20645</v>
      </c>
      <c r="AN454" s="27" t="s">
        <v>56</v>
      </c>
      <c r="AO454" s="21">
        <v>1</v>
      </c>
      <c r="AP454" s="21">
        <f t="shared" si="245"/>
        <v>0</v>
      </c>
      <c r="AQ454" s="149">
        <f t="shared" si="250"/>
        <v>0</v>
      </c>
      <c r="AR454" s="21">
        <v>0</v>
      </c>
      <c r="AS454" s="610">
        <v>0</v>
      </c>
      <c r="AT454" s="112">
        <v>0</v>
      </c>
      <c r="AU454" s="4"/>
      <c r="AV454" s="4"/>
      <c r="AW454" s="23" t="e">
        <f>VLOOKUP(K454,#REF!,8,FALSE)</f>
        <v>#REF!</v>
      </c>
      <c r="AX454" s="23" t="e">
        <f>VLOOKUP(K454,#REF!,8,FALSE)</f>
        <v>#REF!</v>
      </c>
      <c r="AY454" s="23" t="e">
        <f>VLOOKUP(K454,#REF!,8,FALSE)</f>
        <v>#REF!</v>
      </c>
      <c r="AZ454" s="4"/>
      <c r="BA454" s="272"/>
      <c r="BB454" s="313">
        <f t="shared" si="246"/>
        <v>0</v>
      </c>
      <c r="BC454" s="269">
        <f t="shared" si="247"/>
        <v>0</v>
      </c>
      <c r="BD454" t="str">
        <f t="shared" si="248"/>
        <v/>
      </c>
      <c r="BP454" s="166">
        <f t="shared" si="236"/>
        <v>0</v>
      </c>
      <c r="BS454" s="165"/>
      <c r="BX454" s="495">
        <f t="shared" si="237"/>
        <v>0</v>
      </c>
      <c r="BZ454" s="636">
        <f t="shared" si="254"/>
        <v>0</v>
      </c>
      <c r="CA454" s="633">
        <f t="shared" si="255"/>
        <v>0</v>
      </c>
    </row>
    <row r="455" spans="1:79" x14ac:dyDescent="0.2">
      <c r="A455" s="4">
        <v>0</v>
      </c>
      <c r="B455" s="4">
        <v>1</v>
      </c>
      <c r="C455" s="5">
        <f t="shared" si="256"/>
        <v>41205</v>
      </c>
      <c r="D455" s="6">
        <v>41205</v>
      </c>
      <c r="E455" s="121">
        <v>43012</v>
      </c>
      <c r="F455" s="6" t="s">
        <v>1606</v>
      </c>
      <c r="G455" s="7" t="s">
        <v>75</v>
      </c>
      <c r="H455" s="7"/>
      <c r="I455" s="7" t="s">
        <v>157</v>
      </c>
      <c r="J455" s="7"/>
      <c r="K455" s="53">
        <v>422690</v>
      </c>
      <c r="L455" s="54" t="s">
        <v>988</v>
      </c>
      <c r="M455" s="54" t="s">
        <v>1005</v>
      </c>
      <c r="N455" s="54" t="s">
        <v>1006</v>
      </c>
      <c r="O455" s="55" t="s">
        <v>1007</v>
      </c>
      <c r="P455" s="12">
        <v>40507</v>
      </c>
      <c r="Q455" s="13">
        <f t="shared" ca="1" si="230"/>
        <v>14.825462012320328</v>
      </c>
      <c r="R455" s="14">
        <v>7</v>
      </c>
      <c r="S455" s="15">
        <v>872</v>
      </c>
      <c r="T455" s="8">
        <v>872</v>
      </c>
      <c r="U455" s="16">
        <v>45017</v>
      </c>
      <c r="V455" s="17">
        <v>1</v>
      </c>
      <c r="W455" s="16">
        <v>45017</v>
      </c>
      <c r="X455" s="14">
        <v>0</v>
      </c>
      <c r="Y455" s="18">
        <f t="shared" si="253"/>
        <v>0</v>
      </c>
      <c r="Z455" s="18">
        <v>0</v>
      </c>
      <c r="AA455" s="39">
        <v>45017</v>
      </c>
      <c r="AB455" s="26" t="s">
        <v>992</v>
      </c>
      <c r="AC455" s="26" t="s">
        <v>992</v>
      </c>
      <c r="AD455" s="26"/>
      <c r="AE455" s="147" t="str">
        <f t="shared" si="251"/>
        <v>0</v>
      </c>
      <c r="AF455" s="147" t="str">
        <f t="shared" si="231"/>
        <v>0</v>
      </c>
      <c r="AG455" s="147" t="str">
        <f t="shared" si="252"/>
        <v>1</v>
      </c>
      <c r="AH455" s="147" t="str">
        <f t="shared" si="232"/>
        <v>NO</v>
      </c>
      <c r="AI455" s="147" t="str">
        <f t="shared" si="233"/>
        <v>NO</v>
      </c>
      <c r="AJ455" s="147" t="str">
        <f t="shared" si="234"/>
        <v>NO</v>
      </c>
      <c r="AK455" s="147" t="str">
        <f t="shared" si="235"/>
        <v>NO</v>
      </c>
      <c r="AL455" s="51">
        <v>20645</v>
      </c>
      <c r="AM455" s="21">
        <f>AL455</f>
        <v>20645</v>
      </c>
      <c r="AN455" s="27" t="s">
        <v>56</v>
      </c>
      <c r="AO455" s="21">
        <v>1</v>
      </c>
      <c r="AP455" s="21">
        <f t="shared" si="245"/>
        <v>0</v>
      </c>
      <c r="AQ455" s="149">
        <f t="shared" si="250"/>
        <v>0</v>
      </c>
      <c r="AR455" s="21">
        <v>0</v>
      </c>
      <c r="AS455" s="610">
        <v>0</v>
      </c>
      <c r="AT455" s="112">
        <v>0</v>
      </c>
      <c r="AU455" s="4" t="s">
        <v>2199</v>
      </c>
      <c r="AV455" s="4"/>
      <c r="AW455" s="23" t="e">
        <f>VLOOKUP(K455,#REF!,8,FALSE)</f>
        <v>#REF!</v>
      </c>
      <c r="AX455" s="23" t="e">
        <f>VLOOKUP(K455,#REF!,8,FALSE)</f>
        <v>#REF!</v>
      </c>
      <c r="AY455" s="23" t="e">
        <f>VLOOKUP(K455,#REF!,8,FALSE)</f>
        <v>#REF!</v>
      </c>
      <c r="AZ455" s="4"/>
      <c r="BA455" s="272"/>
      <c r="BB455" s="313">
        <f t="shared" si="246"/>
        <v>0</v>
      </c>
      <c r="BC455" s="269">
        <f t="shared" si="247"/>
        <v>0</v>
      </c>
      <c r="BD455" t="str">
        <f t="shared" si="248"/>
        <v/>
      </c>
      <c r="BP455" s="166">
        <f t="shared" si="236"/>
        <v>0</v>
      </c>
      <c r="BS455" s="165"/>
      <c r="BX455" s="495">
        <f t="shared" si="237"/>
        <v>0</v>
      </c>
      <c r="BZ455" s="636">
        <f t="shared" si="254"/>
        <v>0</v>
      </c>
      <c r="CA455" s="633">
        <f t="shared" si="255"/>
        <v>0</v>
      </c>
    </row>
    <row r="456" spans="1:79" x14ac:dyDescent="0.2">
      <c r="A456" s="4"/>
      <c r="B456" s="4">
        <v>1</v>
      </c>
      <c r="C456" s="5">
        <f t="shared" si="256"/>
        <v>41205</v>
      </c>
      <c r="D456" s="6">
        <v>41205</v>
      </c>
      <c r="E456" s="121">
        <v>43012</v>
      </c>
      <c r="F456" s="6" t="s">
        <v>1606</v>
      </c>
      <c r="G456" s="7" t="s">
        <v>75</v>
      </c>
      <c r="H456" s="7"/>
      <c r="I456" s="7" t="s">
        <v>157</v>
      </c>
      <c r="J456" s="7"/>
      <c r="K456" s="53"/>
      <c r="L456" s="54" t="s">
        <v>988</v>
      </c>
      <c r="M456" s="54"/>
      <c r="N456" s="54"/>
      <c r="O456" s="55"/>
      <c r="P456" s="12"/>
      <c r="Q456" s="13"/>
      <c r="R456" s="14">
        <v>7</v>
      </c>
      <c r="S456" s="15">
        <v>872</v>
      </c>
      <c r="T456" s="8">
        <v>872</v>
      </c>
      <c r="U456" s="16">
        <v>45017</v>
      </c>
      <c r="V456" s="17">
        <v>1</v>
      </c>
      <c r="W456" s="16">
        <v>45382</v>
      </c>
      <c r="X456" s="14">
        <v>192</v>
      </c>
      <c r="Y456" s="18">
        <f t="shared" si="253"/>
        <v>192</v>
      </c>
      <c r="Z456" s="18">
        <f>Y456/192</f>
        <v>1</v>
      </c>
      <c r="AA456" s="18" t="s">
        <v>1008</v>
      </c>
      <c r="AB456" s="26" t="s">
        <v>1009</v>
      </c>
      <c r="AC456" s="26"/>
      <c r="AD456" s="26"/>
      <c r="AE456" s="147" t="str">
        <f t="shared" si="251"/>
        <v>0</v>
      </c>
      <c r="AF456" s="147" t="str">
        <f t="shared" si="231"/>
        <v>0</v>
      </c>
      <c r="AG456" s="147" t="str">
        <f t="shared" si="252"/>
        <v>1</v>
      </c>
      <c r="AH456" s="147" t="str">
        <f t="shared" si="232"/>
        <v>NO</v>
      </c>
      <c r="AI456" s="147" t="str">
        <f t="shared" si="233"/>
        <v>NO</v>
      </c>
      <c r="AJ456" s="147" t="str">
        <f t="shared" si="234"/>
        <v>NO</v>
      </c>
      <c r="AK456" s="147" t="str">
        <f t="shared" si="235"/>
        <v>NO</v>
      </c>
      <c r="AL456" s="51">
        <v>369164.58</v>
      </c>
      <c r="AM456" s="21">
        <f>AL456</f>
        <v>369164.58</v>
      </c>
      <c r="AN456" s="27"/>
      <c r="AO456" s="21">
        <v>1</v>
      </c>
      <c r="AP456" s="21">
        <f t="shared" si="245"/>
        <v>1</v>
      </c>
      <c r="AQ456" s="149">
        <f t="shared" si="250"/>
        <v>369164.58</v>
      </c>
      <c r="AR456" s="21">
        <v>369164.58</v>
      </c>
      <c r="AS456" s="610">
        <v>0</v>
      </c>
      <c r="AT456" s="112">
        <v>369164.58</v>
      </c>
      <c r="AU456" s="4"/>
      <c r="AV456" s="4"/>
      <c r="AW456" s="23" t="e">
        <f>VLOOKUP(K456,#REF!,8,FALSE)</f>
        <v>#REF!</v>
      </c>
      <c r="AX456" s="23" t="e">
        <f>VLOOKUP(K456,#REF!,8,FALSE)</f>
        <v>#REF!</v>
      </c>
      <c r="AY456" s="23" t="e">
        <f>VLOOKUP(K456,#REF!,8,FALSE)</f>
        <v>#REF!</v>
      </c>
      <c r="AZ456" s="4"/>
      <c r="BA456" s="272"/>
      <c r="BB456" s="313">
        <f t="shared" si="246"/>
        <v>0</v>
      </c>
      <c r="BC456" s="269">
        <f t="shared" si="247"/>
        <v>369164.58</v>
      </c>
      <c r="BD456" t="str">
        <f t="shared" si="248"/>
        <v/>
      </c>
      <c r="BP456" s="166">
        <f t="shared" si="236"/>
        <v>369164.58</v>
      </c>
      <c r="BS456" s="165"/>
      <c r="BX456" s="495">
        <f t="shared" si="237"/>
        <v>369164.58</v>
      </c>
      <c r="BZ456" s="636">
        <f t="shared" si="254"/>
        <v>0</v>
      </c>
      <c r="CA456" s="633">
        <f t="shared" si="255"/>
        <v>369164.58</v>
      </c>
    </row>
    <row r="457" spans="1:79" x14ac:dyDescent="0.2">
      <c r="A457" s="4">
        <v>1</v>
      </c>
      <c r="B457" s="4">
        <v>1</v>
      </c>
      <c r="C457" s="5">
        <f t="shared" si="256"/>
        <v>41205</v>
      </c>
      <c r="D457" s="6">
        <v>41205</v>
      </c>
      <c r="E457" s="121">
        <v>43012</v>
      </c>
      <c r="F457" s="6" t="s">
        <v>1606</v>
      </c>
      <c r="G457" s="7" t="s">
        <v>75</v>
      </c>
      <c r="H457" s="7"/>
      <c r="I457" s="7" t="s">
        <v>157</v>
      </c>
      <c r="J457" s="7"/>
      <c r="K457" s="53">
        <v>442966</v>
      </c>
      <c r="L457" s="54" t="s">
        <v>988</v>
      </c>
      <c r="M457" s="54" t="s">
        <v>1010</v>
      </c>
      <c r="N457" s="54" t="s">
        <v>1011</v>
      </c>
      <c r="O457" s="55" t="s">
        <v>1012</v>
      </c>
      <c r="P457" s="12">
        <v>40681</v>
      </c>
      <c r="Q457" s="13">
        <f t="shared" ref="Q457:Q520" ca="1" si="257">(TODAY()-P457)/365.25</f>
        <v>14.349075975359343</v>
      </c>
      <c r="R457" s="14">
        <v>7</v>
      </c>
      <c r="S457" s="15">
        <v>872</v>
      </c>
      <c r="T457" s="8">
        <v>872</v>
      </c>
      <c r="U457" s="16">
        <v>45017</v>
      </c>
      <c r="V457" s="17">
        <v>1</v>
      </c>
      <c r="W457" s="16">
        <v>45382</v>
      </c>
      <c r="X457" s="14">
        <v>192</v>
      </c>
      <c r="Y457" s="18">
        <f t="shared" si="253"/>
        <v>192</v>
      </c>
      <c r="Z457" s="18">
        <f>Y457/192</f>
        <v>1</v>
      </c>
      <c r="AA457" s="18" t="s">
        <v>36</v>
      </c>
      <c r="AB457" s="26">
        <v>25</v>
      </c>
      <c r="AC457" s="26"/>
      <c r="AD457" s="26"/>
      <c r="AE457" s="147" t="str">
        <f t="shared" si="251"/>
        <v>1</v>
      </c>
      <c r="AF457" s="147" t="str">
        <f t="shared" si="231"/>
        <v>0</v>
      </c>
      <c r="AG457" s="147" t="str">
        <f t="shared" si="252"/>
        <v>0</v>
      </c>
      <c r="AH457" s="147" t="str">
        <f t="shared" si="232"/>
        <v>NO</v>
      </c>
      <c r="AI457" s="147" t="str">
        <f t="shared" si="233"/>
        <v>NO</v>
      </c>
      <c r="AJ457" s="147" t="str">
        <f t="shared" si="234"/>
        <v>NO</v>
      </c>
      <c r="AK457" s="147" t="str">
        <f t="shared" si="235"/>
        <v>NO</v>
      </c>
      <c r="AL457" s="21"/>
      <c r="AM457" s="21">
        <f>IF(H457="Y",AL457,((AB457*$O$902)-6000))</f>
        <v>5819.25</v>
      </c>
      <c r="AN457" s="27" t="s">
        <v>43</v>
      </c>
      <c r="AO457" s="21">
        <v>1</v>
      </c>
      <c r="AP457" s="21">
        <f t="shared" si="245"/>
        <v>1</v>
      </c>
      <c r="AQ457" s="149">
        <f t="shared" si="250"/>
        <v>5819.25</v>
      </c>
      <c r="AR457" s="21">
        <v>5819.25</v>
      </c>
      <c r="AS457" s="610">
        <v>5819.25</v>
      </c>
      <c r="AT457" s="112">
        <v>5819.25</v>
      </c>
      <c r="AU457" s="4"/>
      <c r="AV457" s="4"/>
      <c r="AW457" s="23" t="e">
        <f>VLOOKUP(K457,#REF!,8,FALSE)</f>
        <v>#REF!</v>
      </c>
      <c r="AX457" s="23" t="e">
        <f>VLOOKUP(K457,#REF!,8,FALSE)</f>
        <v>#REF!</v>
      </c>
      <c r="AY457" s="23" t="e">
        <f>VLOOKUP(K457,#REF!,8,FALSE)</f>
        <v>#REF!</v>
      </c>
      <c r="AZ457" s="4"/>
      <c r="BA457" s="272"/>
      <c r="BB457" s="313">
        <f t="shared" si="246"/>
        <v>0</v>
      </c>
      <c r="BC457" s="269">
        <f t="shared" si="247"/>
        <v>5819.25</v>
      </c>
      <c r="BD457" t="str">
        <f t="shared" si="248"/>
        <v/>
      </c>
      <c r="BP457" s="166">
        <f t="shared" si="236"/>
        <v>5819.25</v>
      </c>
      <c r="BS457" s="165"/>
      <c r="BX457" s="495">
        <f t="shared" si="237"/>
        <v>5819.25</v>
      </c>
      <c r="BZ457" s="636">
        <f t="shared" si="254"/>
        <v>0</v>
      </c>
      <c r="CA457" s="633">
        <f t="shared" si="255"/>
        <v>0</v>
      </c>
    </row>
    <row r="458" spans="1:79" x14ac:dyDescent="0.2">
      <c r="A458" s="4">
        <v>1</v>
      </c>
      <c r="B458" s="4">
        <v>1</v>
      </c>
      <c r="C458" s="5">
        <f t="shared" si="256"/>
        <v>41205</v>
      </c>
      <c r="D458" s="6">
        <v>41205</v>
      </c>
      <c r="E458" s="121">
        <v>43012</v>
      </c>
      <c r="F458" s="6" t="s">
        <v>1606</v>
      </c>
      <c r="G458" s="7" t="s">
        <v>75</v>
      </c>
      <c r="H458" s="7"/>
      <c r="I458" s="7" t="s">
        <v>157</v>
      </c>
      <c r="J458" s="7"/>
      <c r="K458" s="53">
        <v>429536</v>
      </c>
      <c r="L458" s="54" t="s">
        <v>988</v>
      </c>
      <c r="M458" s="54" t="s">
        <v>1013</v>
      </c>
      <c r="N458" s="54" t="s">
        <v>1014</v>
      </c>
      <c r="O458" s="55" t="s">
        <v>1015</v>
      </c>
      <c r="P458" s="12">
        <v>40685</v>
      </c>
      <c r="Q458" s="13">
        <f t="shared" ca="1" si="257"/>
        <v>14.338124572210814</v>
      </c>
      <c r="R458" s="14">
        <v>7</v>
      </c>
      <c r="S458" s="15">
        <v>872</v>
      </c>
      <c r="T458" s="8">
        <v>872</v>
      </c>
      <c r="U458" s="16">
        <v>45017</v>
      </c>
      <c r="V458" s="17">
        <v>1</v>
      </c>
      <c r="W458" s="16">
        <v>45382</v>
      </c>
      <c r="X458" s="14">
        <v>192</v>
      </c>
      <c r="Y458" s="18">
        <f t="shared" si="253"/>
        <v>192</v>
      </c>
      <c r="Z458" s="18">
        <f>Y458/192</f>
        <v>1</v>
      </c>
      <c r="AA458" s="18" t="s">
        <v>36</v>
      </c>
      <c r="AB458" s="26">
        <v>30</v>
      </c>
      <c r="AC458" s="26"/>
      <c r="AD458" s="26"/>
      <c r="AE458" s="147" t="str">
        <f t="shared" si="251"/>
        <v>0</v>
      </c>
      <c r="AF458" s="147" t="str">
        <f t="shared" si="231"/>
        <v>1</v>
      </c>
      <c r="AG458" s="147" t="str">
        <f t="shared" si="252"/>
        <v>0</v>
      </c>
      <c r="AH458" s="147" t="str">
        <f t="shared" si="232"/>
        <v>NO</v>
      </c>
      <c r="AI458" s="147" t="str">
        <f t="shared" si="233"/>
        <v>NO</v>
      </c>
      <c r="AJ458" s="147" t="str">
        <f t="shared" si="234"/>
        <v>NO</v>
      </c>
      <c r="AK458" s="147" t="str">
        <f t="shared" si="235"/>
        <v>NO</v>
      </c>
      <c r="AL458" s="21"/>
      <c r="AM458" s="21">
        <f>IF(H458="Y",AL458,((AB458*$O$902)-6000))</f>
        <v>8183.0999999999985</v>
      </c>
      <c r="AN458" s="27" t="s">
        <v>56</v>
      </c>
      <c r="AO458" s="21">
        <v>1</v>
      </c>
      <c r="AP458" s="21">
        <f t="shared" si="245"/>
        <v>1</v>
      </c>
      <c r="AQ458" s="149">
        <f t="shared" si="250"/>
        <v>8183.0999999999985</v>
      </c>
      <c r="AR458" s="21">
        <v>8183.0999999999985</v>
      </c>
      <c r="AS458" s="610">
        <v>8183.0999999999985</v>
      </c>
      <c r="AT458" s="112">
        <v>8183.0999999999985</v>
      </c>
      <c r="AU458" s="4"/>
      <c r="AV458" s="4"/>
      <c r="AW458" s="23" t="e">
        <f>VLOOKUP(K458,#REF!,8,FALSE)</f>
        <v>#REF!</v>
      </c>
      <c r="AX458" s="23" t="e">
        <f>VLOOKUP(K458,#REF!,8,FALSE)</f>
        <v>#REF!</v>
      </c>
      <c r="AY458" s="23" t="e">
        <f>VLOOKUP(K458,#REF!,8,FALSE)</f>
        <v>#REF!</v>
      </c>
      <c r="AZ458" s="4"/>
      <c r="BA458" s="272"/>
      <c r="BB458" s="313">
        <f t="shared" si="246"/>
        <v>0</v>
      </c>
      <c r="BC458" s="269">
        <f t="shared" si="247"/>
        <v>8183.0999999999985</v>
      </c>
      <c r="BD458" t="str">
        <f t="shared" si="248"/>
        <v/>
      </c>
      <c r="BP458" s="166">
        <f t="shared" si="236"/>
        <v>8183.0999999999985</v>
      </c>
      <c r="BS458" s="165"/>
      <c r="BX458" s="495">
        <f t="shared" si="237"/>
        <v>8183.0999999999985</v>
      </c>
      <c r="BZ458" s="636">
        <f t="shared" si="254"/>
        <v>0</v>
      </c>
      <c r="CA458" s="633">
        <f t="shared" si="255"/>
        <v>0</v>
      </c>
    </row>
    <row r="459" spans="1:79" x14ac:dyDescent="0.2">
      <c r="A459" s="4">
        <v>1</v>
      </c>
      <c r="B459" s="4">
        <v>1</v>
      </c>
      <c r="C459" s="5">
        <f t="shared" si="256"/>
        <v>41205</v>
      </c>
      <c r="D459" s="6">
        <v>41205</v>
      </c>
      <c r="E459" s="121">
        <v>43012</v>
      </c>
      <c r="F459" s="6" t="s">
        <v>1606</v>
      </c>
      <c r="G459" s="7" t="s">
        <v>75</v>
      </c>
      <c r="H459" s="7"/>
      <c r="I459" s="7" t="s">
        <v>157</v>
      </c>
      <c r="J459" s="7"/>
      <c r="K459" s="53">
        <v>433760</v>
      </c>
      <c r="L459" s="54" t="s">
        <v>988</v>
      </c>
      <c r="M459" s="54" t="s">
        <v>1016</v>
      </c>
      <c r="N459" s="54" t="s">
        <v>1017</v>
      </c>
      <c r="O459" s="55" t="s">
        <v>1018</v>
      </c>
      <c r="P459" s="12">
        <v>40597</v>
      </c>
      <c r="Q459" s="13">
        <f t="shared" ca="1" si="257"/>
        <v>14.57905544147844</v>
      </c>
      <c r="R459" s="14">
        <v>7</v>
      </c>
      <c r="S459" s="15">
        <v>872</v>
      </c>
      <c r="T459" s="8">
        <v>872</v>
      </c>
      <c r="U459" s="16">
        <v>45017</v>
      </c>
      <c r="V459" s="17">
        <v>1</v>
      </c>
      <c r="W459" s="16">
        <v>45382</v>
      </c>
      <c r="X459" s="14">
        <v>192</v>
      </c>
      <c r="Y459" s="18">
        <f t="shared" si="253"/>
        <v>192</v>
      </c>
      <c r="Z459" s="18">
        <f>Y459/192</f>
        <v>1</v>
      </c>
      <c r="AA459" s="18" t="s">
        <v>36</v>
      </c>
      <c r="AB459" s="26">
        <v>30</v>
      </c>
      <c r="AC459" s="26"/>
      <c r="AD459" s="26"/>
      <c r="AE459" s="147" t="str">
        <f t="shared" si="251"/>
        <v>0</v>
      </c>
      <c r="AF459" s="147" t="str">
        <f t="shared" si="231"/>
        <v>1</v>
      </c>
      <c r="AG459" s="147" t="str">
        <f t="shared" si="252"/>
        <v>0</v>
      </c>
      <c r="AH459" s="147" t="str">
        <f t="shared" si="232"/>
        <v>NO</v>
      </c>
      <c r="AI459" s="147" t="str">
        <f t="shared" si="233"/>
        <v>NO</v>
      </c>
      <c r="AJ459" s="147" t="str">
        <f t="shared" si="234"/>
        <v>NO</v>
      </c>
      <c r="AK459" s="147" t="str">
        <f t="shared" si="235"/>
        <v>NO</v>
      </c>
      <c r="AL459" s="21"/>
      <c r="AM459" s="21">
        <f>IF(H459="Y",AL459,((AB459*$O$902)-6000))</f>
        <v>8183.0999999999985</v>
      </c>
      <c r="AN459" s="27" t="s">
        <v>37</v>
      </c>
      <c r="AO459" s="21">
        <v>1</v>
      </c>
      <c r="AP459" s="21">
        <f t="shared" ref="AP459:AP490" si="258">AO459*Z459</f>
        <v>1</v>
      </c>
      <c r="AQ459" s="149">
        <f t="shared" si="250"/>
        <v>8183.0999999999985</v>
      </c>
      <c r="AR459" s="21">
        <v>8183.0999999999985</v>
      </c>
      <c r="AS459" s="610">
        <v>8183.0999999999985</v>
      </c>
      <c r="AT459" s="112">
        <v>8183.0999999999985</v>
      </c>
      <c r="AU459" s="4"/>
      <c r="AV459" s="4"/>
      <c r="AW459" s="23" t="e">
        <f>VLOOKUP(K459,#REF!,8,FALSE)</f>
        <v>#REF!</v>
      </c>
      <c r="AX459" s="23" t="e">
        <f>VLOOKUP(K459,#REF!,8,FALSE)</f>
        <v>#REF!</v>
      </c>
      <c r="AY459" s="23" t="e">
        <f>VLOOKUP(K459,#REF!,8,FALSE)</f>
        <v>#REF!</v>
      </c>
      <c r="AZ459" s="4"/>
      <c r="BA459" s="272"/>
      <c r="BB459" s="313">
        <f t="shared" si="246"/>
        <v>0</v>
      </c>
      <c r="BC459" s="269">
        <f t="shared" si="247"/>
        <v>8183.0999999999985</v>
      </c>
      <c r="BD459" t="str">
        <f t="shared" si="248"/>
        <v/>
      </c>
      <c r="BP459" s="166">
        <f t="shared" si="236"/>
        <v>8183.0999999999985</v>
      </c>
      <c r="BS459" s="165"/>
      <c r="BX459" s="495">
        <f t="shared" si="237"/>
        <v>8183.0999999999985</v>
      </c>
      <c r="BZ459" s="636">
        <f t="shared" si="254"/>
        <v>0</v>
      </c>
      <c r="CA459" s="633">
        <f t="shared" si="255"/>
        <v>0</v>
      </c>
    </row>
    <row r="460" spans="1:79" x14ac:dyDescent="0.2">
      <c r="A460" s="4">
        <v>0</v>
      </c>
      <c r="B460" s="4">
        <v>1</v>
      </c>
      <c r="C460" s="5">
        <f t="shared" si="256"/>
        <v>41205</v>
      </c>
      <c r="D460" s="6">
        <v>41205</v>
      </c>
      <c r="E460" s="121">
        <v>43012</v>
      </c>
      <c r="F460" s="6" t="s">
        <v>1606</v>
      </c>
      <c r="G460" s="7" t="s">
        <v>75</v>
      </c>
      <c r="H460" s="7"/>
      <c r="I460" s="7" t="s">
        <v>157</v>
      </c>
      <c r="J460" s="7" t="s">
        <v>142</v>
      </c>
      <c r="K460" s="53">
        <v>433760</v>
      </c>
      <c r="L460" s="54" t="s">
        <v>988</v>
      </c>
      <c r="M460" s="54" t="s">
        <v>1016</v>
      </c>
      <c r="N460" s="54" t="s">
        <v>1017</v>
      </c>
      <c r="O460" s="55" t="s">
        <v>1018</v>
      </c>
      <c r="P460" s="12">
        <v>40597</v>
      </c>
      <c r="Q460" s="13">
        <f t="shared" ca="1" si="257"/>
        <v>14.57905544147844</v>
      </c>
      <c r="R460" s="14">
        <v>7</v>
      </c>
      <c r="S460" s="15">
        <v>872</v>
      </c>
      <c r="T460" s="8">
        <v>872</v>
      </c>
      <c r="U460" s="16">
        <v>45017</v>
      </c>
      <c r="V460" s="17">
        <v>1</v>
      </c>
      <c r="W460" s="16">
        <v>45128</v>
      </c>
      <c r="X460" s="14">
        <v>63</v>
      </c>
      <c r="Y460" s="18">
        <f t="shared" si="253"/>
        <v>63</v>
      </c>
      <c r="Z460" s="18">
        <v>1</v>
      </c>
      <c r="AA460" s="16">
        <v>45128</v>
      </c>
      <c r="AB460" s="26">
        <v>600</v>
      </c>
      <c r="AC460" s="26"/>
      <c r="AD460" s="26"/>
      <c r="AE460" s="147" t="str">
        <f t="shared" si="251"/>
        <v>0</v>
      </c>
      <c r="AF460" s="147" t="str">
        <f t="shared" si="231"/>
        <v>0</v>
      </c>
      <c r="AG460" s="147" t="str">
        <f t="shared" si="252"/>
        <v>1</v>
      </c>
      <c r="AH460" s="147" t="str">
        <f t="shared" si="232"/>
        <v>NO</v>
      </c>
      <c r="AI460" s="147" t="str">
        <f t="shared" si="233"/>
        <v>NO</v>
      </c>
      <c r="AJ460" s="147" t="str">
        <f t="shared" si="234"/>
        <v>NO</v>
      </c>
      <c r="AK460" s="147" t="str">
        <f t="shared" si="235"/>
        <v>NO</v>
      </c>
      <c r="AL460" s="21"/>
      <c r="AM460" s="21">
        <v>600</v>
      </c>
      <c r="AN460" s="27" t="s">
        <v>37</v>
      </c>
      <c r="AO460" s="21">
        <v>1</v>
      </c>
      <c r="AP460" s="21">
        <f t="shared" si="258"/>
        <v>1</v>
      </c>
      <c r="AQ460" s="149">
        <f t="shared" si="250"/>
        <v>600</v>
      </c>
      <c r="AR460" s="21">
        <v>600</v>
      </c>
      <c r="AS460" s="610">
        <v>0</v>
      </c>
      <c r="AT460" s="112">
        <v>600</v>
      </c>
      <c r="AU460" s="4"/>
      <c r="AV460" s="4"/>
      <c r="AW460" s="23" t="e">
        <f>VLOOKUP(K460,#REF!,8,FALSE)</f>
        <v>#REF!</v>
      </c>
      <c r="AX460" s="23" t="e">
        <f>VLOOKUP(K460,#REF!,8,FALSE)</f>
        <v>#REF!</v>
      </c>
      <c r="AY460" s="23" t="e">
        <f>VLOOKUP(K460,#REF!,8,FALSE)</f>
        <v>#REF!</v>
      </c>
      <c r="AZ460" s="4"/>
      <c r="BA460" s="272"/>
      <c r="BB460" s="313">
        <f t="shared" si="246"/>
        <v>0</v>
      </c>
      <c r="BC460" s="269">
        <f t="shared" si="247"/>
        <v>600</v>
      </c>
      <c r="BD460" t="str">
        <f t="shared" si="248"/>
        <v/>
      </c>
      <c r="BJ460">
        <f>AB460</f>
        <v>600</v>
      </c>
      <c r="BK460" s="269">
        <f>AM460</f>
        <v>600</v>
      </c>
      <c r="BO460" s="106">
        <f>BK460/192*127</f>
        <v>396.875</v>
      </c>
      <c r="BP460" s="166">
        <f t="shared" si="236"/>
        <v>996.875</v>
      </c>
      <c r="BS460" s="165"/>
      <c r="BX460" s="495">
        <f t="shared" si="237"/>
        <v>996.875</v>
      </c>
      <c r="BZ460" s="636">
        <f t="shared" si="254"/>
        <v>0</v>
      </c>
      <c r="CA460" s="633">
        <f t="shared" si="255"/>
        <v>996.875</v>
      </c>
    </row>
    <row r="461" spans="1:79" x14ac:dyDescent="0.2">
      <c r="A461" s="4">
        <v>1</v>
      </c>
      <c r="B461" s="4">
        <v>1</v>
      </c>
      <c r="C461" s="5">
        <f t="shared" si="256"/>
        <v>41205</v>
      </c>
      <c r="D461" s="6">
        <v>41205</v>
      </c>
      <c r="E461" s="121">
        <v>43012</v>
      </c>
      <c r="F461" s="6" t="s">
        <v>1606</v>
      </c>
      <c r="G461" s="7" t="s">
        <v>75</v>
      </c>
      <c r="H461" s="7"/>
      <c r="I461" s="7" t="s">
        <v>157</v>
      </c>
      <c r="J461" s="7"/>
      <c r="K461" s="53">
        <v>396745</v>
      </c>
      <c r="L461" s="54" t="s">
        <v>988</v>
      </c>
      <c r="M461" s="54" t="s">
        <v>1019</v>
      </c>
      <c r="N461" s="54" t="s">
        <v>764</v>
      </c>
      <c r="O461" s="55" t="s">
        <v>1020</v>
      </c>
      <c r="P461" s="12">
        <v>39878</v>
      </c>
      <c r="Q461" s="13">
        <f t="shared" ca="1" si="257"/>
        <v>16.547570157426421</v>
      </c>
      <c r="R461" s="14">
        <v>9</v>
      </c>
      <c r="S461" s="15">
        <v>872</v>
      </c>
      <c r="T461" s="8">
        <v>872</v>
      </c>
      <c r="U461" s="16">
        <v>45017</v>
      </c>
      <c r="V461" s="17">
        <v>1</v>
      </c>
      <c r="W461" s="16">
        <v>45382</v>
      </c>
      <c r="X461" s="14">
        <v>192</v>
      </c>
      <c r="Y461" s="18">
        <f t="shared" si="253"/>
        <v>192</v>
      </c>
      <c r="Z461" s="18">
        <f t="shared" ref="Z461:Z475" si="259">Y461/192</f>
        <v>1</v>
      </c>
      <c r="AA461" s="18" t="s">
        <v>36</v>
      </c>
      <c r="AB461" s="26">
        <v>30</v>
      </c>
      <c r="AC461" s="26"/>
      <c r="AD461" s="26"/>
      <c r="AE461" s="147" t="str">
        <f t="shared" si="251"/>
        <v>0</v>
      </c>
      <c r="AF461" s="147" t="str">
        <f t="shared" si="231"/>
        <v>1</v>
      </c>
      <c r="AG461" s="147" t="str">
        <f t="shared" si="252"/>
        <v>0</v>
      </c>
      <c r="AH461" s="147" t="str">
        <f t="shared" si="232"/>
        <v>NO</v>
      </c>
      <c r="AI461" s="147" t="str">
        <f t="shared" si="233"/>
        <v>NO</v>
      </c>
      <c r="AJ461" s="147" t="str">
        <f t="shared" si="234"/>
        <v>NO</v>
      </c>
      <c r="AK461" s="147" t="str">
        <f t="shared" si="235"/>
        <v>NO</v>
      </c>
      <c r="AL461" s="21"/>
      <c r="AM461" s="21">
        <f t="shared" ref="AM461:AM475" si="260">IF(H461="Y",AL461,((AB461*$O$902)-6000))</f>
        <v>8183.0999999999985</v>
      </c>
      <c r="AN461" s="27" t="s">
        <v>56</v>
      </c>
      <c r="AO461" s="21">
        <v>1</v>
      </c>
      <c r="AP461" s="21">
        <f t="shared" si="258"/>
        <v>1</v>
      </c>
      <c r="AQ461" s="149">
        <f t="shared" si="250"/>
        <v>8183.0999999999985</v>
      </c>
      <c r="AR461" s="21">
        <v>8183.0999999999985</v>
      </c>
      <c r="AS461" s="610">
        <v>0</v>
      </c>
      <c r="AT461" s="112">
        <v>8183.0999999999985</v>
      </c>
      <c r="AU461" s="4"/>
      <c r="AV461" s="4"/>
      <c r="AW461" s="23" t="e">
        <f>VLOOKUP(K461,#REF!,8,FALSE)</f>
        <v>#REF!</v>
      </c>
      <c r="AX461" s="23" t="e">
        <f>VLOOKUP(K461,#REF!,8,FALSE)</f>
        <v>#REF!</v>
      </c>
      <c r="AY461" s="23" t="e">
        <f>VLOOKUP(K461,#REF!,8,FALSE)</f>
        <v>#REF!</v>
      </c>
      <c r="AZ461" s="4"/>
      <c r="BA461" s="272"/>
      <c r="BB461" s="313">
        <f t="shared" si="246"/>
        <v>0</v>
      </c>
      <c r="BC461" s="269">
        <f t="shared" si="247"/>
        <v>8183.0999999999985</v>
      </c>
      <c r="BD461" t="str">
        <f t="shared" si="248"/>
        <v/>
      </c>
      <c r="BP461" s="166">
        <f t="shared" si="236"/>
        <v>8183.0999999999985</v>
      </c>
      <c r="BS461" s="165"/>
      <c r="BX461" s="495">
        <f t="shared" si="237"/>
        <v>8183.0999999999985</v>
      </c>
      <c r="BZ461" s="636">
        <f t="shared" si="254"/>
        <v>0</v>
      </c>
      <c r="CA461" s="633">
        <f t="shared" si="255"/>
        <v>8183.0999999999985</v>
      </c>
    </row>
    <row r="462" spans="1:79" x14ac:dyDescent="0.2">
      <c r="A462" s="4">
        <v>1</v>
      </c>
      <c r="B462" s="4">
        <v>1</v>
      </c>
      <c r="C462" s="5">
        <f t="shared" si="256"/>
        <v>41205</v>
      </c>
      <c r="D462" s="6">
        <v>41205</v>
      </c>
      <c r="E462" s="121">
        <v>43012</v>
      </c>
      <c r="F462" s="6" t="s">
        <v>1606</v>
      </c>
      <c r="G462" s="7" t="s">
        <v>75</v>
      </c>
      <c r="H462" s="7"/>
      <c r="I462" s="7" t="s">
        <v>157</v>
      </c>
      <c r="J462" s="7"/>
      <c r="K462" s="53">
        <v>397685</v>
      </c>
      <c r="L462" s="54" t="s">
        <v>988</v>
      </c>
      <c r="M462" s="54" t="s">
        <v>1021</v>
      </c>
      <c r="N462" s="54" t="s">
        <v>339</v>
      </c>
      <c r="O462" s="55" t="s">
        <v>1022</v>
      </c>
      <c r="P462" s="12">
        <v>40742</v>
      </c>
      <c r="Q462" s="13">
        <f t="shared" ca="1" si="257"/>
        <v>14.182067077344286</v>
      </c>
      <c r="R462" s="14">
        <v>7</v>
      </c>
      <c r="S462" s="15">
        <v>872</v>
      </c>
      <c r="T462" s="8">
        <v>872</v>
      </c>
      <c r="U462" s="16">
        <v>45017</v>
      </c>
      <c r="V462" s="17">
        <v>1</v>
      </c>
      <c r="W462" s="16">
        <v>45382</v>
      </c>
      <c r="X462" s="14">
        <v>192</v>
      </c>
      <c r="Y462" s="18">
        <f t="shared" si="253"/>
        <v>192</v>
      </c>
      <c r="Z462" s="18">
        <f t="shared" si="259"/>
        <v>1</v>
      </c>
      <c r="AA462" s="18" t="s">
        <v>36</v>
      </c>
      <c r="AB462" s="26">
        <v>25</v>
      </c>
      <c r="AC462" s="26"/>
      <c r="AD462" s="26"/>
      <c r="AE462" s="147" t="str">
        <f t="shared" si="251"/>
        <v>1</v>
      </c>
      <c r="AF462" s="147" t="str">
        <f t="shared" si="231"/>
        <v>0</v>
      </c>
      <c r="AG462" s="147" t="str">
        <f t="shared" si="252"/>
        <v>0</v>
      </c>
      <c r="AH462" s="147" t="str">
        <f t="shared" si="232"/>
        <v>NO</v>
      </c>
      <c r="AI462" s="147" t="str">
        <f t="shared" si="233"/>
        <v>NO</v>
      </c>
      <c r="AJ462" s="147" t="str">
        <f t="shared" si="234"/>
        <v>NO</v>
      </c>
      <c r="AK462" s="147" t="str">
        <f t="shared" si="235"/>
        <v>NO</v>
      </c>
      <c r="AL462" s="21"/>
      <c r="AM462" s="21">
        <f t="shared" si="260"/>
        <v>5819.25</v>
      </c>
      <c r="AN462" s="27" t="s">
        <v>43</v>
      </c>
      <c r="AO462" s="21">
        <v>1</v>
      </c>
      <c r="AP462" s="21">
        <f t="shared" si="258"/>
        <v>1</v>
      </c>
      <c r="AQ462" s="149">
        <f t="shared" si="250"/>
        <v>5819.25</v>
      </c>
      <c r="AR462" s="21">
        <v>5819.25</v>
      </c>
      <c r="AS462" s="610">
        <v>8183.0999999999985</v>
      </c>
      <c r="AT462" s="112">
        <v>5819.25</v>
      </c>
      <c r="AU462" s="4"/>
      <c r="AV462" s="4"/>
      <c r="AW462" s="23" t="e">
        <f>VLOOKUP(K462,#REF!,8,FALSE)</f>
        <v>#REF!</v>
      </c>
      <c r="AX462" s="23" t="e">
        <f>VLOOKUP(K462,#REF!,8,FALSE)</f>
        <v>#REF!</v>
      </c>
      <c r="AY462" s="23" t="e">
        <f>VLOOKUP(K462,#REF!,8,FALSE)</f>
        <v>#REF!</v>
      </c>
      <c r="AZ462" s="4"/>
      <c r="BA462" s="272"/>
      <c r="BB462" s="313">
        <f t="shared" si="246"/>
        <v>0</v>
      </c>
      <c r="BC462" s="269">
        <f t="shared" si="247"/>
        <v>5819.25</v>
      </c>
      <c r="BD462" t="str">
        <f t="shared" si="248"/>
        <v/>
      </c>
      <c r="BP462" s="166">
        <f t="shared" si="236"/>
        <v>5819.25</v>
      </c>
      <c r="BS462" s="165"/>
      <c r="BX462" s="495">
        <f t="shared" si="237"/>
        <v>5819.25</v>
      </c>
      <c r="BZ462" s="636">
        <f t="shared" si="254"/>
        <v>0</v>
      </c>
      <c r="CA462" s="633">
        <f t="shared" si="255"/>
        <v>-2363.8499999999985</v>
      </c>
    </row>
    <row r="463" spans="1:79" x14ac:dyDescent="0.2">
      <c r="A463" s="4">
        <v>1</v>
      </c>
      <c r="B463" s="4">
        <v>1</v>
      </c>
      <c r="C463" s="5">
        <f t="shared" si="256"/>
        <v>41205</v>
      </c>
      <c r="D463" s="6">
        <v>41205</v>
      </c>
      <c r="E463" s="121">
        <v>43012</v>
      </c>
      <c r="F463" s="6" t="s">
        <v>1606</v>
      </c>
      <c r="G463" s="7" t="s">
        <v>75</v>
      </c>
      <c r="H463" s="7"/>
      <c r="I463" s="7" t="s">
        <v>157</v>
      </c>
      <c r="J463" s="7"/>
      <c r="K463" s="53">
        <v>362195</v>
      </c>
      <c r="L463" s="54" t="s">
        <v>988</v>
      </c>
      <c r="M463" s="54" t="s">
        <v>1023</v>
      </c>
      <c r="N463" s="54" t="s">
        <v>1024</v>
      </c>
      <c r="O463" s="55" t="s">
        <v>1025</v>
      </c>
      <c r="P463" s="12">
        <v>39061</v>
      </c>
      <c r="Q463" s="13">
        <f t="shared" ca="1" si="257"/>
        <v>18.784394250513348</v>
      </c>
      <c r="R463" s="14">
        <v>11</v>
      </c>
      <c r="S463" s="15">
        <v>872</v>
      </c>
      <c r="T463" s="8">
        <v>872</v>
      </c>
      <c r="U463" s="16">
        <v>45017</v>
      </c>
      <c r="V463" s="17">
        <v>1</v>
      </c>
      <c r="W463" s="16">
        <v>45128</v>
      </c>
      <c r="X463" s="14">
        <v>63</v>
      </c>
      <c r="Y463" s="18">
        <f t="shared" si="253"/>
        <v>63</v>
      </c>
      <c r="Z463" s="18">
        <f t="shared" si="259"/>
        <v>0.328125</v>
      </c>
      <c r="AA463" s="16" t="s">
        <v>166</v>
      </c>
      <c r="AB463" s="26">
        <v>25</v>
      </c>
      <c r="AC463" s="26"/>
      <c r="AD463" s="26"/>
      <c r="AE463" s="147" t="str">
        <f t="shared" si="251"/>
        <v>1</v>
      </c>
      <c r="AF463" s="147" t="str">
        <f t="shared" si="231"/>
        <v>0</v>
      </c>
      <c r="AG463" s="147" t="str">
        <f t="shared" si="252"/>
        <v>0</v>
      </c>
      <c r="AH463" s="147" t="str">
        <f t="shared" si="232"/>
        <v>NO</v>
      </c>
      <c r="AI463" s="147" t="str">
        <f t="shared" si="233"/>
        <v>NO</v>
      </c>
      <c r="AJ463" s="147" t="str">
        <f t="shared" si="234"/>
        <v>NO</v>
      </c>
      <c r="AK463" s="147" t="str">
        <f t="shared" si="235"/>
        <v>NO</v>
      </c>
      <c r="AL463" s="21"/>
      <c r="AM463" s="21">
        <f t="shared" si="260"/>
        <v>5819.25</v>
      </c>
      <c r="AN463" s="27" t="s">
        <v>56</v>
      </c>
      <c r="AO463" s="21">
        <v>1</v>
      </c>
      <c r="AP463" s="21">
        <f t="shared" si="258"/>
        <v>0.328125</v>
      </c>
      <c r="AQ463" s="149">
        <f t="shared" si="250"/>
        <v>1909.44140625</v>
      </c>
      <c r="AR463" s="21">
        <v>1909.44140625</v>
      </c>
      <c r="AS463" s="610">
        <v>1909.44140625</v>
      </c>
      <c r="AT463" s="112">
        <v>1909.44140625</v>
      </c>
      <c r="AU463" s="4"/>
      <c r="AV463" s="4"/>
      <c r="AW463" s="23" t="e">
        <f>VLOOKUP(K463,#REF!,8,FALSE)</f>
        <v>#REF!</v>
      </c>
      <c r="AX463" s="23" t="e">
        <f>VLOOKUP(K463,#REF!,8,FALSE)</f>
        <v>#REF!</v>
      </c>
      <c r="AY463" s="266" t="s">
        <v>2236</v>
      </c>
      <c r="AZ463" s="268" t="s">
        <v>75</v>
      </c>
      <c r="BA463" s="274">
        <f>AM463/3*2</f>
        <v>3879.5</v>
      </c>
      <c r="BB463" s="313">
        <f t="shared" si="246"/>
        <v>0</v>
      </c>
      <c r="BC463" s="269">
        <f t="shared" si="247"/>
        <v>1909.44140625</v>
      </c>
      <c r="BD463" t="e">
        <f t="shared" si="248"/>
        <v>#REF!</v>
      </c>
      <c r="BE463" t="s">
        <v>2351</v>
      </c>
      <c r="BI463" t="e">
        <f>VLOOKUP(K463,#REF!,8,FALSE)</f>
        <v>#REF!</v>
      </c>
      <c r="BK463" s="269"/>
      <c r="BN463" s="353" t="s">
        <v>75</v>
      </c>
      <c r="BO463" s="106"/>
      <c r="BP463" s="166">
        <f t="shared" si="236"/>
        <v>1909.44140625</v>
      </c>
      <c r="BQ463" t="s">
        <v>2351</v>
      </c>
      <c r="BS463" s="165"/>
      <c r="BX463" s="495">
        <f t="shared" si="237"/>
        <v>1909.44140625</v>
      </c>
      <c r="BZ463" s="636">
        <f t="shared" si="254"/>
        <v>0</v>
      </c>
      <c r="CA463" s="633">
        <f t="shared" si="255"/>
        <v>0</v>
      </c>
    </row>
    <row r="464" spans="1:79" x14ac:dyDescent="0.2">
      <c r="A464" s="4">
        <v>1</v>
      </c>
      <c r="B464" s="4">
        <v>1</v>
      </c>
      <c r="C464" s="5">
        <f t="shared" si="256"/>
        <v>41205</v>
      </c>
      <c r="D464" s="6">
        <v>41205</v>
      </c>
      <c r="E464" s="121">
        <v>43012</v>
      </c>
      <c r="F464" s="6" t="s">
        <v>1606</v>
      </c>
      <c r="G464" s="7" t="s">
        <v>75</v>
      </c>
      <c r="H464" s="7"/>
      <c r="I464" s="7" t="s">
        <v>157</v>
      </c>
      <c r="J464" s="7"/>
      <c r="K464" s="53">
        <v>390558</v>
      </c>
      <c r="L464" s="54" t="s">
        <v>988</v>
      </c>
      <c r="M464" s="54" t="s">
        <v>1026</v>
      </c>
      <c r="N464" s="54" t="s">
        <v>1027</v>
      </c>
      <c r="O464" s="55" t="s">
        <v>1028</v>
      </c>
      <c r="P464" s="12">
        <v>40700</v>
      </c>
      <c r="Q464" s="13">
        <f t="shared" ca="1" si="257"/>
        <v>14.297056810403832</v>
      </c>
      <c r="R464" s="14">
        <v>7</v>
      </c>
      <c r="S464" s="15">
        <v>872</v>
      </c>
      <c r="T464" s="8">
        <v>872</v>
      </c>
      <c r="U464" s="16">
        <v>45017</v>
      </c>
      <c r="V464" s="17">
        <v>1</v>
      </c>
      <c r="W464" s="16">
        <v>45382</v>
      </c>
      <c r="X464" s="14">
        <v>192</v>
      </c>
      <c r="Y464" s="18">
        <f t="shared" si="253"/>
        <v>192</v>
      </c>
      <c r="Z464" s="18">
        <f t="shared" si="259"/>
        <v>1</v>
      </c>
      <c r="AA464" s="18" t="s">
        <v>36</v>
      </c>
      <c r="AB464" s="26">
        <v>28</v>
      </c>
      <c r="AC464" s="26"/>
      <c r="AD464" s="26"/>
      <c r="AE464" s="147" t="str">
        <f t="shared" si="251"/>
        <v>0</v>
      </c>
      <c r="AF464" s="147" t="str">
        <f t="shared" si="231"/>
        <v>1</v>
      </c>
      <c r="AG464" s="147" t="str">
        <f t="shared" si="252"/>
        <v>0</v>
      </c>
      <c r="AH464" s="147" t="str">
        <f t="shared" si="232"/>
        <v>NO</v>
      </c>
      <c r="AI464" s="147" t="str">
        <f t="shared" si="233"/>
        <v>NO</v>
      </c>
      <c r="AJ464" s="147" t="str">
        <f t="shared" si="234"/>
        <v>NO</v>
      </c>
      <c r="AK464" s="147" t="str">
        <f t="shared" si="235"/>
        <v>NO</v>
      </c>
      <c r="AL464" s="21"/>
      <c r="AM464" s="21">
        <f t="shared" si="260"/>
        <v>7237.5599999999995</v>
      </c>
      <c r="AN464" s="27" t="s">
        <v>43</v>
      </c>
      <c r="AO464" s="21">
        <v>1</v>
      </c>
      <c r="AP464" s="21">
        <f t="shared" si="258"/>
        <v>1</v>
      </c>
      <c r="AQ464" s="149">
        <f t="shared" si="250"/>
        <v>7237.5599999999995</v>
      </c>
      <c r="AR464" s="21">
        <v>7237.5599999999995</v>
      </c>
      <c r="AS464" s="610">
        <v>8183.0999999999985</v>
      </c>
      <c r="AT464" s="112">
        <v>7237.5599999999995</v>
      </c>
      <c r="AU464" s="4"/>
      <c r="AV464" s="4"/>
      <c r="AW464" s="23" t="e">
        <f>VLOOKUP(K464,#REF!,8,FALSE)</f>
        <v>#REF!</v>
      </c>
      <c r="AX464" s="23" t="e">
        <f>VLOOKUP(K464,#REF!,8,FALSE)</f>
        <v>#REF!</v>
      </c>
      <c r="AY464" s="23" t="e">
        <f>VLOOKUP(K464,#REF!,8,FALSE)</f>
        <v>#REF!</v>
      </c>
      <c r="AZ464" s="4"/>
      <c r="BA464" s="272"/>
      <c r="BB464" s="313">
        <f t="shared" si="246"/>
        <v>0</v>
      </c>
      <c r="BC464" s="269">
        <f t="shared" si="247"/>
        <v>7237.5599999999995</v>
      </c>
      <c r="BD464" t="str">
        <f t="shared" si="248"/>
        <v/>
      </c>
      <c r="BP464" s="166">
        <f t="shared" si="236"/>
        <v>7237.5599999999995</v>
      </c>
      <c r="BS464" s="165"/>
      <c r="BX464" s="495">
        <f t="shared" si="237"/>
        <v>7237.5599999999995</v>
      </c>
      <c r="BZ464" s="636">
        <f t="shared" si="254"/>
        <v>0</v>
      </c>
      <c r="CA464" s="633">
        <f t="shared" si="255"/>
        <v>-945.53999999999905</v>
      </c>
    </row>
    <row r="465" spans="1:79" x14ac:dyDescent="0.2">
      <c r="A465" s="4">
        <v>1</v>
      </c>
      <c r="B465" s="4">
        <v>1</v>
      </c>
      <c r="C465" s="5">
        <f t="shared" si="256"/>
        <v>41205</v>
      </c>
      <c r="D465" s="6">
        <v>41205</v>
      </c>
      <c r="E465" s="121">
        <v>43012</v>
      </c>
      <c r="F465" s="6" t="s">
        <v>1606</v>
      </c>
      <c r="G465" s="7" t="s">
        <v>75</v>
      </c>
      <c r="H465" s="7"/>
      <c r="I465" s="7" t="s">
        <v>157</v>
      </c>
      <c r="J465" s="7"/>
      <c r="K465" s="53">
        <v>397948</v>
      </c>
      <c r="L465" s="54" t="s">
        <v>988</v>
      </c>
      <c r="M465" s="54" t="s">
        <v>163</v>
      </c>
      <c r="N465" s="54" t="s">
        <v>1029</v>
      </c>
      <c r="O465" s="55" t="s">
        <v>1030</v>
      </c>
      <c r="P465" s="12">
        <v>40800</v>
      </c>
      <c r="Q465" s="13">
        <f t="shared" ca="1" si="257"/>
        <v>14.023271731690622</v>
      </c>
      <c r="R465" s="14">
        <v>7</v>
      </c>
      <c r="S465" s="56">
        <v>872</v>
      </c>
      <c r="T465" s="57">
        <v>872</v>
      </c>
      <c r="U465" s="16">
        <v>45017</v>
      </c>
      <c r="V465" s="17">
        <v>1</v>
      </c>
      <c r="W465" s="16">
        <v>45382</v>
      </c>
      <c r="X465" s="14">
        <v>192</v>
      </c>
      <c r="Y465" s="18">
        <f t="shared" si="253"/>
        <v>192</v>
      </c>
      <c r="Z465" s="18">
        <f t="shared" si="259"/>
        <v>1</v>
      </c>
      <c r="AA465" s="18" t="s">
        <v>36</v>
      </c>
      <c r="AB465" s="26">
        <v>30</v>
      </c>
      <c r="AC465" s="26"/>
      <c r="AD465" s="26"/>
      <c r="AE465" s="147" t="str">
        <f t="shared" si="251"/>
        <v>0</v>
      </c>
      <c r="AF465" s="147" t="str">
        <f t="shared" si="231"/>
        <v>1</v>
      </c>
      <c r="AG465" s="147" t="str">
        <f t="shared" si="252"/>
        <v>0</v>
      </c>
      <c r="AH465" s="147" t="str">
        <f t="shared" si="232"/>
        <v>NO</v>
      </c>
      <c r="AI465" s="147" t="str">
        <f t="shared" si="233"/>
        <v>NO</v>
      </c>
      <c r="AJ465" s="147" t="str">
        <f t="shared" si="234"/>
        <v>NO</v>
      </c>
      <c r="AK465" s="147" t="str">
        <f t="shared" si="235"/>
        <v>NO</v>
      </c>
      <c r="AL465" s="21"/>
      <c r="AM465" s="21">
        <f t="shared" si="260"/>
        <v>8183.0999999999985</v>
      </c>
      <c r="AN465" s="27"/>
      <c r="AO465" s="21">
        <v>1</v>
      </c>
      <c r="AP465" s="21">
        <f t="shared" si="258"/>
        <v>1</v>
      </c>
      <c r="AQ465" s="149">
        <f t="shared" si="250"/>
        <v>8183.0999999999985</v>
      </c>
      <c r="AR465" s="21">
        <v>8183.0999999999985</v>
      </c>
      <c r="AS465" s="610">
        <v>8183.0999999999985</v>
      </c>
      <c r="AT465" s="112">
        <v>8183.0999999999985</v>
      </c>
      <c r="AU465" s="4"/>
      <c r="AV465" s="4"/>
      <c r="AW465" s="23" t="e">
        <f>VLOOKUP(K465,#REF!,8,FALSE)</f>
        <v>#REF!</v>
      </c>
      <c r="AX465" s="23" t="e">
        <f>VLOOKUP(K465,#REF!,8,FALSE)</f>
        <v>#REF!</v>
      </c>
      <c r="AY465" s="23" t="e">
        <f>VLOOKUP(K465,#REF!,8,FALSE)</f>
        <v>#REF!</v>
      </c>
      <c r="AZ465" s="4"/>
      <c r="BA465" s="272"/>
      <c r="BB465" s="313">
        <f t="shared" si="246"/>
        <v>0</v>
      </c>
      <c r="BC465" s="269">
        <f t="shared" si="247"/>
        <v>8183.0999999999985</v>
      </c>
      <c r="BD465" t="str">
        <f t="shared" si="248"/>
        <v/>
      </c>
      <c r="BP465" s="166">
        <f t="shared" si="236"/>
        <v>8183.0999999999985</v>
      </c>
      <c r="BS465" s="165"/>
      <c r="BX465" s="495">
        <f t="shared" si="237"/>
        <v>8183.0999999999985</v>
      </c>
      <c r="BZ465" s="636">
        <f t="shared" si="254"/>
        <v>0</v>
      </c>
      <c r="CA465" s="633">
        <f t="shared" si="255"/>
        <v>0</v>
      </c>
    </row>
    <row r="466" spans="1:79" x14ac:dyDescent="0.2">
      <c r="A466" s="4">
        <v>0</v>
      </c>
      <c r="B466" s="4">
        <v>1</v>
      </c>
      <c r="C466" s="5">
        <f t="shared" si="256"/>
        <v>41205</v>
      </c>
      <c r="D466" s="6">
        <v>41205</v>
      </c>
      <c r="E466" s="121">
        <v>43012</v>
      </c>
      <c r="F466" s="6" t="s">
        <v>1606</v>
      </c>
      <c r="G466" s="7" t="s">
        <v>75</v>
      </c>
      <c r="H466" s="7"/>
      <c r="I466" s="7" t="s">
        <v>157</v>
      </c>
      <c r="J466" s="7"/>
      <c r="K466" s="53">
        <v>397352</v>
      </c>
      <c r="L466" s="54" t="s">
        <v>988</v>
      </c>
      <c r="M466" s="54" t="s">
        <v>904</v>
      </c>
      <c r="N466" s="54" t="s">
        <v>993</v>
      </c>
      <c r="O466" s="55" t="s">
        <v>994</v>
      </c>
      <c r="P466" s="12">
        <v>40735</v>
      </c>
      <c r="Q466" s="13">
        <f t="shared" ca="1" si="257"/>
        <v>14.201232032854209</v>
      </c>
      <c r="R466" s="14">
        <v>7</v>
      </c>
      <c r="S466" s="56">
        <v>872</v>
      </c>
      <c r="T466" s="57">
        <v>872</v>
      </c>
      <c r="U466" s="16">
        <v>45017</v>
      </c>
      <c r="V466" s="17">
        <v>1</v>
      </c>
      <c r="W466" s="16">
        <v>45017</v>
      </c>
      <c r="X466" s="14">
        <v>0</v>
      </c>
      <c r="Y466" s="18">
        <f t="shared" si="253"/>
        <v>0</v>
      </c>
      <c r="Z466" s="18">
        <f t="shared" si="259"/>
        <v>0</v>
      </c>
      <c r="AA466" s="18" t="s">
        <v>36</v>
      </c>
      <c r="AB466" s="26">
        <v>28</v>
      </c>
      <c r="AC466" s="26"/>
      <c r="AD466" s="26"/>
      <c r="AE466" s="147" t="str">
        <f t="shared" si="251"/>
        <v>0</v>
      </c>
      <c r="AF466" s="147" t="str">
        <f t="shared" si="231"/>
        <v>1</v>
      </c>
      <c r="AG466" s="147" t="str">
        <f t="shared" si="252"/>
        <v>0</v>
      </c>
      <c r="AH466" s="147" t="str">
        <f t="shared" si="232"/>
        <v>NO</v>
      </c>
      <c r="AI466" s="147" t="str">
        <f t="shared" si="233"/>
        <v>NO</v>
      </c>
      <c r="AJ466" s="147" t="str">
        <f t="shared" si="234"/>
        <v>NO</v>
      </c>
      <c r="AK466" s="147" t="str">
        <f t="shared" si="235"/>
        <v>NO</v>
      </c>
      <c r="AL466" s="21"/>
      <c r="AM466" s="21">
        <f t="shared" si="260"/>
        <v>7237.5599999999995</v>
      </c>
      <c r="AN466" s="27" t="s">
        <v>37</v>
      </c>
      <c r="AO466" s="21">
        <v>1</v>
      </c>
      <c r="AP466" s="21">
        <f t="shared" si="258"/>
        <v>0</v>
      </c>
      <c r="AQ466" s="149">
        <f t="shared" si="250"/>
        <v>0</v>
      </c>
      <c r="AR466" s="21">
        <v>0</v>
      </c>
      <c r="AS466" s="610">
        <v>7237.5599999999995</v>
      </c>
      <c r="AT466" s="112">
        <v>0</v>
      </c>
      <c r="AU466" s="4"/>
      <c r="AV466" s="4"/>
      <c r="AW466" s="23" t="e">
        <f>VLOOKUP(K466,#REF!,8,FALSE)</f>
        <v>#REF!</v>
      </c>
      <c r="AX466" s="23" t="e">
        <f>VLOOKUP(K466,#REF!,8,FALSE)</f>
        <v>#REF!</v>
      </c>
      <c r="AY466" s="23" t="e">
        <f>VLOOKUP(K466,#REF!,8,FALSE)</f>
        <v>#REF!</v>
      </c>
      <c r="AZ466" s="4"/>
      <c r="BA466" s="272"/>
      <c r="BB466" s="313">
        <f t="shared" si="246"/>
        <v>0</v>
      </c>
      <c r="BC466" s="269">
        <f t="shared" si="247"/>
        <v>0</v>
      </c>
      <c r="BD466" t="str">
        <f t="shared" si="248"/>
        <v/>
      </c>
      <c r="BP466" s="166">
        <f t="shared" si="236"/>
        <v>0</v>
      </c>
      <c r="BS466" s="165"/>
      <c r="BX466" s="495">
        <f t="shared" si="237"/>
        <v>0</v>
      </c>
      <c r="BZ466" s="636">
        <f t="shared" si="254"/>
        <v>0</v>
      </c>
      <c r="CA466" s="633">
        <f t="shared" si="255"/>
        <v>-7237.5599999999995</v>
      </c>
    </row>
    <row r="467" spans="1:79" x14ac:dyDescent="0.2">
      <c r="A467" s="4">
        <v>1</v>
      </c>
      <c r="B467" s="4">
        <v>1</v>
      </c>
      <c r="C467" s="5">
        <f t="shared" si="256"/>
        <v>41205</v>
      </c>
      <c r="D467" s="6">
        <v>41205</v>
      </c>
      <c r="E467" s="121">
        <v>43012</v>
      </c>
      <c r="F467" s="6" t="s">
        <v>1606</v>
      </c>
      <c r="G467" s="7" t="s">
        <v>75</v>
      </c>
      <c r="H467" s="7"/>
      <c r="I467" s="7" t="s">
        <v>157</v>
      </c>
      <c r="J467" s="7"/>
      <c r="K467" s="53">
        <v>390253</v>
      </c>
      <c r="L467" s="54" t="s">
        <v>988</v>
      </c>
      <c r="M467" s="54" t="s">
        <v>1031</v>
      </c>
      <c r="N467" s="54" t="s">
        <v>1032</v>
      </c>
      <c r="O467" s="55" t="s">
        <v>1033</v>
      </c>
      <c r="P467" s="12">
        <v>40343</v>
      </c>
      <c r="Q467" s="13">
        <f t="shared" ca="1" si="257"/>
        <v>15.274469541409994</v>
      </c>
      <c r="R467" s="14">
        <v>8</v>
      </c>
      <c r="S467" s="56">
        <v>872</v>
      </c>
      <c r="T467" s="57">
        <v>872</v>
      </c>
      <c r="U467" s="16">
        <v>45017</v>
      </c>
      <c r="V467" s="17">
        <v>1</v>
      </c>
      <c r="W467" s="16">
        <v>45382</v>
      </c>
      <c r="X467" s="14">
        <v>192</v>
      </c>
      <c r="Y467" s="18">
        <f t="shared" si="253"/>
        <v>192</v>
      </c>
      <c r="Z467" s="18">
        <f t="shared" si="259"/>
        <v>1</v>
      </c>
      <c r="AA467" s="18" t="s">
        <v>36</v>
      </c>
      <c r="AB467" s="26">
        <v>25</v>
      </c>
      <c r="AC467" s="26"/>
      <c r="AD467" s="26"/>
      <c r="AE467" s="147" t="str">
        <f t="shared" si="251"/>
        <v>1</v>
      </c>
      <c r="AF467" s="147" t="str">
        <f t="shared" ref="AF467:AF534" si="261">IF(AND(AB467&lt;=30,AB467&gt;=26),"1","0")</f>
        <v>0</v>
      </c>
      <c r="AG467" s="147" t="str">
        <f t="shared" si="252"/>
        <v>0</v>
      </c>
      <c r="AH467" s="147" t="str">
        <f t="shared" ref="AH467:AH530" si="262">IF(AD467="BAND3","YES","NO")</f>
        <v>NO</v>
      </c>
      <c r="AI467" s="147" t="str">
        <f t="shared" ref="AI467:AI530" si="263">IF(AD467="BAND4","YES","NO")</f>
        <v>NO</v>
      </c>
      <c r="AJ467" s="147" t="str">
        <f t="shared" ref="AJ467:AJ530" si="264">IF(AD467="BAND5","YES","NO")</f>
        <v>NO</v>
      </c>
      <c r="AK467" s="147" t="str">
        <f t="shared" ref="AK467:AK530" si="265">IF(AD467="BAND6","YES","NO")</f>
        <v>NO</v>
      </c>
      <c r="AL467" s="21"/>
      <c r="AM467" s="21">
        <f t="shared" si="260"/>
        <v>5819.25</v>
      </c>
      <c r="AN467" s="27" t="s">
        <v>66</v>
      </c>
      <c r="AO467" s="21">
        <v>1</v>
      </c>
      <c r="AP467" s="21">
        <f t="shared" si="258"/>
        <v>1</v>
      </c>
      <c r="AQ467" s="149">
        <f t="shared" si="250"/>
        <v>5819.25</v>
      </c>
      <c r="AR467" s="21">
        <v>5819.25</v>
      </c>
      <c r="AS467" s="610">
        <v>5819.25</v>
      </c>
      <c r="AT467" s="112">
        <v>5819.25</v>
      </c>
      <c r="AU467" s="4"/>
      <c r="AV467" s="4"/>
      <c r="AW467" s="23" t="e">
        <f>VLOOKUP(K467,#REF!,8,FALSE)</f>
        <v>#REF!</v>
      </c>
      <c r="AX467" s="23" t="e">
        <f>VLOOKUP(K467,#REF!,8,FALSE)</f>
        <v>#REF!</v>
      </c>
      <c r="AY467" s="23" t="e">
        <f>VLOOKUP(K467,#REF!,8,FALSE)</f>
        <v>#REF!</v>
      </c>
      <c r="AZ467" s="4"/>
      <c r="BA467" s="272"/>
      <c r="BB467" s="313">
        <f t="shared" si="246"/>
        <v>0</v>
      </c>
      <c r="BC467" s="269">
        <f t="shared" si="247"/>
        <v>5819.25</v>
      </c>
      <c r="BD467" t="str">
        <f t="shared" si="248"/>
        <v/>
      </c>
      <c r="BP467" s="166">
        <f t="shared" ref="BP467:BP530" si="266">BC467+BO467</f>
        <v>5819.25</v>
      </c>
      <c r="BS467" s="165"/>
      <c r="BX467" s="495">
        <f t="shared" ref="BX467:BX530" si="267">AQ467+BO467+BU467</f>
        <v>5819.25</v>
      </c>
      <c r="BZ467" s="636">
        <f t="shared" si="254"/>
        <v>0</v>
      </c>
      <c r="CA467" s="633">
        <f t="shared" si="255"/>
        <v>0</v>
      </c>
    </row>
    <row r="468" spans="1:79" x14ac:dyDescent="0.2">
      <c r="A468" s="4">
        <v>1</v>
      </c>
      <c r="B468" s="4">
        <v>1</v>
      </c>
      <c r="C468" s="5">
        <f t="shared" si="256"/>
        <v>41205</v>
      </c>
      <c r="D468" s="6">
        <v>41205</v>
      </c>
      <c r="E468" s="121">
        <v>43012</v>
      </c>
      <c r="F468" s="6" t="s">
        <v>1606</v>
      </c>
      <c r="G468" s="7" t="s">
        <v>75</v>
      </c>
      <c r="H468" s="7"/>
      <c r="I468" s="7" t="s">
        <v>157</v>
      </c>
      <c r="J468" s="7"/>
      <c r="K468" s="29">
        <v>373219</v>
      </c>
      <c r="L468" s="10" t="s">
        <v>988</v>
      </c>
      <c r="M468" s="10" t="s">
        <v>1034</v>
      </c>
      <c r="N468" s="10" t="s">
        <v>1035</v>
      </c>
      <c r="O468" s="11" t="s">
        <v>1036</v>
      </c>
      <c r="P468" s="12">
        <v>39447</v>
      </c>
      <c r="Q468" s="13">
        <f t="shared" ca="1" si="257"/>
        <v>17.727583846680357</v>
      </c>
      <c r="R468" s="14">
        <v>10</v>
      </c>
      <c r="S468" s="15">
        <v>872</v>
      </c>
      <c r="T468" s="8">
        <v>872</v>
      </c>
      <c r="U468" s="16">
        <v>45017</v>
      </c>
      <c r="V468" s="17">
        <v>1</v>
      </c>
      <c r="W468" s="16">
        <v>45382</v>
      </c>
      <c r="X468" s="14">
        <v>192</v>
      </c>
      <c r="Y468" s="18">
        <f t="shared" si="253"/>
        <v>192</v>
      </c>
      <c r="Z468" s="18">
        <f t="shared" si="259"/>
        <v>1</v>
      </c>
      <c r="AA468" s="18" t="s">
        <v>36</v>
      </c>
      <c r="AB468" s="26">
        <v>30</v>
      </c>
      <c r="AC468" s="26"/>
      <c r="AD468" s="26"/>
      <c r="AE468" s="147" t="str">
        <f t="shared" si="251"/>
        <v>0</v>
      </c>
      <c r="AF468" s="147" t="str">
        <f t="shared" si="261"/>
        <v>1</v>
      </c>
      <c r="AG468" s="147" t="str">
        <f t="shared" si="252"/>
        <v>0</v>
      </c>
      <c r="AH468" s="147" t="str">
        <f t="shared" si="262"/>
        <v>NO</v>
      </c>
      <c r="AI468" s="147" t="str">
        <f t="shared" si="263"/>
        <v>NO</v>
      </c>
      <c r="AJ468" s="147" t="str">
        <f t="shared" si="264"/>
        <v>NO</v>
      </c>
      <c r="AK468" s="147" t="str">
        <f t="shared" si="265"/>
        <v>NO</v>
      </c>
      <c r="AL468" s="21"/>
      <c r="AM468" s="21">
        <f t="shared" si="260"/>
        <v>8183.0999999999985</v>
      </c>
      <c r="AN468" s="27" t="s">
        <v>43</v>
      </c>
      <c r="AO468" s="21">
        <v>1</v>
      </c>
      <c r="AP468" s="21">
        <f t="shared" si="258"/>
        <v>1</v>
      </c>
      <c r="AQ468" s="149">
        <f t="shared" si="250"/>
        <v>8183.0999999999985</v>
      </c>
      <c r="AR468" s="21">
        <v>8183.0999999999985</v>
      </c>
      <c r="AS468" s="610">
        <v>8183.0999999999985</v>
      </c>
      <c r="AT468" s="112">
        <v>8183.0999999999985</v>
      </c>
      <c r="AU468" s="4"/>
      <c r="AV468" s="4"/>
      <c r="AW468" s="23" t="e">
        <f>VLOOKUP(K468,#REF!,8,FALSE)</f>
        <v>#REF!</v>
      </c>
      <c r="AX468" s="23" t="e">
        <f>VLOOKUP(K468,#REF!,8,FALSE)</f>
        <v>#REF!</v>
      </c>
      <c r="AY468" s="23" t="e">
        <f>VLOOKUP(K468,#REF!,8,FALSE)</f>
        <v>#REF!</v>
      </c>
      <c r="AZ468" s="4"/>
      <c r="BA468" s="272"/>
      <c r="BB468" s="313">
        <f t="shared" si="246"/>
        <v>0</v>
      </c>
      <c r="BC468" s="269">
        <f t="shared" si="247"/>
        <v>8183.0999999999985</v>
      </c>
      <c r="BD468" t="str">
        <f t="shared" si="248"/>
        <v/>
      </c>
      <c r="BP468" s="166">
        <f t="shared" si="266"/>
        <v>8183.0999999999985</v>
      </c>
      <c r="BS468" s="165"/>
      <c r="BX468" s="495">
        <f t="shared" si="267"/>
        <v>8183.0999999999985</v>
      </c>
      <c r="BZ468" s="636">
        <f t="shared" si="254"/>
        <v>0</v>
      </c>
      <c r="CA468" s="633">
        <f t="shared" si="255"/>
        <v>0</v>
      </c>
    </row>
    <row r="469" spans="1:79" x14ac:dyDescent="0.2">
      <c r="A469" s="4">
        <v>1</v>
      </c>
      <c r="B469" s="4">
        <v>1</v>
      </c>
      <c r="C469" s="5">
        <f t="shared" si="256"/>
        <v>41205</v>
      </c>
      <c r="D469" s="6">
        <v>41205</v>
      </c>
      <c r="E469" s="121">
        <v>43012</v>
      </c>
      <c r="F469" s="6" t="s">
        <v>1606</v>
      </c>
      <c r="G469" s="7" t="s">
        <v>75</v>
      </c>
      <c r="H469" s="7"/>
      <c r="I469" s="7" t="s">
        <v>157</v>
      </c>
      <c r="J469" s="7"/>
      <c r="K469" s="29">
        <v>371518</v>
      </c>
      <c r="L469" s="10" t="s">
        <v>988</v>
      </c>
      <c r="M469" s="10" t="s">
        <v>174</v>
      </c>
      <c r="N469" s="10" t="s">
        <v>1037</v>
      </c>
      <c r="O469" s="11" t="s">
        <v>1038</v>
      </c>
      <c r="P469" s="12">
        <v>39187</v>
      </c>
      <c r="Q469" s="13">
        <f t="shared" ca="1" si="257"/>
        <v>18.439425051334702</v>
      </c>
      <c r="R469" s="14">
        <v>11</v>
      </c>
      <c r="S469" s="15">
        <v>872</v>
      </c>
      <c r="T469" s="8">
        <v>872</v>
      </c>
      <c r="U469" s="16">
        <v>45017</v>
      </c>
      <c r="V469" s="17">
        <v>1</v>
      </c>
      <c r="W469" s="16">
        <v>45128</v>
      </c>
      <c r="X469" s="14">
        <v>63</v>
      </c>
      <c r="Y469" s="18">
        <f t="shared" si="253"/>
        <v>63</v>
      </c>
      <c r="Z469" s="18">
        <f t="shared" si="259"/>
        <v>0.328125</v>
      </c>
      <c r="AA469" s="16" t="s">
        <v>166</v>
      </c>
      <c r="AB469" s="26">
        <v>22</v>
      </c>
      <c r="AC469" s="26"/>
      <c r="AD469" s="26"/>
      <c r="AE469" s="147" t="str">
        <f t="shared" si="251"/>
        <v>1</v>
      </c>
      <c r="AF469" s="147" t="str">
        <f t="shared" si="261"/>
        <v>0</v>
      </c>
      <c r="AG469" s="147" t="str">
        <f t="shared" si="252"/>
        <v>0</v>
      </c>
      <c r="AH469" s="147" t="str">
        <f t="shared" si="262"/>
        <v>NO</v>
      </c>
      <c r="AI469" s="147" t="str">
        <f t="shared" si="263"/>
        <v>NO</v>
      </c>
      <c r="AJ469" s="147" t="str">
        <f t="shared" si="264"/>
        <v>NO</v>
      </c>
      <c r="AK469" s="147" t="str">
        <f t="shared" si="265"/>
        <v>NO</v>
      </c>
      <c r="AL469" s="21"/>
      <c r="AM469" s="21">
        <f t="shared" si="260"/>
        <v>4400.9399999999987</v>
      </c>
      <c r="AN469" s="27" t="s">
        <v>37</v>
      </c>
      <c r="AO469" s="21">
        <v>1</v>
      </c>
      <c r="AP469" s="21">
        <f t="shared" si="258"/>
        <v>0.328125</v>
      </c>
      <c r="AQ469" s="149">
        <f t="shared" si="250"/>
        <v>1444.0584374999996</v>
      </c>
      <c r="AR469" s="21">
        <v>1444.0584374999996</v>
      </c>
      <c r="AS469" s="610">
        <v>1444.0584374999996</v>
      </c>
      <c r="AT469" s="112">
        <v>1444.0584374999996</v>
      </c>
      <c r="AU469" s="4"/>
      <c r="AV469" s="4"/>
      <c r="AW469" s="23" t="e">
        <f>VLOOKUP(K469,#REF!,8,FALSE)</f>
        <v>#REF!</v>
      </c>
      <c r="AX469" s="23" t="e">
        <f>VLOOKUP(K469,#REF!,8,FALSE)</f>
        <v>#REF!</v>
      </c>
      <c r="AY469" s="266" t="s">
        <v>2142</v>
      </c>
      <c r="AZ469" s="268" t="s">
        <v>75</v>
      </c>
      <c r="BA469" s="274">
        <f>AM469/3*2</f>
        <v>2933.9599999999991</v>
      </c>
      <c r="BB469" s="313">
        <f t="shared" si="246"/>
        <v>0</v>
      </c>
      <c r="BC469" s="269">
        <f t="shared" si="247"/>
        <v>1444.0584374999996</v>
      </c>
      <c r="BD469" t="e">
        <f t="shared" si="248"/>
        <v>#REF!</v>
      </c>
      <c r="BE469" t="s">
        <v>2351</v>
      </c>
      <c r="BI469" t="e">
        <f>VLOOKUP(K469,#REF!,8,FALSE)</f>
        <v>#REF!</v>
      </c>
      <c r="BK469" s="269"/>
      <c r="BN469" s="353" t="s">
        <v>75</v>
      </c>
      <c r="BO469" s="106"/>
      <c r="BP469" s="166">
        <f t="shared" si="266"/>
        <v>1444.0584374999996</v>
      </c>
      <c r="BQ469" t="s">
        <v>2351</v>
      </c>
      <c r="BS469" s="165"/>
      <c r="BX469" s="495">
        <f t="shared" si="267"/>
        <v>1444.0584374999996</v>
      </c>
      <c r="BZ469" s="636">
        <f t="shared" si="254"/>
        <v>0</v>
      </c>
      <c r="CA469" s="633">
        <f t="shared" si="255"/>
        <v>0</v>
      </c>
    </row>
    <row r="470" spans="1:79" x14ac:dyDescent="0.2">
      <c r="A470" s="4">
        <v>1</v>
      </c>
      <c r="B470" s="4">
        <v>1</v>
      </c>
      <c r="C470" s="5">
        <f t="shared" si="256"/>
        <v>41205</v>
      </c>
      <c r="D470" s="6">
        <v>41205</v>
      </c>
      <c r="E470" s="121">
        <v>43012</v>
      </c>
      <c r="F470" s="6" t="s">
        <v>1606</v>
      </c>
      <c r="G470" s="7" t="s">
        <v>75</v>
      </c>
      <c r="H470" s="7"/>
      <c r="I470" s="7" t="s">
        <v>157</v>
      </c>
      <c r="J470" s="7"/>
      <c r="K470" s="29">
        <v>419983</v>
      </c>
      <c r="L470" s="10" t="s">
        <v>988</v>
      </c>
      <c r="M470" s="10" t="s">
        <v>247</v>
      </c>
      <c r="N470" s="10" t="s">
        <v>1039</v>
      </c>
      <c r="O470" s="11" t="s">
        <v>1040</v>
      </c>
      <c r="P470" s="12">
        <v>39875</v>
      </c>
      <c r="Q470" s="13">
        <f t="shared" ca="1" si="257"/>
        <v>16.555783709787818</v>
      </c>
      <c r="R470" s="14">
        <v>9</v>
      </c>
      <c r="S470" s="15">
        <v>872</v>
      </c>
      <c r="T470" s="8">
        <v>872</v>
      </c>
      <c r="U470" s="16">
        <v>45017</v>
      </c>
      <c r="V470" s="17">
        <v>1</v>
      </c>
      <c r="W470" s="16">
        <v>45382</v>
      </c>
      <c r="X470" s="14">
        <v>192</v>
      </c>
      <c r="Y470" s="18">
        <f t="shared" si="253"/>
        <v>192</v>
      </c>
      <c r="Z470" s="18">
        <f t="shared" si="259"/>
        <v>1</v>
      </c>
      <c r="AA470" s="18" t="s">
        <v>36</v>
      </c>
      <c r="AB470" s="26">
        <v>29</v>
      </c>
      <c r="AC470" s="26"/>
      <c r="AD470" s="26"/>
      <c r="AE470" s="147" t="str">
        <f t="shared" si="251"/>
        <v>0</v>
      </c>
      <c r="AF470" s="147" t="str">
        <f t="shared" si="261"/>
        <v>1</v>
      </c>
      <c r="AG470" s="147" t="str">
        <f t="shared" si="252"/>
        <v>0</v>
      </c>
      <c r="AH470" s="147" t="str">
        <f t="shared" si="262"/>
        <v>NO</v>
      </c>
      <c r="AI470" s="147" t="str">
        <f t="shared" si="263"/>
        <v>NO</v>
      </c>
      <c r="AJ470" s="147" t="str">
        <f t="shared" si="264"/>
        <v>NO</v>
      </c>
      <c r="AK470" s="147" t="str">
        <f t="shared" si="265"/>
        <v>NO</v>
      </c>
      <c r="AL470" s="21"/>
      <c r="AM470" s="21">
        <f t="shared" si="260"/>
        <v>7710.33</v>
      </c>
      <c r="AN470" s="27" t="s">
        <v>43</v>
      </c>
      <c r="AO470" s="21">
        <v>1</v>
      </c>
      <c r="AP470" s="21">
        <f t="shared" si="258"/>
        <v>1</v>
      </c>
      <c r="AQ470" s="149">
        <f t="shared" si="250"/>
        <v>7710.33</v>
      </c>
      <c r="AR470" s="21">
        <v>7710.33</v>
      </c>
      <c r="AS470" s="610">
        <v>7710.33</v>
      </c>
      <c r="AT470" s="112">
        <v>7710.33</v>
      </c>
      <c r="AU470" s="4"/>
      <c r="AV470" s="4"/>
      <c r="AW470" s="23" t="e">
        <f>VLOOKUP(K470,#REF!,8,FALSE)</f>
        <v>#REF!</v>
      </c>
      <c r="AX470" s="23" t="e">
        <f>VLOOKUP(K470,#REF!,8,FALSE)</f>
        <v>#REF!</v>
      </c>
      <c r="AY470" s="23" t="e">
        <f>VLOOKUP(K470,#REF!,8,FALSE)</f>
        <v>#REF!</v>
      </c>
      <c r="AZ470" s="4"/>
      <c r="BA470" s="272"/>
      <c r="BB470" s="313">
        <f t="shared" si="246"/>
        <v>0</v>
      </c>
      <c r="BC470" s="269">
        <f t="shared" si="247"/>
        <v>7710.33</v>
      </c>
      <c r="BD470" t="str">
        <f t="shared" si="248"/>
        <v/>
      </c>
      <c r="BP470" s="166">
        <f t="shared" si="266"/>
        <v>7710.33</v>
      </c>
      <c r="BS470" s="165"/>
      <c r="BX470" s="495">
        <f t="shared" si="267"/>
        <v>7710.33</v>
      </c>
      <c r="BZ470" s="636">
        <f t="shared" si="254"/>
        <v>0</v>
      </c>
      <c r="CA470" s="633">
        <f t="shared" si="255"/>
        <v>0</v>
      </c>
    </row>
    <row r="471" spans="1:79" x14ac:dyDescent="0.2">
      <c r="A471" s="4">
        <v>1</v>
      </c>
      <c r="B471" s="4">
        <v>1</v>
      </c>
      <c r="C471" s="5">
        <f t="shared" si="256"/>
        <v>41205</v>
      </c>
      <c r="D471" s="6">
        <v>41205</v>
      </c>
      <c r="E471" s="121">
        <v>43012</v>
      </c>
      <c r="F471" s="6" t="s">
        <v>1606</v>
      </c>
      <c r="G471" s="7" t="s">
        <v>75</v>
      </c>
      <c r="H471" s="7"/>
      <c r="I471" s="7" t="s">
        <v>157</v>
      </c>
      <c r="J471" s="7"/>
      <c r="K471" s="29">
        <v>377911</v>
      </c>
      <c r="L471" s="10" t="s">
        <v>988</v>
      </c>
      <c r="M471" s="10" t="s">
        <v>1041</v>
      </c>
      <c r="N471" s="10" t="s">
        <v>1042</v>
      </c>
      <c r="O471" s="11" t="s">
        <v>1043</v>
      </c>
      <c r="P471" s="12">
        <v>39403</v>
      </c>
      <c r="Q471" s="13">
        <f t="shared" ca="1" si="257"/>
        <v>17.848049281314168</v>
      </c>
      <c r="R471" s="14">
        <v>10</v>
      </c>
      <c r="S471" s="15">
        <v>872</v>
      </c>
      <c r="T471" s="8">
        <v>872</v>
      </c>
      <c r="U471" s="16">
        <v>45017</v>
      </c>
      <c r="V471" s="17">
        <v>1</v>
      </c>
      <c r="W471" s="16">
        <v>45382</v>
      </c>
      <c r="X471" s="14">
        <v>192</v>
      </c>
      <c r="Y471" s="18">
        <f t="shared" si="253"/>
        <v>192</v>
      </c>
      <c r="Z471" s="18">
        <f t="shared" si="259"/>
        <v>1</v>
      </c>
      <c r="AA471" s="18" t="s">
        <v>36</v>
      </c>
      <c r="AB471" s="26">
        <v>30</v>
      </c>
      <c r="AC471" s="26"/>
      <c r="AD471" s="26"/>
      <c r="AE471" s="147" t="str">
        <f t="shared" si="251"/>
        <v>0</v>
      </c>
      <c r="AF471" s="147" t="str">
        <f t="shared" si="261"/>
        <v>1</v>
      </c>
      <c r="AG471" s="147" t="str">
        <f t="shared" si="252"/>
        <v>0</v>
      </c>
      <c r="AH471" s="147" t="str">
        <f t="shared" si="262"/>
        <v>NO</v>
      </c>
      <c r="AI471" s="147" t="str">
        <f t="shared" si="263"/>
        <v>NO</v>
      </c>
      <c r="AJ471" s="147" t="str">
        <f t="shared" si="264"/>
        <v>NO</v>
      </c>
      <c r="AK471" s="147" t="str">
        <f t="shared" si="265"/>
        <v>NO</v>
      </c>
      <c r="AL471" s="21"/>
      <c r="AM471" s="21">
        <f t="shared" si="260"/>
        <v>8183.0999999999985</v>
      </c>
      <c r="AN471" s="27" t="s">
        <v>43</v>
      </c>
      <c r="AO471" s="21">
        <v>1</v>
      </c>
      <c r="AP471" s="21">
        <f t="shared" si="258"/>
        <v>1</v>
      </c>
      <c r="AQ471" s="149">
        <f t="shared" si="250"/>
        <v>8183.0999999999985</v>
      </c>
      <c r="AR471" s="21">
        <v>8183.0999999999985</v>
      </c>
      <c r="AS471" s="610">
        <v>8183.0999999999985</v>
      </c>
      <c r="AT471" s="112">
        <v>8183.0999999999985</v>
      </c>
      <c r="AU471" s="4"/>
      <c r="AV471" s="4"/>
      <c r="AW471" s="23" t="e">
        <f>VLOOKUP(K471,#REF!,8,FALSE)</f>
        <v>#REF!</v>
      </c>
      <c r="AX471" s="23" t="e">
        <f>VLOOKUP(K471,#REF!,8,FALSE)</f>
        <v>#REF!</v>
      </c>
      <c r="AY471" s="23" t="e">
        <f>VLOOKUP(K471,#REF!,8,FALSE)</f>
        <v>#REF!</v>
      </c>
      <c r="AZ471" s="4"/>
      <c r="BA471" s="272"/>
      <c r="BB471" s="313">
        <f t="shared" si="246"/>
        <v>0</v>
      </c>
      <c r="BC471" s="269">
        <f t="shared" si="247"/>
        <v>8183.0999999999985</v>
      </c>
      <c r="BD471" t="str">
        <f t="shared" si="248"/>
        <v/>
      </c>
      <c r="BP471" s="166">
        <f t="shared" si="266"/>
        <v>8183.0999999999985</v>
      </c>
      <c r="BS471" s="165"/>
      <c r="BX471" s="495">
        <f t="shared" si="267"/>
        <v>8183.0999999999985</v>
      </c>
      <c r="BZ471" s="636">
        <f t="shared" si="254"/>
        <v>0</v>
      </c>
      <c r="CA471" s="633">
        <f t="shared" si="255"/>
        <v>0</v>
      </c>
    </row>
    <row r="472" spans="1:79" x14ac:dyDescent="0.2">
      <c r="A472" s="4">
        <v>1</v>
      </c>
      <c r="B472" s="4">
        <v>1</v>
      </c>
      <c r="C472" s="5">
        <f t="shared" si="256"/>
        <v>41205</v>
      </c>
      <c r="D472" s="6">
        <v>41205</v>
      </c>
      <c r="E472" s="121">
        <v>43012</v>
      </c>
      <c r="F472" s="6" t="s">
        <v>1606</v>
      </c>
      <c r="G472" s="7" t="s">
        <v>75</v>
      </c>
      <c r="H472" s="7"/>
      <c r="I472" s="7" t="s">
        <v>157</v>
      </c>
      <c r="J472" s="7"/>
      <c r="K472" s="29">
        <v>388216</v>
      </c>
      <c r="L472" s="10" t="s">
        <v>988</v>
      </c>
      <c r="M472" s="10" t="s">
        <v>1044</v>
      </c>
      <c r="N472" s="10" t="s">
        <v>1045</v>
      </c>
      <c r="O472" s="11" t="s">
        <v>1046</v>
      </c>
      <c r="P472" s="12">
        <v>40333</v>
      </c>
      <c r="Q472" s="13">
        <f t="shared" ca="1" si="257"/>
        <v>15.301848049281315</v>
      </c>
      <c r="R472" s="14">
        <v>8</v>
      </c>
      <c r="S472" s="15">
        <v>872</v>
      </c>
      <c r="T472" s="8">
        <v>872</v>
      </c>
      <c r="U472" s="16">
        <v>45017</v>
      </c>
      <c r="V472" s="17">
        <v>1</v>
      </c>
      <c r="W472" s="16">
        <v>45382</v>
      </c>
      <c r="X472" s="14">
        <v>192</v>
      </c>
      <c r="Y472" s="18">
        <f t="shared" si="253"/>
        <v>192</v>
      </c>
      <c r="Z472" s="18">
        <f t="shared" si="259"/>
        <v>1</v>
      </c>
      <c r="AA472" s="18" t="s">
        <v>36</v>
      </c>
      <c r="AB472" s="26">
        <v>25</v>
      </c>
      <c r="AC472" s="26"/>
      <c r="AD472" s="26"/>
      <c r="AE472" s="147" t="str">
        <f t="shared" si="251"/>
        <v>1</v>
      </c>
      <c r="AF472" s="147" t="str">
        <f t="shared" si="261"/>
        <v>0</v>
      </c>
      <c r="AG472" s="147" t="str">
        <f t="shared" si="252"/>
        <v>0</v>
      </c>
      <c r="AH472" s="147" t="str">
        <f t="shared" si="262"/>
        <v>NO</v>
      </c>
      <c r="AI472" s="147" t="str">
        <f t="shared" si="263"/>
        <v>NO</v>
      </c>
      <c r="AJ472" s="147" t="str">
        <f t="shared" si="264"/>
        <v>NO</v>
      </c>
      <c r="AK472" s="147" t="str">
        <f t="shared" si="265"/>
        <v>NO</v>
      </c>
      <c r="AL472" s="21"/>
      <c r="AM472" s="21">
        <f t="shared" si="260"/>
        <v>5819.25</v>
      </c>
      <c r="AN472" s="27" t="s">
        <v>81</v>
      </c>
      <c r="AO472" s="21">
        <v>1</v>
      </c>
      <c r="AP472" s="21">
        <f t="shared" si="258"/>
        <v>1</v>
      </c>
      <c r="AQ472" s="149">
        <f t="shared" si="250"/>
        <v>5819.25</v>
      </c>
      <c r="AR472" s="21">
        <v>5819.25</v>
      </c>
      <c r="AS472" s="610">
        <v>5819.25</v>
      </c>
      <c r="AT472" s="112">
        <v>5819.25</v>
      </c>
      <c r="AU472" s="4"/>
      <c r="AV472" s="4"/>
      <c r="AW472" s="23" t="e">
        <f>VLOOKUP(K472,#REF!,8,FALSE)</f>
        <v>#REF!</v>
      </c>
      <c r="AX472" s="23" t="e">
        <f>VLOOKUP(K472,#REF!,8,FALSE)</f>
        <v>#REF!</v>
      </c>
      <c r="AY472" s="23" t="e">
        <f>VLOOKUP(K472,#REF!,8,FALSE)</f>
        <v>#REF!</v>
      </c>
      <c r="AZ472" s="4"/>
      <c r="BA472" s="272"/>
      <c r="BB472" s="313">
        <f t="shared" si="246"/>
        <v>0</v>
      </c>
      <c r="BC472" s="269">
        <f t="shared" si="247"/>
        <v>5819.25</v>
      </c>
      <c r="BD472" t="str">
        <f t="shared" si="248"/>
        <v/>
      </c>
      <c r="BP472" s="166">
        <f t="shared" si="266"/>
        <v>5819.25</v>
      </c>
      <c r="BS472" s="165"/>
      <c r="BX472" s="495">
        <f t="shared" si="267"/>
        <v>5819.25</v>
      </c>
      <c r="BZ472" s="636">
        <f t="shared" si="254"/>
        <v>0</v>
      </c>
      <c r="CA472" s="633">
        <f t="shared" si="255"/>
        <v>0</v>
      </c>
    </row>
    <row r="473" spans="1:79" x14ac:dyDescent="0.2">
      <c r="A473" s="4">
        <v>1</v>
      </c>
      <c r="B473" s="4">
        <v>1</v>
      </c>
      <c r="C473" s="5">
        <f t="shared" si="256"/>
        <v>41205</v>
      </c>
      <c r="D473" s="6">
        <v>41205</v>
      </c>
      <c r="E473" s="121">
        <v>43012</v>
      </c>
      <c r="F473" s="6" t="s">
        <v>1606</v>
      </c>
      <c r="G473" s="7" t="s">
        <v>75</v>
      </c>
      <c r="H473" s="7"/>
      <c r="I473" s="7" t="s">
        <v>157</v>
      </c>
      <c r="J473" s="7"/>
      <c r="K473" s="29">
        <v>397472</v>
      </c>
      <c r="L473" s="10" t="s">
        <v>988</v>
      </c>
      <c r="M473" s="10" t="s">
        <v>1047</v>
      </c>
      <c r="N473" s="10" t="s">
        <v>1048</v>
      </c>
      <c r="O473" s="11" t="s">
        <v>1049</v>
      </c>
      <c r="P473" s="12">
        <v>40724</v>
      </c>
      <c r="Q473" s="13">
        <f t="shared" ca="1" si="257"/>
        <v>14.231348391512663</v>
      </c>
      <c r="R473" s="14">
        <v>7</v>
      </c>
      <c r="S473" s="15">
        <v>872</v>
      </c>
      <c r="T473" s="8">
        <v>872</v>
      </c>
      <c r="U473" s="16">
        <v>45017</v>
      </c>
      <c r="V473" s="17">
        <v>1</v>
      </c>
      <c r="W473" s="16">
        <v>45382</v>
      </c>
      <c r="X473" s="14">
        <v>192</v>
      </c>
      <c r="Y473" s="18">
        <f t="shared" si="253"/>
        <v>192</v>
      </c>
      <c r="Z473" s="18">
        <f t="shared" si="259"/>
        <v>1</v>
      </c>
      <c r="AA473" s="18" t="s">
        <v>36</v>
      </c>
      <c r="AB473" s="26">
        <v>23</v>
      </c>
      <c r="AC473" s="26"/>
      <c r="AD473" s="26"/>
      <c r="AE473" s="147" t="str">
        <f t="shared" si="251"/>
        <v>1</v>
      </c>
      <c r="AF473" s="147" t="str">
        <f t="shared" si="261"/>
        <v>0</v>
      </c>
      <c r="AG473" s="147" t="str">
        <f t="shared" si="252"/>
        <v>0</v>
      </c>
      <c r="AH473" s="147" t="str">
        <f t="shared" si="262"/>
        <v>NO</v>
      </c>
      <c r="AI473" s="147" t="str">
        <f t="shared" si="263"/>
        <v>NO</v>
      </c>
      <c r="AJ473" s="147" t="str">
        <f t="shared" si="264"/>
        <v>NO</v>
      </c>
      <c r="AK473" s="147" t="str">
        <f t="shared" si="265"/>
        <v>NO</v>
      </c>
      <c r="AL473" s="21"/>
      <c r="AM473" s="21">
        <f t="shared" si="260"/>
        <v>4873.7099999999991</v>
      </c>
      <c r="AN473" s="27" t="s">
        <v>37</v>
      </c>
      <c r="AO473" s="21">
        <v>1</v>
      </c>
      <c r="AP473" s="21">
        <f t="shared" si="258"/>
        <v>1</v>
      </c>
      <c r="AQ473" s="149">
        <f t="shared" si="250"/>
        <v>4873.7099999999991</v>
      </c>
      <c r="AR473" s="21">
        <v>4873.7099999999991</v>
      </c>
      <c r="AS473" s="610">
        <v>4873.7099999999991</v>
      </c>
      <c r="AT473" s="112">
        <v>4873.7099999999991</v>
      </c>
      <c r="AU473" s="4"/>
      <c r="AV473" s="4"/>
      <c r="AW473" s="23" t="e">
        <f>VLOOKUP(K473,#REF!,8,FALSE)</f>
        <v>#REF!</v>
      </c>
      <c r="AX473" s="23" t="e">
        <f>VLOOKUP(K473,#REF!,8,FALSE)</f>
        <v>#REF!</v>
      </c>
      <c r="AY473" s="23" t="e">
        <f>VLOOKUP(K473,#REF!,8,FALSE)</f>
        <v>#REF!</v>
      </c>
      <c r="AZ473" s="4"/>
      <c r="BA473" s="272"/>
      <c r="BB473" s="313">
        <f t="shared" si="246"/>
        <v>0</v>
      </c>
      <c r="BC473" s="269">
        <f t="shared" si="247"/>
        <v>4873.7099999999991</v>
      </c>
      <c r="BD473" t="str">
        <f t="shared" si="248"/>
        <v/>
      </c>
      <c r="BP473" s="166">
        <f t="shared" si="266"/>
        <v>4873.7099999999991</v>
      </c>
      <c r="BS473" s="165"/>
      <c r="BX473" s="495">
        <f t="shared" si="267"/>
        <v>4873.7099999999991</v>
      </c>
      <c r="BZ473" s="636">
        <f t="shared" si="254"/>
        <v>0</v>
      </c>
      <c r="CA473" s="633">
        <f t="shared" si="255"/>
        <v>0</v>
      </c>
    </row>
    <row r="474" spans="1:79" x14ac:dyDescent="0.2">
      <c r="A474" s="4">
        <v>1</v>
      </c>
      <c r="B474" s="4">
        <v>1</v>
      </c>
      <c r="C474" s="5">
        <f t="shared" si="256"/>
        <v>41205</v>
      </c>
      <c r="D474" s="6">
        <v>41205</v>
      </c>
      <c r="E474" s="121">
        <v>43012</v>
      </c>
      <c r="F474" s="6" t="s">
        <v>1606</v>
      </c>
      <c r="G474" s="7" t="s">
        <v>75</v>
      </c>
      <c r="H474" s="7"/>
      <c r="I474" s="7" t="s">
        <v>157</v>
      </c>
      <c r="J474" s="7"/>
      <c r="K474" s="29">
        <v>371127</v>
      </c>
      <c r="L474" s="10" t="s">
        <v>988</v>
      </c>
      <c r="M474" s="10" t="s">
        <v>950</v>
      </c>
      <c r="N474" s="10" t="s">
        <v>1050</v>
      </c>
      <c r="O474" s="11" t="s">
        <v>1051</v>
      </c>
      <c r="P474" s="12">
        <v>39288</v>
      </c>
      <c r="Q474" s="13">
        <f t="shared" ca="1" si="257"/>
        <v>18.16290212183436</v>
      </c>
      <c r="R474" s="14">
        <v>11</v>
      </c>
      <c r="S474" s="15">
        <v>872</v>
      </c>
      <c r="T474" s="8">
        <v>872</v>
      </c>
      <c r="U474" s="16">
        <v>45017</v>
      </c>
      <c r="V474" s="17">
        <v>1</v>
      </c>
      <c r="W474" s="16">
        <v>45128</v>
      </c>
      <c r="X474" s="14">
        <v>63</v>
      </c>
      <c r="Y474" s="18">
        <f t="shared" si="253"/>
        <v>63</v>
      </c>
      <c r="Z474" s="18">
        <f t="shared" si="259"/>
        <v>0.328125</v>
      </c>
      <c r="AA474" s="16" t="s">
        <v>166</v>
      </c>
      <c r="AB474" s="26">
        <v>25</v>
      </c>
      <c r="AC474" s="26"/>
      <c r="AD474" s="26"/>
      <c r="AE474" s="147" t="str">
        <f t="shared" si="251"/>
        <v>1</v>
      </c>
      <c r="AF474" s="147" t="str">
        <f t="shared" si="261"/>
        <v>0</v>
      </c>
      <c r="AG474" s="147" t="str">
        <f t="shared" si="252"/>
        <v>0</v>
      </c>
      <c r="AH474" s="147" t="str">
        <f t="shared" si="262"/>
        <v>NO</v>
      </c>
      <c r="AI474" s="147" t="str">
        <f t="shared" si="263"/>
        <v>NO</v>
      </c>
      <c r="AJ474" s="147" t="str">
        <f t="shared" si="264"/>
        <v>NO</v>
      </c>
      <c r="AK474" s="147" t="str">
        <f t="shared" si="265"/>
        <v>NO</v>
      </c>
      <c r="AL474" s="21"/>
      <c r="AM474" s="21">
        <f t="shared" si="260"/>
        <v>5819.25</v>
      </c>
      <c r="AN474" s="27" t="s">
        <v>43</v>
      </c>
      <c r="AO474" s="21">
        <v>1</v>
      </c>
      <c r="AP474" s="21">
        <f t="shared" si="258"/>
        <v>0.328125</v>
      </c>
      <c r="AQ474" s="149">
        <f t="shared" si="250"/>
        <v>1909.44140625</v>
      </c>
      <c r="AR474" s="21">
        <v>1909.44140625</v>
      </c>
      <c r="AS474" s="610">
        <v>1909.44140625</v>
      </c>
      <c r="AT474" s="112">
        <v>1909.44140625</v>
      </c>
      <c r="AU474" s="4"/>
      <c r="AV474" s="4"/>
      <c r="AW474" s="23" t="e">
        <f>VLOOKUP(K474,#REF!,8,FALSE)</f>
        <v>#REF!</v>
      </c>
      <c r="AX474" s="23" t="e">
        <f>VLOOKUP(K474,#REF!,8,FALSE)</f>
        <v>#REF!</v>
      </c>
      <c r="AY474" s="23"/>
      <c r="AZ474" s="4"/>
      <c r="BA474" s="272"/>
      <c r="BB474" s="313">
        <f t="shared" ref="BB474:BB505" si="268">BC474-AT474</f>
        <v>0</v>
      </c>
      <c r="BC474" s="269">
        <f t="shared" ref="BC474:BC505" si="269">AR474</f>
        <v>1909.44140625</v>
      </c>
      <c r="BD474" t="e">
        <f t="shared" ref="BD474:BD509" si="270">BG474&amp;BH474&amp;BI474</f>
        <v>#REF!</v>
      </c>
      <c r="BI474" t="e">
        <f>VLOOKUP(K474,#REF!,8,FALSE)</f>
        <v>#REF!</v>
      </c>
      <c r="BK474" s="269"/>
      <c r="BN474" s="353" t="s">
        <v>75</v>
      </c>
      <c r="BO474" s="106"/>
      <c r="BP474" s="166">
        <f t="shared" si="266"/>
        <v>1909.44140625</v>
      </c>
      <c r="BQ474" t="s">
        <v>2351</v>
      </c>
      <c r="BS474" s="165"/>
      <c r="BX474" s="495">
        <f t="shared" si="267"/>
        <v>1909.44140625</v>
      </c>
      <c r="BZ474" s="636">
        <f t="shared" si="254"/>
        <v>0</v>
      </c>
      <c r="CA474" s="633">
        <f t="shared" si="255"/>
        <v>0</v>
      </c>
    </row>
    <row r="475" spans="1:79" x14ac:dyDescent="0.2">
      <c r="A475" s="4">
        <v>1</v>
      </c>
      <c r="B475" s="4">
        <v>1</v>
      </c>
      <c r="C475" s="5">
        <f t="shared" si="256"/>
        <v>41205</v>
      </c>
      <c r="D475" s="6">
        <v>41205</v>
      </c>
      <c r="E475" s="121">
        <v>43012</v>
      </c>
      <c r="F475" s="6" t="s">
        <v>1606</v>
      </c>
      <c r="G475" s="7" t="s">
        <v>75</v>
      </c>
      <c r="H475" s="7"/>
      <c r="I475" s="7" t="s">
        <v>157</v>
      </c>
      <c r="J475" s="7"/>
      <c r="K475" s="29">
        <v>369258</v>
      </c>
      <c r="L475" s="10" t="s">
        <v>988</v>
      </c>
      <c r="M475" s="10" t="s">
        <v>177</v>
      </c>
      <c r="N475" s="10" t="s">
        <v>1052</v>
      </c>
      <c r="O475" s="11" t="s">
        <v>1053</v>
      </c>
      <c r="P475" s="12">
        <v>39097</v>
      </c>
      <c r="Q475" s="13">
        <f t="shared" ca="1" si="257"/>
        <v>18.68583162217659</v>
      </c>
      <c r="R475" s="14">
        <v>11</v>
      </c>
      <c r="S475" s="15">
        <v>872</v>
      </c>
      <c r="T475" s="8">
        <v>872</v>
      </c>
      <c r="U475" s="16">
        <v>45017</v>
      </c>
      <c r="V475" s="17">
        <v>1</v>
      </c>
      <c r="W475" s="16">
        <v>45128</v>
      </c>
      <c r="X475" s="14">
        <v>63</v>
      </c>
      <c r="Y475" s="18">
        <f t="shared" si="253"/>
        <v>63</v>
      </c>
      <c r="Z475" s="18">
        <f t="shared" si="259"/>
        <v>0.328125</v>
      </c>
      <c r="AA475" s="16" t="s">
        <v>166</v>
      </c>
      <c r="AB475" s="26">
        <v>25</v>
      </c>
      <c r="AC475" s="26"/>
      <c r="AD475" s="26"/>
      <c r="AE475" s="147" t="str">
        <f t="shared" si="251"/>
        <v>1</v>
      </c>
      <c r="AF475" s="147" t="str">
        <f t="shared" si="261"/>
        <v>0</v>
      </c>
      <c r="AG475" s="147" t="str">
        <f t="shared" si="252"/>
        <v>0</v>
      </c>
      <c r="AH475" s="147" t="str">
        <f t="shared" si="262"/>
        <v>NO</v>
      </c>
      <c r="AI475" s="147" t="str">
        <f t="shared" si="263"/>
        <v>NO</v>
      </c>
      <c r="AJ475" s="147" t="str">
        <f t="shared" si="264"/>
        <v>NO</v>
      </c>
      <c r="AK475" s="147" t="str">
        <f t="shared" si="265"/>
        <v>NO</v>
      </c>
      <c r="AL475" s="21"/>
      <c r="AM475" s="21">
        <f t="shared" si="260"/>
        <v>5819.25</v>
      </c>
      <c r="AN475" s="27" t="s">
        <v>43</v>
      </c>
      <c r="AO475" s="21">
        <v>1</v>
      </c>
      <c r="AP475" s="21">
        <f t="shared" si="258"/>
        <v>0.328125</v>
      </c>
      <c r="AQ475" s="149">
        <f t="shared" si="250"/>
        <v>1909.44140625</v>
      </c>
      <c r="AR475" s="21">
        <v>1909.44140625</v>
      </c>
      <c r="AS475" s="610">
        <v>1909.44140625</v>
      </c>
      <c r="AT475" s="112">
        <v>1909.44140625</v>
      </c>
      <c r="AU475" s="4"/>
      <c r="AV475" s="4"/>
      <c r="AW475" s="23" t="e">
        <f>VLOOKUP(K475,#REF!,8,FALSE)</f>
        <v>#REF!</v>
      </c>
      <c r="AX475" s="23" t="e">
        <f>VLOOKUP(K475,#REF!,8,FALSE)</f>
        <v>#REF!</v>
      </c>
      <c r="AY475" s="266" t="s">
        <v>2235</v>
      </c>
      <c r="AZ475" s="268" t="s">
        <v>75</v>
      </c>
      <c r="BA475" s="274">
        <f>AM475/3*2</f>
        <v>3879.5</v>
      </c>
      <c r="BB475" s="313">
        <f t="shared" si="268"/>
        <v>0</v>
      </c>
      <c r="BC475" s="269">
        <f t="shared" si="269"/>
        <v>1909.44140625</v>
      </c>
      <c r="BD475" t="e">
        <f t="shared" si="270"/>
        <v>#REF!</v>
      </c>
      <c r="BE475" t="s">
        <v>2351</v>
      </c>
      <c r="BI475" t="e">
        <f>VLOOKUP(K475,#REF!,8,FALSE)</f>
        <v>#REF!</v>
      </c>
      <c r="BK475" s="269"/>
      <c r="BN475" s="353" t="s">
        <v>75</v>
      </c>
      <c r="BO475" s="106"/>
      <c r="BP475" s="166">
        <f t="shared" si="266"/>
        <v>1909.44140625</v>
      </c>
      <c r="BQ475" t="s">
        <v>2351</v>
      </c>
      <c r="BS475" s="165"/>
      <c r="BX475" s="495">
        <f t="shared" si="267"/>
        <v>1909.44140625</v>
      </c>
      <c r="BZ475" s="636">
        <f t="shared" si="254"/>
        <v>0</v>
      </c>
      <c r="CA475" s="633">
        <f t="shared" si="255"/>
        <v>0</v>
      </c>
    </row>
    <row r="476" spans="1:79" x14ac:dyDescent="0.2">
      <c r="A476" s="4">
        <v>0</v>
      </c>
      <c r="B476" s="4">
        <v>1</v>
      </c>
      <c r="C476" s="5">
        <f t="shared" si="256"/>
        <v>41205</v>
      </c>
      <c r="D476" s="6">
        <v>41205</v>
      </c>
      <c r="E476" s="121">
        <v>43012</v>
      </c>
      <c r="F476" s="6" t="s">
        <v>1606</v>
      </c>
      <c r="G476" s="7" t="s">
        <v>75</v>
      </c>
      <c r="H476" s="7"/>
      <c r="I476" s="7" t="s">
        <v>157</v>
      </c>
      <c r="J476" s="7" t="s">
        <v>142</v>
      </c>
      <c r="K476" s="29">
        <v>369258</v>
      </c>
      <c r="L476" s="10" t="s">
        <v>988</v>
      </c>
      <c r="M476" s="10" t="s">
        <v>177</v>
      </c>
      <c r="N476" s="10" t="s">
        <v>1052</v>
      </c>
      <c r="O476" s="11" t="s">
        <v>1053</v>
      </c>
      <c r="P476" s="12">
        <v>39097</v>
      </c>
      <c r="Q476" s="13">
        <f t="shared" ca="1" si="257"/>
        <v>18.68583162217659</v>
      </c>
      <c r="R476" s="14">
        <v>11</v>
      </c>
      <c r="S476" s="15">
        <v>872</v>
      </c>
      <c r="T476" s="8">
        <v>872</v>
      </c>
      <c r="U476" s="16">
        <v>45017</v>
      </c>
      <c r="V476" s="17">
        <v>1</v>
      </c>
      <c r="W476" s="16">
        <v>45128</v>
      </c>
      <c r="X476" s="14">
        <v>63</v>
      </c>
      <c r="Y476" s="18">
        <f t="shared" si="253"/>
        <v>63</v>
      </c>
      <c r="Z476" s="18">
        <v>1</v>
      </c>
      <c r="AA476" s="16" t="s">
        <v>166</v>
      </c>
      <c r="AB476" s="26">
        <v>3208.68</v>
      </c>
      <c r="AC476" s="26"/>
      <c r="AD476" s="26"/>
      <c r="AE476" s="147" t="str">
        <f t="shared" si="251"/>
        <v>0</v>
      </c>
      <c r="AF476" s="147" t="str">
        <f t="shared" si="261"/>
        <v>0</v>
      </c>
      <c r="AG476" s="147" t="str">
        <f t="shared" si="252"/>
        <v>1</v>
      </c>
      <c r="AH476" s="147" t="str">
        <f t="shared" si="262"/>
        <v>NO</v>
      </c>
      <c r="AI476" s="147" t="str">
        <f t="shared" si="263"/>
        <v>NO</v>
      </c>
      <c r="AJ476" s="147" t="str">
        <f t="shared" si="264"/>
        <v>NO</v>
      </c>
      <c r="AK476" s="147" t="str">
        <f t="shared" si="265"/>
        <v>NO</v>
      </c>
      <c r="AL476" s="21"/>
      <c r="AM476" s="21">
        <v>3208.68</v>
      </c>
      <c r="AN476" s="27" t="s">
        <v>43</v>
      </c>
      <c r="AO476" s="21">
        <v>1</v>
      </c>
      <c r="AP476" s="21">
        <f t="shared" si="258"/>
        <v>1</v>
      </c>
      <c r="AQ476" s="149">
        <f t="shared" si="250"/>
        <v>3208.68</v>
      </c>
      <c r="AR476" s="21">
        <v>3208.68</v>
      </c>
      <c r="AS476" s="610">
        <v>0</v>
      </c>
      <c r="AT476" s="112">
        <v>3208.68</v>
      </c>
      <c r="AU476" s="4"/>
      <c r="AV476" s="4"/>
      <c r="AW476" s="23" t="e">
        <f>VLOOKUP(K476,#REF!,8,FALSE)</f>
        <v>#REF!</v>
      </c>
      <c r="AX476" s="23" t="e">
        <f>VLOOKUP(K476,#REF!,8,FALSE)</f>
        <v>#REF!</v>
      </c>
      <c r="AY476" s="23" t="e">
        <f>VLOOKUP(K476,#REF!,8,FALSE)</f>
        <v>#REF!</v>
      </c>
      <c r="AZ476" s="4"/>
      <c r="BA476" s="272"/>
      <c r="BB476" s="313">
        <f t="shared" si="268"/>
        <v>0</v>
      </c>
      <c r="BC476" s="269">
        <f t="shared" si="269"/>
        <v>3208.68</v>
      </c>
      <c r="BD476" t="e">
        <f t="shared" si="270"/>
        <v>#REF!</v>
      </c>
      <c r="BE476" t="s">
        <v>2351</v>
      </c>
      <c r="BI476" t="e">
        <f>VLOOKUP(K476,#REF!,8,FALSE)</f>
        <v>#REF!</v>
      </c>
      <c r="BK476" s="269"/>
      <c r="BN476" s="353" t="s">
        <v>75</v>
      </c>
      <c r="BO476" s="106"/>
      <c r="BP476" s="166">
        <f t="shared" si="266"/>
        <v>3208.68</v>
      </c>
      <c r="BQ476" t="s">
        <v>2351</v>
      </c>
      <c r="BS476" s="165"/>
      <c r="BX476" s="495">
        <f t="shared" si="267"/>
        <v>3208.68</v>
      </c>
      <c r="BZ476" s="636">
        <f t="shared" si="254"/>
        <v>0</v>
      </c>
      <c r="CA476" s="633">
        <f t="shared" si="255"/>
        <v>3208.68</v>
      </c>
    </row>
    <row r="477" spans="1:79" x14ac:dyDescent="0.2">
      <c r="A477" s="4">
        <v>1</v>
      </c>
      <c r="B477" s="4">
        <v>1</v>
      </c>
      <c r="C477" s="5">
        <f t="shared" si="256"/>
        <v>41205</v>
      </c>
      <c r="D477" s="6">
        <v>41205</v>
      </c>
      <c r="E477" s="121">
        <v>43012</v>
      </c>
      <c r="F477" s="6" t="s">
        <v>1606</v>
      </c>
      <c r="G477" s="7" t="s">
        <v>75</v>
      </c>
      <c r="H477" s="7"/>
      <c r="I477" s="7" t="s">
        <v>157</v>
      </c>
      <c r="J477" s="7"/>
      <c r="K477" s="29">
        <v>440767</v>
      </c>
      <c r="L477" s="10" t="s">
        <v>988</v>
      </c>
      <c r="M477" s="10" t="s">
        <v>177</v>
      </c>
      <c r="N477" s="10" t="s">
        <v>1054</v>
      </c>
      <c r="O477" s="11" t="s">
        <v>1055</v>
      </c>
      <c r="P477" s="12">
        <v>40605</v>
      </c>
      <c r="Q477" s="13">
        <f t="shared" ca="1" si="257"/>
        <v>14.557152635181383</v>
      </c>
      <c r="R477" s="14">
        <v>7</v>
      </c>
      <c r="S477" s="15">
        <v>872</v>
      </c>
      <c r="T477" s="8">
        <v>872</v>
      </c>
      <c r="U477" s="16">
        <v>45017</v>
      </c>
      <c r="V477" s="17">
        <v>1</v>
      </c>
      <c r="W477" s="16">
        <v>45382</v>
      </c>
      <c r="X477" s="14">
        <v>192</v>
      </c>
      <c r="Y477" s="18">
        <f t="shared" si="253"/>
        <v>192</v>
      </c>
      <c r="Z477" s="18">
        <f t="shared" ref="Z477:Z497" si="271">Y477/192</f>
        <v>1</v>
      </c>
      <c r="AA477" s="18" t="s">
        <v>36</v>
      </c>
      <c r="AB477" s="26">
        <v>30</v>
      </c>
      <c r="AC477" s="26"/>
      <c r="AD477" s="26"/>
      <c r="AE477" s="147" t="str">
        <f t="shared" si="251"/>
        <v>0</v>
      </c>
      <c r="AF477" s="147" t="str">
        <f t="shared" si="261"/>
        <v>1</v>
      </c>
      <c r="AG477" s="147" t="str">
        <f t="shared" si="252"/>
        <v>0</v>
      </c>
      <c r="AH477" s="147" t="str">
        <f t="shared" si="262"/>
        <v>NO</v>
      </c>
      <c r="AI477" s="147" t="str">
        <f t="shared" si="263"/>
        <v>NO</v>
      </c>
      <c r="AJ477" s="147" t="str">
        <f t="shared" si="264"/>
        <v>NO</v>
      </c>
      <c r="AK477" s="147" t="str">
        <f t="shared" si="265"/>
        <v>NO</v>
      </c>
      <c r="AL477" s="21"/>
      <c r="AM477" s="21">
        <f>IF(H477="Y",AL477,((AB477*$O$902)-6000))</f>
        <v>8183.0999999999985</v>
      </c>
      <c r="AN477" s="27" t="s">
        <v>37</v>
      </c>
      <c r="AO477" s="21">
        <v>1</v>
      </c>
      <c r="AP477" s="21">
        <f t="shared" si="258"/>
        <v>1</v>
      </c>
      <c r="AQ477" s="149">
        <f t="shared" si="250"/>
        <v>8183.0999999999985</v>
      </c>
      <c r="AR477" s="21">
        <v>8183.0999999999985</v>
      </c>
      <c r="AS477" s="610">
        <v>8183.0999999999985</v>
      </c>
      <c r="AT477" s="112">
        <v>8183.0999999999985</v>
      </c>
      <c r="AU477" s="4"/>
      <c r="AV477" s="4"/>
      <c r="AW477" s="23" t="e">
        <f>VLOOKUP(K477,#REF!,8,FALSE)</f>
        <v>#REF!</v>
      </c>
      <c r="AX477" s="23" t="e">
        <f>VLOOKUP(K477,#REF!,8,FALSE)</f>
        <v>#REF!</v>
      </c>
      <c r="AY477" s="23" t="e">
        <f>VLOOKUP(K477,#REF!,8,FALSE)</f>
        <v>#REF!</v>
      </c>
      <c r="AZ477" s="4"/>
      <c r="BA477" s="272"/>
      <c r="BB477" s="313">
        <f t="shared" si="268"/>
        <v>0</v>
      </c>
      <c r="BC477" s="269">
        <f t="shared" si="269"/>
        <v>8183.0999999999985</v>
      </c>
      <c r="BD477" t="str">
        <f t="shared" si="270"/>
        <v/>
      </c>
      <c r="BP477" s="166">
        <f t="shared" si="266"/>
        <v>8183.0999999999985</v>
      </c>
      <c r="BS477" s="165"/>
      <c r="BX477" s="495">
        <f t="shared" si="267"/>
        <v>8183.0999999999985</v>
      </c>
      <c r="BZ477" s="636">
        <f t="shared" si="254"/>
        <v>0</v>
      </c>
      <c r="CA477" s="633">
        <f t="shared" si="255"/>
        <v>0</v>
      </c>
    </row>
    <row r="478" spans="1:79" x14ac:dyDescent="0.2">
      <c r="A478" s="4">
        <v>1</v>
      </c>
      <c r="B478" s="4">
        <v>1</v>
      </c>
      <c r="C478" s="5">
        <f t="shared" si="256"/>
        <v>41205</v>
      </c>
      <c r="D478" s="6">
        <v>41205</v>
      </c>
      <c r="E478" s="121">
        <v>43012</v>
      </c>
      <c r="F478" s="6" t="s">
        <v>1606</v>
      </c>
      <c r="G478" s="7" t="s">
        <v>75</v>
      </c>
      <c r="H478" s="7"/>
      <c r="I478" s="7" t="s">
        <v>157</v>
      </c>
      <c r="J478" s="7"/>
      <c r="K478" s="29">
        <v>373368</v>
      </c>
      <c r="L478" s="10" t="s">
        <v>988</v>
      </c>
      <c r="M478" s="10" t="s">
        <v>556</v>
      </c>
      <c r="N478" s="10" t="s">
        <v>1056</v>
      </c>
      <c r="O478" s="11" t="s">
        <v>1057</v>
      </c>
      <c r="P478" s="12">
        <v>39526</v>
      </c>
      <c r="Q478" s="13">
        <f t="shared" ca="1" si="257"/>
        <v>17.511293634496919</v>
      </c>
      <c r="R478" s="14">
        <v>10</v>
      </c>
      <c r="S478" s="15">
        <v>872</v>
      </c>
      <c r="T478" s="8">
        <v>872</v>
      </c>
      <c r="U478" s="16">
        <v>45017</v>
      </c>
      <c r="V478" s="17">
        <v>1</v>
      </c>
      <c r="W478" s="16">
        <v>45382</v>
      </c>
      <c r="X478" s="14">
        <v>192</v>
      </c>
      <c r="Y478" s="18">
        <f t="shared" si="253"/>
        <v>192</v>
      </c>
      <c r="Z478" s="18">
        <f t="shared" si="271"/>
        <v>1</v>
      </c>
      <c r="AA478" s="18" t="s">
        <v>36</v>
      </c>
      <c r="AB478" s="26">
        <v>25</v>
      </c>
      <c r="AC478" s="26"/>
      <c r="AD478" s="26"/>
      <c r="AE478" s="147" t="str">
        <f t="shared" si="251"/>
        <v>1</v>
      </c>
      <c r="AF478" s="147" t="str">
        <f t="shared" si="261"/>
        <v>0</v>
      </c>
      <c r="AG478" s="147" t="str">
        <f t="shared" si="252"/>
        <v>0</v>
      </c>
      <c r="AH478" s="147" t="str">
        <f t="shared" si="262"/>
        <v>NO</v>
      </c>
      <c r="AI478" s="147" t="str">
        <f t="shared" si="263"/>
        <v>NO</v>
      </c>
      <c r="AJ478" s="147" t="str">
        <f t="shared" si="264"/>
        <v>NO</v>
      </c>
      <c r="AK478" s="147" t="str">
        <f t="shared" si="265"/>
        <v>NO</v>
      </c>
      <c r="AL478" s="21"/>
      <c r="AM478" s="21">
        <f>IF(H478="Y",AL478,((AB478*$O$902)-6000))</f>
        <v>5819.25</v>
      </c>
      <c r="AN478" s="27" t="s">
        <v>56</v>
      </c>
      <c r="AO478" s="21">
        <v>1</v>
      </c>
      <c r="AP478" s="21">
        <f t="shared" si="258"/>
        <v>1</v>
      </c>
      <c r="AQ478" s="149">
        <f t="shared" si="250"/>
        <v>5819.25</v>
      </c>
      <c r="AR478" s="21">
        <v>5819.25</v>
      </c>
      <c r="AS478" s="610">
        <v>5819.25</v>
      </c>
      <c r="AT478" s="112">
        <v>5819.25</v>
      </c>
      <c r="AU478" s="4"/>
      <c r="AV478" s="4"/>
      <c r="AW478" s="23" t="e">
        <f>VLOOKUP(K478,#REF!,8,FALSE)</f>
        <v>#REF!</v>
      </c>
      <c r="AX478" s="23" t="e">
        <f>VLOOKUP(K478,#REF!,8,FALSE)</f>
        <v>#REF!</v>
      </c>
      <c r="AY478" s="23" t="e">
        <f>VLOOKUP(K478,#REF!,8,FALSE)</f>
        <v>#REF!</v>
      </c>
      <c r="AZ478" s="4"/>
      <c r="BA478" s="272"/>
      <c r="BB478" s="313">
        <f t="shared" si="268"/>
        <v>0</v>
      </c>
      <c r="BC478" s="269">
        <f t="shared" si="269"/>
        <v>5819.25</v>
      </c>
      <c r="BD478" t="str">
        <f t="shared" si="270"/>
        <v/>
      </c>
      <c r="BP478" s="166">
        <f t="shared" si="266"/>
        <v>5819.25</v>
      </c>
      <c r="BS478" s="165"/>
      <c r="BX478" s="495">
        <f t="shared" si="267"/>
        <v>5819.25</v>
      </c>
      <c r="BZ478" s="636">
        <f t="shared" si="254"/>
        <v>0</v>
      </c>
      <c r="CA478" s="633">
        <f t="shared" si="255"/>
        <v>0</v>
      </c>
    </row>
    <row r="479" spans="1:79" x14ac:dyDescent="0.2">
      <c r="A479" s="4">
        <v>1</v>
      </c>
      <c r="B479" s="4">
        <v>1</v>
      </c>
      <c r="C479" s="5">
        <f t="shared" si="256"/>
        <v>41205</v>
      </c>
      <c r="D479" s="6">
        <v>41205</v>
      </c>
      <c r="E479" s="121">
        <v>43012</v>
      </c>
      <c r="F479" s="6" t="s">
        <v>1606</v>
      </c>
      <c r="G479" s="7" t="s">
        <v>75</v>
      </c>
      <c r="H479" s="7"/>
      <c r="I479" s="7" t="s">
        <v>157</v>
      </c>
      <c r="J479" s="7"/>
      <c r="K479" s="29">
        <v>370657</v>
      </c>
      <c r="L479" s="10" t="s">
        <v>988</v>
      </c>
      <c r="M479" s="10" t="s">
        <v>623</v>
      </c>
      <c r="N479" s="10" t="s">
        <v>333</v>
      </c>
      <c r="O479" s="11" t="s">
        <v>1058</v>
      </c>
      <c r="P479" s="12">
        <v>39215</v>
      </c>
      <c r="Q479" s="13">
        <f t="shared" ca="1" si="257"/>
        <v>18.362765229295004</v>
      </c>
      <c r="R479" s="14">
        <v>11</v>
      </c>
      <c r="S479" s="15">
        <v>872</v>
      </c>
      <c r="T479" s="8">
        <v>872</v>
      </c>
      <c r="U479" s="16">
        <v>45017</v>
      </c>
      <c r="V479" s="17">
        <v>1</v>
      </c>
      <c r="W479" s="16">
        <v>45128</v>
      </c>
      <c r="X479" s="14">
        <v>63</v>
      </c>
      <c r="Y479" s="18">
        <f t="shared" si="253"/>
        <v>63</v>
      </c>
      <c r="Z479" s="18">
        <f t="shared" si="271"/>
        <v>0.328125</v>
      </c>
      <c r="AA479" s="16" t="s">
        <v>166</v>
      </c>
      <c r="AB479" s="26">
        <v>25</v>
      </c>
      <c r="AC479" s="26"/>
      <c r="AD479" s="26"/>
      <c r="AE479" s="147" t="str">
        <f t="shared" si="251"/>
        <v>1</v>
      </c>
      <c r="AF479" s="147" t="str">
        <f t="shared" si="261"/>
        <v>0</v>
      </c>
      <c r="AG479" s="147" t="str">
        <f t="shared" si="252"/>
        <v>0</v>
      </c>
      <c r="AH479" s="147" t="str">
        <f t="shared" si="262"/>
        <v>NO</v>
      </c>
      <c r="AI479" s="147" t="str">
        <f t="shared" si="263"/>
        <v>NO</v>
      </c>
      <c r="AJ479" s="147" t="str">
        <f t="shared" si="264"/>
        <v>NO</v>
      </c>
      <c r="AK479" s="147" t="str">
        <f t="shared" si="265"/>
        <v>NO</v>
      </c>
      <c r="AL479" s="21"/>
      <c r="AM479" s="21">
        <f>IF(H479="Y",AL479,((AB479*$O$902)-6000))</f>
        <v>5819.25</v>
      </c>
      <c r="AN479" s="27" t="s">
        <v>43</v>
      </c>
      <c r="AO479" s="21">
        <v>1</v>
      </c>
      <c r="AP479" s="21">
        <f t="shared" si="258"/>
        <v>0.328125</v>
      </c>
      <c r="AQ479" s="149">
        <f t="shared" si="250"/>
        <v>1909.44140625</v>
      </c>
      <c r="AR479" s="21">
        <v>1909.44140625</v>
      </c>
      <c r="AS479" s="610">
        <v>1909.44140625</v>
      </c>
      <c r="AT479" s="112">
        <v>1909.44140625</v>
      </c>
      <c r="AU479" s="4"/>
      <c r="AV479" s="4"/>
      <c r="AW479" s="23" t="e">
        <f>VLOOKUP(K479,#REF!,8,FALSE)</f>
        <v>#REF!</v>
      </c>
      <c r="AX479" s="23" t="e">
        <f>VLOOKUP(K479,#REF!,8,FALSE)</f>
        <v>#REF!</v>
      </c>
      <c r="AY479" s="266" t="s">
        <v>2235</v>
      </c>
      <c r="AZ479" s="268" t="s">
        <v>75</v>
      </c>
      <c r="BA479" s="274">
        <f>AM479/3*2</f>
        <v>3879.5</v>
      </c>
      <c r="BB479" s="313">
        <f t="shared" si="268"/>
        <v>0</v>
      </c>
      <c r="BC479" s="269">
        <f t="shared" si="269"/>
        <v>1909.44140625</v>
      </c>
      <c r="BD479" t="e">
        <f t="shared" si="270"/>
        <v>#REF!</v>
      </c>
      <c r="BE479" t="s">
        <v>2351</v>
      </c>
      <c r="BI479" t="e">
        <f>VLOOKUP(K479,#REF!,8,FALSE)</f>
        <v>#REF!</v>
      </c>
      <c r="BK479" s="269"/>
      <c r="BN479" s="353" t="s">
        <v>75</v>
      </c>
      <c r="BO479" s="106"/>
      <c r="BP479" s="166">
        <f t="shared" si="266"/>
        <v>1909.44140625</v>
      </c>
      <c r="BQ479" t="s">
        <v>2351</v>
      </c>
      <c r="BS479" s="165"/>
      <c r="BX479" s="495">
        <f t="shared" si="267"/>
        <v>1909.44140625</v>
      </c>
      <c r="BZ479" s="636">
        <f t="shared" si="254"/>
        <v>0</v>
      </c>
      <c r="CA479" s="633">
        <f t="shared" si="255"/>
        <v>0</v>
      </c>
    </row>
    <row r="480" spans="1:79" x14ac:dyDescent="0.2">
      <c r="A480" s="4">
        <v>0</v>
      </c>
      <c r="B480" s="4">
        <v>1</v>
      </c>
      <c r="C480" s="5">
        <f t="shared" si="256"/>
        <v>41205</v>
      </c>
      <c r="D480" s="6">
        <v>41205</v>
      </c>
      <c r="E480" s="121">
        <v>43012</v>
      </c>
      <c r="F480" s="6" t="s">
        <v>1606</v>
      </c>
      <c r="G480" s="7" t="s">
        <v>75</v>
      </c>
      <c r="H480" s="7"/>
      <c r="I480" s="7" t="s">
        <v>157</v>
      </c>
      <c r="J480" s="7" t="s">
        <v>192</v>
      </c>
      <c r="K480" s="29">
        <v>370657</v>
      </c>
      <c r="L480" s="10" t="s">
        <v>988</v>
      </c>
      <c r="M480" s="10" t="s">
        <v>623</v>
      </c>
      <c r="N480" s="10" t="s">
        <v>333</v>
      </c>
      <c r="O480" s="11" t="s">
        <v>1058</v>
      </c>
      <c r="P480" s="12">
        <v>39215</v>
      </c>
      <c r="Q480" s="13">
        <f t="shared" ca="1" si="257"/>
        <v>18.362765229295004</v>
      </c>
      <c r="R480" s="14">
        <v>11</v>
      </c>
      <c r="S480" s="15">
        <v>872</v>
      </c>
      <c r="T480" s="8">
        <v>872</v>
      </c>
      <c r="U480" s="16">
        <v>45017</v>
      </c>
      <c r="V480" s="17">
        <v>1</v>
      </c>
      <c r="W480" s="16">
        <v>45128</v>
      </c>
      <c r="X480" s="14">
        <v>63</v>
      </c>
      <c r="Y480" s="18">
        <f t="shared" si="253"/>
        <v>63</v>
      </c>
      <c r="Z480" s="18">
        <f t="shared" si="271"/>
        <v>0.328125</v>
      </c>
      <c r="AA480" s="16" t="s">
        <v>166</v>
      </c>
      <c r="AB480" s="26">
        <v>18240</v>
      </c>
      <c r="AC480" s="26"/>
      <c r="AD480" s="26"/>
      <c r="AE480" s="147" t="str">
        <f t="shared" si="251"/>
        <v>0</v>
      </c>
      <c r="AF480" s="147" t="str">
        <f t="shared" si="261"/>
        <v>0</v>
      </c>
      <c r="AG480" s="147" t="str">
        <f t="shared" si="252"/>
        <v>1</v>
      </c>
      <c r="AH480" s="147" t="str">
        <f t="shared" si="262"/>
        <v>NO</v>
      </c>
      <c r="AI480" s="147" t="str">
        <f t="shared" si="263"/>
        <v>NO</v>
      </c>
      <c r="AJ480" s="147" t="str">
        <f t="shared" si="264"/>
        <v>NO</v>
      </c>
      <c r="AK480" s="147" t="str">
        <f t="shared" si="265"/>
        <v>NO</v>
      </c>
      <c r="AL480" s="21"/>
      <c r="AM480" s="21">
        <v>18240</v>
      </c>
      <c r="AN480" s="27" t="s">
        <v>43</v>
      </c>
      <c r="AO480" s="21">
        <v>1</v>
      </c>
      <c r="AP480" s="21">
        <f t="shared" si="258"/>
        <v>0.328125</v>
      </c>
      <c r="AQ480" s="149">
        <f t="shared" si="250"/>
        <v>5985</v>
      </c>
      <c r="AR480" s="21">
        <v>5985</v>
      </c>
      <c r="AS480" s="610">
        <v>5985</v>
      </c>
      <c r="AT480" s="112">
        <v>5985</v>
      </c>
      <c r="AU480" s="4"/>
      <c r="AV480" s="4"/>
      <c r="AW480" s="23" t="e">
        <f>VLOOKUP(K480,#REF!,8,FALSE)</f>
        <v>#REF!</v>
      </c>
      <c r="AX480" s="23" t="e">
        <f>VLOOKUP(K480,#REF!,8,FALSE)</f>
        <v>#REF!</v>
      </c>
      <c r="AY480" s="23" t="e">
        <f>VLOOKUP(K480,#REF!,8,FALSE)</f>
        <v>#REF!</v>
      </c>
      <c r="AZ480" s="4"/>
      <c r="BA480" s="272"/>
      <c r="BB480" s="313">
        <f t="shared" si="268"/>
        <v>0</v>
      </c>
      <c r="BC480" s="269">
        <f t="shared" si="269"/>
        <v>5985</v>
      </c>
      <c r="BD480" t="e">
        <f t="shared" si="270"/>
        <v>#REF!</v>
      </c>
      <c r="BE480" t="s">
        <v>2351</v>
      </c>
      <c r="BI480" t="e">
        <f>VLOOKUP(K480,#REF!,8,FALSE)</f>
        <v>#REF!</v>
      </c>
      <c r="BK480" s="269"/>
      <c r="BN480" s="353" t="s">
        <v>75</v>
      </c>
      <c r="BO480" s="106"/>
      <c r="BP480" s="166">
        <f t="shared" si="266"/>
        <v>5985</v>
      </c>
      <c r="BQ480" t="s">
        <v>2351</v>
      </c>
      <c r="BS480" s="165"/>
      <c r="BX480" s="495">
        <f t="shared" si="267"/>
        <v>5985</v>
      </c>
      <c r="BZ480" s="636">
        <f t="shared" si="254"/>
        <v>0</v>
      </c>
      <c r="CA480" s="633">
        <f t="shared" si="255"/>
        <v>0</v>
      </c>
    </row>
    <row r="481" spans="1:79" x14ac:dyDescent="0.2">
      <c r="A481" s="4">
        <v>1</v>
      </c>
      <c r="B481" s="4">
        <v>1</v>
      </c>
      <c r="C481" s="5">
        <f t="shared" si="256"/>
        <v>41205</v>
      </c>
      <c r="D481" s="6">
        <v>41205</v>
      </c>
      <c r="E481" s="121">
        <v>43012</v>
      </c>
      <c r="F481" s="6" t="s">
        <v>1606</v>
      </c>
      <c r="G481" s="7" t="s">
        <v>75</v>
      </c>
      <c r="H481" s="7"/>
      <c r="I481" s="7" t="s">
        <v>157</v>
      </c>
      <c r="J481" s="7"/>
      <c r="K481" s="29">
        <v>394790</v>
      </c>
      <c r="L481" s="10" t="s">
        <v>988</v>
      </c>
      <c r="M481" s="10" t="s">
        <v>189</v>
      </c>
      <c r="N481" s="10" t="s">
        <v>1059</v>
      </c>
      <c r="O481" s="11" t="s">
        <v>1060</v>
      </c>
      <c r="P481" s="12">
        <v>40565</v>
      </c>
      <c r="Q481" s="13">
        <f t="shared" ca="1" si="257"/>
        <v>14.666666666666666</v>
      </c>
      <c r="R481" s="14">
        <v>7</v>
      </c>
      <c r="S481" s="15">
        <v>872</v>
      </c>
      <c r="T481" s="8">
        <v>872</v>
      </c>
      <c r="U481" s="16">
        <v>45017</v>
      </c>
      <c r="V481" s="17">
        <v>1</v>
      </c>
      <c r="W481" s="16">
        <v>45128</v>
      </c>
      <c r="X481" s="14">
        <v>63</v>
      </c>
      <c r="Y481" s="18">
        <f t="shared" si="253"/>
        <v>63</v>
      </c>
      <c r="Z481" s="18">
        <f t="shared" si="271"/>
        <v>0.328125</v>
      </c>
      <c r="AA481" s="18" t="s">
        <v>36</v>
      </c>
      <c r="AB481" s="26">
        <v>25</v>
      </c>
      <c r="AC481" s="26"/>
      <c r="AD481" s="26"/>
      <c r="AE481" s="147" t="str">
        <f t="shared" si="251"/>
        <v>1</v>
      </c>
      <c r="AF481" s="147" t="str">
        <f t="shared" si="261"/>
        <v>0</v>
      </c>
      <c r="AG481" s="147" t="str">
        <f t="shared" si="252"/>
        <v>0</v>
      </c>
      <c r="AH481" s="147" t="str">
        <f t="shared" si="262"/>
        <v>NO</v>
      </c>
      <c r="AI481" s="147" t="str">
        <f t="shared" si="263"/>
        <v>NO</v>
      </c>
      <c r="AJ481" s="147" t="str">
        <f t="shared" si="264"/>
        <v>NO</v>
      </c>
      <c r="AK481" s="147" t="str">
        <f t="shared" si="265"/>
        <v>NO</v>
      </c>
      <c r="AL481" s="21"/>
      <c r="AM481" s="21">
        <f>IF(H481="Y",AL481,((AB481*$O$902)-6000))</f>
        <v>5819.25</v>
      </c>
      <c r="AN481" s="27" t="s">
        <v>536</v>
      </c>
      <c r="AO481" s="21">
        <v>1</v>
      </c>
      <c r="AP481" s="21">
        <f t="shared" si="258"/>
        <v>0.328125</v>
      </c>
      <c r="AQ481" s="149">
        <f t="shared" si="250"/>
        <v>1909.44140625</v>
      </c>
      <c r="AR481" s="21">
        <v>1909.44140625</v>
      </c>
      <c r="AS481" s="610">
        <v>8183.0999999999985</v>
      </c>
      <c r="AT481" s="112">
        <v>5819.25</v>
      </c>
      <c r="AU481" s="4"/>
      <c r="AV481" s="4"/>
      <c r="AW481" s="23" t="e">
        <f>VLOOKUP(K481,#REF!,8,FALSE)</f>
        <v>#REF!</v>
      </c>
      <c r="AX481" s="23" t="e">
        <f>VLOOKUP(K481,#REF!,8,FALSE)</f>
        <v>#REF!</v>
      </c>
      <c r="AY481" s="23" t="e">
        <f>VLOOKUP(K481,#REF!,8,FALSE)</f>
        <v>#REF!</v>
      </c>
      <c r="AZ481" s="4"/>
      <c r="BA481" s="272"/>
      <c r="BB481" s="313">
        <f t="shared" si="268"/>
        <v>-3909.80859375</v>
      </c>
      <c r="BC481" s="269">
        <f t="shared" si="269"/>
        <v>1909.44140625</v>
      </c>
      <c r="BD481" t="str">
        <f t="shared" si="270"/>
        <v/>
      </c>
      <c r="BP481" s="166">
        <f t="shared" si="266"/>
        <v>1909.44140625</v>
      </c>
      <c r="BS481" s="165"/>
      <c r="BX481" s="495">
        <f t="shared" si="267"/>
        <v>1909.44140625</v>
      </c>
      <c r="BZ481" s="636">
        <f t="shared" si="254"/>
        <v>0</v>
      </c>
      <c r="CA481" s="633">
        <f t="shared" si="255"/>
        <v>-6273.6585937499985</v>
      </c>
    </row>
    <row r="482" spans="1:79" x14ac:dyDescent="0.2">
      <c r="A482" s="4">
        <v>1</v>
      </c>
      <c r="B482" s="4">
        <v>1</v>
      </c>
      <c r="C482" s="5">
        <f t="shared" si="256"/>
        <v>41205</v>
      </c>
      <c r="D482" s="6">
        <v>41205</v>
      </c>
      <c r="E482" s="121">
        <v>43012</v>
      </c>
      <c r="F482" s="6" t="s">
        <v>1606</v>
      </c>
      <c r="G482" s="7" t="s">
        <v>75</v>
      </c>
      <c r="H482" s="7"/>
      <c r="I482" s="7" t="s">
        <v>157</v>
      </c>
      <c r="J482" s="7"/>
      <c r="K482" s="29">
        <v>397390</v>
      </c>
      <c r="L482" s="10" t="s">
        <v>988</v>
      </c>
      <c r="M482" s="10" t="s">
        <v>1061</v>
      </c>
      <c r="N482" s="10" t="s">
        <v>584</v>
      </c>
      <c r="O482" s="11" t="s">
        <v>1062</v>
      </c>
      <c r="P482" s="12">
        <v>40702</v>
      </c>
      <c r="Q482" s="13">
        <f t="shared" ca="1" si="257"/>
        <v>14.291581108829568</v>
      </c>
      <c r="R482" s="14">
        <v>7</v>
      </c>
      <c r="S482" s="15">
        <v>872</v>
      </c>
      <c r="T482" s="8">
        <v>872</v>
      </c>
      <c r="U482" s="16">
        <v>45017</v>
      </c>
      <c r="V482" s="17">
        <v>1</v>
      </c>
      <c r="W482" s="16">
        <v>45382</v>
      </c>
      <c r="X482" s="14">
        <v>192</v>
      </c>
      <c r="Y482" s="18">
        <f t="shared" si="253"/>
        <v>192</v>
      </c>
      <c r="Z482" s="18">
        <f t="shared" si="271"/>
        <v>1</v>
      </c>
      <c r="AA482" s="18" t="s">
        <v>36</v>
      </c>
      <c r="AB482" s="26">
        <v>25</v>
      </c>
      <c r="AC482" s="26"/>
      <c r="AD482" s="26"/>
      <c r="AE482" s="147" t="str">
        <f t="shared" si="251"/>
        <v>1</v>
      </c>
      <c r="AF482" s="147" t="str">
        <f t="shared" si="261"/>
        <v>0</v>
      </c>
      <c r="AG482" s="147" t="str">
        <f t="shared" si="252"/>
        <v>0</v>
      </c>
      <c r="AH482" s="147" t="str">
        <f t="shared" si="262"/>
        <v>NO</v>
      </c>
      <c r="AI482" s="147" t="str">
        <f t="shared" si="263"/>
        <v>NO</v>
      </c>
      <c r="AJ482" s="147" t="str">
        <f t="shared" si="264"/>
        <v>NO</v>
      </c>
      <c r="AK482" s="147" t="str">
        <f t="shared" si="265"/>
        <v>NO</v>
      </c>
      <c r="AL482" s="21"/>
      <c r="AM482" s="21">
        <f>IF(H482="Y",AL482,((AB482*$O$902)-6000))</f>
        <v>5819.25</v>
      </c>
      <c r="AN482" s="27"/>
      <c r="AO482" s="21">
        <v>1</v>
      </c>
      <c r="AP482" s="21">
        <f t="shared" si="258"/>
        <v>1</v>
      </c>
      <c r="AQ482" s="149">
        <f t="shared" si="250"/>
        <v>5819.25</v>
      </c>
      <c r="AR482" s="21">
        <v>5819.25</v>
      </c>
      <c r="AS482" s="610">
        <v>5819.25</v>
      </c>
      <c r="AT482" s="112">
        <v>5819.25</v>
      </c>
      <c r="AU482" s="4"/>
      <c r="AV482" s="4"/>
      <c r="AW482" s="23" t="e">
        <f>VLOOKUP(K482,#REF!,8,FALSE)</f>
        <v>#REF!</v>
      </c>
      <c r="AX482" s="23" t="e">
        <f>VLOOKUP(K482,#REF!,8,FALSE)</f>
        <v>#REF!</v>
      </c>
      <c r="AY482" s="23" t="e">
        <f>VLOOKUP(K482,#REF!,8,FALSE)</f>
        <v>#REF!</v>
      </c>
      <c r="AZ482" s="4"/>
      <c r="BA482" s="272"/>
      <c r="BB482" s="313">
        <f t="shared" si="268"/>
        <v>0</v>
      </c>
      <c r="BC482" s="269">
        <f t="shared" si="269"/>
        <v>5819.25</v>
      </c>
      <c r="BD482" t="str">
        <f t="shared" si="270"/>
        <v/>
      </c>
      <c r="BP482" s="166">
        <f t="shared" si="266"/>
        <v>5819.25</v>
      </c>
      <c r="BS482" s="165"/>
      <c r="BX482" s="495">
        <f t="shared" si="267"/>
        <v>5819.25</v>
      </c>
      <c r="BZ482" s="636">
        <f t="shared" si="254"/>
        <v>0</v>
      </c>
      <c r="CA482" s="633">
        <f t="shared" si="255"/>
        <v>0</v>
      </c>
    </row>
    <row r="483" spans="1:79" x14ac:dyDescent="0.2">
      <c r="A483" s="4">
        <v>1</v>
      </c>
      <c r="B483" s="4">
        <v>1</v>
      </c>
      <c r="C483" s="5">
        <f t="shared" si="256"/>
        <v>41205</v>
      </c>
      <c r="D483" s="6">
        <v>41205</v>
      </c>
      <c r="E483" s="121">
        <v>43012</v>
      </c>
      <c r="F483" s="6" t="s">
        <v>1606</v>
      </c>
      <c r="G483" s="7" t="s">
        <v>75</v>
      </c>
      <c r="H483" s="7"/>
      <c r="I483" s="7" t="s">
        <v>157</v>
      </c>
      <c r="J483" s="7"/>
      <c r="K483" s="29">
        <v>389901</v>
      </c>
      <c r="L483" s="10" t="s">
        <v>988</v>
      </c>
      <c r="M483" s="10" t="s">
        <v>1063</v>
      </c>
      <c r="N483" s="10" t="s">
        <v>1064</v>
      </c>
      <c r="O483" s="11" t="s">
        <v>1065</v>
      </c>
      <c r="P483" s="12">
        <v>40407</v>
      </c>
      <c r="Q483" s="13">
        <f t="shared" ca="1" si="257"/>
        <v>15.099247091033538</v>
      </c>
      <c r="R483" s="14">
        <v>8</v>
      </c>
      <c r="S483" s="15">
        <v>872</v>
      </c>
      <c r="T483" s="8">
        <v>872</v>
      </c>
      <c r="U483" s="16">
        <v>45017</v>
      </c>
      <c r="V483" s="17">
        <v>1</v>
      </c>
      <c r="W483" s="16">
        <v>45382</v>
      </c>
      <c r="X483" s="14">
        <v>192</v>
      </c>
      <c r="Y483" s="18">
        <f t="shared" si="253"/>
        <v>192</v>
      </c>
      <c r="Z483" s="18">
        <f t="shared" si="271"/>
        <v>1</v>
      </c>
      <c r="AA483" s="18" t="s">
        <v>36</v>
      </c>
      <c r="AB483" s="26">
        <v>26</v>
      </c>
      <c r="AC483" s="26"/>
      <c r="AD483" s="26"/>
      <c r="AE483" s="147" t="str">
        <f t="shared" si="251"/>
        <v>0</v>
      </c>
      <c r="AF483" s="147" t="str">
        <f t="shared" si="261"/>
        <v>1</v>
      </c>
      <c r="AG483" s="147" t="str">
        <f t="shared" si="252"/>
        <v>0</v>
      </c>
      <c r="AH483" s="147" t="str">
        <f t="shared" si="262"/>
        <v>NO</v>
      </c>
      <c r="AI483" s="147" t="str">
        <f t="shared" si="263"/>
        <v>NO</v>
      </c>
      <c r="AJ483" s="147" t="str">
        <f t="shared" si="264"/>
        <v>NO</v>
      </c>
      <c r="AK483" s="147" t="str">
        <f t="shared" si="265"/>
        <v>NO</v>
      </c>
      <c r="AL483" s="21"/>
      <c r="AM483" s="21">
        <f>IF(H483="Y",AL483,((AB483*$O$902)-6000))</f>
        <v>6292.02</v>
      </c>
      <c r="AN483" s="27" t="s">
        <v>56</v>
      </c>
      <c r="AO483" s="21">
        <v>1</v>
      </c>
      <c r="AP483" s="21">
        <f t="shared" si="258"/>
        <v>1</v>
      </c>
      <c r="AQ483" s="149">
        <f t="shared" si="250"/>
        <v>6292.02</v>
      </c>
      <c r="AR483" s="21">
        <v>6292.02</v>
      </c>
      <c r="AS483" s="610">
        <v>6292.02</v>
      </c>
      <c r="AT483" s="112">
        <v>6292.02</v>
      </c>
      <c r="AU483" s="4"/>
      <c r="AV483" s="4"/>
      <c r="AW483" s="23" t="e">
        <f>VLOOKUP(K483,#REF!,8,FALSE)</f>
        <v>#REF!</v>
      </c>
      <c r="AX483" s="23" t="e">
        <f>VLOOKUP(K483,#REF!,8,FALSE)</f>
        <v>#REF!</v>
      </c>
      <c r="AY483" s="23" t="e">
        <f>VLOOKUP(K483,#REF!,8,FALSE)</f>
        <v>#REF!</v>
      </c>
      <c r="AZ483" s="4"/>
      <c r="BA483" s="272"/>
      <c r="BB483" s="313">
        <f t="shared" si="268"/>
        <v>0</v>
      </c>
      <c r="BC483" s="269">
        <f t="shared" si="269"/>
        <v>6292.02</v>
      </c>
      <c r="BD483" t="str">
        <f t="shared" si="270"/>
        <v/>
      </c>
      <c r="BP483" s="166">
        <f t="shared" si="266"/>
        <v>6292.02</v>
      </c>
      <c r="BS483" s="165"/>
      <c r="BX483" s="495">
        <f t="shared" si="267"/>
        <v>6292.02</v>
      </c>
      <c r="BZ483" s="636">
        <f t="shared" si="254"/>
        <v>0</v>
      </c>
      <c r="CA483" s="633">
        <f t="shared" si="255"/>
        <v>0</v>
      </c>
    </row>
    <row r="484" spans="1:79" x14ac:dyDescent="0.2">
      <c r="A484" s="4">
        <v>1</v>
      </c>
      <c r="B484" s="4">
        <v>1</v>
      </c>
      <c r="C484" s="5">
        <f t="shared" si="256"/>
        <v>41205</v>
      </c>
      <c r="D484" s="6">
        <v>41205</v>
      </c>
      <c r="E484" s="121">
        <v>43012</v>
      </c>
      <c r="F484" s="6" t="s">
        <v>1606</v>
      </c>
      <c r="G484" s="7" t="s">
        <v>75</v>
      </c>
      <c r="H484" s="7"/>
      <c r="I484" s="7" t="s">
        <v>157</v>
      </c>
      <c r="J484" s="7"/>
      <c r="K484" s="29">
        <v>383365</v>
      </c>
      <c r="L484" s="10" t="s">
        <v>988</v>
      </c>
      <c r="M484" s="10" t="s">
        <v>1066</v>
      </c>
      <c r="N484" s="10" t="s">
        <v>1067</v>
      </c>
      <c r="O484" s="11" t="s">
        <v>1068</v>
      </c>
      <c r="P484" s="12">
        <v>40141</v>
      </c>
      <c r="Q484" s="13">
        <f t="shared" ca="1" si="257"/>
        <v>15.827515400410677</v>
      </c>
      <c r="R484" s="14">
        <v>8</v>
      </c>
      <c r="S484" s="15">
        <v>872</v>
      </c>
      <c r="T484" s="8">
        <v>872</v>
      </c>
      <c r="U484" s="16">
        <v>45017</v>
      </c>
      <c r="V484" s="17">
        <v>1</v>
      </c>
      <c r="W484" s="16">
        <v>45382</v>
      </c>
      <c r="X484" s="14">
        <v>192</v>
      </c>
      <c r="Y484" s="18">
        <f t="shared" si="253"/>
        <v>192</v>
      </c>
      <c r="Z484" s="18">
        <f t="shared" si="271"/>
        <v>1</v>
      </c>
      <c r="AA484" s="18" t="s">
        <v>36</v>
      </c>
      <c r="AB484" s="26">
        <v>30</v>
      </c>
      <c r="AC484" s="26"/>
      <c r="AD484" s="26"/>
      <c r="AE484" s="147" t="str">
        <f t="shared" si="251"/>
        <v>0</v>
      </c>
      <c r="AF484" s="147" t="str">
        <f t="shared" si="261"/>
        <v>1</v>
      </c>
      <c r="AG484" s="147" t="str">
        <f t="shared" si="252"/>
        <v>0</v>
      </c>
      <c r="AH484" s="147" t="str">
        <f t="shared" si="262"/>
        <v>NO</v>
      </c>
      <c r="AI484" s="147" t="str">
        <f t="shared" si="263"/>
        <v>NO</v>
      </c>
      <c r="AJ484" s="147" t="str">
        <f t="shared" si="264"/>
        <v>NO</v>
      </c>
      <c r="AK484" s="147" t="str">
        <f t="shared" si="265"/>
        <v>NO</v>
      </c>
      <c r="AL484" s="21"/>
      <c r="AM484" s="21">
        <f>IF(H484="Y",AL484,((AB484*$O$902)-6000))</f>
        <v>8183.0999999999985</v>
      </c>
      <c r="AN484" s="27" t="s">
        <v>43</v>
      </c>
      <c r="AO484" s="21">
        <v>1</v>
      </c>
      <c r="AP484" s="21">
        <f t="shared" si="258"/>
        <v>1</v>
      </c>
      <c r="AQ484" s="149">
        <f t="shared" si="250"/>
        <v>8183.0999999999985</v>
      </c>
      <c r="AR484" s="21">
        <v>8183.0999999999985</v>
      </c>
      <c r="AS484" s="610">
        <v>8183.0999999999985</v>
      </c>
      <c r="AT484" s="112">
        <v>8183.0999999999985</v>
      </c>
      <c r="AU484" s="4"/>
      <c r="AV484" s="4"/>
      <c r="AW484" s="23" t="e">
        <f>VLOOKUP(K484,#REF!,8,FALSE)</f>
        <v>#REF!</v>
      </c>
      <c r="AX484" s="23" t="e">
        <f>VLOOKUP(K484,#REF!,8,FALSE)</f>
        <v>#REF!</v>
      </c>
      <c r="AY484" s="23" t="e">
        <f>VLOOKUP(K484,#REF!,8,FALSE)</f>
        <v>#REF!</v>
      </c>
      <c r="AZ484" s="4"/>
      <c r="BA484" s="272"/>
      <c r="BB484" s="313">
        <f t="shared" si="268"/>
        <v>0</v>
      </c>
      <c r="BC484" s="269">
        <f t="shared" si="269"/>
        <v>8183.0999999999985</v>
      </c>
      <c r="BD484" t="str">
        <f t="shared" si="270"/>
        <v/>
      </c>
      <c r="BP484" s="166">
        <f t="shared" si="266"/>
        <v>8183.0999999999985</v>
      </c>
      <c r="BS484" s="165"/>
      <c r="BX484" s="495">
        <f t="shared" si="267"/>
        <v>8183.0999999999985</v>
      </c>
      <c r="BZ484" s="636">
        <f t="shared" si="254"/>
        <v>0</v>
      </c>
      <c r="CA484" s="633">
        <f t="shared" si="255"/>
        <v>0</v>
      </c>
    </row>
    <row r="485" spans="1:79" x14ac:dyDescent="0.2">
      <c r="A485" s="4">
        <v>1</v>
      </c>
      <c r="B485" s="4">
        <v>1</v>
      </c>
      <c r="C485" s="5">
        <f t="shared" si="256"/>
        <v>41205</v>
      </c>
      <c r="D485" s="6">
        <v>41205</v>
      </c>
      <c r="E485" s="121">
        <v>43012</v>
      </c>
      <c r="F485" s="6" t="s">
        <v>1606</v>
      </c>
      <c r="G485" s="7" t="s">
        <v>75</v>
      </c>
      <c r="H485" s="7"/>
      <c r="I485" s="7" t="s">
        <v>157</v>
      </c>
      <c r="J485" s="7"/>
      <c r="K485" s="29">
        <v>383812</v>
      </c>
      <c r="L485" s="10" t="s">
        <v>988</v>
      </c>
      <c r="M485" s="31" t="s">
        <v>63</v>
      </c>
      <c r="N485" s="31" t="s">
        <v>1069</v>
      </c>
      <c r="O485" s="31" t="s">
        <v>1070</v>
      </c>
      <c r="P485" s="32">
        <v>40023</v>
      </c>
      <c r="Q485" s="13">
        <f t="shared" ca="1" si="257"/>
        <v>16.150581793292265</v>
      </c>
      <c r="R485" s="14">
        <v>9</v>
      </c>
      <c r="S485" s="15">
        <v>872</v>
      </c>
      <c r="T485" s="8">
        <v>872</v>
      </c>
      <c r="U485" s="16">
        <v>45017</v>
      </c>
      <c r="V485" s="17">
        <v>1</v>
      </c>
      <c r="W485" s="16">
        <v>45382</v>
      </c>
      <c r="X485" s="14">
        <v>192</v>
      </c>
      <c r="Y485" s="18">
        <f t="shared" si="253"/>
        <v>192</v>
      </c>
      <c r="Z485" s="18">
        <f t="shared" si="271"/>
        <v>1</v>
      </c>
      <c r="AA485" s="18" t="s">
        <v>36</v>
      </c>
      <c r="AB485" s="26" t="s">
        <v>91</v>
      </c>
      <c r="AC485" s="26"/>
      <c r="AD485" s="26"/>
      <c r="AE485" s="147" t="str">
        <f t="shared" si="251"/>
        <v>0</v>
      </c>
      <c r="AF485" s="147" t="str">
        <f t="shared" si="261"/>
        <v>0</v>
      </c>
      <c r="AG485" s="147" t="str">
        <f t="shared" si="252"/>
        <v>1</v>
      </c>
      <c r="AH485" s="147" t="str">
        <f t="shared" si="262"/>
        <v>NO</v>
      </c>
      <c r="AI485" s="147" t="str">
        <f t="shared" si="263"/>
        <v>NO</v>
      </c>
      <c r="AJ485" s="147" t="str">
        <f t="shared" si="264"/>
        <v>NO</v>
      </c>
      <c r="AK485" s="147" t="str">
        <f t="shared" si="265"/>
        <v>NO</v>
      </c>
      <c r="AL485" s="21"/>
      <c r="AM485" s="21">
        <v>9000</v>
      </c>
      <c r="AN485" s="27" t="s">
        <v>66</v>
      </c>
      <c r="AO485" s="21">
        <v>1</v>
      </c>
      <c r="AP485" s="21">
        <f t="shared" si="258"/>
        <v>1</v>
      </c>
      <c r="AQ485" s="149">
        <f t="shared" si="250"/>
        <v>9000</v>
      </c>
      <c r="AR485" s="21">
        <v>9000</v>
      </c>
      <c r="AS485" s="610">
        <v>9000</v>
      </c>
      <c r="AT485" s="112">
        <v>9000</v>
      </c>
      <c r="AU485" s="4"/>
      <c r="AV485" s="4"/>
      <c r="AW485" s="23" t="e">
        <f>VLOOKUP(K485,#REF!,8,FALSE)</f>
        <v>#REF!</v>
      </c>
      <c r="AX485" s="23" t="e">
        <f>VLOOKUP(K485,#REF!,8,FALSE)</f>
        <v>#REF!</v>
      </c>
      <c r="AY485" s="23" t="e">
        <f>VLOOKUP(K485,#REF!,8,FALSE)</f>
        <v>#REF!</v>
      </c>
      <c r="AZ485" s="4"/>
      <c r="BA485" s="272"/>
      <c r="BB485" s="313">
        <f t="shared" si="268"/>
        <v>0</v>
      </c>
      <c r="BC485" s="269">
        <f t="shared" si="269"/>
        <v>9000</v>
      </c>
      <c r="BD485" t="str">
        <f t="shared" si="270"/>
        <v/>
      </c>
      <c r="BP485" s="166">
        <f t="shared" si="266"/>
        <v>9000</v>
      </c>
      <c r="BS485" s="165"/>
      <c r="BX485" s="495">
        <f t="shared" si="267"/>
        <v>9000</v>
      </c>
      <c r="BZ485" s="636">
        <f t="shared" si="254"/>
        <v>0</v>
      </c>
      <c r="CA485" s="633">
        <f t="shared" si="255"/>
        <v>0</v>
      </c>
    </row>
    <row r="486" spans="1:79" x14ac:dyDescent="0.2">
      <c r="A486" s="4">
        <v>1</v>
      </c>
      <c r="B486" s="4">
        <v>1</v>
      </c>
      <c r="C486" s="5">
        <f t="shared" si="256"/>
        <v>41205</v>
      </c>
      <c r="D486" s="6">
        <v>41205</v>
      </c>
      <c r="E486" s="121">
        <v>43012</v>
      </c>
      <c r="F486" s="6" t="s">
        <v>1606</v>
      </c>
      <c r="G486" s="7" t="s">
        <v>75</v>
      </c>
      <c r="H486" s="7"/>
      <c r="I486" s="7" t="s">
        <v>157</v>
      </c>
      <c r="J486" s="7"/>
      <c r="K486" s="29">
        <v>397978</v>
      </c>
      <c r="L486" s="10" t="s">
        <v>988</v>
      </c>
      <c r="M486" s="10" t="s">
        <v>1071</v>
      </c>
      <c r="N486" s="10" t="s">
        <v>1072</v>
      </c>
      <c r="O486" s="11" t="s">
        <v>1073</v>
      </c>
      <c r="P486" s="12">
        <v>40772</v>
      </c>
      <c r="Q486" s="13">
        <f t="shared" ca="1" si="257"/>
        <v>14.099931553730322</v>
      </c>
      <c r="R486" s="14">
        <v>7</v>
      </c>
      <c r="S486" s="15">
        <v>872</v>
      </c>
      <c r="T486" s="8">
        <v>872</v>
      </c>
      <c r="U486" s="16">
        <v>45017</v>
      </c>
      <c r="V486" s="17">
        <v>1</v>
      </c>
      <c r="W486" s="16">
        <v>45382</v>
      </c>
      <c r="X486" s="14">
        <v>192</v>
      </c>
      <c r="Y486" s="18">
        <f t="shared" si="253"/>
        <v>192</v>
      </c>
      <c r="Z486" s="18">
        <f t="shared" si="271"/>
        <v>1</v>
      </c>
      <c r="AA486" s="18" t="s">
        <v>36</v>
      </c>
      <c r="AB486" s="26">
        <v>30</v>
      </c>
      <c r="AC486" s="26"/>
      <c r="AD486" s="26"/>
      <c r="AE486" s="147" t="str">
        <f t="shared" si="251"/>
        <v>0</v>
      </c>
      <c r="AF486" s="147" t="str">
        <f t="shared" si="261"/>
        <v>1</v>
      </c>
      <c r="AG486" s="147" t="str">
        <f t="shared" si="252"/>
        <v>0</v>
      </c>
      <c r="AH486" s="147" t="str">
        <f t="shared" si="262"/>
        <v>NO</v>
      </c>
      <c r="AI486" s="147" t="str">
        <f t="shared" si="263"/>
        <v>NO</v>
      </c>
      <c r="AJ486" s="147" t="str">
        <f t="shared" si="264"/>
        <v>NO</v>
      </c>
      <c r="AK486" s="147" t="str">
        <f t="shared" si="265"/>
        <v>NO</v>
      </c>
      <c r="AL486" s="21"/>
      <c r="AM486" s="21">
        <f t="shared" ref="AM486:AM494" si="272">IF(H486="Y",AL486,((AB486*$O$902)-6000))</f>
        <v>8183.0999999999985</v>
      </c>
      <c r="AN486" s="27" t="s">
        <v>56</v>
      </c>
      <c r="AO486" s="21">
        <v>1</v>
      </c>
      <c r="AP486" s="21">
        <f t="shared" si="258"/>
        <v>1</v>
      </c>
      <c r="AQ486" s="149">
        <f t="shared" si="250"/>
        <v>8183.0999999999985</v>
      </c>
      <c r="AR486" s="21">
        <v>8183.0999999999985</v>
      </c>
      <c r="AS486" s="610">
        <v>8183.0999999999985</v>
      </c>
      <c r="AT486" s="112">
        <v>8183.0999999999985</v>
      </c>
      <c r="AU486" s="4"/>
      <c r="AV486" s="4"/>
      <c r="AW486" s="23" t="e">
        <f>VLOOKUP(K486,#REF!,8,FALSE)</f>
        <v>#REF!</v>
      </c>
      <c r="AX486" s="23" t="e">
        <f>VLOOKUP(K486,#REF!,8,FALSE)</f>
        <v>#REF!</v>
      </c>
      <c r="AY486" s="23" t="e">
        <f>VLOOKUP(K486,#REF!,8,FALSE)</f>
        <v>#REF!</v>
      </c>
      <c r="AZ486" s="4"/>
      <c r="BA486" s="272"/>
      <c r="BB486" s="313">
        <f t="shared" si="268"/>
        <v>0</v>
      </c>
      <c r="BC486" s="269">
        <f t="shared" si="269"/>
        <v>8183.0999999999985</v>
      </c>
      <c r="BD486" t="str">
        <f t="shared" si="270"/>
        <v/>
      </c>
      <c r="BP486" s="166">
        <f t="shared" si="266"/>
        <v>8183.0999999999985</v>
      </c>
      <c r="BS486" s="165"/>
      <c r="BX486" s="495">
        <f t="shared" si="267"/>
        <v>8183.0999999999985</v>
      </c>
      <c r="BZ486" s="636">
        <f t="shared" si="254"/>
        <v>0</v>
      </c>
      <c r="CA486" s="633">
        <f t="shared" si="255"/>
        <v>0</v>
      </c>
    </row>
    <row r="487" spans="1:79" x14ac:dyDescent="0.2">
      <c r="A487" s="4">
        <v>1</v>
      </c>
      <c r="B487" s="4">
        <v>1</v>
      </c>
      <c r="C487" s="5">
        <f t="shared" si="256"/>
        <v>41205</v>
      </c>
      <c r="D487" s="6">
        <v>41205</v>
      </c>
      <c r="E487" s="121">
        <v>43012</v>
      </c>
      <c r="F487" s="6" t="s">
        <v>1606</v>
      </c>
      <c r="G487" s="7" t="s">
        <v>75</v>
      </c>
      <c r="H487" s="7"/>
      <c r="I487" s="7" t="s">
        <v>157</v>
      </c>
      <c r="J487" s="7"/>
      <c r="K487" s="29">
        <v>441332</v>
      </c>
      <c r="L487" s="10" t="s">
        <v>988</v>
      </c>
      <c r="M487" s="10" t="s">
        <v>707</v>
      </c>
      <c r="N487" s="10" t="s">
        <v>1074</v>
      </c>
      <c r="O487" s="11" t="s">
        <v>1075</v>
      </c>
      <c r="P487" s="12">
        <v>40692</v>
      </c>
      <c r="Q487" s="13">
        <f t="shared" ca="1" si="257"/>
        <v>14.318959616700889</v>
      </c>
      <c r="R487" s="14">
        <v>7</v>
      </c>
      <c r="S487" s="15">
        <v>872</v>
      </c>
      <c r="T487" s="8">
        <v>872</v>
      </c>
      <c r="U487" s="16">
        <v>45017</v>
      </c>
      <c r="V487" s="17">
        <v>1</v>
      </c>
      <c r="W487" s="16">
        <v>45382</v>
      </c>
      <c r="X487" s="14">
        <v>192</v>
      </c>
      <c r="Y487" s="18">
        <f t="shared" si="253"/>
        <v>192</v>
      </c>
      <c r="Z487" s="18">
        <f t="shared" si="271"/>
        <v>1</v>
      </c>
      <c r="AA487" s="18" t="s">
        <v>36</v>
      </c>
      <c r="AB487" s="26">
        <v>25</v>
      </c>
      <c r="AC487" s="26"/>
      <c r="AD487" s="26"/>
      <c r="AE487" s="147" t="str">
        <f t="shared" si="251"/>
        <v>1</v>
      </c>
      <c r="AF487" s="147" t="str">
        <f t="shared" si="261"/>
        <v>0</v>
      </c>
      <c r="AG487" s="147" t="str">
        <f t="shared" si="252"/>
        <v>0</v>
      </c>
      <c r="AH487" s="147" t="str">
        <f t="shared" si="262"/>
        <v>NO</v>
      </c>
      <c r="AI487" s="147" t="str">
        <f t="shared" si="263"/>
        <v>NO</v>
      </c>
      <c r="AJ487" s="147" t="str">
        <f t="shared" si="264"/>
        <v>NO</v>
      </c>
      <c r="AK487" s="147" t="str">
        <f t="shared" si="265"/>
        <v>NO</v>
      </c>
      <c r="AL487" s="21"/>
      <c r="AM487" s="21">
        <f t="shared" si="272"/>
        <v>5819.25</v>
      </c>
      <c r="AN487" s="27" t="s">
        <v>37</v>
      </c>
      <c r="AO487" s="21">
        <v>1</v>
      </c>
      <c r="AP487" s="21">
        <f t="shared" si="258"/>
        <v>1</v>
      </c>
      <c r="AQ487" s="149">
        <f t="shared" si="250"/>
        <v>5819.25</v>
      </c>
      <c r="AR487" s="21">
        <v>5819.25</v>
      </c>
      <c r="AS487" s="610">
        <v>8183.0999999999985</v>
      </c>
      <c r="AT487" s="112">
        <v>8183.0999999999985</v>
      </c>
      <c r="AU487" s="4"/>
      <c r="AV487" s="4"/>
      <c r="AW487" s="23" t="e">
        <f>VLOOKUP(K487,#REF!,8,FALSE)</f>
        <v>#REF!</v>
      </c>
      <c r="AX487" s="23" t="e">
        <f>VLOOKUP(K487,#REF!,8,FALSE)</f>
        <v>#REF!</v>
      </c>
      <c r="AY487" s="23" t="e">
        <f>VLOOKUP(K487,#REF!,8,FALSE)</f>
        <v>#REF!</v>
      </c>
      <c r="AZ487" s="4"/>
      <c r="BA487" s="272"/>
      <c r="BB487" s="313">
        <f t="shared" si="268"/>
        <v>-2363.8499999999985</v>
      </c>
      <c r="BC487" s="269">
        <f t="shared" si="269"/>
        <v>5819.25</v>
      </c>
      <c r="BD487" t="str">
        <f t="shared" si="270"/>
        <v/>
      </c>
      <c r="BP487" s="166">
        <f t="shared" si="266"/>
        <v>5819.25</v>
      </c>
      <c r="BS487" s="165"/>
      <c r="BX487" s="495">
        <f t="shared" si="267"/>
        <v>5819.25</v>
      </c>
      <c r="BZ487" s="636">
        <f t="shared" si="254"/>
        <v>0</v>
      </c>
      <c r="CA487" s="633">
        <f t="shared" si="255"/>
        <v>-2363.8499999999985</v>
      </c>
    </row>
    <row r="488" spans="1:79" x14ac:dyDescent="0.2">
      <c r="A488" s="4">
        <v>1</v>
      </c>
      <c r="B488" s="4">
        <v>1</v>
      </c>
      <c r="C488" s="5">
        <f t="shared" si="256"/>
        <v>41205</v>
      </c>
      <c r="D488" s="6">
        <v>41205</v>
      </c>
      <c r="E488" s="121">
        <v>43012</v>
      </c>
      <c r="F488" s="6" t="s">
        <v>1606</v>
      </c>
      <c r="G488" s="7" t="s">
        <v>75</v>
      </c>
      <c r="H488" s="7"/>
      <c r="I488" s="7" t="s">
        <v>157</v>
      </c>
      <c r="J488" s="7"/>
      <c r="K488" s="29">
        <v>414583</v>
      </c>
      <c r="L488" s="10" t="s">
        <v>988</v>
      </c>
      <c r="M488" s="10" t="s">
        <v>1076</v>
      </c>
      <c r="N488" s="10" t="s">
        <v>1077</v>
      </c>
      <c r="O488" s="11" t="s">
        <v>1078</v>
      </c>
      <c r="P488" s="12">
        <v>40583</v>
      </c>
      <c r="Q488" s="13">
        <f t="shared" ca="1" si="257"/>
        <v>14.617385352498289</v>
      </c>
      <c r="R488" s="14">
        <v>7</v>
      </c>
      <c r="S488" s="15">
        <v>872</v>
      </c>
      <c r="T488" s="8">
        <v>872</v>
      </c>
      <c r="U488" s="16">
        <v>45017</v>
      </c>
      <c r="V488" s="17">
        <v>1</v>
      </c>
      <c r="W488" s="16">
        <v>45382</v>
      </c>
      <c r="X488" s="14">
        <v>192</v>
      </c>
      <c r="Y488" s="18">
        <f t="shared" si="253"/>
        <v>192</v>
      </c>
      <c r="Z488" s="18">
        <f t="shared" si="271"/>
        <v>1</v>
      </c>
      <c r="AA488" s="18" t="s">
        <v>36</v>
      </c>
      <c r="AB488" s="26">
        <v>25</v>
      </c>
      <c r="AC488" s="26"/>
      <c r="AD488" s="26"/>
      <c r="AE488" s="147" t="str">
        <f t="shared" si="251"/>
        <v>1</v>
      </c>
      <c r="AF488" s="147" t="str">
        <f t="shared" si="261"/>
        <v>0</v>
      </c>
      <c r="AG488" s="147" t="str">
        <f t="shared" si="252"/>
        <v>0</v>
      </c>
      <c r="AH488" s="147" t="str">
        <f t="shared" si="262"/>
        <v>NO</v>
      </c>
      <c r="AI488" s="147" t="str">
        <f t="shared" si="263"/>
        <v>NO</v>
      </c>
      <c r="AJ488" s="147" t="str">
        <f t="shared" si="264"/>
        <v>NO</v>
      </c>
      <c r="AK488" s="147" t="str">
        <f t="shared" si="265"/>
        <v>NO</v>
      </c>
      <c r="AL488" s="21"/>
      <c r="AM488" s="21">
        <f t="shared" si="272"/>
        <v>5819.25</v>
      </c>
      <c r="AN488" s="27" t="s">
        <v>66</v>
      </c>
      <c r="AO488" s="21">
        <v>1</v>
      </c>
      <c r="AP488" s="21">
        <f t="shared" si="258"/>
        <v>1</v>
      </c>
      <c r="AQ488" s="149">
        <f t="shared" si="250"/>
        <v>5819.25</v>
      </c>
      <c r="AR488" s="21">
        <v>5819.25</v>
      </c>
      <c r="AS488" s="610">
        <v>8183.0999999999985</v>
      </c>
      <c r="AT488" s="112">
        <v>8183.0999999999985</v>
      </c>
      <c r="AU488" s="4"/>
      <c r="AV488" s="4"/>
      <c r="AW488" s="23" t="e">
        <f>VLOOKUP(K488,#REF!,8,FALSE)</f>
        <v>#REF!</v>
      </c>
      <c r="AX488" s="23" t="e">
        <f>VLOOKUP(K488,#REF!,8,FALSE)</f>
        <v>#REF!</v>
      </c>
      <c r="AY488" s="23" t="e">
        <f>VLOOKUP(K488,#REF!,8,FALSE)</f>
        <v>#REF!</v>
      </c>
      <c r="AZ488" s="4"/>
      <c r="BA488" s="272"/>
      <c r="BB488" s="313">
        <f t="shared" si="268"/>
        <v>-2363.8499999999985</v>
      </c>
      <c r="BC488" s="269">
        <f t="shared" si="269"/>
        <v>5819.25</v>
      </c>
      <c r="BD488" t="str">
        <f t="shared" si="270"/>
        <v/>
      </c>
      <c r="BP488" s="166">
        <f t="shared" si="266"/>
        <v>5819.25</v>
      </c>
      <c r="BS488" s="165"/>
      <c r="BX488" s="495">
        <f t="shared" si="267"/>
        <v>5819.25</v>
      </c>
      <c r="BZ488" s="636">
        <f t="shared" si="254"/>
        <v>0</v>
      </c>
      <c r="CA488" s="633">
        <f t="shared" si="255"/>
        <v>-2363.8499999999985</v>
      </c>
    </row>
    <row r="489" spans="1:79" x14ac:dyDescent="0.2">
      <c r="A489" s="4">
        <v>1</v>
      </c>
      <c r="B489" s="4">
        <v>1</v>
      </c>
      <c r="C489" s="5">
        <f t="shared" si="256"/>
        <v>41205</v>
      </c>
      <c r="D489" s="6">
        <v>41205</v>
      </c>
      <c r="E489" s="121">
        <v>43012</v>
      </c>
      <c r="F489" s="6" t="s">
        <v>1606</v>
      </c>
      <c r="G489" s="7" t="s">
        <v>75</v>
      </c>
      <c r="H489" s="7"/>
      <c r="I489" s="7" t="s">
        <v>157</v>
      </c>
      <c r="J489" s="7"/>
      <c r="K489" s="29">
        <v>377269</v>
      </c>
      <c r="L489" s="10" t="s">
        <v>988</v>
      </c>
      <c r="M489" s="10" t="s">
        <v>1079</v>
      </c>
      <c r="N489" s="10" t="s">
        <v>1080</v>
      </c>
      <c r="O489" s="11" t="s">
        <v>1081</v>
      </c>
      <c r="P489" s="12">
        <v>39548</v>
      </c>
      <c r="Q489" s="13">
        <f t="shared" ca="1" si="257"/>
        <v>17.451060917180012</v>
      </c>
      <c r="R489" s="14">
        <v>10</v>
      </c>
      <c r="S489" s="15">
        <v>872</v>
      </c>
      <c r="T489" s="8">
        <v>872</v>
      </c>
      <c r="U489" s="16">
        <v>45017</v>
      </c>
      <c r="V489" s="17">
        <v>1</v>
      </c>
      <c r="W489" s="16">
        <v>45382</v>
      </c>
      <c r="X489" s="14">
        <v>192</v>
      </c>
      <c r="Y489" s="18">
        <f t="shared" si="253"/>
        <v>192</v>
      </c>
      <c r="Z489" s="18">
        <f t="shared" si="271"/>
        <v>1</v>
      </c>
      <c r="AA489" s="18" t="s">
        <v>36</v>
      </c>
      <c r="AB489" s="26">
        <v>27</v>
      </c>
      <c r="AC489" s="26"/>
      <c r="AD489" s="26"/>
      <c r="AE489" s="147" t="str">
        <f t="shared" si="251"/>
        <v>0</v>
      </c>
      <c r="AF489" s="147" t="str">
        <f t="shared" si="261"/>
        <v>1</v>
      </c>
      <c r="AG489" s="147" t="str">
        <f t="shared" si="252"/>
        <v>0</v>
      </c>
      <c r="AH489" s="147" t="str">
        <f t="shared" si="262"/>
        <v>NO</v>
      </c>
      <c r="AI489" s="147" t="str">
        <f t="shared" si="263"/>
        <v>NO</v>
      </c>
      <c r="AJ489" s="147" t="str">
        <f t="shared" si="264"/>
        <v>NO</v>
      </c>
      <c r="AK489" s="147" t="str">
        <f t="shared" si="265"/>
        <v>NO</v>
      </c>
      <c r="AL489" s="21"/>
      <c r="AM489" s="21">
        <f t="shared" si="272"/>
        <v>6764.7899999999991</v>
      </c>
      <c r="AN489" s="27" t="s">
        <v>56</v>
      </c>
      <c r="AO489" s="21">
        <v>1</v>
      </c>
      <c r="AP489" s="21">
        <f t="shared" si="258"/>
        <v>1</v>
      </c>
      <c r="AQ489" s="149">
        <f t="shared" si="250"/>
        <v>6764.7899999999991</v>
      </c>
      <c r="AR489" s="21">
        <v>6764.7899999999991</v>
      </c>
      <c r="AS489" s="610">
        <v>6764.7899999999991</v>
      </c>
      <c r="AT489" s="112">
        <v>6764.7899999999991</v>
      </c>
      <c r="AU489" s="4"/>
      <c r="AV489" s="4"/>
      <c r="AW489" s="23" t="e">
        <f>VLOOKUP(K489,#REF!,8,FALSE)</f>
        <v>#REF!</v>
      </c>
      <c r="AX489" s="23" t="e">
        <f>VLOOKUP(K489,#REF!,8,FALSE)</f>
        <v>#REF!</v>
      </c>
      <c r="AY489" s="23" t="e">
        <f>VLOOKUP(K489,#REF!,8,FALSE)</f>
        <v>#REF!</v>
      </c>
      <c r="AZ489" s="4"/>
      <c r="BA489" s="272"/>
      <c r="BB489" s="313">
        <f t="shared" si="268"/>
        <v>0</v>
      </c>
      <c r="BC489" s="269">
        <f t="shared" si="269"/>
        <v>6764.7899999999991</v>
      </c>
      <c r="BD489" t="str">
        <f t="shared" si="270"/>
        <v/>
      </c>
      <c r="BP489" s="166">
        <f t="shared" si="266"/>
        <v>6764.7899999999991</v>
      </c>
      <c r="BS489" s="165"/>
      <c r="BX489" s="495">
        <f t="shared" si="267"/>
        <v>6764.7899999999991</v>
      </c>
      <c r="BZ489" s="636">
        <f t="shared" si="254"/>
        <v>0</v>
      </c>
      <c r="CA489" s="633">
        <f t="shared" si="255"/>
        <v>0</v>
      </c>
    </row>
    <row r="490" spans="1:79" x14ac:dyDescent="0.2">
      <c r="A490" s="4">
        <v>1</v>
      </c>
      <c r="B490" s="4">
        <v>1</v>
      </c>
      <c r="C490" s="5">
        <f t="shared" si="256"/>
        <v>41205</v>
      </c>
      <c r="D490" s="6">
        <v>41205</v>
      </c>
      <c r="E490" s="121">
        <v>43012</v>
      </c>
      <c r="F490" s="6" t="s">
        <v>1606</v>
      </c>
      <c r="G490" s="7" t="s">
        <v>75</v>
      </c>
      <c r="H490" s="7"/>
      <c r="I490" s="7" t="s">
        <v>157</v>
      </c>
      <c r="J490" s="7"/>
      <c r="K490" s="29">
        <v>392384</v>
      </c>
      <c r="L490" s="10" t="s">
        <v>988</v>
      </c>
      <c r="M490" s="10" t="s">
        <v>808</v>
      </c>
      <c r="N490" s="10" t="s">
        <v>1082</v>
      </c>
      <c r="O490" s="11" t="s">
        <v>1083</v>
      </c>
      <c r="P490" s="12">
        <v>40441</v>
      </c>
      <c r="Q490" s="13">
        <f t="shared" ca="1" si="257"/>
        <v>15.006160164271048</v>
      </c>
      <c r="R490" s="14">
        <v>7</v>
      </c>
      <c r="S490" s="15">
        <v>872</v>
      </c>
      <c r="T490" s="8">
        <v>872</v>
      </c>
      <c r="U490" s="16">
        <v>45017</v>
      </c>
      <c r="V490" s="17">
        <v>1</v>
      </c>
      <c r="W490" s="16">
        <v>45382</v>
      </c>
      <c r="X490" s="14">
        <v>192</v>
      </c>
      <c r="Y490" s="18">
        <f t="shared" si="253"/>
        <v>192</v>
      </c>
      <c r="Z490" s="18">
        <f t="shared" si="271"/>
        <v>1</v>
      </c>
      <c r="AA490" s="18" t="s">
        <v>36</v>
      </c>
      <c r="AB490" s="26">
        <v>28</v>
      </c>
      <c r="AC490" s="26"/>
      <c r="AD490" s="26"/>
      <c r="AE490" s="147" t="str">
        <f t="shared" si="251"/>
        <v>0</v>
      </c>
      <c r="AF490" s="147" t="str">
        <f t="shared" si="261"/>
        <v>1</v>
      </c>
      <c r="AG490" s="147" t="str">
        <f t="shared" si="252"/>
        <v>0</v>
      </c>
      <c r="AH490" s="147" t="str">
        <f t="shared" si="262"/>
        <v>NO</v>
      </c>
      <c r="AI490" s="147" t="str">
        <f t="shared" si="263"/>
        <v>NO</v>
      </c>
      <c r="AJ490" s="147" t="str">
        <f t="shared" si="264"/>
        <v>NO</v>
      </c>
      <c r="AK490" s="147" t="str">
        <f t="shared" si="265"/>
        <v>NO</v>
      </c>
      <c r="AL490" s="21"/>
      <c r="AM490" s="21">
        <f t="shared" si="272"/>
        <v>7237.5599999999995</v>
      </c>
      <c r="AN490" s="27" t="s">
        <v>56</v>
      </c>
      <c r="AO490" s="21">
        <v>1</v>
      </c>
      <c r="AP490" s="21">
        <f t="shared" si="258"/>
        <v>1</v>
      </c>
      <c r="AQ490" s="149">
        <f t="shared" si="250"/>
        <v>7237.5599999999995</v>
      </c>
      <c r="AR490" s="21">
        <v>7237.5599999999995</v>
      </c>
      <c r="AS490" s="610">
        <v>7237.5599999999995</v>
      </c>
      <c r="AT490" s="112">
        <v>7237.5599999999995</v>
      </c>
      <c r="AU490" s="4"/>
      <c r="AV490" s="4"/>
      <c r="AW490" s="23" t="e">
        <f>VLOOKUP(K490,#REF!,8,FALSE)</f>
        <v>#REF!</v>
      </c>
      <c r="AX490" s="23" t="e">
        <f>VLOOKUP(K490,#REF!,8,FALSE)</f>
        <v>#REF!</v>
      </c>
      <c r="AY490" s="23" t="e">
        <f>VLOOKUP(K490,#REF!,8,FALSE)</f>
        <v>#REF!</v>
      </c>
      <c r="AZ490" s="4"/>
      <c r="BA490" s="272"/>
      <c r="BB490" s="313">
        <f t="shared" si="268"/>
        <v>0</v>
      </c>
      <c r="BC490" s="269">
        <f t="shared" si="269"/>
        <v>7237.5599999999995</v>
      </c>
      <c r="BD490" t="str">
        <f t="shared" si="270"/>
        <v/>
      </c>
      <c r="BP490" s="166">
        <f t="shared" si="266"/>
        <v>7237.5599999999995</v>
      </c>
      <c r="BS490" s="165"/>
      <c r="BX490" s="495">
        <f t="shared" si="267"/>
        <v>7237.5599999999995</v>
      </c>
      <c r="BZ490" s="636">
        <f t="shared" si="254"/>
        <v>0</v>
      </c>
      <c r="CA490" s="633">
        <f t="shared" si="255"/>
        <v>0</v>
      </c>
    </row>
    <row r="491" spans="1:79" x14ac:dyDescent="0.2">
      <c r="A491" s="4">
        <v>1</v>
      </c>
      <c r="B491" s="4">
        <v>1</v>
      </c>
      <c r="C491" s="5">
        <f t="shared" si="256"/>
        <v>41205</v>
      </c>
      <c r="D491" s="6">
        <v>41205</v>
      </c>
      <c r="E491" s="121">
        <v>43012</v>
      </c>
      <c r="F491" s="6" t="s">
        <v>1606</v>
      </c>
      <c r="G491" s="7" t="s">
        <v>75</v>
      </c>
      <c r="H491" s="7"/>
      <c r="I491" s="7" t="s">
        <v>157</v>
      </c>
      <c r="J491" s="7"/>
      <c r="K491" s="29">
        <v>387526</v>
      </c>
      <c r="L491" s="10" t="s">
        <v>988</v>
      </c>
      <c r="M491" s="10" t="s">
        <v>1084</v>
      </c>
      <c r="N491" s="10" t="s">
        <v>501</v>
      </c>
      <c r="O491" s="11" t="s">
        <v>1085</v>
      </c>
      <c r="P491" s="12">
        <v>40300</v>
      </c>
      <c r="Q491" s="13">
        <f t="shared" ca="1" si="257"/>
        <v>15.392197125256674</v>
      </c>
      <c r="R491" s="14">
        <v>8</v>
      </c>
      <c r="S491" s="15">
        <v>872</v>
      </c>
      <c r="T491" s="8">
        <v>872</v>
      </c>
      <c r="U491" s="16">
        <v>45017</v>
      </c>
      <c r="V491" s="17">
        <v>1</v>
      </c>
      <c r="W491" s="16">
        <v>45382</v>
      </c>
      <c r="X491" s="14">
        <v>192</v>
      </c>
      <c r="Y491" s="18">
        <f t="shared" si="253"/>
        <v>192</v>
      </c>
      <c r="Z491" s="18">
        <f t="shared" si="271"/>
        <v>1</v>
      </c>
      <c r="AA491" s="18" t="s">
        <v>36</v>
      </c>
      <c r="AB491" s="26">
        <v>25</v>
      </c>
      <c r="AC491" s="26"/>
      <c r="AD491" s="26"/>
      <c r="AE491" s="147" t="str">
        <f t="shared" si="251"/>
        <v>1</v>
      </c>
      <c r="AF491" s="147" t="str">
        <f t="shared" si="261"/>
        <v>0</v>
      </c>
      <c r="AG491" s="147" t="str">
        <f t="shared" si="252"/>
        <v>0</v>
      </c>
      <c r="AH491" s="147" t="str">
        <f t="shared" si="262"/>
        <v>NO</v>
      </c>
      <c r="AI491" s="147" t="str">
        <f t="shared" si="263"/>
        <v>NO</v>
      </c>
      <c r="AJ491" s="147" t="str">
        <f t="shared" si="264"/>
        <v>NO</v>
      </c>
      <c r="AK491" s="147" t="str">
        <f t="shared" si="265"/>
        <v>NO</v>
      </c>
      <c r="AL491" s="21"/>
      <c r="AM491" s="21">
        <f t="shared" si="272"/>
        <v>5819.25</v>
      </c>
      <c r="AN491" s="27" t="s">
        <v>43</v>
      </c>
      <c r="AO491" s="21">
        <v>1</v>
      </c>
      <c r="AP491" s="21">
        <f t="shared" ref="AP491:AP522" si="273">AO491*Z491</f>
        <v>1</v>
      </c>
      <c r="AQ491" s="149">
        <f t="shared" si="250"/>
        <v>5819.25</v>
      </c>
      <c r="AR491" s="21">
        <v>5819.25</v>
      </c>
      <c r="AS491" s="610">
        <v>5819.25</v>
      </c>
      <c r="AT491" s="112">
        <v>5819.25</v>
      </c>
      <c r="AU491" s="4"/>
      <c r="AV491" s="4"/>
      <c r="AW491" s="23" t="e">
        <f>VLOOKUP(K491,#REF!,8,FALSE)</f>
        <v>#REF!</v>
      </c>
      <c r="AX491" s="23" t="e">
        <f>VLOOKUP(K491,#REF!,8,FALSE)</f>
        <v>#REF!</v>
      </c>
      <c r="AY491" s="23" t="e">
        <f>VLOOKUP(K491,#REF!,8,FALSE)</f>
        <v>#REF!</v>
      </c>
      <c r="AZ491" s="4"/>
      <c r="BA491" s="272"/>
      <c r="BB491" s="313">
        <f t="shared" si="268"/>
        <v>0</v>
      </c>
      <c r="BC491" s="269">
        <f t="shared" si="269"/>
        <v>5819.25</v>
      </c>
      <c r="BD491" t="str">
        <f t="shared" si="270"/>
        <v/>
      </c>
      <c r="BP491" s="166">
        <f t="shared" si="266"/>
        <v>5819.25</v>
      </c>
      <c r="BS491" s="165"/>
      <c r="BX491" s="495">
        <f t="shared" si="267"/>
        <v>5819.25</v>
      </c>
      <c r="BZ491" s="636">
        <f t="shared" si="254"/>
        <v>0</v>
      </c>
      <c r="CA491" s="633">
        <f t="shared" si="255"/>
        <v>0</v>
      </c>
    </row>
    <row r="492" spans="1:79" x14ac:dyDescent="0.2">
      <c r="A492" s="4">
        <v>1</v>
      </c>
      <c r="B492" s="4">
        <v>1</v>
      </c>
      <c r="C492" s="5">
        <f t="shared" si="256"/>
        <v>41205</v>
      </c>
      <c r="D492" s="6">
        <v>41205</v>
      </c>
      <c r="E492" s="121">
        <v>43012</v>
      </c>
      <c r="F492" s="6" t="s">
        <v>1606</v>
      </c>
      <c r="G492" s="7" t="s">
        <v>75</v>
      </c>
      <c r="H492" s="7"/>
      <c r="I492" s="7" t="s">
        <v>157</v>
      </c>
      <c r="J492" s="7"/>
      <c r="K492" s="29">
        <v>376618</v>
      </c>
      <c r="L492" s="10" t="s">
        <v>988</v>
      </c>
      <c r="M492" s="10" t="s">
        <v>1086</v>
      </c>
      <c r="N492" s="10" t="s">
        <v>1087</v>
      </c>
      <c r="O492" s="11" t="s">
        <v>1088</v>
      </c>
      <c r="P492" s="12">
        <v>39758</v>
      </c>
      <c r="Q492" s="13">
        <f t="shared" ca="1" si="257"/>
        <v>16.876112251882272</v>
      </c>
      <c r="R492" s="14">
        <v>8</v>
      </c>
      <c r="S492" s="15">
        <v>872</v>
      </c>
      <c r="T492" s="8">
        <v>872</v>
      </c>
      <c r="U492" s="16">
        <v>45017</v>
      </c>
      <c r="V492" s="17">
        <v>1</v>
      </c>
      <c r="W492" s="16">
        <v>45382</v>
      </c>
      <c r="X492" s="14">
        <v>192</v>
      </c>
      <c r="Y492" s="18">
        <f t="shared" si="253"/>
        <v>192</v>
      </c>
      <c r="Z492" s="18">
        <f t="shared" si="271"/>
        <v>1</v>
      </c>
      <c r="AA492" s="18" t="s">
        <v>36</v>
      </c>
      <c r="AB492" s="26">
        <v>30</v>
      </c>
      <c r="AC492" s="26"/>
      <c r="AD492" s="26"/>
      <c r="AE492" s="147" t="str">
        <f t="shared" si="251"/>
        <v>0</v>
      </c>
      <c r="AF492" s="147" t="str">
        <f t="shared" si="261"/>
        <v>1</v>
      </c>
      <c r="AG492" s="147" t="str">
        <f t="shared" si="252"/>
        <v>0</v>
      </c>
      <c r="AH492" s="147" t="str">
        <f t="shared" si="262"/>
        <v>NO</v>
      </c>
      <c r="AI492" s="147" t="str">
        <f t="shared" si="263"/>
        <v>NO</v>
      </c>
      <c r="AJ492" s="147" t="str">
        <f t="shared" si="264"/>
        <v>NO</v>
      </c>
      <c r="AK492" s="147" t="str">
        <f t="shared" si="265"/>
        <v>NO</v>
      </c>
      <c r="AL492" s="21"/>
      <c r="AM492" s="21">
        <f t="shared" si="272"/>
        <v>8183.0999999999985</v>
      </c>
      <c r="AN492" s="27" t="s">
        <v>254</v>
      </c>
      <c r="AO492" s="21">
        <v>1</v>
      </c>
      <c r="AP492" s="21">
        <f t="shared" si="273"/>
        <v>1</v>
      </c>
      <c r="AQ492" s="149">
        <f t="shared" si="250"/>
        <v>8183.0999999999985</v>
      </c>
      <c r="AR492" s="21">
        <v>8183.0999999999985</v>
      </c>
      <c r="AS492" s="610">
        <v>6671.4</v>
      </c>
      <c r="AT492" s="112">
        <v>8183.0999999999985</v>
      </c>
      <c r="AU492" s="4"/>
      <c r="AV492" s="4"/>
      <c r="AW492" s="23" t="e">
        <f>VLOOKUP(K492,#REF!,8,FALSE)</f>
        <v>#REF!</v>
      </c>
      <c r="AX492" s="23" t="e">
        <f>VLOOKUP(K492,#REF!,8,FALSE)</f>
        <v>#REF!</v>
      </c>
      <c r="AY492" s="23" t="e">
        <f>VLOOKUP(K492,#REF!,8,FALSE)</f>
        <v>#REF!</v>
      </c>
      <c r="AZ492" s="4"/>
      <c r="BA492" s="272"/>
      <c r="BB492" s="313">
        <f t="shared" si="268"/>
        <v>0</v>
      </c>
      <c r="BC492" s="269">
        <f t="shared" si="269"/>
        <v>8183.0999999999985</v>
      </c>
      <c r="BD492" t="str">
        <f t="shared" si="270"/>
        <v/>
      </c>
      <c r="BP492" s="166">
        <f t="shared" si="266"/>
        <v>8183.0999999999985</v>
      </c>
      <c r="BS492" s="165"/>
      <c r="BX492" s="495">
        <f t="shared" si="267"/>
        <v>8183.0999999999985</v>
      </c>
      <c r="BZ492" s="636">
        <f t="shared" si="254"/>
        <v>0</v>
      </c>
      <c r="CA492" s="633">
        <f t="shared" si="255"/>
        <v>1511.6999999999989</v>
      </c>
    </row>
    <row r="493" spans="1:79" x14ac:dyDescent="0.2">
      <c r="A493" s="4">
        <v>1</v>
      </c>
      <c r="B493" s="4">
        <v>1</v>
      </c>
      <c r="C493" s="5">
        <f t="shared" si="256"/>
        <v>41205</v>
      </c>
      <c r="D493" s="6">
        <v>41205</v>
      </c>
      <c r="E493" s="121">
        <v>43012</v>
      </c>
      <c r="F493" s="6" t="s">
        <v>1606</v>
      </c>
      <c r="G493" s="7" t="s">
        <v>75</v>
      </c>
      <c r="H493" s="7"/>
      <c r="I493" s="7" t="s">
        <v>157</v>
      </c>
      <c r="J493" s="7"/>
      <c r="K493" s="29">
        <v>425597</v>
      </c>
      <c r="L493" s="10" t="s">
        <v>988</v>
      </c>
      <c r="M493" s="10" t="s">
        <v>1089</v>
      </c>
      <c r="N493" s="10" t="s">
        <v>1090</v>
      </c>
      <c r="O493" s="11" t="s">
        <v>1091</v>
      </c>
      <c r="P493" s="12">
        <v>38962</v>
      </c>
      <c r="Q493" s="13">
        <f t="shared" ca="1" si="257"/>
        <v>19.055441478439427</v>
      </c>
      <c r="R493" s="14">
        <v>10</v>
      </c>
      <c r="S493" s="15">
        <v>872</v>
      </c>
      <c r="T493" s="8">
        <v>872</v>
      </c>
      <c r="U493" s="16">
        <v>45017</v>
      </c>
      <c r="V493" s="17">
        <v>1</v>
      </c>
      <c r="W493" s="16">
        <v>45382</v>
      </c>
      <c r="X493" s="14">
        <v>192</v>
      </c>
      <c r="Y493" s="18">
        <f t="shared" si="253"/>
        <v>192</v>
      </c>
      <c r="Z493" s="18">
        <f t="shared" si="271"/>
        <v>1</v>
      </c>
      <c r="AA493" s="18" t="s">
        <v>36</v>
      </c>
      <c r="AB493" s="26">
        <v>28</v>
      </c>
      <c r="AC493" s="26"/>
      <c r="AD493" s="26"/>
      <c r="AE493" s="147" t="str">
        <f t="shared" si="251"/>
        <v>0</v>
      </c>
      <c r="AF493" s="147" t="str">
        <f t="shared" si="261"/>
        <v>1</v>
      </c>
      <c r="AG493" s="147" t="str">
        <f t="shared" si="252"/>
        <v>0</v>
      </c>
      <c r="AH493" s="147" t="str">
        <f t="shared" si="262"/>
        <v>NO</v>
      </c>
      <c r="AI493" s="147" t="str">
        <f t="shared" si="263"/>
        <v>NO</v>
      </c>
      <c r="AJ493" s="147" t="str">
        <f t="shared" si="264"/>
        <v>NO</v>
      </c>
      <c r="AK493" s="147" t="str">
        <f t="shared" si="265"/>
        <v>NO</v>
      </c>
      <c r="AL493" s="21"/>
      <c r="AM493" s="21">
        <f t="shared" si="272"/>
        <v>7237.5599999999995</v>
      </c>
      <c r="AN493" s="27" t="s">
        <v>43</v>
      </c>
      <c r="AO493" s="21">
        <v>1</v>
      </c>
      <c r="AP493" s="21">
        <f t="shared" si="273"/>
        <v>1</v>
      </c>
      <c r="AQ493" s="149">
        <f t="shared" si="250"/>
        <v>7237.5599999999995</v>
      </c>
      <c r="AR493" s="21">
        <v>7237.5599999999995</v>
      </c>
      <c r="AS493" s="610">
        <v>8183.0999999999985</v>
      </c>
      <c r="AT493" s="112">
        <v>8183.0999999999985</v>
      </c>
      <c r="AU493" s="4"/>
      <c r="AV493" s="4"/>
      <c r="AW493" s="23" t="e">
        <f>VLOOKUP(K493,#REF!,8,FALSE)</f>
        <v>#REF!</v>
      </c>
      <c r="AX493" s="23" t="e">
        <f>VLOOKUP(K493,#REF!,8,FALSE)</f>
        <v>#REF!</v>
      </c>
      <c r="AY493" s="23" t="e">
        <f>VLOOKUP(K493,#REF!,8,FALSE)</f>
        <v>#REF!</v>
      </c>
      <c r="AZ493" s="4"/>
      <c r="BA493" s="272"/>
      <c r="BB493" s="313">
        <f t="shared" si="268"/>
        <v>-945.53999999999905</v>
      </c>
      <c r="BC493" s="269">
        <f t="shared" si="269"/>
        <v>7237.5599999999995</v>
      </c>
      <c r="BD493" t="str">
        <f t="shared" si="270"/>
        <v/>
      </c>
      <c r="BP493" s="166">
        <f t="shared" si="266"/>
        <v>7237.5599999999995</v>
      </c>
      <c r="BS493" s="165"/>
      <c r="BX493" s="495">
        <f t="shared" si="267"/>
        <v>7237.5599999999995</v>
      </c>
      <c r="BZ493" s="636">
        <f t="shared" si="254"/>
        <v>0</v>
      </c>
      <c r="CA493" s="633">
        <f t="shared" si="255"/>
        <v>-945.53999999999905</v>
      </c>
    </row>
    <row r="494" spans="1:79" x14ac:dyDescent="0.2">
      <c r="A494" s="4">
        <v>1</v>
      </c>
      <c r="B494" s="4">
        <v>1</v>
      </c>
      <c r="C494" s="5">
        <f t="shared" si="256"/>
        <v>41205</v>
      </c>
      <c r="D494" s="6">
        <v>41205</v>
      </c>
      <c r="E494" s="121">
        <v>43012</v>
      </c>
      <c r="F494" s="6" t="s">
        <v>1606</v>
      </c>
      <c r="G494" s="7" t="s">
        <v>75</v>
      </c>
      <c r="H494" s="7"/>
      <c r="I494" s="7" t="s">
        <v>157</v>
      </c>
      <c r="J494" s="7"/>
      <c r="K494" s="29">
        <v>389560</v>
      </c>
      <c r="L494" s="10" t="s">
        <v>988</v>
      </c>
      <c r="M494" s="10" t="s">
        <v>271</v>
      </c>
      <c r="N494" s="10" t="s">
        <v>1092</v>
      </c>
      <c r="O494" s="11" t="s">
        <v>1093</v>
      </c>
      <c r="P494" s="12">
        <v>40388</v>
      </c>
      <c r="Q494" s="13">
        <f t="shared" ca="1" si="257"/>
        <v>15.151266255989048</v>
      </c>
      <c r="R494" s="14">
        <v>8</v>
      </c>
      <c r="S494" s="15">
        <v>872</v>
      </c>
      <c r="T494" s="8">
        <v>872</v>
      </c>
      <c r="U494" s="16">
        <v>45017</v>
      </c>
      <c r="V494" s="17">
        <v>1</v>
      </c>
      <c r="W494" s="16">
        <v>45382</v>
      </c>
      <c r="X494" s="14">
        <v>192</v>
      </c>
      <c r="Y494" s="18">
        <f t="shared" si="253"/>
        <v>192</v>
      </c>
      <c r="Z494" s="18">
        <f t="shared" si="271"/>
        <v>1</v>
      </c>
      <c r="AA494" s="18" t="s">
        <v>36</v>
      </c>
      <c r="AB494" s="26">
        <v>25</v>
      </c>
      <c r="AC494" s="26"/>
      <c r="AD494" s="26"/>
      <c r="AE494" s="147" t="str">
        <f t="shared" si="251"/>
        <v>1</v>
      </c>
      <c r="AF494" s="147" t="str">
        <f t="shared" si="261"/>
        <v>0</v>
      </c>
      <c r="AG494" s="147" t="str">
        <f t="shared" si="252"/>
        <v>0</v>
      </c>
      <c r="AH494" s="147" t="str">
        <f t="shared" si="262"/>
        <v>NO</v>
      </c>
      <c r="AI494" s="147" t="str">
        <f t="shared" si="263"/>
        <v>NO</v>
      </c>
      <c r="AJ494" s="147" t="str">
        <f t="shared" si="264"/>
        <v>NO</v>
      </c>
      <c r="AK494" s="147" t="str">
        <f t="shared" si="265"/>
        <v>NO</v>
      </c>
      <c r="AL494" s="21"/>
      <c r="AM494" s="21">
        <f t="shared" si="272"/>
        <v>5819.25</v>
      </c>
      <c r="AN494" s="27" t="s">
        <v>66</v>
      </c>
      <c r="AO494" s="21">
        <v>1</v>
      </c>
      <c r="AP494" s="21">
        <f t="shared" si="273"/>
        <v>1</v>
      </c>
      <c r="AQ494" s="149">
        <f t="shared" si="250"/>
        <v>5819.25</v>
      </c>
      <c r="AR494" s="21">
        <v>5819.25</v>
      </c>
      <c r="AS494" s="610">
        <v>5819.25</v>
      </c>
      <c r="AT494" s="112">
        <v>5819.25</v>
      </c>
      <c r="AU494" s="4"/>
      <c r="AV494" s="4"/>
      <c r="AW494" s="23" t="e">
        <f>VLOOKUP(K494,#REF!,8,FALSE)</f>
        <v>#REF!</v>
      </c>
      <c r="AX494" s="23" t="e">
        <f>VLOOKUP(K494,#REF!,8,FALSE)</f>
        <v>#REF!</v>
      </c>
      <c r="AY494" s="23" t="e">
        <f>VLOOKUP(K494,#REF!,8,FALSE)</f>
        <v>#REF!</v>
      </c>
      <c r="AZ494" s="4"/>
      <c r="BA494" s="272"/>
      <c r="BB494" s="313">
        <f t="shared" si="268"/>
        <v>0</v>
      </c>
      <c r="BC494" s="269">
        <f t="shared" si="269"/>
        <v>5819.25</v>
      </c>
      <c r="BD494" t="str">
        <f t="shared" si="270"/>
        <v/>
      </c>
      <c r="BP494" s="166">
        <f t="shared" si="266"/>
        <v>5819.25</v>
      </c>
      <c r="BS494" s="165"/>
      <c r="BX494" s="495">
        <f t="shared" si="267"/>
        <v>5819.25</v>
      </c>
      <c r="BZ494" s="636">
        <f t="shared" si="254"/>
        <v>0</v>
      </c>
      <c r="CA494" s="633">
        <f t="shared" si="255"/>
        <v>0</v>
      </c>
    </row>
    <row r="495" spans="1:79" x14ac:dyDescent="0.2">
      <c r="A495" s="4">
        <v>1</v>
      </c>
      <c r="B495" s="4">
        <v>1</v>
      </c>
      <c r="C495" s="5">
        <f t="shared" si="256"/>
        <v>41205</v>
      </c>
      <c r="D495" s="6">
        <v>41205</v>
      </c>
      <c r="E495" s="121">
        <v>43012</v>
      </c>
      <c r="F495" s="6" t="s">
        <v>1606</v>
      </c>
      <c r="G495" s="7" t="s">
        <v>75</v>
      </c>
      <c r="H495" s="7"/>
      <c r="I495" s="7" t="s">
        <v>157</v>
      </c>
      <c r="J495" s="7"/>
      <c r="K495" s="29">
        <v>392704</v>
      </c>
      <c r="L495" s="10" t="s">
        <v>988</v>
      </c>
      <c r="M495" s="10" t="s">
        <v>1094</v>
      </c>
      <c r="N495" s="10" t="s">
        <v>1095</v>
      </c>
      <c r="O495" s="11" t="s">
        <v>1096</v>
      </c>
      <c r="P495" s="12">
        <v>40666</v>
      </c>
      <c r="Q495" s="13">
        <f t="shared" ca="1" si="257"/>
        <v>14.390143737166325</v>
      </c>
      <c r="R495" s="14">
        <v>7</v>
      </c>
      <c r="S495" s="15">
        <v>872</v>
      </c>
      <c r="T495" s="8">
        <v>872</v>
      </c>
      <c r="U495" s="16">
        <v>45017</v>
      </c>
      <c r="V495" s="17">
        <v>1</v>
      </c>
      <c r="W495" s="16">
        <v>45382</v>
      </c>
      <c r="X495" s="14">
        <v>192</v>
      </c>
      <c r="Y495" s="18">
        <f t="shared" si="253"/>
        <v>192</v>
      </c>
      <c r="Z495" s="18">
        <f t="shared" si="271"/>
        <v>1</v>
      </c>
      <c r="AA495" s="18" t="s">
        <v>36</v>
      </c>
      <c r="AB495" s="26">
        <v>7305</v>
      </c>
      <c r="AC495" s="26"/>
      <c r="AD495" s="26"/>
      <c r="AE495" s="147" t="str">
        <f t="shared" si="251"/>
        <v>0</v>
      </c>
      <c r="AF495" s="147" t="str">
        <f t="shared" si="261"/>
        <v>0</v>
      </c>
      <c r="AG495" s="147" t="str">
        <f t="shared" si="252"/>
        <v>1</v>
      </c>
      <c r="AH495" s="147" t="str">
        <f t="shared" si="262"/>
        <v>NO</v>
      </c>
      <c r="AI495" s="147" t="str">
        <f t="shared" si="263"/>
        <v>NO</v>
      </c>
      <c r="AJ495" s="147" t="str">
        <f t="shared" si="264"/>
        <v>NO</v>
      </c>
      <c r="AK495" s="147" t="str">
        <f t="shared" si="265"/>
        <v>NO</v>
      </c>
      <c r="AL495" s="21"/>
      <c r="AM495" s="21">
        <v>7305</v>
      </c>
      <c r="AN495" s="27" t="s">
        <v>37</v>
      </c>
      <c r="AO495" s="21">
        <v>1</v>
      </c>
      <c r="AP495" s="21">
        <f t="shared" si="273"/>
        <v>1</v>
      </c>
      <c r="AQ495" s="149">
        <f t="shared" si="250"/>
        <v>7305</v>
      </c>
      <c r="AR495" s="21">
        <v>7305</v>
      </c>
      <c r="AS495" s="610">
        <v>7305</v>
      </c>
      <c r="AT495" s="112">
        <v>7305</v>
      </c>
      <c r="AU495" s="4"/>
      <c r="AV495" s="4"/>
      <c r="AW495" s="23" t="e">
        <f>VLOOKUP(K495,#REF!,8,FALSE)</f>
        <v>#REF!</v>
      </c>
      <c r="AX495" s="23" t="e">
        <f>VLOOKUP(K495,#REF!,8,FALSE)</f>
        <v>#REF!</v>
      </c>
      <c r="AY495" s="23" t="e">
        <f>VLOOKUP(K495,#REF!,8,FALSE)</f>
        <v>#REF!</v>
      </c>
      <c r="AZ495" s="4"/>
      <c r="BA495" s="272"/>
      <c r="BB495" s="313">
        <f t="shared" si="268"/>
        <v>0</v>
      </c>
      <c r="BC495" s="269">
        <f t="shared" si="269"/>
        <v>7305</v>
      </c>
      <c r="BD495" t="str">
        <f t="shared" si="270"/>
        <v/>
      </c>
      <c r="BP495" s="166">
        <f t="shared" si="266"/>
        <v>7305</v>
      </c>
      <c r="BS495" s="165"/>
      <c r="BX495" s="495">
        <f t="shared" si="267"/>
        <v>7305</v>
      </c>
      <c r="BZ495" s="636">
        <f t="shared" si="254"/>
        <v>0</v>
      </c>
      <c r="CA495" s="633">
        <f t="shared" si="255"/>
        <v>0</v>
      </c>
    </row>
    <row r="496" spans="1:79" x14ac:dyDescent="0.2">
      <c r="A496" s="4">
        <v>1</v>
      </c>
      <c r="B496" s="4">
        <v>1</v>
      </c>
      <c r="C496" s="5">
        <f t="shared" si="256"/>
        <v>41205</v>
      </c>
      <c r="D496" s="6">
        <v>41205</v>
      </c>
      <c r="E496" s="121">
        <v>43012</v>
      </c>
      <c r="F496" s="6" t="s">
        <v>1606</v>
      </c>
      <c r="G496" s="7" t="s">
        <v>75</v>
      </c>
      <c r="H496" s="7"/>
      <c r="I496" s="7" t="s">
        <v>157</v>
      </c>
      <c r="J496" s="7"/>
      <c r="K496" s="29">
        <v>406718</v>
      </c>
      <c r="L496" s="10" t="s">
        <v>988</v>
      </c>
      <c r="M496" s="10" t="s">
        <v>1097</v>
      </c>
      <c r="N496" s="10" t="s">
        <v>1098</v>
      </c>
      <c r="O496" s="11" t="s">
        <v>1099</v>
      </c>
      <c r="P496" s="12">
        <v>40311</v>
      </c>
      <c r="Q496" s="13">
        <f t="shared" ca="1" si="257"/>
        <v>15.36208076659822</v>
      </c>
      <c r="R496" s="14">
        <v>8</v>
      </c>
      <c r="S496" s="15">
        <v>872</v>
      </c>
      <c r="T496" s="8">
        <v>872</v>
      </c>
      <c r="U496" s="16">
        <v>45017</v>
      </c>
      <c r="V496" s="17">
        <v>1</v>
      </c>
      <c r="W496" s="16">
        <v>45382</v>
      </c>
      <c r="X496" s="14">
        <v>192</v>
      </c>
      <c r="Y496" s="18">
        <f t="shared" si="253"/>
        <v>192</v>
      </c>
      <c r="Z496" s="18">
        <f t="shared" si="271"/>
        <v>1</v>
      </c>
      <c r="AA496" s="18" t="s">
        <v>36</v>
      </c>
      <c r="AB496" s="26">
        <v>25</v>
      </c>
      <c r="AC496" s="26"/>
      <c r="AD496" s="26"/>
      <c r="AE496" s="147" t="str">
        <f t="shared" si="251"/>
        <v>1</v>
      </c>
      <c r="AF496" s="147" t="str">
        <f t="shared" si="261"/>
        <v>0</v>
      </c>
      <c r="AG496" s="147" t="str">
        <f t="shared" si="252"/>
        <v>0</v>
      </c>
      <c r="AH496" s="147" t="str">
        <f t="shared" si="262"/>
        <v>NO</v>
      </c>
      <c r="AI496" s="147" t="str">
        <f t="shared" si="263"/>
        <v>NO</v>
      </c>
      <c r="AJ496" s="147" t="str">
        <f t="shared" si="264"/>
        <v>NO</v>
      </c>
      <c r="AK496" s="147" t="str">
        <f t="shared" si="265"/>
        <v>NO</v>
      </c>
      <c r="AL496" s="21"/>
      <c r="AM496" s="21">
        <f>IF(H496="Y",AL496,((AB496*$O$902)-6000))</f>
        <v>5819.25</v>
      </c>
      <c r="AN496" s="27" t="s">
        <v>43</v>
      </c>
      <c r="AO496" s="21">
        <v>1</v>
      </c>
      <c r="AP496" s="21">
        <f t="shared" si="273"/>
        <v>1</v>
      </c>
      <c r="AQ496" s="149">
        <f t="shared" si="250"/>
        <v>5819.25</v>
      </c>
      <c r="AR496" s="21">
        <v>5819.25</v>
      </c>
      <c r="AS496" s="610">
        <v>5819.25</v>
      </c>
      <c r="AT496" s="112">
        <v>5819.25</v>
      </c>
      <c r="AU496" s="4"/>
      <c r="AV496" s="4"/>
      <c r="AW496" s="23" t="e">
        <f>VLOOKUP(K496,#REF!,8,FALSE)</f>
        <v>#REF!</v>
      </c>
      <c r="AX496" s="23" t="e">
        <f>VLOOKUP(K496,#REF!,8,FALSE)</f>
        <v>#REF!</v>
      </c>
      <c r="AY496" s="23" t="e">
        <f>VLOOKUP(K496,#REF!,8,FALSE)</f>
        <v>#REF!</v>
      </c>
      <c r="AZ496" s="4"/>
      <c r="BA496" s="272"/>
      <c r="BB496" s="313">
        <f t="shared" si="268"/>
        <v>0</v>
      </c>
      <c r="BC496" s="269">
        <f t="shared" si="269"/>
        <v>5819.25</v>
      </c>
      <c r="BD496" t="str">
        <f t="shared" si="270"/>
        <v/>
      </c>
      <c r="BP496" s="166">
        <f t="shared" si="266"/>
        <v>5819.25</v>
      </c>
      <c r="BS496" s="165"/>
      <c r="BX496" s="495">
        <f t="shared" si="267"/>
        <v>5819.25</v>
      </c>
      <c r="BZ496" s="636">
        <f t="shared" si="254"/>
        <v>0</v>
      </c>
      <c r="CA496" s="633">
        <f t="shared" si="255"/>
        <v>0</v>
      </c>
    </row>
    <row r="497" spans="1:79" x14ac:dyDescent="0.2">
      <c r="A497" s="4">
        <v>1</v>
      </c>
      <c r="B497" s="4">
        <v>1</v>
      </c>
      <c r="C497" s="5">
        <f t="shared" si="256"/>
        <v>41205</v>
      </c>
      <c r="D497" s="6">
        <v>41205</v>
      </c>
      <c r="E497" s="121">
        <v>43012</v>
      </c>
      <c r="F497" s="6" t="s">
        <v>1606</v>
      </c>
      <c r="G497" s="7" t="s">
        <v>75</v>
      </c>
      <c r="H497" s="7"/>
      <c r="I497" s="7" t="s">
        <v>157</v>
      </c>
      <c r="J497" s="7"/>
      <c r="K497" s="29">
        <v>397971</v>
      </c>
      <c r="L497" s="10" t="s">
        <v>988</v>
      </c>
      <c r="M497" s="10" t="s">
        <v>1100</v>
      </c>
      <c r="N497" s="10" t="s">
        <v>986</v>
      </c>
      <c r="O497" s="11" t="s">
        <v>1101</v>
      </c>
      <c r="P497" s="12">
        <v>40734</v>
      </c>
      <c r="Q497" s="13">
        <f t="shared" ca="1" si="257"/>
        <v>14.203969883641342</v>
      </c>
      <c r="R497" s="14">
        <v>7</v>
      </c>
      <c r="S497" s="15">
        <v>872</v>
      </c>
      <c r="T497" s="8">
        <v>872</v>
      </c>
      <c r="U497" s="16">
        <v>45017</v>
      </c>
      <c r="V497" s="17">
        <v>1</v>
      </c>
      <c r="W497" s="16">
        <v>45382</v>
      </c>
      <c r="X497" s="14">
        <v>192</v>
      </c>
      <c r="Y497" s="18">
        <f t="shared" si="253"/>
        <v>192</v>
      </c>
      <c r="Z497" s="18">
        <f t="shared" si="271"/>
        <v>1</v>
      </c>
      <c r="AA497" s="18" t="s">
        <v>36</v>
      </c>
      <c r="AB497" s="26">
        <v>30</v>
      </c>
      <c r="AC497" s="26"/>
      <c r="AD497" s="26"/>
      <c r="AE497" s="147" t="str">
        <f t="shared" si="251"/>
        <v>0</v>
      </c>
      <c r="AF497" s="147" t="str">
        <f t="shared" si="261"/>
        <v>1</v>
      </c>
      <c r="AG497" s="147" t="str">
        <f t="shared" si="252"/>
        <v>0</v>
      </c>
      <c r="AH497" s="147" t="str">
        <f t="shared" si="262"/>
        <v>NO</v>
      </c>
      <c r="AI497" s="147" t="str">
        <f t="shared" si="263"/>
        <v>NO</v>
      </c>
      <c r="AJ497" s="147" t="str">
        <f t="shared" si="264"/>
        <v>NO</v>
      </c>
      <c r="AK497" s="147" t="str">
        <f t="shared" si="265"/>
        <v>NO</v>
      </c>
      <c r="AL497" s="21"/>
      <c r="AM497" s="21">
        <f>IF(H497="Y",AL497,((AB497*$O$902)-6000))</f>
        <v>8183.0999999999985</v>
      </c>
      <c r="AN497" s="27" t="s">
        <v>37</v>
      </c>
      <c r="AO497" s="21">
        <v>1</v>
      </c>
      <c r="AP497" s="21">
        <f t="shared" si="273"/>
        <v>1</v>
      </c>
      <c r="AQ497" s="149">
        <f t="shared" si="250"/>
        <v>8183.0999999999985</v>
      </c>
      <c r="AR497" s="21">
        <v>8183.0999999999985</v>
      </c>
      <c r="AS497" s="610">
        <v>8183.0999999999985</v>
      </c>
      <c r="AT497" s="112">
        <v>8183.0999999999985</v>
      </c>
      <c r="AU497" s="4"/>
      <c r="AV497" s="4"/>
      <c r="AW497" s="23" t="e">
        <f>VLOOKUP(K497,#REF!,8,FALSE)</f>
        <v>#REF!</v>
      </c>
      <c r="AX497" s="23" t="e">
        <f>VLOOKUP(K497,#REF!,8,FALSE)</f>
        <v>#REF!</v>
      </c>
      <c r="AY497" s="23" t="e">
        <f>VLOOKUP(K497,#REF!,8,FALSE)</f>
        <v>#REF!</v>
      </c>
      <c r="AZ497" s="4"/>
      <c r="BA497" s="272"/>
      <c r="BB497" s="313">
        <f t="shared" si="268"/>
        <v>0</v>
      </c>
      <c r="BC497" s="269">
        <f t="shared" si="269"/>
        <v>8183.0999999999985</v>
      </c>
      <c r="BD497" t="str">
        <f t="shared" si="270"/>
        <v/>
      </c>
      <c r="BP497" s="166">
        <f t="shared" si="266"/>
        <v>8183.0999999999985</v>
      </c>
      <c r="BS497" s="165"/>
      <c r="BX497" s="495">
        <f t="shared" si="267"/>
        <v>8183.0999999999985</v>
      </c>
      <c r="BZ497" s="636">
        <f t="shared" si="254"/>
        <v>0</v>
      </c>
      <c r="CA497" s="633">
        <f t="shared" si="255"/>
        <v>0</v>
      </c>
    </row>
    <row r="498" spans="1:79" x14ac:dyDescent="0.2">
      <c r="A498" s="4">
        <v>0</v>
      </c>
      <c r="B498" s="4">
        <v>1</v>
      </c>
      <c r="C498" s="5">
        <f t="shared" si="256"/>
        <v>41205</v>
      </c>
      <c r="D498" s="6">
        <v>41205</v>
      </c>
      <c r="E498" s="121">
        <v>43012</v>
      </c>
      <c r="F498" s="6" t="s">
        <v>1606</v>
      </c>
      <c r="G498" s="7" t="s">
        <v>75</v>
      </c>
      <c r="H498" s="7"/>
      <c r="I498" s="7" t="s">
        <v>157</v>
      </c>
      <c r="J498" s="61" t="s">
        <v>142</v>
      </c>
      <c r="K498" s="29">
        <v>397971</v>
      </c>
      <c r="L498" s="10" t="s">
        <v>988</v>
      </c>
      <c r="M498" s="10" t="s">
        <v>1100</v>
      </c>
      <c r="N498" s="10" t="s">
        <v>986</v>
      </c>
      <c r="O498" s="11" t="s">
        <v>1101</v>
      </c>
      <c r="P498" s="12">
        <v>40734</v>
      </c>
      <c r="Q498" s="13">
        <f t="shared" ca="1" si="257"/>
        <v>14.203969883641342</v>
      </c>
      <c r="R498" s="14">
        <v>7</v>
      </c>
      <c r="S498" s="15">
        <v>872</v>
      </c>
      <c r="T498" s="8">
        <v>872</v>
      </c>
      <c r="U498" s="16">
        <v>45017</v>
      </c>
      <c r="V498" s="17">
        <v>1</v>
      </c>
      <c r="W498" s="16">
        <v>45128</v>
      </c>
      <c r="X498" s="14">
        <v>63</v>
      </c>
      <c r="Y498" s="18">
        <f t="shared" si="253"/>
        <v>63</v>
      </c>
      <c r="Z498" s="18">
        <v>1</v>
      </c>
      <c r="AA498" s="16">
        <v>45128</v>
      </c>
      <c r="AB498" s="26">
        <v>600</v>
      </c>
      <c r="AC498" s="26"/>
      <c r="AD498" s="26"/>
      <c r="AE498" s="147" t="str">
        <f t="shared" si="251"/>
        <v>0</v>
      </c>
      <c r="AF498" s="147" t="str">
        <f t="shared" si="261"/>
        <v>0</v>
      </c>
      <c r="AG498" s="147" t="str">
        <f t="shared" si="252"/>
        <v>1</v>
      </c>
      <c r="AH498" s="147" t="str">
        <f t="shared" si="262"/>
        <v>NO</v>
      </c>
      <c r="AI498" s="147" t="str">
        <f t="shared" si="263"/>
        <v>NO</v>
      </c>
      <c r="AJ498" s="147" t="str">
        <f t="shared" si="264"/>
        <v>NO</v>
      </c>
      <c r="AK498" s="147" t="str">
        <f t="shared" si="265"/>
        <v>NO</v>
      </c>
      <c r="AL498" s="21"/>
      <c r="AM498" s="21">
        <v>600</v>
      </c>
      <c r="AN498" s="27" t="s">
        <v>37</v>
      </c>
      <c r="AO498" s="21">
        <v>1</v>
      </c>
      <c r="AP498" s="21">
        <f t="shared" si="273"/>
        <v>1</v>
      </c>
      <c r="AQ498" s="149">
        <f t="shared" si="250"/>
        <v>600</v>
      </c>
      <c r="AR498" s="21">
        <v>600</v>
      </c>
      <c r="AS498" s="610">
        <v>0</v>
      </c>
      <c r="AT498" s="112">
        <v>600</v>
      </c>
      <c r="AU498" s="4"/>
      <c r="AV498" s="4"/>
      <c r="AW498" s="23" t="e">
        <f>VLOOKUP(K498,#REF!,8,FALSE)</f>
        <v>#REF!</v>
      </c>
      <c r="AX498" s="23" t="e">
        <f>VLOOKUP(K498,#REF!,8,FALSE)</f>
        <v>#REF!</v>
      </c>
      <c r="AY498" s="23" t="e">
        <f>VLOOKUP(K498,#REF!,8,FALSE)</f>
        <v>#REF!</v>
      </c>
      <c r="AZ498" s="4"/>
      <c r="BA498" s="272"/>
      <c r="BB498" s="313">
        <f t="shared" si="268"/>
        <v>0</v>
      </c>
      <c r="BC498" s="269">
        <f t="shared" si="269"/>
        <v>600</v>
      </c>
      <c r="BD498" t="str">
        <f t="shared" si="270"/>
        <v/>
      </c>
      <c r="BJ498">
        <f>AB498</f>
        <v>600</v>
      </c>
      <c r="BK498" s="269">
        <f>AM498</f>
        <v>600</v>
      </c>
      <c r="BO498" s="106">
        <f>BK498/192*127</f>
        <v>396.875</v>
      </c>
      <c r="BP498" s="166">
        <f t="shared" si="266"/>
        <v>996.875</v>
      </c>
      <c r="BS498" s="165"/>
      <c r="BX498" s="495">
        <f t="shared" si="267"/>
        <v>996.875</v>
      </c>
      <c r="BZ498" s="636">
        <f t="shared" si="254"/>
        <v>0</v>
      </c>
      <c r="CA498" s="633">
        <f t="shared" si="255"/>
        <v>996.875</v>
      </c>
    </row>
    <row r="499" spans="1:79" x14ac:dyDescent="0.2">
      <c r="A499" s="4">
        <v>1</v>
      </c>
      <c r="B499" s="4">
        <v>1</v>
      </c>
      <c r="C499" s="5">
        <f t="shared" si="256"/>
        <v>41205</v>
      </c>
      <c r="D499" s="6">
        <v>41205</v>
      </c>
      <c r="E499" s="121">
        <v>43012</v>
      </c>
      <c r="F499" s="6" t="s">
        <v>1606</v>
      </c>
      <c r="G499" s="7" t="s">
        <v>75</v>
      </c>
      <c r="H499" s="7"/>
      <c r="I499" s="7" t="s">
        <v>157</v>
      </c>
      <c r="J499" s="7"/>
      <c r="K499" s="29">
        <v>408378</v>
      </c>
      <c r="L499" s="10" t="s">
        <v>988</v>
      </c>
      <c r="M499" s="10" t="s">
        <v>1102</v>
      </c>
      <c r="N499" s="10" t="s">
        <v>1103</v>
      </c>
      <c r="O499" s="11" t="s">
        <v>1104</v>
      </c>
      <c r="P499" s="12">
        <v>40778</v>
      </c>
      <c r="Q499" s="13">
        <f t="shared" ca="1" si="257"/>
        <v>14.083504449007529</v>
      </c>
      <c r="R499" s="14">
        <v>7</v>
      </c>
      <c r="S499" s="15">
        <v>872</v>
      </c>
      <c r="T499" s="8">
        <v>872</v>
      </c>
      <c r="U499" s="16">
        <v>45017</v>
      </c>
      <c r="V499" s="17">
        <v>1</v>
      </c>
      <c r="W499" s="16">
        <v>45382</v>
      </c>
      <c r="X499" s="14">
        <v>192</v>
      </c>
      <c r="Y499" s="18">
        <f t="shared" si="253"/>
        <v>192</v>
      </c>
      <c r="Z499" s="18">
        <f t="shared" ref="Z499:Z522" si="274">Y499/192</f>
        <v>1</v>
      </c>
      <c r="AA499" s="18" t="s">
        <v>36</v>
      </c>
      <c r="AB499" s="26">
        <v>30</v>
      </c>
      <c r="AC499" s="26"/>
      <c r="AD499" s="26"/>
      <c r="AE499" s="147" t="str">
        <f t="shared" si="251"/>
        <v>0</v>
      </c>
      <c r="AF499" s="147" t="str">
        <f t="shared" si="261"/>
        <v>1</v>
      </c>
      <c r="AG499" s="147" t="str">
        <f t="shared" si="252"/>
        <v>0</v>
      </c>
      <c r="AH499" s="147" t="str">
        <f t="shared" si="262"/>
        <v>NO</v>
      </c>
      <c r="AI499" s="147" t="str">
        <f t="shared" si="263"/>
        <v>NO</v>
      </c>
      <c r="AJ499" s="147" t="str">
        <f t="shared" si="264"/>
        <v>NO</v>
      </c>
      <c r="AK499" s="147" t="str">
        <f t="shared" si="265"/>
        <v>NO</v>
      </c>
      <c r="AL499" s="21"/>
      <c r="AM499" s="21">
        <f t="shared" ref="AM499:AM504" si="275">IF(H499="Y",AL499,((AB499*$O$902)-6000))</f>
        <v>8183.0999999999985</v>
      </c>
      <c r="AN499" s="27" t="s">
        <v>56</v>
      </c>
      <c r="AO499" s="21">
        <v>1</v>
      </c>
      <c r="AP499" s="21">
        <f t="shared" si="273"/>
        <v>1</v>
      </c>
      <c r="AQ499" s="149">
        <f t="shared" si="250"/>
        <v>8183.0999999999985</v>
      </c>
      <c r="AR499" s="21">
        <v>8183.0999999999985</v>
      </c>
      <c r="AS499" s="610">
        <v>8183.0999999999985</v>
      </c>
      <c r="AT499" s="112">
        <v>8183.0999999999985</v>
      </c>
      <c r="AU499" s="4"/>
      <c r="AV499" s="4"/>
      <c r="AW499" s="23" t="e">
        <f>VLOOKUP(K499,#REF!,8,FALSE)</f>
        <v>#REF!</v>
      </c>
      <c r="AX499" s="23" t="e">
        <f>VLOOKUP(K499,#REF!,8,FALSE)</f>
        <v>#REF!</v>
      </c>
      <c r="AY499" s="23" t="e">
        <f>VLOOKUP(K499,#REF!,8,FALSE)</f>
        <v>#REF!</v>
      </c>
      <c r="AZ499" s="4"/>
      <c r="BA499" s="272"/>
      <c r="BB499" s="313">
        <f t="shared" si="268"/>
        <v>0</v>
      </c>
      <c r="BC499" s="269">
        <f t="shared" si="269"/>
        <v>8183.0999999999985</v>
      </c>
      <c r="BD499" t="str">
        <f t="shared" si="270"/>
        <v/>
      </c>
      <c r="BP499" s="166">
        <f t="shared" si="266"/>
        <v>8183.0999999999985</v>
      </c>
      <c r="BS499" s="165"/>
      <c r="BX499" s="495">
        <f t="shared" si="267"/>
        <v>8183.0999999999985</v>
      </c>
      <c r="BZ499" s="636">
        <f t="shared" si="254"/>
        <v>0</v>
      </c>
      <c r="CA499" s="633">
        <f t="shared" si="255"/>
        <v>0</v>
      </c>
    </row>
    <row r="500" spans="1:79" x14ac:dyDescent="0.2">
      <c r="A500" s="4">
        <v>1</v>
      </c>
      <c r="B500" s="4">
        <v>1</v>
      </c>
      <c r="C500" s="5">
        <f t="shared" si="256"/>
        <v>41205</v>
      </c>
      <c r="D500" s="6">
        <v>41205</v>
      </c>
      <c r="E500" s="121">
        <v>43012</v>
      </c>
      <c r="F500" s="6" t="s">
        <v>1606</v>
      </c>
      <c r="G500" s="7" t="s">
        <v>75</v>
      </c>
      <c r="H500" s="7"/>
      <c r="I500" s="7" t="s">
        <v>157</v>
      </c>
      <c r="J500" s="7"/>
      <c r="K500" s="29">
        <v>376394</v>
      </c>
      <c r="L500" s="10" t="s">
        <v>988</v>
      </c>
      <c r="M500" s="10" t="s">
        <v>285</v>
      </c>
      <c r="N500" s="10" t="s">
        <v>831</v>
      </c>
      <c r="O500" s="11" t="s">
        <v>1105</v>
      </c>
      <c r="P500" s="12">
        <v>39378</v>
      </c>
      <c r="Q500" s="13">
        <f t="shared" ca="1" si="257"/>
        <v>17.916495550992472</v>
      </c>
      <c r="R500" s="14">
        <v>10</v>
      </c>
      <c r="S500" s="15">
        <v>872</v>
      </c>
      <c r="T500" s="8">
        <v>872</v>
      </c>
      <c r="U500" s="16">
        <v>45017</v>
      </c>
      <c r="V500" s="17">
        <v>1</v>
      </c>
      <c r="W500" s="16">
        <v>45382</v>
      </c>
      <c r="X500" s="14">
        <v>192</v>
      </c>
      <c r="Y500" s="18">
        <f t="shared" si="253"/>
        <v>192</v>
      </c>
      <c r="Z500" s="18">
        <f t="shared" si="274"/>
        <v>1</v>
      </c>
      <c r="AA500" s="18" t="s">
        <v>36</v>
      </c>
      <c r="AB500" s="26">
        <v>25</v>
      </c>
      <c r="AC500" s="26"/>
      <c r="AD500" s="26"/>
      <c r="AE500" s="147" t="str">
        <f t="shared" si="251"/>
        <v>1</v>
      </c>
      <c r="AF500" s="147" t="str">
        <f t="shared" si="261"/>
        <v>0</v>
      </c>
      <c r="AG500" s="147" t="str">
        <f t="shared" si="252"/>
        <v>0</v>
      </c>
      <c r="AH500" s="147" t="str">
        <f t="shared" si="262"/>
        <v>NO</v>
      </c>
      <c r="AI500" s="147" t="str">
        <f t="shared" si="263"/>
        <v>NO</v>
      </c>
      <c r="AJ500" s="147" t="str">
        <f t="shared" si="264"/>
        <v>NO</v>
      </c>
      <c r="AK500" s="147" t="str">
        <f t="shared" si="265"/>
        <v>NO</v>
      </c>
      <c r="AL500" s="21"/>
      <c r="AM500" s="21">
        <f t="shared" si="275"/>
        <v>5819.25</v>
      </c>
      <c r="AN500" s="27" t="s">
        <v>66</v>
      </c>
      <c r="AO500" s="21">
        <v>1</v>
      </c>
      <c r="AP500" s="21">
        <f t="shared" si="273"/>
        <v>1</v>
      </c>
      <c r="AQ500" s="149">
        <f t="shared" si="250"/>
        <v>5819.25</v>
      </c>
      <c r="AR500" s="21">
        <v>5819.25</v>
      </c>
      <c r="AS500" s="610">
        <v>5819.25</v>
      </c>
      <c r="AT500" s="112">
        <v>5819.25</v>
      </c>
      <c r="AU500" s="4"/>
      <c r="AV500" s="4"/>
      <c r="AW500" s="23" t="e">
        <f>VLOOKUP(K500,#REF!,8,FALSE)</f>
        <v>#REF!</v>
      </c>
      <c r="AX500" s="23" t="e">
        <f>VLOOKUP(K500,#REF!,8,FALSE)</f>
        <v>#REF!</v>
      </c>
      <c r="AY500" s="23" t="e">
        <f>VLOOKUP(K500,#REF!,8,FALSE)</f>
        <v>#REF!</v>
      </c>
      <c r="AZ500" s="4"/>
      <c r="BA500" s="272"/>
      <c r="BB500" s="313">
        <f t="shared" si="268"/>
        <v>0</v>
      </c>
      <c r="BC500" s="269">
        <f t="shared" si="269"/>
        <v>5819.25</v>
      </c>
      <c r="BD500" t="str">
        <f t="shared" si="270"/>
        <v/>
      </c>
      <c r="BP500" s="166">
        <f t="shared" si="266"/>
        <v>5819.25</v>
      </c>
      <c r="BS500" s="165"/>
      <c r="BX500" s="495">
        <f t="shared" si="267"/>
        <v>5819.25</v>
      </c>
      <c r="BZ500" s="636">
        <f t="shared" si="254"/>
        <v>0</v>
      </c>
      <c r="CA500" s="633">
        <f t="shared" si="255"/>
        <v>0</v>
      </c>
    </row>
    <row r="501" spans="1:79" x14ac:dyDescent="0.2">
      <c r="A501" s="4">
        <v>1</v>
      </c>
      <c r="B501" s="4">
        <v>1</v>
      </c>
      <c r="C501" s="5">
        <f t="shared" si="256"/>
        <v>41205</v>
      </c>
      <c r="D501" s="6">
        <v>41205</v>
      </c>
      <c r="E501" s="121">
        <v>43012</v>
      </c>
      <c r="F501" s="6" t="s">
        <v>1606</v>
      </c>
      <c r="G501" s="7" t="s">
        <v>75</v>
      </c>
      <c r="H501" s="7"/>
      <c r="I501" s="7" t="s">
        <v>157</v>
      </c>
      <c r="J501" s="7"/>
      <c r="K501" s="29">
        <v>387523</v>
      </c>
      <c r="L501" s="10" t="s">
        <v>988</v>
      </c>
      <c r="M501" s="10" t="s">
        <v>217</v>
      </c>
      <c r="N501" s="10" t="s">
        <v>1106</v>
      </c>
      <c r="O501" s="11" t="s">
        <v>1107</v>
      </c>
      <c r="P501" s="12">
        <v>40275</v>
      </c>
      <c r="Q501" s="13">
        <f t="shared" ca="1" si="257"/>
        <v>15.460643394934976</v>
      </c>
      <c r="R501" s="14">
        <v>8</v>
      </c>
      <c r="S501" s="15">
        <v>872</v>
      </c>
      <c r="T501" s="8">
        <v>872</v>
      </c>
      <c r="U501" s="16">
        <v>45017</v>
      </c>
      <c r="V501" s="17">
        <v>1</v>
      </c>
      <c r="W501" s="16">
        <v>45382</v>
      </c>
      <c r="X501" s="14">
        <v>192</v>
      </c>
      <c r="Y501" s="18">
        <f t="shared" si="253"/>
        <v>192</v>
      </c>
      <c r="Z501" s="18">
        <f t="shared" si="274"/>
        <v>1</v>
      </c>
      <c r="AA501" s="18" t="s">
        <v>36</v>
      </c>
      <c r="AB501" s="26">
        <v>25</v>
      </c>
      <c r="AC501" s="26"/>
      <c r="AD501" s="26"/>
      <c r="AE501" s="147" t="str">
        <f t="shared" si="251"/>
        <v>1</v>
      </c>
      <c r="AF501" s="147" t="str">
        <f t="shared" si="261"/>
        <v>0</v>
      </c>
      <c r="AG501" s="147" t="str">
        <f t="shared" si="252"/>
        <v>0</v>
      </c>
      <c r="AH501" s="147" t="str">
        <f t="shared" si="262"/>
        <v>NO</v>
      </c>
      <c r="AI501" s="147" t="str">
        <f t="shared" si="263"/>
        <v>NO</v>
      </c>
      <c r="AJ501" s="147" t="str">
        <f t="shared" si="264"/>
        <v>NO</v>
      </c>
      <c r="AK501" s="147" t="str">
        <f t="shared" si="265"/>
        <v>NO</v>
      </c>
      <c r="AL501" s="21"/>
      <c r="AM501" s="21">
        <f t="shared" si="275"/>
        <v>5819.25</v>
      </c>
      <c r="AN501" s="27" t="s">
        <v>56</v>
      </c>
      <c r="AO501" s="21">
        <v>1</v>
      </c>
      <c r="AP501" s="21">
        <f t="shared" si="273"/>
        <v>1</v>
      </c>
      <c r="AQ501" s="149">
        <f t="shared" si="250"/>
        <v>5819.25</v>
      </c>
      <c r="AR501" s="21">
        <v>5819.25</v>
      </c>
      <c r="AS501" s="610">
        <v>5819.25</v>
      </c>
      <c r="AT501" s="112">
        <v>5819.25</v>
      </c>
      <c r="AU501" s="4"/>
      <c r="AV501" s="4"/>
      <c r="AW501" s="23" t="e">
        <f>VLOOKUP(K501,#REF!,8,FALSE)</f>
        <v>#REF!</v>
      </c>
      <c r="AX501" s="23" t="e">
        <f>VLOOKUP(K501,#REF!,8,FALSE)</f>
        <v>#REF!</v>
      </c>
      <c r="AY501" s="23" t="e">
        <f>VLOOKUP(K501,#REF!,8,FALSE)</f>
        <v>#REF!</v>
      </c>
      <c r="AZ501" s="4"/>
      <c r="BA501" s="272"/>
      <c r="BB501" s="313">
        <f t="shared" si="268"/>
        <v>0</v>
      </c>
      <c r="BC501" s="269">
        <f t="shared" si="269"/>
        <v>5819.25</v>
      </c>
      <c r="BD501" t="str">
        <f t="shared" si="270"/>
        <v/>
      </c>
      <c r="BP501" s="166">
        <f t="shared" si="266"/>
        <v>5819.25</v>
      </c>
      <c r="BS501" s="165"/>
      <c r="BX501" s="495">
        <f t="shared" si="267"/>
        <v>5819.25</v>
      </c>
      <c r="BZ501" s="636">
        <f t="shared" si="254"/>
        <v>0</v>
      </c>
      <c r="CA501" s="633">
        <f t="shared" si="255"/>
        <v>0</v>
      </c>
    </row>
    <row r="502" spans="1:79" x14ac:dyDescent="0.2">
      <c r="A502" s="4">
        <v>1</v>
      </c>
      <c r="B502" s="4">
        <v>1</v>
      </c>
      <c r="C502" s="5">
        <f t="shared" si="256"/>
        <v>41205</v>
      </c>
      <c r="D502" s="6">
        <v>41205</v>
      </c>
      <c r="E502" s="121">
        <v>43012</v>
      </c>
      <c r="F502" s="6" t="s">
        <v>1606</v>
      </c>
      <c r="G502" s="7" t="s">
        <v>75</v>
      </c>
      <c r="H502" s="7"/>
      <c r="I502" s="7" t="s">
        <v>157</v>
      </c>
      <c r="J502" s="7"/>
      <c r="K502" s="29">
        <v>376547</v>
      </c>
      <c r="L502" s="10" t="s">
        <v>988</v>
      </c>
      <c r="M502" s="10" t="s">
        <v>217</v>
      </c>
      <c r="N502" s="10" t="s">
        <v>1108</v>
      </c>
      <c r="O502" s="11" t="s">
        <v>1109</v>
      </c>
      <c r="P502" s="12">
        <v>39577</v>
      </c>
      <c r="Q502" s="13">
        <f t="shared" ca="1" si="257"/>
        <v>17.371663244353183</v>
      </c>
      <c r="R502" s="14">
        <v>10</v>
      </c>
      <c r="S502" s="15">
        <v>872</v>
      </c>
      <c r="T502" s="8">
        <v>872</v>
      </c>
      <c r="U502" s="16">
        <v>45017</v>
      </c>
      <c r="V502" s="17">
        <v>1</v>
      </c>
      <c r="W502" s="16">
        <v>45382</v>
      </c>
      <c r="X502" s="14">
        <v>192</v>
      </c>
      <c r="Y502" s="18">
        <f t="shared" si="253"/>
        <v>192</v>
      </c>
      <c r="Z502" s="18">
        <f t="shared" si="274"/>
        <v>1</v>
      </c>
      <c r="AA502" s="18" t="s">
        <v>36</v>
      </c>
      <c r="AB502" s="26">
        <v>25</v>
      </c>
      <c r="AC502" s="26"/>
      <c r="AD502" s="26"/>
      <c r="AE502" s="147" t="str">
        <f t="shared" si="251"/>
        <v>1</v>
      </c>
      <c r="AF502" s="147" t="str">
        <f t="shared" si="261"/>
        <v>0</v>
      </c>
      <c r="AG502" s="147" t="str">
        <f t="shared" si="252"/>
        <v>0</v>
      </c>
      <c r="AH502" s="147" t="str">
        <f t="shared" si="262"/>
        <v>NO</v>
      </c>
      <c r="AI502" s="147" t="str">
        <f t="shared" si="263"/>
        <v>NO</v>
      </c>
      <c r="AJ502" s="147" t="str">
        <f t="shared" si="264"/>
        <v>NO</v>
      </c>
      <c r="AK502" s="147" t="str">
        <f t="shared" si="265"/>
        <v>NO</v>
      </c>
      <c r="AL502" s="21"/>
      <c r="AM502" s="21">
        <f t="shared" si="275"/>
        <v>5819.25</v>
      </c>
      <c r="AN502" s="27" t="s">
        <v>56</v>
      </c>
      <c r="AO502" s="21">
        <v>1</v>
      </c>
      <c r="AP502" s="21">
        <f t="shared" si="273"/>
        <v>1</v>
      </c>
      <c r="AQ502" s="149">
        <f t="shared" si="250"/>
        <v>5819.25</v>
      </c>
      <c r="AR502" s="21">
        <v>5819.25</v>
      </c>
      <c r="AS502" s="610">
        <v>5819.25</v>
      </c>
      <c r="AT502" s="112">
        <v>5819.25</v>
      </c>
      <c r="AU502" s="4"/>
      <c r="AV502" s="4"/>
      <c r="AW502" s="23" t="e">
        <f>VLOOKUP(K502,#REF!,8,FALSE)</f>
        <v>#REF!</v>
      </c>
      <c r="AX502" s="23" t="e">
        <f>VLOOKUP(K502,#REF!,8,FALSE)</f>
        <v>#REF!</v>
      </c>
      <c r="AY502" s="23" t="e">
        <f>VLOOKUP(K502,#REF!,8,FALSE)</f>
        <v>#REF!</v>
      </c>
      <c r="AZ502" s="4"/>
      <c r="BA502" s="272"/>
      <c r="BB502" s="313">
        <f t="shared" si="268"/>
        <v>0</v>
      </c>
      <c r="BC502" s="269">
        <f t="shared" si="269"/>
        <v>5819.25</v>
      </c>
      <c r="BD502" t="str">
        <f t="shared" si="270"/>
        <v/>
      </c>
      <c r="BP502" s="166">
        <f t="shared" si="266"/>
        <v>5819.25</v>
      </c>
      <c r="BS502" s="165"/>
      <c r="BX502" s="495">
        <f t="shared" si="267"/>
        <v>5819.25</v>
      </c>
      <c r="BZ502" s="636">
        <f t="shared" si="254"/>
        <v>0</v>
      </c>
      <c r="CA502" s="633">
        <f t="shared" si="255"/>
        <v>0</v>
      </c>
    </row>
    <row r="503" spans="1:79" x14ac:dyDescent="0.2">
      <c r="A503" s="4">
        <v>1</v>
      </c>
      <c r="B503" s="4">
        <v>1</v>
      </c>
      <c r="C503" s="5">
        <f t="shared" si="256"/>
        <v>41205</v>
      </c>
      <c r="D503" s="6">
        <v>41205</v>
      </c>
      <c r="E503" s="121">
        <v>43012</v>
      </c>
      <c r="F503" s="6" t="s">
        <v>1606</v>
      </c>
      <c r="G503" s="7" t="s">
        <v>75</v>
      </c>
      <c r="H503" s="7"/>
      <c r="I503" s="7" t="s">
        <v>157</v>
      </c>
      <c r="J503" s="7"/>
      <c r="K503" s="29">
        <v>391946</v>
      </c>
      <c r="L503" s="10" t="s">
        <v>988</v>
      </c>
      <c r="M503" s="10" t="s">
        <v>1110</v>
      </c>
      <c r="N503" s="10" t="s">
        <v>1111</v>
      </c>
      <c r="O503" s="11" t="s">
        <v>1112</v>
      </c>
      <c r="P503" s="12">
        <v>40448</v>
      </c>
      <c r="Q503" s="13">
        <f t="shared" ca="1" si="257"/>
        <v>14.986995208761122</v>
      </c>
      <c r="R503" s="14">
        <v>7</v>
      </c>
      <c r="S503" s="15">
        <v>872</v>
      </c>
      <c r="T503" s="8">
        <v>872</v>
      </c>
      <c r="U503" s="16">
        <v>45017</v>
      </c>
      <c r="V503" s="17">
        <v>1</v>
      </c>
      <c r="W503" s="16">
        <v>45382</v>
      </c>
      <c r="X503" s="14">
        <v>192</v>
      </c>
      <c r="Y503" s="18">
        <f t="shared" si="253"/>
        <v>192</v>
      </c>
      <c r="Z503" s="18">
        <f t="shared" si="274"/>
        <v>1</v>
      </c>
      <c r="AA503" s="18" t="s">
        <v>36</v>
      </c>
      <c r="AB503" s="26">
        <v>25</v>
      </c>
      <c r="AC503" s="26"/>
      <c r="AD503" s="26"/>
      <c r="AE503" s="147" t="str">
        <f t="shared" si="251"/>
        <v>1</v>
      </c>
      <c r="AF503" s="147" t="str">
        <f t="shared" si="261"/>
        <v>0</v>
      </c>
      <c r="AG503" s="147" t="str">
        <f t="shared" si="252"/>
        <v>0</v>
      </c>
      <c r="AH503" s="147" t="str">
        <f t="shared" si="262"/>
        <v>NO</v>
      </c>
      <c r="AI503" s="147" t="str">
        <f t="shared" si="263"/>
        <v>NO</v>
      </c>
      <c r="AJ503" s="147" t="str">
        <f t="shared" si="264"/>
        <v>NO</v>
      </c>
      <c r="AK503" s="147" t="str">
        <f t="shared" si="265"/>
        <v>NO</v>
      </c>
      <c r="AL503" s="21"/>
      <c r="AM503" s="21">
        <f t="shared" si="275"/>
        <v>5819.25</v>
      </c>
      <c r="AN503" s="27" t="s">
        <v>37</v>
      </c>
      <c r="AO503" s="21">
        <v>1</v>
      </c>
      <c r="AP503" s="21">
        <f t="shared" si="273"/>
        <v>1</v>
      </c>
      <c r="AQ503" s="149">
        <f t="shared" si="250"/>
        <v>5819.25</v>
      </c>
      <c r="AR503" s="21">
        <v>5819.25</v>
      </c>
      <c r="AS503" s="610">
        <v>8183.0999999999985</v>
      </c>
      <c r="AT503" s="112">
        <v>8183.0999999999985</v>
      </c>
      <c r="AU503" s="4"/>
      <c r="AV503" s="4"/>
      <c r="AW503" s="23" t="e">
        <f>VLOOKUP(K503,#REF!,8,FALSE)</f>
        <v>#REF!</v>
      </c>
      <c r="AX503" s="23" t="e">
        <f>VLOOKUP(K503,#REF!,8,FALSE)</f>
        <v>#REF!</v>
      </c>
      <c r="AY503" s="23" t="e">
        <f>VLOOKUP(K503,#REF!,8,FALSE)</f>
        <v>#REF!</v>
      </c>
      <c r="AZ503" s="4"/>
      <c r="BA503" s="272"/>
      <c r="BB503" s="313">
        <f t="shared" si="268"/>
        <v>-2363.8499999999985</v>
      </c>
      <c r="BC503" s="269">
        <f t="shared" si="269"/>
        <v>5819.25</v>
      </c>
      <c r="BD503" t="str">
        <f t="shared" si="270"/>
        <v/>
      </c>
      <c r="BP503" s="166">
        <f t="shared" si="266"/>
        <v>5819.25</v>
      </c>
      <c r="BS503" s="165"/>
      <c r="BX503" s="495">
        <f t="shared" si="267"/>
        <v>5819.25</v>
      </c>
      <c r="BZ503" s="636">
        <f t="shared" si="254"/>
        <v>0</v>
      </c>
      <c r="CA503" s="633">
        <f t="shared" si="255"/>
        <v>-2363.8499999999985</v>
      </c>
    </row>
    <row r="504" spans="1:79" x14ac:dyDescent="0.2">
      <c r="A504" s="4">
        <v>1</v>
      </c>
      <c r="B504" s="4">
        <v>1</v>
      </c>
      <c r="C504" s="5">
        <f t="shared" si="256"/>
        <v>41205</v>
      </c>
      <c r="D504" s="6">
        <v>41205</v>
      </c>
      <c r="E504" s="121">
        <v>43012</v>
      </c>
      <c r="F504" s="6" t="s">
        <v>1606</v>
      </c>
      <c r="G504" s="7" t="s">
        <v>75</v>
      </c>
      <c r="H504" s="7"/>
      <c r="I504" s="7" t="s">
        <v>157</v>
      </c>
      <c r="J504" s="7"/>
      <c r="K504" s="29">
        <v>378802</v>
      </c>
      <c r="L504" s="10" t="s">
        <v>988</v>
      </c>
      <c r="M504" s="10" t="s">
        <v>1113</v>
      </c>
      <c r="N504" s="10" t="s">
        <v>263</v>
      </c>
      <c r="O504" s="11" t="s">
        <v>1114</v>
      </c>
      <c r="P504" s="12">
        <v>39767</v>
      </c>
      <c r="Q504" s="13">
        <f t="shared" ca="1" si="257"/>
        <v>16.851471594798085</v>
      </c>
      <c r="R504" s="14">
        <v>9</v>
      </c>
      <c r="S504" s="15">
        <v>872</v>
      </c>
      <c r="T504" s="8">
        <v>872</v>
      </c>
      <c r="U504" s="16">
        <v>45017</v>
      </c>
      <c r="V504" s="17">
        <v>1</v>
      </c>
      <c r="W504" s="16">
        <v>45382</v>
      </c>
      <c r="X504" s="14">
        <v>192</v>
      </c>
      <c r="Y504" s="18">
        <f t="shared" si="253"/>
        <v>192</v>
      </c>
      <c r="Z504" s="18">
        <f t="shared" si="274"/>
        <v>1</v>
      </c>
      <c r="AA504" s="18" t="s">
        <v>36</v>
      </c>
      <c r="AB504" s="26">
        <v>27</v>
      </c>
      <c r="AC504" s="26"/>
      <c r="AD504" s="26"/>
      <c r="AE504" s="147" t="str">
        <f t="shared" si="251"/>
        <v>0</v>
      </c>
      <c r="AF504" s="147" t="str">
        <f t="shared" si="261"/>
        <v>1</v>
      </c>
      <c r="AG504" s="147" t="str">
        <f t="shared" si="252"/>
        <v>0</v>
      </c>
      <c r="AH504" s="147" t="str">
        <f t="shared" si="262"/>
        <v>NO</v>
      </c>
      <c r="AI504" s="147" t="str">
        <f t="shared" si="263"/>
        <v>NO</v>
      </c>
      <c r="AJ504" s="147" t="str">
        <f t="shared" si="264"/>
        <v>NO</v>
      </c>
      <c r="AK504" s="147" t="str">
        <f t="shared" si="265"/>
        <v>NO</v>
      </c>
      <c r="AL504" s="21"/>
      <c r="AM504" s="21">
        <f t="shared" si="275"/>
        <v>6764.7899999999991</v>
      </c>
      <c r="AN504" s="27" t="s">
        <v>56</v>
      </c>
      <c r="AO504" s="21">
        <v>1</v>
      </c>
      <c r="AP504" s="21">
        <f t="shared" si="273"/>
        <v>1</v>
      </c>
      <c r="AQ504" s="149">
        <f t="shared" si="250"/>
        <v>6764.7899999999991</v>
      </c>
      <c r="AR504" s="21">
        <v>6764.7899999999991</v>
      </c>
      <c r="AS504" s="610">
        <v>6764.7899999999991</v>
      </c>
      <c r="AT504" s="112">
        <v>6764.7899999999991</v>
      </c>
      <c r="AU504" s="4"/>
      <c r="AV504" s="4"/>
      <c r="AW504" s="23" t="e">
        <f>VLOOKUP(K504,#REF!,8,FALSE)</f>
        <v>#REF!</v>
      </c>
      <c r="AX504" s="23" t="e">
        <f>VLOOKUP(K504,#REF!,8,FALSE)</f>
        <v>#REF!</v>
      </c>
      <c r="AY504" s="23" t="e">
        <f>VLOOKUP(K504,#REF!,8,FALSE)</f>
        <v>#REF!</v>
      </c>
      <c r="AZ504" s="4"/>
      <c r="BA504" s="272"/>
      <c r="BB504" s="313">
        <f t="shared" si="268"/>
        <v>0</v>
      </c>
      <c r="BC504" s="269">
        <f t="shared" si="269"/>
        <v>6764.7899999999991</v>
      </c>
      <c r="BD504" t="str">
        <f t="shared" si="270"/>
        <v/>
      </c>
      <c r="BP504" s="166">
        <f t="shared" si="266"/>
        <v>6764.7899999999991</v>
      </c>
      <c r="BS504" s="165"/>
      <c r="BX504" s="495">
        <f t="shared" si="267"/>
        <v>6764.7899999999991</v>
      </c>
      <c r="BZ504" s="636">
        <f t="shared" si="254"/>
        <v>0</v>
      </c>
      <c r="CA504" s="633">
        <f t="shared" si="255"/>
        <v>0</v>
      </c>
    </row>
    <row r="505" spans="1:79" x14ac:dyDescent="0.2">
      <c r="A505" s="4">
        <v>1</v>
      </c>
      <c r="B505" s="4">
        <v>1</v>
      </c>
      <c r="C505" s="5">
        <f t="shared" si="256"/>
        <v>41205</v>
      </c>
      <c r="D505" s="6">
        <v>41205</v>
      </c>
      <c r="E505" s="121">
        <v>43012</v>
      </c>
      <c r="F505" s="6" t="s">
        <v>1606</v>
      </c>
      <c r="G505" s="7" t="s">
        <v>75</v>
      </c>
      <c r="H505" s="7"/>
      <c r="I505" s="7" t="s">
        <v>157</v>
      </c>
      <c r="J505" s="7"/>
      <c r="K505" s="35">
        <v>437843</v>
      </c>
      <c r="L505" s="10" t="s">
        <v>988</v>
      </c>
      <c r="M505" s="10" t="s">
        <v>1115</v>
      </c>
      <c r="N505" s="10" t="s">
        <v>1116</v>
      </c>
      <c r="O505" s="11" t="s">
        <v>1117</v>
      </c>
      <c r="P505" s="12">
        <v>40324</v>
      </c>
      <c r="Q505" s="13">
        <f t="shared" ca="1" si="257"/>
        <v>15.326488706365502</v>
      </c>
      <c r="R505" s="14">
        <v>8</v>
      </c>
      <c r="S505" s="15">
        <v>872</v>
      </c>
      <c r="T505" s="8">
        <v>872</v>
      </c>
      <c r="U505" s="16">
        <v>45017</v>
      </c>
      <c r="V505" s="17">
        <v>1</v>
      </c>
      <c r="W505" s="16">
        <v>45382</v>
      </c>
      <c r="X505" s="14">
        <v>192</v>
      </c>
      <c r="Y505" s="18">
        <f t="shared" si="253"/>
        <v>192</v>
      </c>
      <c r="Z505" s="18">
        <f t="shared" si="274"/>
        <v>1</v>
      </c>
      <c r="AA505" s="18" t="s">
        <v>36</v>
      </c>
      <c r="AB505" s="26">
        <v>7500</v>
      </c>
      <c r="AC505" s="26"/>
      <c r="AD505" s="26"/>
      <c r="AE505" s="147" t="str">
        <f t="shared" si="251"/>
        <v>0</v>
      </c>
      <c r="AF505" s="147" t="str">
        <f t="shared" si="261"/>
        <v>0</v>
      </c>
      <c r="AG505" s="147" t="str">
        <f t="shared" si="252"/>
        <v>1</v>
      </c>
      <c r="AH505" s="147" t="str">
        <f t="shared" si="262"/>
        <v>NO</v>
      </c>
      <c r="AI505" s="147" t="str">
        <f t="shared" si="263"/>
        <v>NO</v>
      </c>
      <c r="AJ505" s="147" t="str">
        <f t="shared" si="264"/>
        <v>NO</v>
      </c>
      <c r="AK505" s="147" t="str">
        <f t="shared" si="265"/>
        <v>NO</v>
      </c>
      <c r="AL505" s="21">
        <v>7500</v>
      </c>
      <c r="AM505" s="21">
        <f>AL505</f>
        <v>7500</v>
      </c>
      <c r="AN505" s="27" t="s">
        <v>43</v>
      </c>
      <c r="AO505" s="21">
        <v>1</v>
      </c>
      <c r="AP505" s="21">
        <f t="shared" si="273"/>
        <v>1</v>
      </c>
      <c r="AQ505" s="149">
        <f t="shared" si="250"/>
        <v>7500</v>
      </c>
      <c r="AR505" s="21">
        <v>7500</v>
      </c>
      <c r="AS505" s="610">
        <v>7500</v>
      </c>
      <c r="AT505" s="112">
        <v>7500</v>
      </c>
      <c r="AU505" s="4"/>
      <c r="AV505" s="4"/>
      <c r="AW505" s="23" t="e">
        <f>VLOOKUP(K505,#REF!,8,FALSE)</f>
        <v>#REF!</v>
      </c>
      <c r="AX505" s="23" t="e">
        <f>VLOOKUP(K505,#REF!,8,FALSE)</f>
        <v>#REF!</v>
      </c>
      <c r="AY505" s="23" t="e">
        <f>VLOOKUP(K505,#REF!,8,FALSE)</f>
        <v>#REF!</v>
      </c>
      <c r="AZ505" s="4"/>
      <c r="BA505" s="272"/>
      <c r="BB505" s="313">
        <f t="shared" si="268"/>
        <v>0</v>
      </c>
      <c r="BC505" s="269">
        <f t="shared" si="269"/>
        <v>7500</v>
      </c>
      <c r="BD505" t="str">
        <f t="shared" si="270"/>
        <v/>
      </c>
      <c r="BP505" s="166">
        <f t="shared" si="266"/>
        <v>7500</v>
      </c>
      <c r="BS505" s="165"/>
      <c r="BX505" s="495">
        <f t="shared" si="267"/>
        <v>7500</v>
      </c>
      <c r="BZ505" s="636">
        <f t="shared" si="254"/>
        <v>0</v>
      </c>
      <c r="CA505" s="633">
        <f t="shared" si="255"/>
        <v>0</v>
      </c>
    </row>
    <row r="506" spans="1:79" x14ac:dyDescent="0.2">
      <c r="A506" s="4">
        <v>1</v>
      </c>
      <c r="B506" s="4">
        <v>1</v>
      </c>
      <c r="C506" s="5">
        <f t="shared" si="256"/>
        <v>41205</v>
      </c>
      <c r="D506" s="6">
        <v>41205</v>
      </c>
      <c r="E506" s="121">
        <v>43012</v>
      </c>
      <c r="F506" s="6" t="s">
        <v>1606</v>
      </c>
      <c r="G506" s="7" t="s">
        <v>75</v>
      </c>
      <c r="H506" s="7"/>
      <c r="I506" s="7" t="s">
        <v>157</v>
      </c>
      <c r="J506" s="7"/>
      <c r="K506" s="29">
        <v>399599</v>
      </c>
      <c r="L506" s="10" t="s">
        <v>988</v>
      </c>
      <c r="M506" s="10" t="s">
        <v>1118</v>
      </c>
      <c r="N506" s="10" t="s">
        <v>1119</v>
      </c>
      <c r="O506" s="11" t="s">
        <v>1120</v>
      </c>
      <c r="P506" s="12">
        <v>40411</v>
      </c>
      <c r="Q506" s="13">
        <f t="shared" ca="1" si="257"/>
        <v>15.08829568788501</v>
      </c>
      <c r="R506" s="14">
        <v>8</v>
      </c>
      <c r="S506" s="15">
        <v>872</v>
      </c>
      <c r="T506" s="8">
        <v>872</v>
      </c>
      <c r="U506" s="16">
        <v>45017</v>
      </c>
      <c r="V506" s="17">
        <v>1</v>
      </c>
      <c r="W506" s="16">
        <v>45382</v>
      </c>
      <c r="X506" s="14">
        <v>192</v>
      </c>
      <c r="Y506" s="18">
        <f t="shared" si="253"/>
        <v>192</v>
      </c>
      <c r="Z506" s="18">
        <f t="shared" si="274"/>
        <v>1</v>
      </c>
      <c r="AA506" s="18" t="s">
        <v>36</v>
      </c>
      <c r="AB506" s="26">
        <v>30</v>
      </c>
      <c r="AC506" s="26"/>
      <c r="AD506" s="26"/>
      <c r="AE506" s="147" t="str">
        <f t="shared" si="251"/>
        <v>0</v>
      </c>
      <c r="AF506" s="147" t="str">
        <f t="shared" si="261"/>
        <v>1</v>
      </c>
      <c r="AG506" s="147" t="str">
        <f t="shared" si="252"/>
        <v>0</v>
      </c>
      <c r="AH506" s="147" t="str">
        <f t="shared" si="262"/>
        <v>NO</v>
      </c>
      <c r="AI506" s="147" t="str">
        <f t="shared" si="263"/>
        <v>NO</v>
      </c>
      <c r="AJ506" s="147" t="str">
        <f t="shared" si="264"/>
        <v>NO</v>
      </c>
      <c r="AK506" s="147" t="str">
        <f t="shared" si="265"/>
        <v>NO</v>
      </c>
      <c r="AL506" s="21"/>
      <c r="AM506" s="21">
        <f>IF(H506="Y",AL506,((AB506*$O$902)-6000))</f>
        <v>8183.0999999999985</v>
      </c>
      <c r="AN506" s="27" t="s">
        <v>81</v>
      </c>
      <c r="AO506" s="21">
        <v>1</v>
      </c>
      <c r="AP506" s="21">
        <f t="shared" si="273"/>
        <v>1</v>
      </c>
      <c r="AQ506" s="149">
        <f t="shared" si="250"/>
        <v>8183.0999999999985</v>
      </c>
      <c r="AR506" s="21">
        <v>8183.0999999999985</v>
      </c>
      <c r="AS506" s="610">
        <v>8183.0999999999985</v>
      </c>
      <c r="AT506" s="112">
        <v>8183.0999999999985</v>
      </c>
      <c r="AU506" s="4"/>
      <c r="AV506" s="4"/>
      <c r="AW506" s="23" t="e">
        <f>VLOOKUP(K506,#REF!,8,FALSE)</f>
        <v>#REF!</v>
      </c>
      <c r="AX506" s="23" t="e">
        <f>VLOOKUP(K506,#REF!,8,FALSE)</f>
        <v>#REF!</v>
      </c>
      <c r="AY506" s="23" t="e">
        <f>VLOOKUP(K506,#REF!,8,FALSE)</f>
        <v>#REF!</v>
      </c>
      <c r="AZ506" s="4"/>
      <c r="BA506" s="272"/>
      <c r="BB506" s="313">
        <f t="shared" ref="BB506:BB537" si="276">BC506-AT506</f>
        <v>0</v>
      </c>
      <c r="BC506" s="269">
        <f t="shared" ref="BC506:BC537" si="277">AR506</f>
        <v>8183.0999999999985</v>
      </c>
      <c r="BD506" t="str">
        <f t="shared" si="270"/>
        <v/>
      </c>
      <c r="BP506" s="166">
        <f t="shared" si="266"/>
        <v>8183.0999999999985</v>
      </c>
      <c r="BS506" s="165"/>
      <c r="BX506" s="495">
        <f t="shared" si="267"/>
        <v>8183.0999999999985</v>
      </c>
      <c r="BZ506" s="636">
        <f t="shared" si="254"/>
        <v>0</v>
      </c>
      <c r="CA506" s="633">
        <f t="shared" si="255"/>
        <v>0</v>
      </c>
    </row>
    <row r="507" spans="1:79" x14ac:dyDescent="0.2">
      <c r="A507" s="4">
        <v>1</v>
      </c>
      <c r="B507" s="4">
        <v>1</v>
      </c>
      <c r="C507" s="5">
        <f t="shared" si="256"/>
        <v>41205</v>
      </c>
      <c r="D507" s="6">
        <v>41205</v>
      </c>
      <c r="E507" s="121">
        <v>43012</v>
      </c>
      <c r="F507" s="6" t="s">
        <v>1606</v>
      </c>
      <c r="G507" s="7" t="s">
        <v>75</v>
      </c>
      <c r="H507" s="7"/>
      <c r="I507" s="7" t="s">
        <v>157</v>
      </c>
      <c r="J507" s="7"/>
      <c r="K507" s="29">
        <v>435997</v>
      </c>
      <c r="L507" s="10" t="s">
        <v>988</v>
      </c>
      <c r="M507" s="10" t="s">
        <v>1121</v>
      </c>
      <c r="N507" s="10" t="s">
        <v>1122</v>
      </c>
      <c r="O507" s="11" t="str">
        <f>M507&amp;N507</f>
        <v>ReyanShah</v>
      </c>
      <c r="P507" s="12">
        <v>38854</v>
      </c>
      <c r="Q507" s="13">
        <f t="shared" ca="1" si="257"/>
        <v>19.351129363449694</v>
      </c>
      <c r="R507" s="14">
        <v>11</v>
      </c>
      <c r="S507" s="15">
        <v>872</v>
      </c>
      <c r="T507" s="8">
        <v>872</v>
      </c>
      <c r="U507" s="16">
        <v>45017</v>
      </c>
      <c r="V507" s="17">
        <v>1</v>
      </c>
      <c r="W507" s="16">
        <v>45128</v>
      </c>
      <c r="X507" s="14">
        <v>63</v>
      </c>
      <c r="Y507" s="18">
        <f t="shared" si="253"/>
        <v>63</v>
      </c>
      <c r="Z507" s="18">
        <f t="shared" si="274"/>
        <v>0.328125</v>
      </c>
      <c r="AA507" s="16" t="s">
        <v>166</v>
      </c>
      <c r="AB507" s="26">
        <v>15719</v>
      </c>
      <c r="AC507" s="26"/>
      <c r="AD507" s="26"/>
      <c r="AE507" s="147" t="str">
        <f t="shared" si="251"/>
        <v>0</v>
      </c>
      <c r="AF507" s="147" t="str">
        <f t="shared" si="261"/>
        <v>0</v>
      </c>
      <c r="AG507" s="147" t="str">
        <f t="shared" si="252"/>
        <v>1</v>
      </c>
      <c r="AH507" s="147" t="str">
        <f t="shared" si="262"/>
        <v>NO</v>
      </c>
      <c r="AI507" s="147" t="str">
        <f t="shared" si="263"/>
        <v>NO</v>
      </c>
      <c r="AJ507" s="147" t="str">
        <f t="shared" si="264"/>
        <v>NO</v>
      </c>
      <c r="AK507" s="147" t="str">
        <f t="shared" si="265"/>
        <v>NO</v>
      </c>
      <c r="AL507" s="21">
        <v>15719</v>
      </c>
      <c r="AM507" s="21">
        <v>15719</v>
      </c>
      <c r="AN507" s="27"/>
      <c r="AO507" s="21">
        <v>1</v>
      </c>
      <c r="AP507" s="21">
        <f t="shared" si="273"/>
        <v>0.328125</v>
      </c>
      <c r="AQ507" s="149">
        <f t="shared" si="250"/>
        <v>5157.796875</v>
      </c>
      <c r="AR507" s="21">
        <v>5157.796875</v>
      </c>
      <c r="AS507" s="610">
        <v>5157.796875</v>
      </c>
      <c r="AT507" s="112">
        <v>5157.796875</v>
      </c>
      <c r="AU507" s="4"/>
      <c r="AV507" s="4"/>
      <c r="AW507" s="23" t="e">
        <f>VLOOKUP(K507,#REF!,8,FALSE)</f>
        <v>#REF!</v>
      </c>
      <c r="AX507" s="23" t="e">
        <f>VLOOKUP(K507,#REF!,8,FALSE)</f>
        <v>#REF!</v>
      </c>
      <c r="AY507" s="266" t="s">
        <v>2142</v>
      </c>
      <c r="AZ507" s="268" t="s">
        <v>75</v>
      </c>
      <c r="BA507" s="274">
        <f>AM507/3*2</f>
        <v>10479.333333333334</v>
      </c>
      <c r="BB507" s="313">
        <f t="shared" si="276"/>
        <v>0</v>
      </c>
      <c r="BC507" s="269">
        <f t="shared" si="277"/>
        <v>5157.796875</v>
      </c>
      <c r="BD507" t="e">
        <f t="shared" si="270"/>
        <v>#REF!</v>
      </c>
      <c r="BE507" t="s">
        <v>2351</v>
      </c>
      <c r="BI507" t="e">
        <f>VLOOKUP(K507,#REF!,8,FALSE)</f>
        <v>#REF!</v>
      </c>
      <c r="BK507" s="269"/>
      <c r="BN507" s="353" t="s">
        <v>75</v>
      </c>
      <c r="BO507" s="106"/>
      <c r="BP507" s="166">
        <f t="shared" si="266"/>
        <v>5157.796875</v>
      </c>
      <c r="BQ507" t="s">
        <v>2351</v>
      </c>
      <c r="BS507" s="165"/>
      <c r="BX507" s="495">
        <f t="shared" si="267"/>
        <v>5157.796875</v>
      </c>
      <c r="BZ507" s="636">
        <f t="shared" si="254"/>
        <v>0</v>
      </c>
      <c r="CA507" s="633">
        <f t="shared" si="255"/>
        <v>0</v>
      </c>
    </row>
    <row r="508" spans="1:79" x14ac:dyDescent="0.2">
      <c r="A508" s="4">
        <v>1</v>
      </c>
      <c r="B508" s="4">
        <v>1</v>
      </c>
      <c r="C508" s="5">
        <f t="shared" si="256"/>
        <v>41205</v>
      </c>
      <c r="D508" s="6">
        <v>41205</v>
      </c>
      <c r="E508" s="121">
        <v>43012</v>
      </c>
      <c r="F508" s="6" t="s">
        <v>1606</v>
      </c>
      <c r="G508" s="7" t="s">
        <v>75</v>
      </c>
      <c r="H508" s="7"/>
      <c r="I508" s="7" t="s">
        <v>157</v>
      </c>
      <c r="J508" s="7"/>
      <c r="K508" s="29">
        <v>387846</v>
      </c>
      <c r="L508" s="10" t="s">
        <v>988</v>
      </c>
      <c r="M508" s="10" t="s">
        <v>1123</v>
      </c>
      <c r="N508" s="10" t="s">
        <v>831</v>
      </c>
      <c r="O508" s="11" t="s">
        <v>1124</v>
      </c>
      <c r="P508" s="12">
        <v>40216</v>
      </c>
      <c r="Q508" s="13">
        <f t="shared" ca="1" si="257"/>
        <v>15.622176591375769</v>
      </c>
      <c r="R508" s="14">
        <v>8</v>
      </c>
      <c r="S508" s="15">
        <v>872</v>
      </c>
      <c r="T508" s="8">
        <v>872</v>
      </c>
      <c r="U508" s="16">
        <v>45017</v>
      </c>
      <c r="V508" s="17">
        <v>1</v>
      </c>
      <c r="W508" s="16">
        <v>45382</v>
      </c>
      <c r="X508" s="14">
        <v>192</v>
      </c>
      <c r="Y508" s="18">
        <f t="shared" si="253"/>
        <v>192</v>
      </c>
      <c r="Z508" s="18">
        <f t="shared" si="274"/>
        <v>1</v>
      </c>
      <c r="AA508" s="18" t="s">
        <v>36</v>
      </c>
      <c r="AB508" s="26">
        <v>25</v>
      </c>
      <c r="AC508" s="26"/>
      <c r="AD508" s="26"/>
      <c r="AE508" s="147" t="str">
        <f t="shared" si="251"/>
        <v>1</v>
      </c>
      <c r="AF508" s="147" t="str">
        <f t="shared" si="261"/>
        <v>0</v>
      </c>
      <c r="AG508" s="147" t="str">
        <f t="shared" si="252"/>
        <v>0</v>
      </c>
      <c r="AH508" s="147" t="str">
        <f t="shared" si="262"/>
        <v>NO</v>
      </c>
      <c r="AI508" s="147" t="str">
        <f t="shared" si="263"/>
        <v>NO</v>
      </c>
      <c r="AJ508" s="147" t="str">
        <f t="shared" si="264"/>
        <v>NO</v>
      </c>
      <c r="AK508" s="147" t="str">
        <f t="shared" si="265"/>
        <v>NO</v>
      </c>
      <c r="AL508" s="21"/>
      <c r="AM508" s="21">
        <f>IF(H508="Y",AL508,((AB508*$O$902)-6000))</f>
        <v>5819.25</v>
      </c>
      <c r="AN508" s="27" t="s">
        <v>185</v>
      </c>
      <c r="AO508" s="21">
        <v>1</v>
      </c>
      <c r="AP508" s="21">
        <f t="shared" si="273"/>
        <v>1</v>
      </c>
      <c r="AQ508" s="149">
        <f t="shared" si="250"/>
        <v>5819.25</v>
      </c>
      <c r="AR508" s="21">
        <v>5819.25</v>
      </c>
      <c r="AS508" s="610">
        <v>5819.25</v>
      </c>
      <c r="AT508" s="112">
        <v>5819.25</v>
      </c>
      <c r="AU508" s="4"/>
      <c r="AV508" s="4"/>
      <c r="AW508" s="23" t="e">
        <f>VLOOKUP(K508,#REF!,8,FALSE)</f>
        <v>#REF!</v>
      </c>
      <c r="AX508" s="23" t="e">
        <f>VLOOKUP(K508,#REF!,8,FALSE)</f>
        <v>#REF!</v>
      </c>
      <c r="AY508" s="23" t="e">
        <f>VLOOKUP(K508,#REF!,8,FALSE)</f>
        <v>#REF!</v>
      </c>
      <c r="AZ508" s="4"/>
      <c r="BA508" s="272"/>
      <c r="BB508" s="313">
        <f t="shared" si="276"/>
        <v>0</v>
      </c>
      <c r="BC508" s="269">
        <f t="shared" si="277"/>
        <v>5819.25</v>
      </c>
      <c r="BD508" t="str">
        <f t="shared" si="270"/>
        <v/>
      </c>
      <c r="BP508" s="166">
        <f t="shared" si="266"/>
        <v>5819.25</v>
      </c>
      <c r="BS508" s="165"/>
      <c r="BX508" s="495">
        <f t="shared" si="267"/>
        <v>5819.25</v>
      </c>
      <c r="BZ508" s="636">
        <f t="shared" si="254"/>
        <v>0</v>
      </c>
      <c r="CA508" s="633">
        <f t="shared" si="255"/>
        <v>0</v>
      </c>
    </row>
    <row r="509" spans="1:79" x14ac:dyDescent="0.2">
      <c r="A509" s="4">
        <v>1</v>
      </c>
      <c r="B509" s="4">
        <v>1</v>
      </c>
      <c r="C509" s="5">
        <f t="shared" si="256"/>
        <v>41205</v>
      </c>
      <c r="D509" s="6">
        <v>41205</v>
      </c>
      <c r="E509" s="121">
        <v>43012</v>
      </c>
      <c r="F509" s="6" t="s">
        <v>1606</v>
      </c>
      <c r="G509" s="7" t="s">
        <v>75</v>
      </c>
      <c r="H509" s="7"/>
      <c r="I509" s="7" t="s">
        <v>157</v>
      </c>
      <c r="J509" s="7"/>
      <c r="K509" s="29">
        <v>383296</v>
      </c>
      <c r="L509" s="10" t="s">
        <v>988</v>
      </c>
      <c r="M509" s="10" t="s">
        <v>293</v>
      </c>
      <c r="N509" s="10" t="s">
        <v>1125</v>
      </c>
      <c r="O509" s="11" t="s">
        <v>1126</v>
      </c>
      <c r="P509" s="12">
        <v>39948</v>
      </c>
      <c r="Q509" s="13">
        <f t="shared" ca="1" si="257"/>
        <v>16.355920602327174</v>
      </c>
      <c r="R509" s="14">
        <v>9</v>
      </c>
      <c r="S509" s="15">
        <v>872</v>
      </c>
      <c r="T509" s="8">
        <v>872</v>
      </c>
      <c r="U509" s="16">
        <v>45017</v>
      </c>
      <c r="V509" s="17">
        <v>1</v>
      </c>
      <c r="W509" s="16">
        <v>45382</v>
      </c>
      <c r="X509" s="14">
        <v>192</v>
      </c>
      <c r="Y509" s="18">
        <f t="shared" si="253"/>
        <v>192</v>
      </c>
      <c r="Z509" s="18">
        <f t="shared" si="274"/>
        <v>1</v>
      </c>
      <c r="AA509" s="18" t="s">
        <v>36</v>
      </c>
      <c r="AB509" s="26">
        <v>28</v>
      </c>
      <c r="AC509" s="26"/>
      <c r="AD509" s="26"/>
      <c r="AE509" s="147" t="str">
        <f t="shared" si="251"/>
        <v>0</v>
      </c>
      <c r="AF509" s="147" t="str">
        <f t="shared" si="261"/>
        <v>1</v>
      </c>
      <c r="AG509" s="147" t="str">
        <f t="shared" si="252"/>
        <v>0</v>
      </c>
      <c r="AH509" s="147" t="str">
        <f t="shared" si="262"/>
        <v>NO</v>
      </c>
      <c r="AI509" s="147" t="str">
        <f t="shared" si="263"/>
        <v>NO</v>
      </c>
      <c r="AJ509" s="147" t="str">
        <f t="shared" si="264"/>
        <v>NO</v>
      </c>
      <c r="AK509" s="147" t="str">
        <f t="shared" si="265"/>
        <v>NO</v>
      </c>
      <c r="AL509" s="21"/>
      <c r="AM509" s="21">
        <f>IF(H509="Y",AL509,((AB509*$O$902)-6000))</f>
        <v>7237.5599999999995</v>
      </c>
      <c r="AN509" s="27" t="s">
        <v>56</v>
      </c>
      <c r="AO509" s="21">
        <v>1</v>
      </c>
      <c r="AP509" s="21">
        <f t="shared" si="273"/>
        <v>1</v>
      </c>
      <c r="AQ509" s="149">
        <f t="shared" si="250"/>
        <v>7237.5599999999995</v>
      </c>
      <c r="AR509" s="21">
        <v>7237.5599999999995</v>
      </c>
      <c r="AS509" s="610">
        <v>7237.5599999999995</v>
      </c>
      <c r="AT509" s="112">
        <v>7237.5599999999995</v>
      </c>
      <c r="AU509" s="4"/>
      <c r="AV509" s="4"/>
      <c r="AW509" s="23" t="e">
        <f>VLOOKUP(K509,#REF!,8,FALSE)</f>
        <v>#REF!</v>
      </c>
      <c r="AX509" s="23" t="e">
        <f>VLOOKUP(K509,#REF!,8,FALSE)</f>
        <v>#REF!</v>
      </c>
      <c r="AY509" s="23" t="e">
        <f>VLOOKUP(K509,#REF!,8,FALSE)</f>
        <v>#REF!</v>
      </c>
      <c r="AZ509" s="4"/>
      <c r="BA509" s="272"/>
      <c r="BB509" s="313">
        <f t="shared" si="276"/>
        <v>0</v>
      </c>
      <c r="BC509" s="269">
        <f t="shared" si="277"/>
        <v>7237.5599999999995</v>
      </c>
      <c r="BD509" t="str">
        <f t="shared" si="270"/>
        <v/>
      </c>
      <c r="BP509" s="166">
        <f t="shared" si="266"/>
        <v>7237.5599999999995</v>
      </c>
      <c r="BS509" s="165"/>
      <c r="BX509" s="495">
        <f t="shared" si="267"/>
        <v>7237.5599999999995</v>
      </c>
      <c r="BZ509" s="636">
        <f t="shared" si="254"/>
        <v>0</v>
      </c>
      <c r="CA509" s="633">
        <f t="shared" si="255"/>
        <v>0</v>
      </c>
    </row>
    <row r="510" spans="1:79" x14ac:dyDescent="0.2">
      <c r="A510" s="4">
        <v>1</v>
      </c>
      <c r="B510" s="4">
        <v>1</v>
      </c>
      <c r="C510" s="5">
        <f t="shared" si="256"/>
        <v>41205</v>
      </c>
      <c r="D510" s="6">
        <v>41205</v>
      </c>
      <c r="E510" s="121">
        <v>43012</v>
      </c>
      <c r="F510" s="6" t="s">
        <v>1606</v>
      </c>
      <c r="G510" s="7" t="s">
        <v>75</v>
      </c>
      <c r="H510" s="7"/>
      <c r="I510" s="33" t="s">
        <v>270</v>
      </c>
      <c r="J510" s="33"/>
      <c r="K510" s="28">
        <v>359295</v>
      </c>
      <c r="L510" s="10" t="s">
        <v>988</v>
      </c>
      <c r="M510" s="10" t="s">
        <v>1127</v>
      </c>
      <c r="N510" s="10" t="s">
        <v>1128</v>
      </c>
      <c r="O510" s="25" t="s">
        <v>1129</v>
      </c>
      <c r="P510" s="12">
        <v>38477</v>
      </c>
      <c r="Q510" s="13">
        <f t="shared" ca="1" si="257"/>
        <v>20.383299110198493</v>
      </c>
      <c r="R510" s="14">
        <v>13</v>
      </c>
      <c r="S510" s="15">
        <v>872</v>
      </c>
      <c r="T510" s="8">
        <v>872</v>
      </c>
      <c r="U510" s="16">
        <v>45017</v>
      </c>
      <c r="V510" s="17">
        <v>1</v>
      </c>
      <c r="W510" s="16">
        <v>45128</v>
      </c>
      <c r="X510" s="14">
        <v>63</v>
      </c>
      <c r="Y510" s="18">
        <f t="shared" si="253"/>
        <v>63</v>
      </c>
      <c r="Z510" s="18">
        <f t="shared" si="274"/>
        <v>0.328125</v>
      </c>
      <c r="AA510" s="16" t="s">
        <v>270</v>
      </c>
      <c r="AB510" s="26">
        <v>26317</v>
      </c>
      <c r="AC510" s="26"/>
      <c r="AD510" s="26"/>
      <c r="AE510" s="147" t="str">
        <f t="shared" si="251"/>
        <v>0</v>
      </c>
      <c r="AF510" s="147" t="str">
        <f t="shared" si="261"/>
        <v>0</v>
      </c>
      <c r="AG510" s="147" t="str">
        <f t="shared" si="252"/>
        <v>1</v>
      </c>
      <c r="AH510" s="147" t="str">
        <f t="shared" si="262"/>
        <v>NO</v>
      </c>
      <c r="AI510" s="147" t="str">
        <f t="shared" si="263"/>
        <v>NO</v>
      </c>
      <c r="AJ510" s="147" t="str">
        <f t="shared" si="264"/>
        <v>NO</v>
      </c>
      <c r="AK510" s="147" t="str">
        <f t="shared" si="265"/>
        <v>NO</v>
      </c>
      <c r="AL510" s="21"/>
      <c r="AM510" s="21">
        <v>26317</v>
      </c>
      <c r="AN510" s="27" t="s">
        <v>56</v>
      </c>
      <c r="AO510" s="21">
        <v>1</v>
      </c>
      <c r="AP510" s="21">
        <f t="shared" si="273"/>
        <v>0.328125</v>
      </c>
      <c r="AQ510" s="149">
        <f t="shared" si="250"/>
        <v>8635.265625</v>
      </c>
      <c r="AR510" s="21">
        <v>8635.265625</v>
      </c>
      <c r="AS510" s="610">
        <v>8635.265625</v>
      </c>
      <c r="AT510" s="112">
        <v>8635.265625</v>
      </c>
      <c r="AU510" s="4"/>
      <c r="AV510" s="4"/>
      <c r="AW510" s="23" t="e">
        <f>VLOOKUP(K510,#REF!,8,FALSE)</f>
        <v>#REF!</v>
      </c>
      <c r="AX510" s="23" t="e">
        <f>VLOOKUP(K510,#REF!,8,FALSE)</f>
        <v>#REF!</v>
      </c>
      <c r="AY510" s="23" t="e">
        <f>VLOOKUP(K510,#REF!,8,FALSE)</f>
        <v>#REF!</v>
      </c>
      <c r="AZ510" s="4"/>
      <c r="BA510" s="272"/>
      <c r="BB510" s="313">
        <f t="shared" si="276"/>
        <v>0</v>
      </c>
      <c r="BC510" s="269">
        <f t="shared" si="277"/>
        <v>8635.265625</v>
      </c>
      <c r="BD510" s="110" t="s">
        <v>2405</v>
      </c>
      <c r="BJ510">
        <f>AB510</f>
        <v>26317</v>
      </c>
      <c r="BK510" s="269">
        <f>AM510</f>
        <v>26317</v>
      </c>
      <c r="BO510" s="106">
        <f>BK510/192*127</f>
        <v>17407.598958333336</v>
      </c>
      <c r="BP510" s="166">
        <f t="shared" si="266"/>
        <v>26042.864583333336</v>
      </c>
      <c r="BS510" s="165"/>
      <c r="BX510" s="495">
        <f t="shared" si="267"/>
        <v>26042.864583333336</v>
      </c>
      <c r="BZ510" s="636">
        <f t="shared" si="254"/>
        <v>0</v>
      </c>
      <c r="CA510" s="633">
        <f t="shared" si="255"/>
        <v>17407.598958333336</v>
      </c>
    </row>
    <row r="511" spans="1:79" x14ac:dyDescent="0.2">
      <c r="A511" s="4">
        <v>0</v>
      </c>
      <c r="B511" s="4">
        <v>1</v>
      </c>
      <c r="C511" s="5">
        <f t="shared" si="256"/>
        <v>41205</v>
      </c>
      <c r="D511" s="6">
        <v>41205</v>
      </c>
      <c r="E511" s="121">
        <v>43012</v>
      </c>
      <c r="F511" s="6" t="s">
        <v>1606</v>
      </c>
      <c r="G511" s="7" t="s">
        <v>75</v>
      </c>
      <c r="H511" s="7"/>
      <c r="I511" s="33" t="s">
        <v>157</v>
      </c>
      <c r="J511" s="33"/>
      <c r="K511" s="28">
        <v>395349</v>
      </c>
      <c r="L511" s="10" t="s">
        <v>988</v>
      </c>
      <c r="M511" s="10" t="s">
        <v>111</v>
      </c>
      <c r="N511" s="10" t="s">
        <v>112</v>
      </c>
      <c r="O511" s="25" t="s">
        <v>113</v>
      </c>
      <c r="P511" s="12">
        <v>40906</v>
      </c>
      <c r="Q511" s="13">
        <f t="shared" ca="1" si="257"/>
        <v>13.733059548254619</v>
      </c>
      <c r="R511" s="14">
        <v>7</v>
      </c>
      <c r="S511" s="15">
        <v>872</v>
      </c>
      <c r="T511" s="8">
        <v>872</v>
      </c>
      <c r="U511" s="102">
        <v>45173</v>
      </c>
      <c r="V511" s="17">
        <v>66</v>
      </c>
      <c r="W511" s="16">
        <v>45382</v>
      </c>
      <c r="X511" s="14">
        <v>192</v>
      </c>
      <c r="Y511" s="18">
        <f t="shared" si="253"/>
        <v>127</v>
      </c>
      <c r="Z511" s="18">
        <f t="shared" si="274"/>
        <v>0.66145833333333337</v>
      </c>
      <c r="AA511" s="16"/>
      <c r="AB511" s="26">
        <v>25</v>
      </c>
      <c r="AC511" s="26"/>
      <c r="AD511" s="26"/>
      <c r="AE511" s="147" t="str">
        <f t="shared" si="251"/>
        <v>1</v>
      </c>
      <c r="AF511" s="147" t="str">
        <f t="shared" si="261"/>
        <v>0</v>
      </c>
      <c r="AG511" s="147" t="str">
        <f t="shared" si="252"/>
        <v>0</v>
      </c>
      <c r="AH511" s="147" t="str">
        <f t="shared" si="262"/>
        <v>NO</v>
      </c>
      <c r="AI511" s="147" t="str">
        <f t="shared" si="263"/>
        <v>NO</v>
      </c>
      <c r="AJ511" s="147" t="str">
        <f t="shared" si="264"/>
        <v>NO</v>
      </c>
      <c r="AK511" s="147" t="str">
        <f t="shared" si="265"/>
        <v>NO</v>
      </c>
      <c r="AL511" s="21"/>
      <c r="AM511" s="21">
        <f>IF(H511="Y",AL511,((AB511*$O$902)-6000))</f>
        <v>5819.25</v>
      </c>
      <c r="AN511" s="27" t="s">
        <v>37</v>
      </c>
      <c r="AO511" s="21">
        <v>1</v>
      </c>
      <c r="AP511" s="21">
        <f t="shared" si="273"/>
        <v>0.66145833333333337</v>
      </c>
      <c r="AQ511" s="149">
        <f t="shared" si="250"/>
        <v>3849.19140625</v>
      </c>
      <c r="AR511" s="21">
        <v>3849.19140625</v>
      </c>
      <c r="AS511" s="610">
        <v>0</v>
      </c>
      <c r="AT511" s="112">
        <v>0</v>
      </c>
      <c r="AU511" s="4"/>
      <c r="AV511" s="4"/>
      <c r="AW511" s="23"/>
      <c r="AX511" s="23"/>
      <c r="AY511" s="23"/>
      <c r="AZ511" s="4"/>
      <c r="BA511" s="272"/>
      <c r="BB511" s="313">
        <f t="shared" si="276"/>
        <v>3849.19140625</v>
      </c>
      <c r="BC511" s="269">
        <f t="shared" si="277"/>
        <v>3849.19140625</v>
      </c>
      <c r="BD511" t="str">
        <f t="shared" ref="BD511:BD523" si="278">BG511&amp;BH511&amp;BI511</f>
        <v/>
      </c>
      <c r="BJ511" t="s">
        <v>2344</v>
      </c>
      <c r="BP511" s="166">
        <f t="shared" si="266"/>
        <v>3849.19140625</v>
      </c>
      <c r="BS511" s="165"/>
      <c r="BX511" s="495">
        <f t="shared" si="267"/>
        <v>3849.19140625</v>
      </c>
      <c r="BZ511" s="636">
        <f t="shared" si="254"/>
        <v>0</v>
      </c>
      <c r="CA511" s="633">
        <f t="shared" si="255"/>
        <v>3849.19140625</v>
      </c>
    </row>
    <row r="512" spans="1:79" x14ac:dyDescent="0.2">
      <c r="A512" s="4">
        <v>1</v>
      </c>
      <c r="B512" s="4">
        <v>1</v>
      </c>
      <c r="C512" s="5">
        <f t="shared" si="256"/>
        <v>41205</v>
      </c>
      <c r="D512" s="6">
        <v>41205</v>
      </c>
      <c r="E512" s="121">
        <v>43012</v>
      </c>
      <c r="F512" s="6" t="s">
        <v>1606</v>
      </c>
      <c r="G512" s="7" t="s">
        <v>75</v>
      </c>
      <c r="H512" s="7"/>
      <c r="I512" s="7" t="s">
        <v>157</v>
      </c>
      <c r="J512" s="7"/>
      <c r="K512" s="29">
        <v>422878</v>
      </c>
      <c r="L512" s="10" t="s">
        <v>988</v>
      </c>
      <c r="M512" s="10" t="s">
        <v>1130</v>
      </c>
      <c r="N512" s="10" t="s">
        <v>1131</v>
      </c>
      <c r="O512" s="11" t="s">
        <v>1132</v>
      </c>
      <c r="P512" s="12">
        <v>39179</v>
      </c>
      <c r="Q512" s="13">
        <f t="shared" ca="1" si="257"/>
        <v>18.461327857631758</v>
      </c>
      <c r="R512" s="14">
        <v>11</v>
      </c>
      <c r="S512" s="15">
        <v>872</v>
      </c>
      <c r="T512" s="8">
        <v>872</v>
      </c>
      <c r="U512" s="16">
        <v>45017</v>
      </c>
      <c r="V512" s="17">
        <v>1</v>
      </c>
      <c r="W512" s="16">
        <v>45128</v>
      </c>
      <c r="X512" s="14">
        <v>63</v>
      </c>
      <c r="Y512" s="18">
        <f t="shared" si="253"/>
        <v>63</v>
      </c>
      <c r="Z512" s="18">
        <f t="shared" si="274"/>
        <v>0.328125</v>
      </c>
      <c r="AA512" s="16" t="s">
        <v>166</v>
      </c>
      <c r="AB512" s="26">
        <v>25</v>
      </c>
      <c r="AC512" s="26"/>
      <c r="AD512" s="26"/>
      <c r="AE512" s="147" t="str">
        <f t="shared" si="251"/>
        <v>1</v>
      </c>
      <c r="AF512" s="147" t="str">
        <f t="shared" si="261"/>
        <v>0</v>
      </c>
      <c r="AG512" s="147" t="str">
        <f t="shared" si="252"/>
        <v>0</v>
      </c>
      <c r="AH512" s="147" t="str">
        <f t="shared" si="262"/>
        <v>NO</v>
      </c>
      <c r="AI512" s="147" t="str">
        <f t="shared" si="263"/>
        <v>NO</v>
      </c>
      <c r="AJ512" s="147" t="str">
        <f t="shared" si="264"/>
        <v>NO</v>
      </c>
      <c r="AK512" s="147" t="str">
        <f t="shared" si="265"/>
        <v>NO</v>
      </c>
      <c r="AL512" s="21"/>
      <c r="AM512" s="21">
        <f>IF(H512="Y",AL512,((AB512*$O$902)-6000))</f>
        <v>5819.25</v>
      </c>
      <c r="AN512" s="27" t="s">
        <v>56</v>
      </c>
      <c r="AO512" s="21">
        <v>1</v>
      </c>
      <c r="AP512" s="21">
        <f t="shared" si="273"/>
        <v>0.328125</v>
      </c>
      <c r="AQ512" s="149">
        <f t="shared" ref="AQ512:AQ575" si="279">AP512*AM512</f>
        <v>1909.44140625</v>
      </c>
      <c r="AR512" s="21">
        <v>1909.44140625</v>
      </c>
      <c r="AS512" s="610">
        <v>1909.44140625</v>
      </c>
      <c r="AT512" s="112">
        <v>1909.44140625</v>
      </c>
      <c r="AU512" s="4"/>
      <c r="AV512" s="4"/>
      <c r="AW512" s="23" t="e">
        <f>VLOOKUP(K512,#REF!,8,FALSE)</f>
        <v>#REF!</v>
      </c>
      <c r="AX512" s="23" t="e">
        <f>VLOOKUP(K512,#REF!,8,FALSE)</f>
        <v>#REF!</v>
      </c>
      <c r="AY512" s="266" t="s">
        <v>2238</v>
      </c>
      <c r="AZ512" s="268" t="s">
        <v>75</v>
      </c>
      <c r="BA512" s="274">
        <f>AM512/3*2</f>
        <v>3879.5</v>
      </c>
      <c r="BB512" s="313">
        <f t="shared" si="276"/>
        <v>0</v>
      </c>
      <c r="BC512" s="269">
        <f t="shared" si="277"/>
        <v>1909.44140625</v>
      </c>
      <c r="BD512" t="e">
        <f t="shared" si="278"/>
        <v>#REF!</v>
      </c>
      <c r="BI512" t="e">
        <f>VLOOKUP(K512,#REF!,8,FALSE)</f>
        <v>#REF!</v>
      </c>
      <c r="BK512" s="269"/>
      <c r="BN512" s="353" t="s">
        <v>75</v>
      </c>
      <c r="BO512" s="106"/>
      <c r="BP512" s="166">
        <f t="shared" si="266"/>
        <v>1909.44140625</v>
      </c>
      <c r="BQ512" t="s">
        <v>2238</v>
      </c>
      <c r="BS512" s="165"/>
      <c r="BX512" s="495">
        <f t="shared" si="267"/>
        <v>1909.44140625</v>
      </c>
      <c r="BZ512" s="636">
        <f t="shared" si="254"/>
        <v>0</v>
      </c>
      <c r="CA512" s="633">
        <f t="shared" si="255"/>
        <v>0</v>
      </c>
    </row>
    <row r="513" spans="1:79" x14ac:dyDescent="0.2">
      <c r="A513" s="4">
        <v>1</v>
      </c>
      <c r="B513" s="4">
        <v>1</v>
      </c>
      <c r="C513" s="5">
        <f t="shared" si="256"/>
        <v>41205</v>
      </c>
      <c r="D513" s="6">
        <v>41205</v>
      </c>
      <c r="E513" s="121">
        <v>43012</v>
      </c>
      <c r="F513" s="6" t="s">
        <v>1606</v>
      </c>
      <c r="G513" s="7" t="s">
        <v>75</v>
      </c>
      <c r="H513" s="7"/>
      <c r="I513" s="7" t="s">
        <v>157</v>
      </c>
      <c r="J513" s="7"/>
      <c r="K513" s="29">
        <v>383165</v>
      </c>
      <c r="L513" s="10" t="s">
        <v>988</v>
      </c>
      <c r="M513" s="10" t="s">
        <v>1133</v>
      </c>
      <c r="N513" s="10" t="s">
        <v>1134</v>
      </c>
      <c r="O513" s="11" t="s">
        <v>1135</v>
      </c>
      <c r="P513" s="12">
        <v>39982</v>
      </c>
      <c r="Q513" s="13">
        <f t="shared" ca="1" si="257"/>
        <v>16.262833675564682</v>
      </c>
      <c r="R513" s="14">
        <v>9</v>
      </c>
      <c r="S513" s="15">
        <v>872</v>
      </c>
      <c r="T513" s="8">
        <v>872</v>
      </c>
      <c r="U513" s="16">
        <v>45017</v>
      </c>
      <c r="V513" s="17">
        <v>1</v>
      </c>
      <c r="W513" s="16">
        <v>45128</v>
      </c>
      <c r="X513" s="14">
        <v>63</v>
      </c>
      <c r="Y513" s="18">
        <f t="shared" si="253"/>
        <v>63</v>
      </c>
      <c r="Z513" s="18">
        <f t="shared" si="274"/>
        <v>0.328125</v>
      </c>
      <c r="AA513" s="39">
        <v>45170</v>
      </c>
      <c r="AB513" s="26">
        <v>26999</v>
      </c>
      <c r="AC513" s="26"/>
      <c r="AD513" s="26"/>
      <c r="AE513" s="147" t="str">
        <f t="shared" ref="AE513:AE534" si="280">IF(AND(AB513&lt;=25,AB513&gt;=20),"1","0")</f>
        <v>0</v>
      </c>
      <c r="AF513" s="147" t="str">
        <f t="shared" si="261"/>
        <v>0</v>
      </c>
      <c r="AG513" s="147" t="str">
        <f t="shared" ref="AG513:AG534" si="281">IF(AB513&gt;=31,"1","0")</f>
        <v>1</v>
      </c>
      <c r="AH513" s="147" t="str">
        <f t="shared" si="262"/>
        <v>NO</v>
      </c>
      <c r="AI513" s="147" t="str">
        <f t="shared" si="263"/>
        <v>NO</v>
      </c>
      <c r="AJ513" s="147" t="str">
        <f t="shared" si="264"/>
        <v>NO</v>
      </c>
      <c r="AK513" s="147" t="str">
        <f t="shared" si="265"/>
        <v>NO</v>
      </c>
      <c r="AL513" s="21"/>
      <c r="AM513" s="21">
        <v>26999</v>
      </c>
      <c r="AN513" s="27" t="s">
        <v>56</v>
      </c>
      <c r="AO513" s="21">
        <v>1</v>
      </c>
      <c r="AP513" s="21">
        <f t="shared" si="273"/>
        <v>0.328125</v>
      </c>
      <c r="AQ513" s="149">
        <f t="shared" si="279"/>
        <v>8859.046875</v>
      </c>
      <c r="AR513" s="21">
        <v>8859.046875</v>
      </c>
      <c r="AS513" s="610">
        <v>8999.6666666666661</v>
      </c>
      <c r="AT513" s="112">
        <v>8999.6666666666661</v>
      </c>
      <c r="AU513" s="4"/>
      <c r="AV513" s="4"/>
      <c r="AW513" s="23" t="e">
        <f>VLOOKUP(K513,#REF!,8,FALSE)</f>
        <v>#REF!</v>
      </c>
      <c r="AX513" s="23" t="e">
        <f>VLOOKUP(K513,#REF!,8,FALSE)</f>
        <v>#REF!</v>
      </c>
      <c r="AY513" s="23" t="e">
        <f>VLOOKUP(K513,#REF!,8,FALSE)</f>
        <v>#REF!</v>
      </c>
      <c r="AZ513" s="4"/>
      <c r="BA513" s="272"/>
      <c r="BB513" s="313">
        <f t="shared" si="276"/>
        <v>-140.61979166666606</v>
      </c>
      <c r="BC513" s="269">
        <f t="shared" si="277"/>
        <v>8859.046875</v>
      </c>
      <c r="BD513" t="str">
        <f t="shared" si="278"/>
        <v/>
      </c>
      <c r="BP513" s="166">
        <f t="shared" si="266"/>
        <v>8859.046875</v>
      </c>
      <c r="BS513" s="165"/>
      <c r="BX513" s="495">
        <f t="shared" si="267"/>
        <v>8859.046875</v>
      </c>
      <c r="BZ513" s="636">
        <f t="shared" si="254"/>
        <v>0</v>
      </c>
      <c r="CA513" s="633">
        <f t="shared" si="255"/>
        <v>-140.61979166666606</v>
      </c>
    </row>
    <row r="514" spans="1:79" x14ac:dyDescent="0.2">
      <c r="A514" s="4">
        <v>0</v>
      </c>
      <c r="B514" s="4">
        <v>1</v>
      </c>
      <c r="C514" s="5">
        <f t="shared" si="256"/>
        <v>41205</v>
      </c>
      <c r="D514" s="6">
        <v>41205</v>
      </c>
      <c r="E514" s="121">
        <v>43012</v>
      </c>
      <c r="F514" s="6" t="s">
        <v>1606</v>
      </c>
      <c r="G514" s="7" t="s">
        <v>75</v>
      </c>
      <c r="H514" s="7"/>
      <c r="I514" s="7" t="s">
        <v>157</v>
      </c>
      <c r="J514" s="61" t="s">
        <v>142</v>
      </c>
      <c r="K514" s="28">
        <v>383165</v>
      </c>
      <c r="L514" s="10" t="s">
        <v>988</v>
      </c>
      <c r="M514" s="10" t="s">
        <v>1133</v>
      </c>
      <c r="N514" s="10" t="s">
        <v>1134</v>
      </c>
      <c r="O514" s="11" t="s">
        <v>1135</v>
      </c>
      <c r="P514" s="12">
        <v>39982</v>
      </c>
      <c r="Q514" s="13">
        <f t="shared" ca="1" si="257"/>
        <v>16.262833675564682</v>
      </c>
      <c r="R514" s="14">
        <v>9</v>
      </c>
      <c r="S514" s="15">
        <v>872</v>
      </c>
      <c r="T514" s="8">
        <v>872</v>
      </c>
      <c r="U514" s="16">
        <v>45017</v>
      </c>
      <c r="V514" s="17">
        <v>1</v>
      </c>
      <c r="W514" s="16">
        <v>45128</v>
      </c>
      <c r="X514" s="14">
        <v>63</v>
      </c>
      <c r="Y514" s="18">
        <f t="shared" si="253"/>
        <v>63</v>
      </c>
      <c r="Z514" s="18">
        <f t="shared" si="274"/>
        <v>0.328125</v>
      </c>
      <c r="AA514" s="16">
        <v>45128</v>
      </c>
      <c r="AB514" s="26">
        <v>19739</v>
      </c>
      <c r="AC514" s="26"/>
      <c r="AD514" s="26"/>
      <c r="AE514" s="147" t="str">
        <f t="shared" si="280"/>
        <v>0</v>
      </c>
      <c r="AF514" s="147" t="str">
        <f t="shared" si="261"/>
        <v>0</v>
      </c>
      <c r="AG514" s="147" t="str">
        <f t="shared" si="281"/>
        <v>1</v>
      </c>
      <c r="AH514" s="147" t="str">
        <f t="shared" si="262"/>
        <v>NO</v>
      </c>
      <c r="AI514" s="147" t="str">
        <f t="shared" si="263"/>
        <v>NO</v>
      </c>
      <c r="AJ514" s="147" t="str">
        <f t="shared" si="264"/>
        <v>NO</v>
      </c>
      <c r="AK514" s="147" t="str">
        <f t="shared" si="265"/>
        <v>NO</v>
      </c>
      <c r="AL514" s="21"/>
      <c r="AM514" s="21">
        <v>19739</v>
      </c>
      <c r="AN514" s="27" t="s">
        <v>56</v>
      </c>
      <c r="AO514" s="21">
        <v>1</v>
      </c>
      <c r="AP514" s="21">
        <f t="shared" si="273"/>
        <v>0.328125</v>
      </c>
      <c r="AQ514" s="149">
        <f t="shared" si="279"/>
        <v>6476.859375</v>
      </c>
      <c r="AR514" s="21">
        <v>6476.859375</v>
      </c>
      <c r="AS514" s="610">
        <v>6476.859375</v>
      </c>
      <c r="AT514" s="112">
        <v>6476.859375</v>
      </c>
      <c r="AU514" s="4"/>
      <c r="AV514" s="4"/>
      <c r="AW514" s="23" t="e">
        <f>VLOOKUP(K514,#REF!,8,FALSE)</f>
        <v>#REF!</v>
      </c>
      <c r="AX514" s="23" t="e">
        <f>VLOOKUP(K514,#REF!,8,FALSE)</f>
        <v>#REF!</v>
      </c>
      <c r="AY514" s="23" t="e">
        <f>VLOOKUP(K514,#REF!,8,FALSE)</f>
        <v>#REF!</v>
      </c>
      <c r="AZ514" s="4"/>
      <c r="BA514" s="272"/>
      <c r="BB514" s="313">
        <f t="shared" si="276"/>
        <v>0</v>
      </c>
      <c r="BC514" s="269">
        <f t="shared" si="277"/>
        <v>6476.859375</v>
      </c>
      <c r="BD514" t="str">
        <f t="shared" si="278"/>
        <v/>
      </c>
      <c r="BJ514">
        <f>AB514</f>
        <v>19739</v>
      </c>
      <c r="BK514" s="269">
        <f>AM514</f>
        <v>19739</v>
      </c>
      <c r="BO514" s="106">
        <f>BK514/192*127</f>
        <v>13056.526041666668</v>
      </c>
      <c r="BP514" s="166">
        <f t="shared" si="266"/>
        <v>19533.385416666668</v>
      </c>
      <c r="BS514" s="165"/>
      <c r="BX514" s="495">
        <f t="shared" si="267"/>
        <v>19533.385416666668</v>
      </c>
      <c r="BZ514" s="636">
        <f t="shared" si="254"/>
        <v>0</v>
      </c>
      <c r="CA514" s="633">
        <f t="shared" si="255"/>
        <v>13056.526041666668</v>
      </c>
    </row>
    <row r="515" spans="1:79" x14ac:dyDescent="0.2">
      <c r="A515" s="4">
        <v>1</v>
      </c>
      <c r="B515" s="4">
        <v>1</v>
      </c>
      <c r="C515" s="5">
        <f t="shared" si="256"/>
        <v>41205</v>
      </c>
      <c r="D515" s="6">
        <v>41205</v>
      </c>
      <c r="E515" s="121">
        <v>43012</v>
      </c>
      <c r="F515" s="6" t="s">
        <v>1606</v>
      </c>
      <c r="G515" s="7" t="s">
        <v>75</v>
      </c>
      <c r="H515" s="7"/>
      <c r="I515" s="7" t="s">
        <v>157</v>
      </c>
      <c r="J515" s="7"/>
      <c r="K515" s="29">
        <v>400568</v>
      </c>
      <c r="L515" s="10" t="s">
        <v>988</v>
      </c>
      <c r="M515" s="10" t="s">
        <v>1136</v>
      </c>
      <c r="N515" s="10" t="s">
        <v>1137</v>
      </c>
      <c r="O515" s="11" t="s">
        <v>1138</v>
      </c>
      <c r="P515" s="12">
        <v>38998</v>
      </c>
      <c r="Q515" s="13">
        <f t="shared" ca="1" si="257"/>
        <v>18.956878850102669</v>
      </c>
      <c r="R515" s="14">
        <v>11</v>
      </c>
      <c r="S515" s="15">
        <v>872</v>
      </c>
      <c r="T515" s="8">
        <v>872</v>
      </c>
      <c r="U515" s="16">
        <v>45017</v>
      </c>
      <c r="V515" s="17">
        <v>1</v>
      </c>
      <c r="W515" s="16">
        <v>45128</v>
      </c>
      <c r="X515" s="14">
        <v>63</v>
      </c>
      <c r="Y515" s="18">
        <f t="shared" ref="Y515:Y578" si="282">X515-V515+1</f>
        <v>63</v>
      </c>
      <c r="Z515" s="18">
        <f t="shared" si="274"/>
        <v>0.328125</v>
      </c>
      <c r="AA515" s="16" t="s">
        <v>166</v>
      </c>
      <c r="AB515" s="26">
        <v>25</v>
      </c>
      <c r="AC515" s="26"/>
      <c r="AD515" s="26"/>
      <c r="AE515" s="147" t="str">
        <f t="shared" si="280"/>
        <v>1</v>
      </c>
      <c r="AF515" s="147" t="str">
        <f t="shared" si="261"/>
        <v>0</v>
      </c>
      <c r="AG515" s="147" t="str">
        <f t="shared" si="281"/>
        <v>0</v>
      </c>
      <c r="AH515" s="147" t="str">
        <f t="shared" si="262"/>
        <v>NO</v>
      </c>
      <c r="AI515" s="147" t="str">
        <f t="shared" si="263"/>
        <v>NO</v>
      </c>
      <c r="AJ515" s="147" t="str">
        <f t="shared" si="264"/>
        <v>NO</v>
      </c>
      <c r="AK515" s="147" t="str">
        <f t="shared" si="265"/>
        <v>NO</v>
      </c>
      <c r="AL515" s="21"/>
      <c r="AM515" s="21">
        <f>IF(H515="Y",AL515,((AB515*$O$902)-6000))</f>
        <v>5819.25</v>
      </c>
      <c r="AN515" s="27"/>
      <c r="AO515" s="21">
        <v>1</v>
      </c>
      <c r="AP515" s="21">
        <f t="shared" si="273"/>
        <v>0.328125</v>
      </c>
      <c r="AQ515" s="149">
        <f t="shared" si="279"/>
        <v>1909.44140625</v>
      </c>
      <c r="AR515" s="21">
        <v>1909.44140625</v>
      </c>
      <c r="AS515" s="610">
        <v>1909.44140625</v>
      </c>
      <c r="AT515" s="112">
        <v>1909.44140625</v>
      </c>
      <c r="AU515" s="4"/>
      <c r="AV515" s="4"/>
      <c r="AW515" s="23" t="e">
        <f>VLOOKUP(K515,#REF!,8,FALSE)</f>
        <v>#REF!</v>
      </c>
      <c r="AX515" s="23" t="e">
        <f>VLOOKUP(K515,#REF!,8,FALSE)</f>
        <v>#REF!</v>
      </c>
      <c r="AY515" s="23" t="s">
        <v>2237</v>
      </c>
      <c r="AZ515" s="4"/>
      <c r="BA515" s="272"/>
      <c r="BB515" s="313">
        <f t="shared" si="276"/>
        <v>0</v>
      </c>
      <c r="BC515" s="269">
        <f t="shared" si="277"/>
        <v>1909.44140625</v>
      </c>
      <c r="BD515" t="e">
        <f t="shared" si="278"/>
        <v>#REF!</v>
      </c>
      <c r="BE515" t="s">
        <v>2394</v>
      </c>
      <c r="BF515">
        <v>43012</v>
      </c>
      <c r="BI515" t="e">
        <f>VLOOKUP(K515,#REF!,8,FALSE)</f>
        <v>#REF!</v>
      </c>
      <c r="BK515" s="269"/>
      <c r="BN515" s="353" t="s">
        <v>75</v>
      </c>
      <c r="BO515" s="106"/>
      <c r="BP515" s="166">
        <f t="shared" si="266"/>
        <v>1909.44140625</v>
      </c>
      <c r="BQ515" t="s">
        <v>2351</v>
      </c>
      <c r="BS515" s="165"/>
      <c r="BX515" s="495">
        <f t="shared" si="267"/>
        <v>1909.44140625</v>
      </c>
      <c r="BZ515" s="636">
        <f t="shared" ref="BZ515:BZ578" si="283">BX515-BP515</f>
        <v>0</v>
      </c>
      <c r="CA515" s="633">
        <f t="shared" ref="CA515:CA578" si="284">BX515-AS515</f>
        <v>0</v>
      </c>
    </row>
    <row r="516" spans="1:79" x14ac:dyDescent="0.2">
      <c r="A516" s="4">
        <v>1</v>
      </c>
      <c r="B516" s="4">
        <v>1</v>
      </c>
      <c r="C516" s="5">
        <f t="shared" si="256"/>
        <v>41205</v>
      </c>
      <c r="D516" s="6">
        <v>41205</v>
      </c>
      <c r="E516" s="121">
        <v>43012</v>
      </c>
      <c r="F516" s="6" t="s">
        <v>1606</v>
      </c>
      <c r="G516" s="7" t="s">
        <v>75</v>
      </c>
      <c r="H516" s="7"/>
      <c r="I516" s="7" t="s">
        <v>157</v>
      </c>
      <c r="J516" s="7"/>
      <c r="K516" s="29">
        <v>394802</v>
      </c>
      <c r="L516" s="10" t="s">
        <v>988</v>
      </c>
      <c r="M516" s="10" t="s">
        <v>420</v>
      </c>
      <c r="N516" s="10" t="s">
        <v>1139</v>
      </c>
      <c r="O516" s="11" t="s">
        <v>1140</v>
      </c>
      <c r="P516" s="12">
        <v>40593</v>
      </c>
      <c r="Q516" s="13">
        <f t="shared" ca="1" si="257"/>
        <v>14.590006844626968</v>
      </c>
      <c r="R516" s="14">
        <v>7</v>
      </c>
      <c r="S516" s="15">
        <v>872</v>
      </c>
      <c r="T516" s="8">
        <v>872</v>
      </c>
      <c r="U516" s="16">
        <v>45017</v>
      </c>
      <c r="V516" s="17">
        <v>1</v>
      </c>
      <c r="W516" s="16">
        <v>45382</v>
      </c>
      <c r="X516" s="14">
        <v>192</v>
      </c>
      <c r="Y516" s="18">
        <f t="shared" si="282"/>
        <v>192</v>
      </c>
      <c r="Z516" s="18">
        <f t="shared" si="274"/>
        <v>1</v>
      </c>
      <c r="AA516" s="18" t="s">
        <v>36</v>
      </c>
      <c r="AB516" s="26">
        <v>25</v>
      </c>
      <c r="AC516" s="26"/>
      <c r="AD516" s="26"/>
      <c r="AE516" s="147" t="str">
        <f t="shared" si="280"/>
        <v>1</v>
      </c>
      <c r="AF516" s="147" t="str">
        <f t="shared" si="261"/>
        <v>0</v>
      </c>
      <c r="AG516" s="147" t="str">
        <f t="shared" si="281"/>
        <v>0</v>
      </c>
      <c r="AH516" s="147" t="str">
        <f t="shared" si="262"/>
        <v>NO</v>
      </c>
      <c r="AI516" s="147" t="str">
        <f t="shared" si="263"/>
        <v>NO</v>
      </c>
      <c r="AJ516" s="147" t="str">
        <f t="shared" si="264"/>
        <v>NO</v>
      </c>
      <c r="AK516" s="147" t="str">
        <f t="shared" si="265"/>
        <v>NO</v>
      </c>
      <c r="AL516" s="21"/>
      <c r="AM516" s="21">
        <f>IF(H516="Y",AL516,((AB516*$O$902)-6000))</f>
        <v>5819.25</v>
      </c>
      <c r="AN516" s="27" t="s">
        <v>37</v>
      </c>
      <c r="AO516" s="21">
        <v>1</v>
      </c>
      <c r="AP516" s="21">
        <f t="shared" si="273"/>
        <v>1</v>
      </c>
      <c r="AQ516" s="149">
        <f t="shared" si="279"/>
        <v>5819.25</v>
      </c>
      <c r="AR516" s="21">
        <v>5819.25</v>
      </c>
      <c r="AS516" s="610">
        <v>8183.0999999999985</v>
      </c>
      <c r="AT516" s="112">
        <v>5819.25</v>
      </c>
      <c r="AU516" s="4"/>
      <c r="AV516" s="4"/>
      <c r="AW516" s="23" t="e">
        <f>VLOOKUP(K516,#REF!,8,FALSE)</f>
        <v>#REF!</v>
      </c>
      <c r="AX516" s="23" t="e">
        <f>VLOOKUP(K516,#REF!,8,FALSE)</f>
        <v>#REF!</v>
      </c>
      <c r="AY516" s="23" t="e">
        <f>VLOOKUP(K516,#REF!,8,FALSE)</f>
        <v>#REF!</v>
      </c>
      <c r="AZ516" s="4"/>
      <c r="BA516" s="272"/>
      <c r="BB516" s="313">
        <f t="shared" si="276"/>
        <v>0</v>
      </c>
      <c r="BC516" s="269">
        <f t="shared" si="277"/>
        <v>5819.25</v>
      </c>
      <c r="BD516" t="str">
        <f t="shared" si="278"/>
        <v/>
      </c>
      <c r="BP516" s="166">
        <f t="shared" si="266"/>
        <v>5819.25</v>
      </c>
      <c r="BS516" s="165"/>
      <c r="BX516" s="495">
        <f t="shared" si="267"/>
        <v>5819.25</v>
      </c>
      <c r="BZ516" s="636">
        <f t="shared" si="283"/>
        <v>0</v>
      </c>
      <c r="CA516" s="633">
        <f t="shared" si="284"/>
        <v>-2363.8499999999985</v>
      </c>
    </row>
    <row r="517" spans="1:79" x14ac:dyDescent="0.2">
      <c r="A517" s="4">
        <v>1</v>
      </c>
      <c r="B517" s="4">
        <v>1</v>
      </c>
      <c r="C517" s="5">
        <f t="shared" ref="C517:C580" si="285">D517*1</f>
        <v>41205</v>
      </c>
      <c r="D517" s="6">
        <v>41205</v>
      </c>
      <c r="E517" s="121">
        <v>43012</v>
      </c>
      <c r="F517" s="6" t="s">
        <v>1606</v>
      </c>
      <c r="G517" s="7" t="s">
        <v>75</v>
      </c>
      <c r="H517" s="7"/>
      <c r="I517" s="7" t="s">
        <v>157</v>
      </c>
      <c r="J517" s="7"/>
      <c r="K517" s="29">
        <v>386592</v>
      </c>
      <c r="L517" s="10" t="s">
        <v>988</v>
      </c>
      <c r="M517" s="10" t="s">
        <v>1141</v>
      </c>
      <c r="N517" s="10" t="s">
        <v>1142</v>
      </c>
      <c r="O517" s="11" t="s">
        <v>1143</v>
      </c>
      <c r="P517" s="12">
        <v>40302</v>
      </c>
      <c r="Q517" s="13">
        <f t="shared" ca="1" si="257"/>
        <v>15.38672142368241</v>
      </c>
      <c r="R517" s="14">
        <v>8</v>
      </c>
      <c r="S517" s="15">
        <v>872</v>
      </c>
      <c r="T517" s="8">
        <v>872</v>
      </c>
      <c r="U517" s="16">
        <v>45017</v>
      </c>
      <c r="V517" s="17">
        <v>1</v>
      </c>
      <c r="W517" s="16">
        <v>45382</v>
      </c>
      <c r="X517" s="14">
        <v>192</v>
      </c>
      <c r="Y517" s="18">
        <f t="shared" si="282"/>
        <v>192</v>
      </c>
      <c r="Z517" s="18">
        <f t="shared" si="274"/>
        <v>1</v>
      </c>
      <c r="AA517" s="18" t="s">
        <v>36</v>
      </c>
      <c r="AB517" s="26">
        <v>23</v>
      </c>
      <c r="AC517" s="26"/>
      <c r="AD517" s="26"/>
      <c r="AE517" s="147" t="str">
        <f t="shared" si="280"/>
        <v>1</v>
      </c>
      <c r="AF517" s="147" t="str">
        <f t="shared" si="261"/>
        <v>0</v>
      </c>
      <c r="AG517" s="147" t="str">
        <f t="shared" si="281"/>
        <v>0</v>
      </c>
      <c r="AH517" s="147" t="str">
        <f t="shared" si="262"/>
        <v>NO</v>
      </c>
      <c r="AI517" s="147" t="str">
        <f t="shared" si="263"/>
        <v>NO</v>
      </c>
      <c r="AJ517" s="147" t="str">
        <f t="shared" si="264"/>
        <v>NO</v>
      </c>
      <c r="AK517" s="147" t="str">
        <f t="shared" si="265"/>
        <v>NO</v>
      </c>
      <c r="AL517" s="21"/>
      <c r="AM517" s="21">
        <f>IF(H517="Y",AL517,((AB517*$O$902)-6000))</f>
        <v>4873.7099999999991</v>
      </c>
      <c r="AN517" s="27" t="s">
        <v>37</v>
      </c>
      <c r="AO517" s="21">
        <v>1</v>
      </c>
      <c r="AP517" s="21">
        <f t="shared" si="273"/>
        <v>1</v>
      </c>
      <c r="AQ517" s="149">
        <f t="shared" si="279"/>
        <v>4873.7099999999991</v>
      </c>
      <c r="AR517" s="21">
        <v>4873.7099999999991</v>
      </c>
      <c r="AS517" s="610">
        <v>4873.7099999999991</v>
      </c>
      <c r="AT517" s="112">
        <v>4873.7099999999991</v>
      </c>
      <c r="AU517" s="4"/>
      <c r="AV517" s="4"/>
      <c r="AW517" s="23" t="e">
        <f>VLOOKUP(K517,#REF!,8,FALSE)</f>
        <v>#REF!</v>
      </c>
      <c r="AX517" s="23" t="e">
        <f>VLOOKUP(K517,#REF!,8,FALSE)</f>
        <v>#REF!</v>
      </c>
      <c r="AY517" s="23" t="e">
        <f>VLOOKUP(K517,#REF!,8,FALSE)</f>
        <v>#REF!</v>
      </c>
      <c r="AZ517" s="4"/>
      <c r="BA517" s="272"/>
      <c r="BB517" s="313">
        <f t="shared" si="276"/>
        <v>0</v>
      </c>
      <c r="BC517" s="269">
        <f t="shared" si="277"/>
        <v>4873.7099999999991</v>
      </c>
      <c r="BD517" t="str">
        <f t="shared" si="278"/>
        <v/>
      </c>
      <c r="BP517" s="166">
        <f t="shared" si="266"/>
        <v>4873.7099999999991</v>
      </c>
      <c r="BS517" s="165"/>
      <c r="BX517" s="495">
        <f t="shared" si="267"/>
        <v>4873.7099999999991</v>
      </c>
      <c r="BZ517" s="636">
        <f t="shared" si="283"/>
        <v>0</v>
      </c>
      <c r="CA517" s="633">
        <f t="shared" si="284"/>
        <v>0</v>
      </c>
    </row>
    <row r="518" spans="1:79" x14ac:dyDescent="0.2">
      <c r="A518" s="4">
        <v>1</v>
      </c>
      <c r="B518" s="4">
        <v>1</v>
      </c>
      <c r="C518" s="5">
        <f t="shared" si="285"/>
        <v>41205</v>
      </c>
      <c r="D518" s="6">
        <v>41205</v>
      </c>
      <c r="E518" s="121">
        <v>43012</v>
      </c>
      <c r="F518" s="6" t="s">
        <v>1606</v>
      </c>
      <c r="G518" s="7" t="s">
        <v>75</v>
      </c>
      <c r="H518" s="7"/>
      <c r="I518" s="7" t="s">
        <v>157</v>
      </c>
      <c r="J518" s="7"/>
      <c r="K518" s="29">
        <v>420828</v>
      </c>
      <c r="L518" s="10" t="s">
        <v>988</v>
      </c>
      <c r="M518" s="10" t="s">
        <v>1144</v>
      </c>
      <c r="N518" s="10" t="s">
        <v>1145</v>
      </c>
      <c r="O518" s="11" t="s">
        <v>1146</v>
      </c>
      <c r="P518" s="12">
        <v>39528</v>
      </c>
      <c r="Q518" s="13">
        <f t="shared" ca="1" si="257"/>
        <v>17.505817932922657</v>
      </c>
      <c r="R518" s="14">
        <v>10</v>
      </c>
      <c r="S518" s="15">
        <v>872</v>
      </c>
      <c r="T518" s="8">
        <v>872</v>
      </c>
      <c r="U518" s="16">
        <v>45017</v>
      </c>
      <c r="V518" s="17">
        <v>1</v>
      </c>
      <c r="W518" s="16">
        <v>45382</v>
      </c>
      <c r="X518" s="14">
        <v>192</v>
      </c>
      <c r="Y518" s="18">
        <f t="shared" si="282"/>
        <v>192</v>
      </c>
      <c r="Z518" s="18">
        <f t="shared" si="274"/>
        <v>1</v>
      </c>
      <c r="AA518" s="18" t="s">
        <v>36</v>
      </c>
      <c r="AB518" s="26">
        <v>30</v>
      </c>
      <c r="AC518" s="26"/>
      <c r="AD518" s="26"/>
      <c r="AE518" s="147" t="str">
        <f t="shared" si="280"/>
        <v>0</v>
      </c>
      <c r="AF518" s="147" t="str">
        <f t="shared" si="261"/>
        <v>1</v>
      </c>
      <c r="AG518" s="147" t="str">
        <f t="shared" si="281"/>
        <v>0</v>
      </c>
      <c r="AH518" s="147" t="str">
        <f t="shared" si="262"/>
        <v>NO</v>
      </c>
      <c r="AI518" s="147" t="str">
        <f t="shared" si="263"/>
        <v>NO</v>
      </c>
      <c r="AJ518" s="147" t="str">
        <f t="shared" si="264"/>
        <v>NO</v>
      </c>
      <c r="AK518" s="147" t="str">
        <f t="shared" si="265"/>
        <v>NO</v>
      </c>
      <c r="AL518" s="21"/>
      <c r="AM518" s="21">
        <f>IF(H518="Y",AL518,((AB518*$O$902)-6000))</f>
        <v>8183.0999999999985</v>
      </c>
      <c r="AN518" s="27" t="s">
        <v>254</v>
      </c>
      <c r="AO518" s="21">
        <v>1</v>
      </c>
      <c r="AP518" s="21">
        <f t="shared" si="273"/>
        <v>1</v>
      </c>
      <c r="AQ518" s="149">
        <f t="shared" si="279"/>
        <v>8183.0999999999985</v>
      </c>
      <c r="AR518" s="21">
        <v>8183.0999999999985</v>
      </c>
      <c r="AS518" s="610">
        <v>8183.0999999999985</v>
      </c>
      <c r="AT518" s="112">
        <v>8183.0999999999985</v>
      </c>
      <c r="AU518" s="4"/>
      <c r="AV518" s="4"/>
      <c r="AW518" s="23" t="e">
        <f>VLOOKUP(K518,#REF!,8,FALSE)</f>
        <v>#REF!</v>
      </c>
      <c r="AX518" s="23" t="e">
        <f>VLOOKUP(K518,#REF!,8,FALSE)</f>
        <v>#REF!</v>
      </c>
      <c r="AY518" s="23" t="e">
        <f>VLOOKUP(K518,#REF!,8,FALSE)</f>
        <v>#REF!</v>
      </c>
      <c r="AZ518" s="4"/>
      <c r="BA518" s="272"/>
      <c r="BB518" s="313">
        <f t="shared" si="276"/>
        <v>0</v>
      </c>
      <c r="BC518" s="269">
        <f t="shared" si="277"/>
        <v>8183.0999999999985</v>
      </c>
      <c r="BD518" t="str">
        <f t="shared" si="278"/>
        <v/>
      </c>
      <c r="BP518" s="166">
        <f t="shared" si="266"/>
        <v>8183.0999999999985</v>
      </c>
      <c r="BS518" s="165"/>
      <c r="BX518" s="495">
        <f t="shared" si="267"/>
        <v>8183.0999999999985</v>
      </c>
      <c r="BZ518" s="636">
        <f t="shared" si="283"/>
        <v>0</v>
      </c>
      <c r="CA518" s="633">
        <f t="shared" si="284"/>
        <v>0</v>
      </c>
    </row>
    <row r="519" spans="1:79" x14ac:dyDescent="0.2">
      <c r="A519" s="4">
        <v>0</v>
      </c>
      <c r="B519" s="4">
        <v>1</v>
      </c>
      <c r="C519" s="5">
        <f t="shared" si="285"/>
        <v>41205</v>
      </c>
      <c r="D519" s="6">
        <v>41205</v>
      </c>
      <c r="E519" s="121">
        <v>43012</v>
      </c>
      <c r="F519" s="6" t="s">
        <v>1606</v>
      </c>
      <c r="G519" s="7" t="s">
        <v>75</v>
      </c>
      <c r="H519" s="7"/>
      <c r="I519" s="7" t="s">
        <v>157</v>
      </c>
      <c r="J519" s="7" t="s">
        <v>142</v>
      </c>
      <c r="K519" s="29">
        <v>420828</v>
      </c>
      <c r="L519" s="10" t="s">
        <v>988</v>
      </c>
      <c r="M519" s="10" t="s">
        <v>1144</v>
      </c>
      <c r="N519" s="10" t="s">
        <v>1145</v>
      </c>
      <c r="O519" s="11" t="s">
        <v>1146</v>
      </c>
      <c r="P519" s="12">
        <v>39528</v>
      </c>
      <c r="Q519" s="13">
        <f t="shared" ca="1" si="257"/>
        <v>17.505817932922657</v>
      </c>
      <c r="R519" s="14">
        <v>10</v>
      </c>
      <c r="S519" s="15">
        <v>872</v>
      </c>
      <c r="T519" s="8">
        <v>872</v>
      </c>
      <c r="U519" s="16">
        <v>45017</v>
      </c>
      <c r="V519" s="17">
        <v>1</v>
      </c>
      <c r="W519" s="16">
        <v>45382</v>
      </c>
      <c r="X519" s="14">
        <v>192</v>
      </c>
      <c r="Y519" s="18">
        <f t="shared" si="282"/>
        <v>192</v>
      </c>
      <c r="Z519" s="18">
        <f t="shared" si="274"/>
        <v>1</v>
      </c>
      <c r="AA519" s="18" t="s">
        <v>36</v>
      </c>
      <c r="AB519" s="26">
        <v>9000</v>
      </c>
      <c r="AC519" s="26"/>
      <c r="AD519" s="26"/>
      <c r="AE519" s="147" t="str">
        <f t="shared" si="280"/>
        <v>0</v>
      </c>
      <c r="AF519" s="147" t="str">
        <f t="shared" si="261"/>
        <v>0</v>
      </c>
      <c r="AG519" s="147" t="str">
        <f t="shared" si="281"/>
        <v>1</v>
      </c>
      <c r="AH519" s="147" t="str">
        <f t="shared" si="262"/>
        <v>NO</v>
      </c>
      <c r="AI519" s="147" t="str">
        <f t="shared" si="263"/>
        <v>NO</v>
      </c>
      <c r="AJ519" s="147" t="str">
        <f t="shared" si="264"/>
        <v>NO</v>
      </c>
      <c r="AK519" s="147" t="str">
        <f t="shared" si="265"/>
        <v>NO</v>
      </c>
      <c r="AL519" s="21"/>
      <c r="AM519" s="21">
        <v>9000</v>
      </c>
      <c r="AN519" s="27" t="s">
        <v>254</v>
      </c>
      <c r="AO519" s="21">
        <v>1</v>
      </c>
      <c r="AP519" s="21">
        <f t="shared" si="273"/>
        <v>1</v>
      </c>
      <c r="AQ519" s="149">
        <f t="shared" si="279"/>
        <v>9000</v>
      </c>
      <c r="AR519" s="21">
        <v>9000</v>
      </c>
      <c r="AS519" s="610">
        <v>9000</v>
      </c>
      <c r="AT519" s="112">
        <v>9000</v>
      </c>
      <c r="AU519" s="4"/>
      <c r="AV519" s="4"/>
      <c r="AW519" s="23" t="e">
        <f>VLOOKUP(K519,#REF!,8,FALSE)</f>
        <v>#REF!</v>
      </c>
      <c r="AX519" s="23" t="e">
        <f>VLOOKUP(K519,#REF!,8,FALSE)</f>
        <v>#REF!</v>
      </c>
      <c r="AY519" s="23" t="e">
        <f>VLOOKUP(K519,#REF!,8,FALSE)</f>
        <v>#REF!</v>
      </c>
      <c r="AZ519" s="4"/>
      <c r="BA519" s="272"/>
      <c r="BB519" s="313">
        <f t="shared" si="276"/>
        <v>0</v>
      </c>
      <c r="BC519" s="269">
        <f t="shared" si="277"/>
        <v>9000</v>
      </c>
      <c r="BD519" t="str">
        <f t="shared" si="278"/>
        <v/>
      </c>
      <c r="BP519" s="166">
        <f t="shared" si="266"/>
        <v>9000</v>
      </c>
      <c r="BS519" s="165"/>
      <c r="BX519" s="495">
        <f t="shared" si="267"/>
        <v>9000</v>
      </c>
      <c r="BZ519" s="636">
        <f t="shared" si="283"/>
        <v>0</v>
      </c>
      <c r="CA519" s="633">
        <f t="shared" si="284"/>
        <v>0</v>
      </c>
    </row>
    <row r="520" spans="1:79" x14ac:dyDescent="0.2">
      <c r="A520" s="4">
        <v>1</v>
      </c>
      <c r="B520" s="4">
        <v>1</v>
      </c>
      <c r="C520" s="5">
        <f t="shared" si="285"/>
        <v>41205</v>
      </c>
      <c r="D520" s="6">
        <v>41205</v>
      </c>
      <c r="E520" s="121">
        <v>43012</v>
      </c>
      <c r="F520" s="6" t="s">
        <v>1606</v>
      </c>
      <c r="G520" s="7" t="s">
        <v>75</v>
      </c>
      <c r="H520" s="7"/>
      <c r="I520" s="7" t="s">
        <v>157</v>
      </c>
      <c r="J520" s="7"/>
      <c r="K520" s="29">
        <v>443316</v>
      </c>
      <c r="L520" s="10" t="s">
        <v>988</v>
      </c>
      <c r="M520" s="10" t="s">
        <v>1147</v>
      </c>
      <c r="N520" s="10" t="s">
        <v>1148</v>
      </c>
      <c r="O520" s="11" t="s">
        <v>1149</v>
      </c>
      <c r="P520" s="12">
        <v>40518</v>
      </c>
      <c r="Q520" s="13">
        <f t="shared" ca="1" si="257"/>
        <v>14.795345653661876</v>
      </c>
      <c r="R520" s="14">
        <v>7</v>
      </c>
      <c r="S520" s="15">
        <v>872</v>
      </c>
      <c r="T520" s="8">
        <v>872</v>
      </c>
      <c r="U520" s="16">
        <v>45017</v>
      </c>
      <c r="V520" s="17">
        <v>1</v>
      </c>
      <c r="W520" s="16">
        <v>45382</v>
      </c>
      <c r="X520" s="14">
        <v>192</v>
      </c>
      <c r="Y520" s="18">
        <f t="shared" si="282"/>
        <v>192</v>
      </c>
      <c r="Z520" s="18">
        <f t="shared" si="274"/>
        <v>1</v>
      </c>
      <c r="AA520" s="18" t="s">
        <v>36</v>
      </c>
      <c r="AB520" s="26">
        <v>25</v>
      </c>
      <c r="AC520" s="26"/>
      <c r="AD520" s="26"/>
      <c r="AE520" s="147" t="str">
        <f t="shared" si="280"/>
        <v>1</v>
      </c>
      <c r="AF520" s="147" t="str">
        <f t="shared" si="261"/>
        <v>0</v>
      </c>
      <c r="AG520" s="147" t="str">
        <f t="shared" si="281"/>
        <v>0</v>
      </c>
      <c r="AH520" s="147" t="str">
        <f t="shared" si="262"/>
        <v>NO</v>
      </c>
      <c r="AI520" s="147" t="str">
        <f t="shared" si="263"/>
        <v>NO</v>
      </c>
      <c r="AJ520" s="147" t="str">
        <f t="shared" si="264"/>
        <v>NO</v>
      </c>
      <c r="AK520" s="147" t="str">
        <f t="shared" si="265"/>
        <v>NO</v>
      </c>
      <c r="AL520" s="21"/>
      <c r="AM520" s="21">
        <f>IF(H520="Y",AL520,((AB520*$O$902)-6000))</f>
        <v>5819.25</v>
      </c>
      <c r="AN520" s="27" t="s">
        <v>56</v>
      </c>
      <c r="AO520" s="21">
        <v>1</v>
      </c>
      <c r="AP520" s="21">
        <f t="shared" si="273"/>
        <v>1</v>
      </c>
      <c r="AQ520" s="149">
        <f t="shared" si="279"/>
        <v>5819.25</v>
      </c>
      <c r="AR520" s="21">
        <v>5819.25</v>
      </c>
      <c r="AS520" s="610">
        <v>5819.25</v>
      </c>
      <c r="AT520" s="112">
        <v>5819.25</v>
      </c>
      <c r="AU520" s="4"/>
      <c r="AV520" s="4"/>
      <c r="AW520" s="23" t="e">
        <f>VLOOKUP(K520,#REF!,8,FALSE)</f>
        <v>#REF!</v>
      </c>
      <c r="AX520" s="23" t="e">
        <f>VLOOKUP(K520,#REF!,8,FALSE)</f>
        <v>#REF!</v>
      </c>
      <c r="AY520" s="23" t="e">
        <f>VLOOKUP(K520,#REF!,8,FALSE)</f>
        <v>#REF!</v>
      </c>
      <c r="AZ520" s="4"/>
      <c r="BA520" s="272"/>
      <c r="BB520" s="313">
        <f t="shared" si="276"/>
        <v>0</v>
      </c>
      <c r="BC520" s="269">
        <f t="shared" si="277"/>
        <v>5819.25</v>
      </c>
      <c r="BD520" t="str">
        <f t="shared" si="278"/>
        <v/>
      </c>
      <c r="BP520" s="166">
        <f t="shared" si="266"/>
        <v>5819.25</v>
      </c>
      <c r="BS520" s="165"/>
      <c r="BX520" s="495">
        <f t="shared" si="267"/>
        <v>5819.25</v>
      </c>
      <c r="BZ520" s="636">
        <f t="shared" si="283"/>
        <v>0</v>
      </c>
      <c r="CA520" s="633">
        <f t="shared" si="284"/>
        <v>0</v>
      </c>
    </row>
    <row r="521" spans="1:79" x14ac:dyDescent="0.2">
      <c r="A521" s="4">
        <v>1</v>
      </c>
      <c r="B521" s="4">
        <v>1</v>
      </c>
      <c r="C521" s="5">
        <f t="shared" si="285"/>
        <v>41125</v>
      </c>
      <c r="D521" s="6">
        <v>41125</v>
      </c>
      <c r="E521" s="121">
        <v>43012</v>
      </c>
      <c r="F521" s="6" t="s">
        <v>1606</v>
      </c>
      <c r="G521" s="7" t="s">
        <v>75</v>
      </c>
      <c r="H521" s="7"/>
      <c r="I521" s="7" t="s">
        <v>32</v>
      </c>
      <c r="J521" s="7"/>
      <c r="K521" s="29">
        <v>437554</v>
      </c>
      <c r="L521" s="10" t="s">
        <v>1150</v>
      </c>
      <c r="M521" s="10" t="s">
        <v>1151</v>
      </c>
      <c r="N521" s="10" t="s">
        <v>1152</v>
      </c>
      <c r="O521" s="11" t="s">
        <v>1153</v>
      </c>
      <c r="P521" s="12">
        <v>42993</v>
      </c>
      <c r="Q521" s="13">
        <f t="shared" ref="Q521:Q584" ca="1" si="286">(TODAY()-P521)/365.25</f>
        <v>8.0191649555099254</v>
      </c>
      <c r="R521" s="14">
        <v>0</v>
      </c>
      <c r="S521" s="15">
        <v>872</v>
      </c>
      <c r="T521" s="8">
        <v>872</v>
      </c>
      <c r="U521" s="16">
        <v>45017</v>
      </c>
      <c r="V521" s="17">
        <v>1</v>
      </c>
      <c r="W521" s="16">
        <v>45382</v>
      </c>
      <c r="X521" s="14">
        <v>192</v>
      </c>
      <c r="Y521" s="18">
        <f t="shared" si="282"/>
        <v>192</v>
      </c>
      <c r="Z521" s="18">
        <f t="shared" si="274"/>
        <v>1</v>
      </c>
      <c r="AA521" s="18" t="s">
        <v>36</v>
      </c>
      <c r="AB521" s="26">
        <v>30</v>
      </c>
      <c r="AC521" s="26"/>
      <c r="AD521" s="26"/>
      <c r="AE521" s="147" t="str">
        <f t="shared" si="280"/>
        <v>0</v>
      </c>
      <c r="AF521" s="147" t="str">
        <f t="shared" si="261"/>
        <v>1</v>
      </c>
      <c r="AG521" s="147" t="str">
        <f t="shared" si="281"/>
        <v>0</v>
      </c>
      <c r="AH521" s="147" t="str">
        <f t="shared" si="262"/>
        <v>NO</v>
      </c>
      <c r="AI521" s="147" t="str">
        <f t="shared" si="263"/>
        <v>NO</v>
      </c>
      <c r="AJ521" s="147" t="str">
        <f t="shared" si="264"/>
        <v>NO</v>
      </c>
      <c r="AK521" s="147" t="str">
        <f t="shared" si="265"/>
        <v>NO</v>
      </c>
      <c r="AL521" s="21"/>
      <c r="AM521" s="21">
        <f>IF(H521="Y",AL521,((AB521*$O$902)-6000))</f>
        <v>8183.0999999999985</v>
      </c>
      <c r="AN521" s="27"/>
      <c r="AO521" s="21">
        <v>1</v>
      </c>
      <c r="AP521" s="21">
        <f t="shared" si="273"/>
        <v>1</v>
      </c>
      <c r="AQ521" s="149">
        <f t="shared" si="279"/>
        <v>8183.0999999999985</v>
      </c>
      <c r="AR521" s="21">
        <v>8183.0999999999985</v>
      </c>
      <c r="AS521" s="610">
        <v>8183.0999999999985</v>
      </c>
      <c r="AT521" s="112">
        <v>8183.0999999999985</v>
      </c>
      <c r="AU521" s="4"/>
      <c r="AV521" s="4"/>
      <c r="AW521" s="23" t="e">
        <f>VLOOKUP(K521,#REF!,8,FALSE)</f>
        <v>#REF!</v>
      </c>
      <c r="AX521" s="23" t="e">
        <f>VLOOKUP(K521,#REF!,8,FALSE)</f>
        <v>#REF!</v>
      </c>
      <c r="AY521" s="23" t="e">
        <f>VLOOKUP(K521,#REF!,8,FALSE)</f>
        <v>#REF!</v>
      </c>
      <c r="AZ521" s="4"/>
      <c r="BA521" s="272"/>
      <c r="BB521" s="313">
        <f t="shared" si="276"/>
        <v>0</v>
      </c>
      <c r="BC521" s="269">
        <f t="shared" si="277"/>
        <v>8183.0999999999985</v>
      </c>
      <c r="BD521" t="str">
        <f t="shared" si="278"/>
        <v/>
      </c>
      <c r="BP521" s="166">
        <f t="shared" si="266"/>
        <v>8183.0999999999985</v>
      </c>
      <c r="BS521" s="165"/>
      <c r="BX521" s="495">
        <f t="shared" si="267"/>
        <v>8183.0999999999985</v>
      </c>
      <c r="BZ521" s="636">
        <f t="shared" si="283"/>
        <v>0</v>
      </c>
      <c r="CA521" s="633">
        <f t="shared" si="284"/>
        <v>0</v>
      </c>
    </row>
    <row r="522" spans="1:79" x14ac:dyDescent="0.2">
      <c r="A522" s="4">
        <v>1</v>
      </c>
      <c r="B522" s="4">
        <v>1</v>
      </c>
      <c r="C522" s="5">
        <f t="shared" si="285"/>
        <v>41125</v>
      </c>
      <c r="D522" s="6">
        <v>41125</v>
      </c>
      <c r="E522" s="121">
        <v>43012</v>
      </c>
      <c r="F522" s="6" t="s">
        <v>1606</v>
      </c>
      <c r="G522" s="7" t="s">
        <v>75</v>
      </c>
      <c r="H522" s="7"/>
      <c r="I522" s="7" t="s">
        <v>32</v>
      </c>
      <c r="J522" s="7"/>
      <c r="K522" s="29">
        <v>409987</v>
      </c>
      <c r="L522" s="10" t="s">
        <v>1150</v>
      </c>
      <c r="M522" s="10" t="s">
        <v>247</v>
      </c>
      <c r="N522" s="10" t="s">
        <v>1042</v>
      </c>
      <c r="O522" s="11" t="s">
        <v>1154</v>
      </c>
      <c r="P522" s="12">
        <v>41429</v>
      </c>
      <c r="Q522" s="13">
        <f t="shared" ca="1" si="286"/>
        <v>12.301163586584531</v>
      </c>
      <c r="R522" s="14">
        <v>5</v>
      </c>
      <c r="S522" s="15">
        <v>872</v>
      </c>
      <c r="T522" s="8">
        <v>872</v>
      </c>
      <c r="U522" s="16">
        <v>45017</v>
      </c>
      <c r="V522" s="17">
        <v>1</v>
      </c>
      <c r="W522" s="16">
        <v>45382</v>
      </c>
      <c r="X522" s="14">
        <v>192</v>
      </c>
      <c r="Y522" s="18">
        <f t="shared" si="282"/>
        <v>192</v>
      </c>
      <c r="Z522" s="18">
        <f t="shared" si="274"/>
        <v>1</v>
      </c>
      <c r="AA522" s="18" t="s">
        <v>36</v>
      </c>
      <c r="AB522" s="26">
        <v>25</v>
      </c>
      <c r="AC522" s="26"/>
      <c r="AD522" s="26"/>
      <c r="AE522" s="147" t="str">
        <f t="shared" si="280"/>
        <v>1</v>
      </c>
      <c r="AF522" s="147" t="str">
        <f t="shared" si="261"/>
        <v>0</v>
      </c>
      <c r="AG522" s="147" t="str">
        <f t="shared" si="281"/>
        <v>0</v>
      </c>
      <c r="AH522" s="147" t="str">
        <f t="shared" si="262"/>
        <v>NO</v>
      </c>
      <c r="AI522" s="147" t="str">
        <f t="shared" si="263"/>
        <v>NO</v>
      </c>
      <c r="AJ522" s="147" t="str">
        <f t="shared" si="264"/>
        <v>NO</v>
      </c>
      <c r="AK522" s="147" t="str">
        <f t="shared" si="265"/>
        <v>NO</v>
      </c>
      <c r="AL522" s="21"/>
      <c r="AM522" s="21">
        <f>IF(H522="Y",AL522,((AB522*$O$902)-6000))</f>
        <v>5819.25</v>
      </c>
      <c r="AN522" s="27" t="s">
        <v>66</v>
      </c>
      <c r="AO522" s="21">
        <v>1</v>
      </c>
      <c r="AP522" s="21">
        <f t="shared" si="273"/>
        <v>1</v>
      </c>
      <c r="AQ522" s="149">
        <f t="shared" si="279"/>
        <v>5819.25</v>
      </c>
      <c r="AR522" s="21">
        <v>5819.25</v>
      </c>
      <c r="AS522" s="610">
        <v>5819.25</v>
      </c>
      <c r="AT522" s="112">
        <v>5819.25</v>
      </c>
      <c r="AU522" s="4"/>
      <c r="AV522" s="4"/>
      <c r="AW522" s="23" t="e">
        <f>VLOOKUP(K522,#REF!,8,FALSE)</f>
        <v>#REF!</v>
      </c>
      <c r="AX522" s="23" t="e">
        <f>VLOOKUP(K522,#REF!,8,FALSE)</f>
        <v>#REF!</v>
      </c>
      <c r="AY522" s="23" t="e">
        <f>VLOOKUP(K522,#REF!,8,FALSE)</f>
        <v>#REF!</v>
      </c>
      <c r="AZ522" s="4"/>
      <c r="BA522" s="272"/>
      <c r="BB522" s="313">
        <f t="shared" si="276"/>
        <v>0</v>
      </c>
      <c r="BC522" s="269">
        <f t="shared" si="277"/>
        <v>5819.25</v>
      </c>
      <c r="BD522" t="str">
        <f t="shared" si="278"/>
        <v/>
      </c>
      <c r="BP522" s="166">
        <f t="shared" si="266"/>
        <v>5819.25</v>
      </c>
      <c r="BS522" s="165"/>
      <c r="BX522" s="495">
        <f t="shared" si="267"/>
        <v>5819.25</v>
      </c>
      <c r="BZ522" s="636">
        <f t="shared" si="283"/>
        <v>0</v>
      </c>
      <c r="CA522" s="633">
        <f t="shared" si="284"/>
        <v>0</v>
      </c>
    </row>
    <row r="523" spans="1:79" x14ac:dyDescent="0.2">
      <c r="A523" s="4">
        <v>0</v>
      </c>
      <c r="B523" s="4">
        <v>1</v>
      </c>
      <c r="C523" s="5">
        <f t="shared" si="285"/>
        <v>41125</v>
      </c>
      <c r="D523" s="6">
        <v>41125</v>
      </c>
      <c r="E523" s="121">
        <v>43012</v>
      </c>
      <c r="F523" s="6" t="s">
        <v>1606</v>
      </c>
      <c r="G523" s="7" t="s">
        <v>75</v>
      </c>
      <c r="H523" s="7"/>
      <c r="I523" s="7" t="s">
        <v>32</v>
      </c>
      <c r="J523" s="7" t="s">
        <v>142</v>
      </c>
      <c r="K523" s="29">
        <v>409987</v>
      </c>
      <c r="L523" s="10" t="s">
        <v>1150</v>
      </c>
      <c r="M523" s="10" t="s">
        <v>247</v>
      </c>
      <c r="N523" s="10" t="s">
        <v>1042</v>
      </c>
      <c r="O523" s="11" t="s">
        <v>1154</v>
      </c>
      <c r="P523" s="12">
        <v>41429</v>
      </c>
      <c r="Q523" s="13">
        <f t="shared" ca="1" si="286"/>
        <v>12.301163586584531</v>
      </c>
      <c r="R523" s="14">
        <v>5</v>
      </c>
      <c r="S523" s="15">
        <v>872</v>
      </c>
      <c r="T523" s="8">
        <v>872</v>
      </c>
      <c r="U523" s="16">
        <v>45035</v>
      </c>
      <c r="V523" s="17">
        <v>4</v>
      </c>
      <c r="W523" s="16">
        <v>45035</v>
      </c>
      <c r="X523" s="14">
        <v>3</v>
      </c>
      <c r="Y523" s="18">
        <f t="shared" si="282"/>
        <v>0</v>
      </c>
      <c r="Z523" s="18">
        <v>1</v>
      </c>
      <c r="AA523" s="16">
        <v>45035</v>
      </c>
      <c r="AB523" s="26">
        <v>775</v>
      </c>
      <c r="AC523" s="26"/>
      <c r="AD523" s="26"/>
      <c r="AE523" s="147" t="str">
        <f t="shared" si="280"/>
        <v>0</v>
      </c>
      <c r="AF523" s="147" t="str">
        <f t="shared" si="261"/>
        <v>0</v>
      </c>
      <c r="AG523" s="147" t="str">
        <f t="shared" si="281"/>
        <v>1</v>
      </c>
      <c r="AH523" s="147" t="str">
        <f t="shared" si="262"/>
        <v>NO</v>
      </c>
      <c r="AI523" s="147" t="str">
        <f t="shared" si="263"/>
        <v>NO</v>
      </c>
      <c r="AJ523" s="147" t="str">
        <f t="shared" si="264"/>
        <v>NO</v>
      </c>
      <c r="AK523" s="147" t="str">
        <f t="shared" si="265"/>
        <v>NO</v>
      </c>
      <c r="AL523" s="21"/>
      <c r="AM523" s="21">
        <v>775</v>
      </c>
      <c r="AN523" s="27" t="s">
        <v>66</v>
      </c>
      <c r="AO523" s="21">
        <v>1</v>
      </c>
      <c r="AP523" s="21">
        <f t="shared" ref="AP523:AP526" si="287">AO523*Z523</f>
        <v>1</v>
      </c>
      <c r="AQ523" s="149">
        <f t="shared" si="279"/>
        <v>775</v>
      </c>
      <c r="AR523" s="21">
        <v>775</v>
      </c>
      <c r="AS523" s="610">
        <v>0</v>
      </c>
      <c r="AT523" s="112">
        <v>775</v>
      </c>
      <c r="AU523" s="4"/>
      <c r="AV523" s="4"/>
      <c r="AW523" s="23" t="e">
        <f>VLOOKUP(K523,#REF!,8,FALSE)</f>
        <v>#REF!</v>
      </c>
      <c r="AX523" s="23" t="e">
        <f>VLOOKUP(K523,#REF!,8,FALSE)</f>
        <v>#REF!</v>
      </c>
      <c r="AY523" s="23" t="e">
        <f>VLOOKUP(K523,#REF!,8,FALSE)</f>
        <v>#REF!</v>
      </c>
      <c r="AZ523" s="4"/>
      <c r="BA523" s="272"/>
      <c r="BB523" s="313">
        <f t="shared" si="276"/>
        <v>0</v>
      </c>
      <c r="BC523" s="269">
        <f t="shared" si="277"/>
        <v>775</v>
      </c>
      <c r="BD523" t="str">
        <f t="shared" si="278"/>
        <v/>
      </c>
      <c r="BP523" s="166">
        <f t="shared" si="266"/>
        <v>775</v>
      </c>
      <c r="BS523" s="165"/>
      <c r="BX523" s="495">
        <f t="shared" si="267"/>
        <v>775</v>
      </c>
      <c r="BZ523" s="636">
        <f t="shared" si="283"/>
        <v>0</v>
      </c>
      <c r="CA523" s="633">
        <f t="shared" si="284"/>
        <v>775</v>
      </c>
    </row>
    <row r="524" spans="1:79" x14ac:dyDescent="0.2">
      <c r="A524" s="4">
        <v>1</v>
      </c>
      <c r="B524" s="4">
        <v>1</v>
      </c>
      <c r="C524" s="5">
        <f t="shared" si="285"/>
        <v>41125</v>
      </c>
      <c r="D524" s="6">
        <v>41125</v>
      </c>
      <c r="E524" s="121">
        <v>43012</v>
      </c>
      <c r="F524" s="6" t="s">
        <v>1606</v>
      </c>
      <c r="G524" s="7" t="s">
        <v>75</v>
      </c>
      <c r="H524" s="7"/>
      <c r="I524" s="7" t="s">
        <v>32</v>
      </c>
      <c r="J524" s="7"/>
      <c r="K524" s="29">
        <v>399595</v>
      </c>
      <c r="L524" s="10" t="s">
        <v>1150</v>
      </c>
      <c r="M524" s="10" t="s">
        <v>177</v>
      </c>
      <c r="N524" s="10" t="s">
        <v>1155</v>
      </c>
      <c r="O524" s="11" t="s">
        <v>1156</v>
      </c>
      <c r="P524" s="12">
        <v>40868</v>
      </c>
      <c r="Q524" s="13">
        <f t="shared" ca="1" si="286"/>
        <v>13.83709787816564</v>
      </c>
      <c r="R524" s="14">
        <v>6</v>
      </c>
      <c r="S524" s="15">
        <v>872</v>
      </c>
      <c r="T524" s="8">
        <v>872</v>
      </c>
      <c r="U524" s="16">
        <v>45017</v>
      </c>
      <c r="V524" s="17">
        <v>1</v>
      </c>
      <c r="W524" s="16">
        <v>45128</v>
      </c>
      <c r="X524" s="14">
        <v>63</v>
      </c>
      <c r="Y524" s="18">
        <f t="shared" si="282"/>
        <v>63</v>
      </c>
      <c r="Z524" s="18">
        <f t="shared" ref="Z524:Z529" si="288">Y524/192</f>
        <v>0.328125</v>
      </c>
      <c r="AA524" s="18" t="s">
        <v>48</v>
      </c>
      <c r="AB524" s="26">
        <v>26</v>
      </c>
      <c r="AC524" s="26"/>
      <c r="AD524" s="26"/>
      <c r="AE524" s="147" t="str">
        <f t="shared" si="280"/>
        <v>0</v>
      </c>
      <c r="AF524" s="147" t="str">
        <f t="shared" si="261"/>
        <v>1</v>
      </c>
      <c r="AG524" s="147" t="str">
        <f t="shared" si="281"/>
        <v>0</v>
      </c>
      <c r="AH524" s="147" t="str">
        <f t="shared" si="262"/>
        <v>NO</v>
      </c>
      <c r="AI524" s="147" t="str">
        <f t="shared" si="263"/>
        <v>NO</v>
      </c>
      <c r="AJ524" s="147" t="str">
        <f t="shared" si="264"/>
        <v>NO</v>
      </c>
      <c r="AK524" s="147" t="str">
        <f t="shared" si="265"/>
        <v>NO</v>
      </c>
      <c r="AL524" s="21"/>
      <c r="AM524" s="21">
        <f>IF(H524="Y",AL524,((AB524*$O$902)-6000))</f>
        <v>6292.02</v>
      </c>
      <c r="AN524" s="27" t="s">
        <v>37</v>
      </c>
      <c r="AO524" s="21">
        <v>1</v>
      </c>
      <c r="AP524" s="21">
        <f t="shared" si="287"/>
        <v>0.328125</v>
      </c>
      <c r="AQ524" s="149">
        <f t="shared" si="279"/>
        <v>2064.5690625000002</v>
      </c>
      <c r="AR524" s="21">
        <v>2064.5690625000002</v>
      </c>
      <c r="AS524" s="610">
        <v>2064.5690625000002</v>
      </c>
      <c r="AT524" s="112">
        <v>2064.5690625000002</v>
      </c>
      <c r="AU524" s="4"/>
      <c r="AV524" s="4"/>
      <c r="AW524" s="23" t="e">
        <f>VLOOKUP(K524,#REF!,8,FALSE)</f>
        <v>#REF!</v>
      </c>
      <c r="AX524" s="23" t="s">
        <v>158</v>
      </c>
      <c r="AY524" s="23" t="e">
        <f>VLOOKUP(K524,#REF!,8,FALSE)</f>
        <v>#REF!</v>
      </c>
      <c r="AZ524" s="4"/>
      <c r="BA524" s="272"/>
      <c r="BB524" s="313">
        <f t="shared" si="276"/>
        <v>0</v>
      </c>
      <c r="BC524" s="269">
        <f t="shared" si="277"/>
        <v>2064.5690625000002</v>
      </c>
      <c r="BD524" s="110" t="s">
        <v>2405</v>
      </c>
      <c r="BJ524">
        <f>AB524</f>
        <v>26</v>
      </c>
      <c r="BK524" s="269">
        <f>AM524</f>
        <v>6292.02</v>
      </c>
      <c r="BO524" s="106">
        <f>BK524/192*127</f>
        <v>4161.9090624999999</v>
      </c>
      <c r="BP524" s="166">
        <f t="shared" si="266"/>
        <v>6226.4781249999996</v>
      </c>
      <c r="BS524" s="165" t="s">
        <v>1495</v>
      </c>
      <c r="BT524" t="s">
        <v>1495</v>
      </c>
      <c r="BX524" s="495">
        <f t="shared" si="267"/>
        <v>6226.4781249999996</v>
      </c>
      <c r="BZ524" s="636">
        <f t="shared" si="283"/>
        <v>0</v>
      </c>
      <c r="CA524" s="633">
        <f t="shared" si="284"/>
        <v>4161.909062499999</v>
      </c>
    </row>
    <row r="525" spans="1:79" x14ac:dyDescent="0.2">
      <c r="A525" s="4">
        <v>0</v>
      </c>
      <c r="B525" s="4">
        <v>1</v>
      </c>
      <c r="C525" s="5">
        <f t="shared" si="285"/>
        <v>41125</v>
      </c>
      <c r="D525" s="6">
        <v>41125</v>
      </c>
      <c r="E525" s="121">
        <v>43012</v>
      </c>
      <c r="F525" s="6" t="s">
        <v>1606</v>
      </c>
      <c r="G525" s="7" t="s">
        <v>75</v>
      </c>
      <c r="H525" s="7"/>
      <c r="I525" s="7" t="s">
        <v>32</v>
      </c>
      <c r="J525" s="7"/>
      <c r="K525" s="29">
        <v>449759</v>
      </c>
      <c r="L525" s="10" t="s">
        <v>1150</v>
      </c>
      <c r="M525" s="10" t="s">
        <v>1272</v>
      </c>
      <c r="N525" s="10" t="s">
        <v>2023</v>
      </c>
      <c r="O525" s="11" t="s">
        <v>2024</v>
      </c>
      <c r="P525" s="12">
        <v>43536</v>
      </c>
      <c r="Q525" s="13">
        <f t="shared" ca="1" si="286"/>
        <v>6.5325119780971939</v>
      </c>
      <c r="R525" s="14">
        <v>0</v>
      </c>
      <c r="S525" s="15">
        <v>872</v>
      </c>
      <c r="T525" s="8">
        <v>872</v>
      </c>
      <c r="U525" s="102">
        <v>45173</v>
      </c>
      <c r="V525" s="17">
        <v>66</v>
      </c>
      <c r="W525" s="16">
        <v>45382</v>
      </c>
      <c r="X525" s="14">
        <v>192</v>
      </c>
      <c r="Y525" s="18">
        <f t="shared" si="282"/>
        <v>127</v>
      </c>
      <c r="Z525" s="18">
        <f t="shared" si="288"/>
        <v>0.66145833333333337</v>
      </c>
      <c r="AA525" s="18"/>
      <c r="AB525" s="26">
        <v>30</v>
      </c>
      <c r="AC525" s="26"/>
      <c r="AD525" s="26"/>
      <c r="AE525" s="147" t="str">
        <f t="shared" si="280"/>
        <v>0</v>
      </c>
      <c r="AF525" s="147" t="str">
        <f t="shared" si="261"/>
        <v>1</v>
      </c>
      <c r="AG525" s="147" t="str">
        <f t="shared" si="281"/>
        <v>0</v>
      </c>
      <c r="AH525" s="147" t="str">
        <f t="shared" si="262"/>
        <v>NO</v>
      </c>
      <c r="AI525" s="147" t="str">
        <f t="shared" si="263"/>
        <v>NO</v>
      </c>
      <c r="AJ525" s="147" t="str">
        <f t="shared" si="264"/>
        <v>NO</v>
      </c>
      <c r="AK525" s="147" t="str">
        <f t="shared" si="265"/>
        <v>NO</v>
      </c>
      <c r="AL525" s="21"/>
      <c r="AM525" s="21">
        <f>IF(H525="Y",AL525,((AB525*$O$902)-6000))</f>
        <v>8183.0999999999985</v>
      </c>
      <c r="AN525" s="27"/>
      <c r="AO525" s="21">
        <v>1</v>
      </c>
      <c r="AP525" s="21">
        <f t="shared" si="287"/>
        <v>0.66145833333333337</v>
      </c>
      <c r="AQ525" s="149">
        <f t="shared" si="279"/>
        <v>5412.7796874999995</v>
      </c>
      <c r="AR525" s="21">
        <v>5412.7796874999995</v>
      </c>
      <c r="AS525" s="610">
        <v>0</v>
      </c>
      <c r="AT525" s="112">
        <v>0</v>
      </c>
      <c r="AU525" s="4"/>
      <c r="AV525" s="4"/>
      <c r="AW525" s="23"/>
      <c r="AX525" s="23"/>
      <c r="AY525" s="23"/>
      <c r="AZ525" s="4"/>
      <c r="BA525" s="272"/>
      <c r="BB525" s="313">
        <f t="shared" si="276"/>
        <v>5412.7796874999995</v>
      </c>
      <c r="BC525" s="269">
        <f t="shared" si="277"/>
        <v>5412.7796874999995</v>
      </c>
      <c r="BD525" t="str">
        <f t="shared" ref="BD525:BD534" si="289">BG525&amp;BH525&amp;BI525</f>
        <v/>
      </c>
      <c r="BP525" s="166">
        <f t="shared" si="266"/>
        <v>5412.7796874999995</v>
      </c>
      <c r="BS525" s="165"/>
      <c r="BX525" s="495">
        <f t="shared" si="267"/>
        <v>5412.7796874999995</v>
      </c>
      <c r="BZ525" s="636">
        <f t="shared" si="283"/>
        <v>0</v>
      </c>
      <c r="CA525" s="633">
        <f t="shared" si="284"/>
        <v>5412.7796874999995</v>
      </c>
    </row>
    <row r="526" spans="1:79" x14ac:dyDescent="0.2">
      <c r="A526" s="4">
        <v>1</v>
      </c>
      <c r="B526" s="4">
        <v>1</v>
      </c>
      <c r="C526" s="5">
        <f t="shared" si="285"/>
        <v>41125</v>
      </c>
      <c r="D526" s="6">
        <v>41125</v>
      </c>
      <c r="E526" s="121">
        <v>43012</v>
      </c>
      <c r="F526" s="6" t="s">
        <v>1606</v>
      </c>
      <c r="G526" s="7" t="s">
        <v>75</v>
      </c>
      <c r="H526" s="7"/>
      <c r="I526" s="7" t="s">
        <v>32</v>
      </c>
      <c r="J526" s="7"/>
      <c r="K526" s="29">
        <v>435223</v>
      </c>
      <c r="L526" s="10" t="s">
        <v>1150</v>
      </c>
      <c r="M526" s="10" t="s">
        <v>1157</v>
      </c>
      <c r="N526" s="10" t="s">
        <v>1158</v>
      </c>
      <c r="O526" s="11" t="str">
        <f>M526&amp;N526</f>
        <v>HartajGrewal</v>
      </c>
      <c r="P526" s="12">
        <v>42895</v>
      </c>
      <c r="Q526" s="13">
        <f t="shared" ca="1" si="286"/>
        <v>8.2874743326488698</v>
      </c>
      <c r="R526" s="14">
        <v>1</v>
      </c>
      <c r="S526" s="15">
        <v>872</v>
      </c>
      <c r="T526" s="8">
        <v>872</v>
      </c>
      <c r="U526" s="16">
        <v>45017</v>
      </c>
      <c r="V526" s="17">
        <v>1</v>
      </c>
      <c r="W526" s="16">
        <v>45382</v>
      </c>
      <c r="X526" s="14">
        <v>192</v>
      </c>
      <c r="Y526" s="18">
        <f t="shared" si="282"/>
        <v>192</v>
      </c>
      <c r="Z526" s="18">
        <f t="shared" si="288"/>
        <v>1</v>
      </c>
      <c r="AA526" s="18" t="s">
        <v>36</v>
      </c>
      <c r="AB526" s="26">
        <v>26</v>
      </c>
      <c r="AC526" s="26"/>
      <c r="AD526" s="26"/>
      <c r="AE526" s="147" t="str">
        <f t="shared" si="280"/>
        <v>0</v>
      </c>
      <c r="AF526" s="147" t="str">
        <f t="shared" si="261"/>
        <v>1</v>
      </c>
      <c r="AG526" s="147" t="str">
        <f t="shared" si="281"/>
        <v>0</v>
      </c>
      <c r="AH526" s="147" t="str">
        <f t="shared" si="262"/>
        <v>NO</v>
      </c>
      <c r="AI526" s="147" t="str">
        <f t="shared" si="263"/>
        <v>NO</v>
      </c>
      <c r="AJ526" s="147" t="str">
        <f t="shared" si="264"/>
        <v>NO</v>
      </c>
      <c r="AK526" s="147" t="str">
        <f t="shared" si="265"/>
        <v>NO</v>
      </c>
      <c r="AL526" s="21"/>
      <c r="AM526" s="21">
        <f>IF(H526="Y",AL526,((AB526*$O$902)-6000))</f>
        <v>6292.02</v>
      </c>
      <c r="AN526" s="27"/>
      <c r="AO526" s="21">
        <v>1</v>
      </c>
      <c r="AP526" s="21">
        <f t="shared" si="287"/>
        <v>1</v>
      </c>
      <c r="AQ526" s="149">
        <f t="shared" si="279"/>
        <v>6292.02</v>
      </c>
      <c r="AR526" s="21">
        <v>6292.02</v>
      </c>
      <c r="AS526" s="610">
        <v>6292.02</v>
      </c>
      <c r="AT526" s="112">
        <v>6292.02</v>
      </c>
      <c r="AU526" s="4"/>
      <c r="AV526" s="4"/>
      <c r="AW526" s="23" t="e">
        <f>VLOOKUP(K526,#REF!,8,FALSE)</f>
        <v>#REF!</v>
      </c>
      <c r="AX526" s="23" t="e">
        <f>VLOOKUP(K526,#REF!,8,FALSE)</f>
        <v>#REF!</v>
      </c>
      <c r="AY526" s="23" t="e">
        <f>VLOOKUP(K526,#REF!,8,FALSE)</f>
        <v>#REF!</v>
      </c>
      <c r="AZ526" s="4"/>
      <c r="BA526" s="272"/>
      <c r="BB526" s="313">
        <f t="shared" si="276"/>
        <v>0</v>
      </c>
      <c r="BC526" s="269">
        <f t="shared" si="277"/>
        <v>6292.02</v>
      </c>
      <c r="BD526" t="str">
        <f t="shared" si="289"/>
        <v/>
      </c>
      <c r="BP526" s="166">
        <f t="shared" si="266"/>
        <v>6292.02</v>
      </c>
      <c r="BS526" s="165"/>
      <c r="BX526" s="495">
        <f t="shared" si="267"/>
        <v>6292.02</v>
      </c>
      <c r="BZ526" s="636">
        <f t="shared" si="283"/>
        <v>0</v>
      </c>
      <c r="CA526" s="633">
        <f t="shared" si="284"/>
        <v>0</v>
      </c>
    </row>
    <row r="527" spans="1:79" x14ac:dyDescent="0.2">
      <c r="A527" s="4">
        <v>1</v>
      </c>
      <c r="B527" s="4">
        <v>1</v>
      </c>
      <c r="C527" s="5">
        <f t="shared" si="285"/>
        <v>41125</v>
      </c>
      <c r="D527" s="6">
        <v>41125</v>
      </c>
      <c r="E527" s="121">
        <v>43012</v>
      </c>
      <c r="F527" s="6" t="s">
        <v>1606</v>
      </c>
      <c r="G527" s="7" t="s">
        <v>75</v>
      </c>
      <c r="H527" s="7"/>
      <c r="I527" s="7" t="s">
        <v>32</v>
      </c>
      <c r="J527" s="7"/>
      <c r="K527" s="29">
        <v>437367</v>
      </c>
      <c r="L527" s="10" t="s">
        <v>1150</v>
      </c>
      <c r="M527" s="10" t="s">
        <v>1159</v>
      </c>
      <c r="N527" s="10" t="s">
        <v>1160</v>
      </c>
      <c r="O527" s="11" t="s">
        <v>1161</v>
      </c>
      <c r="P527" s="12">
        <v>43207</v>
      </c>
      <c r="Q527" s="13">
        <f t="shared" ca="1" si="286"/>
        <v>7.4332648870636548</v>
      </c>
      <c r="R527" s="14">
        <v>0</v>
      </c>
      <c r="S527" s="15">
        <v>872</v>
      </c>
      <c r="T527" s="8">
        <v>872</v>
      </c>
      <c r="U527" s="16">
        <v>45017</v>
      </c>
      <c r="V527" s="17">
        <v>1</v>
      </c>
      <c r="W527" s="16">
        <v>45382</v>
      </c>
      <c r="X527" s="14">
        <v>192</v>
      </c>
      <c r="Y527" s="18">
        <f t="shared" si="282"/>
        <v>192</v>
      </c>
      <c r="Z527" s="18">
        <f t="shared" si="288"/>
        <v>1</v>
      </c>
      <c r="AA527" s="18" t="s">
        <v>36</v>
      </c>
      <c r="AB527" s="26">
        <v>30</v>
      </c>
      <c r="AC527" s="26"/>
      <c r="AD527" s="26"/>
      <c r="AE527" s="147" t="str">
        <f t="shared" si="280"/>
        <v>0</v>
      </c>
      <c r="AF527" s="147" t="str">
        <f t="shared" si="261"/>
        <v>1</v>
      </c>
      <c r="AG527" s="147" t="str">
        <f t="shared" si="281"/>
        <v>0</v>
      </c>
      <c r="AH527" s="147" t="str">
        <f t="shared" si="262"/>
        <v>NO</v>
      </c>
      <c r="AI527" s="147" t="str">
        <f t="shared" si="263"/>
        <v>NO</v>
      </c>
      <c r="AJ527" s="147" t="str">
        <f t="shared" si="264"/>
        <v>NO</v>
      </c>
      <c r="AK527" s="147" t="str">
        <f t="shared" si="265"/>
        <v>NO</v>
      </c>
      <c r="AL527" s="21"/>
      <c r="AM527" s="21">
        <f>IF(H527="Y",AL527,((AB527*$O$902)-6000))</f>
        <v>8183.0999999999985</v>
      </c>
      <c r="AN527" s="27"/>
      <c r="AO527" s="21">
        <v>1</v>
      </c>
      <c r="AP527" s="21">
        <v>1</v>
      </c>
      <c r="AQ527" s="149">
        <f t="shared" si="279"/>
        <v>8183.0999999999985</v>
      </c>
      <c r="AR527" s="21">
        <v>8183.0999999999985</v>
      </c>
      <c r="AS527" s="610">
        <v>8183.0999999999985</v>
      </c>
      <c r="AT527" s="112">
        <v>8183.0999999999985</v>
      </c>
      <c r="AU527" s="4"/>
      <c r="AV527" s="4"/>
      <c r="AW527" s="23" t="e">
        <f>VLOOKUP(K527,#REF!,8,FALSE)</f>
        <v>#REF!</v>
      </c>
      <c r="AX527" s="23" t="e">
        <f>VLOOKUP(K527,#REF!,8,FALSE)</f>
        <v>#REF!</v>
      </c>
      <c r="AY527" s="23" t="e">
        <f>VLOOKUP(K527,#REF!,8,FALSE)</f>
        <v>#REF!</v>
      </c>
      <c r="AZ527" s="4"/>
      <c r="BA527" s="272"/>
      <c r="BB527" s="313">
        <f t="shared" si="276"/>
        <v>0</v>
      </c>
      <c r="BC527" s="269">
        <f t="shared" si="277"/>
        <v>8183.0999999999985</v>
      </c>
      <c r="BD527" t="str">
        <f t="shared" si="289"/>
        <v/>
      </c>
      <c r="BP527" s="166">
        <f t="shared" si="266"/>
        <v>8183.0999999999985</v>
      </c>
      <c r="BS527" s="165"/>
      <c r="BX527" s="495">
        <f t="shared" si="267"/>
        <v>8183.0999999999985</v>
      </c>
      <c r="BZ527" s="636">
        <f t="shared" si="283"/>
        <v>0</v>
      </c>
      <c r="CA527" s="633">
        <f t="shared" si="284"/>
        <v>0</v>
      </c>
    </row>
    <row r="528" spans="1:79" x14ac:dyDescent="0.2">
      <c r="A528" s="4">
        <v>0</v>
      </c>
      <c r="B528" s="4">
        <v>1</v>
      </c>
      <c r="C528" s="5">
        <f t="shared" si="285"/>
        <v>41125</v>
      </c>
      <c r="D528" s="6">
        <v>41125</v>
      </c>
      <c r="E528" s="121">
        <v>43012</v>
      </c>
      <c r="F528" s="6" t="s">
        <v>1606</v>
      </c>
      <c r="G528" s="7" t="s">
        <v>75</v>
      </c>
      <c r="H528" s="7"/>
      <c r="I528" s="7" t="s">
        <v>32</v>
      </c>
      <c r="J528" s="7" t="s">
        <v>142</v>
      </c>
      <c r="K528" s="29">
        <v>437367</v>
      </c>
      <c r="L528" s="10" t="s">
        <v>1150</v>
      </c>
      <c r="M528" s="10" t="s">
        <v>1159</v>
      </c>
      <c r="N528" s="10" t="s">
        <v>1160</v>
      </c>
      <c r="O528" s="11" t="s">
        <v>1161</v>
      </c>
      <c r="P528" s="12">
        <v>43207</v>
      </c>
      <c r="Q528" s="13">
        <f t="shared" ca="1" si="286"/>
        <v>7.4332648870636548</v>
      </c>
      <c r="R528" s="14">
        <v>0</v>
      </c>
      <c r="S528" s="15">
        <v>872</v>
      </c>
      <c r="T528" s="8">
        <v>872</v>
      </c>
      <c r="U528" s="16">
        <v>45017</v>
      </c>
      <c r="V528" s="17">
        <v>1</v>
      </c>
      <c r="W528" s="16">
        <v>45382</v>
      </c>
      <c r="X528" s="14">
        <v>192</v>
      </c>
      <c r="Y528" s="18">
        <f t="shared" si="282"/>
        <v>192</v>
      </c>
      <c r="Z528" s="18">
        <f t="shared" si="288"/>
        <v>1</v>
      </c>
      <c r="AA528" s="18" t="s">
        <v>36</v>
      </c>
      <c r="AB528" s="26">
        <v>20884.25</v>
      </c>
      <c r="AC528" s="26"/>
      <c r="AD528" s="26"/>
      <c r="AE528" s="147" t="str">
        <f t="shared" si="280"/>
        <v>0</v>
      </c>
      <c r="AF528" s="147" t="str">
        <f t="shared" si="261"/>
        <v>0</v>
      </c>
      <c r="AG528" s="147" t="str">
        <f t="shared" si="281"/>
        <v>1</v>
      </c>
      <c r="AH528" s="147" t="str">
        <f t="shared" si="262"/>
        <v>NO</v>
      </c>
      <c r="AI528" s="147" t="str">
        <f t="shared" si="263"/>
        <v>NO</v>
      </c>
      <c r="AJ528" s="147" t="str">
        <f t="shared" si="264"/>
        <v>NO</v>
      </c>
      <c r="AK528" s="147" t="str">
        <f t="shared" si="265"/>
        <v>NO</v>
      </c>
      <c r="AL528" s="21"/>
      <c r="AM528" s="21">
        <v>20884.25</v>
      </c>
      <c r="AN528" s="27"/>
      <c r="AO528" s="21">
        <v>1</v>
      </c>
      <c r="AP528" s="21">
        <f t="shared" ref="AP528:AP534" si="290">AO528*Z528</f>
        <v>1</v>
      </c>
      <c r="AQ528" s="149">
        <f t="shared" si="279"/>
        <v>20884.25</v>
      </c>
      <c r="AR528" s="21">
        <v>20884.25</v>
      </c>
      <c r="AS528" s="610">
        <v>20884.25</v>
      </c>
      <c r="AT528" s="112">
        <v>20884.25</v>
      </c>
      <c r="AU528" s="4"/>
      <c r="AV528" s="4"/>
      <c r="AW528" s="23" t="e">
        <f>VLOOKUP(K528,#REF!,8,FALSE)</f>
        <v>#REF!</v>
      </c>
      <c r="AX528" s="23" t="e">
        <f>VLOOKUP(K528,#REF!,8,FALSE)</f>
        <v>#REF!</v>
      </c>
      <c r="AY528" s="23" t="e">
        <f>VLOOKUP(K528,#REF!,8,FALSE)</f>
        <v>#REF!</v>
      </c>
      <c r="AZ528" s="4"/>
      <c r="BA528" s="272"/>
      <c r="BB528" s="313">
        <f t="shared" si="276"/>
        <v>0</v>
      </c>
      <c r="BC528" s="269">
        <f t="shared" si="277"/>
        <v>20884.25</v>
      </c>
      <c r="BD528" t="str">
        <f t="shared" si="289"/>
        <v/>
      </c>
      <c r="BP528" s="166">
        <f t="shared" si="266"/>
        <v>20884.25</v>
      </c>
      <c r="BS528" s="165"/>
      <c r="BX528" s="495">
        <f t="shared" si="267"/>
        <v>20884.25</v>
      </c>
      <c r="BZ528" s="636">
        <f t="shared" si="283"/>
        <v>0</v>
      </c>
      <c r="CA528" s="633">
        <f t="shared" si="284"/>
        <v>0</v>
      </c>
    </row>
    <row r="529" spans="1:79" x14ac:dyDescent="0.2">
      <c r="A529" s="4">
        <v>1</v>
      </c>
      <c r="B529" s="4">
        <v>1</v>
      </c>
      <c r="C529" s="5">
        <f t="shared" si="285"/>
        <v>4000</v>
      </c>
      <c r="D529" s="6">
        <v>4000</v>
      </c>
      <c r="E529" s="121">
        <v>43012</v>
      </c>
      <c r="F529" s="6" t="s">
        <v>1606</v>
      </c>
      <c r="G529" s="7" t="s">
        <v>75</v>
      </c>
      <c r="H529" s="7"/>
      <c r="I529" s="7" t="s">
        <v>157</v>
      </c>
      <c r="J529" s="7"/>
      <c r="K529" s="29">
        <v>436061</v>
      </c>
      <c r="L529" s="10" t="s">
        <v>1162</v>
      </c>
      <c r="M529" s="10" t="s">
        <v>1163</v>
      </c>
      <c r="N529" s="10" t="s">
        <v>1164</v>
      </c>
      <c r="O529" s="11" t="str">
        <f>M529&amp;N529</f>
        <v>AhizaRobins</v>
      </c>
      <c r="P529" s="12">
        <v>39899</v>
      </c>
      <c r="Q529" s="13">
        <f t="shared" ca="1" si="286"/>
        <v>16.490075290896645</v>
      </c>
      <c r="R529" s="14">
        <v>9</v>
      </c>
      <c r="S529" s="15">
        <v>872</v>
      </c>
      <c r="T529" s="8">
        <v>872</v>
      </c>
      <c r="U529" s="16">
        <v>45017</v>
      </c>
      <c r="V529" s="17">
        <v>1</v>
      </c>
      <c r="W529" s="16">
        <v>45382</v>
      </c>
      <c r="X529" s="14">
        <v>192</v>
      </c>
      <c r="Y529" s="18">
        <f t="shared" si="282"/>
        <v>192</v>
      </c>
      <c r="Z529" s="18">
        <f t="shared" si="288"/>
        <v>1</v>
      </c>
      <c r="AA529" s="18" t="s">
        <v>36</v>
      </c>
      <c r="AB529" s="26">
        <v>26</v>
      </c>
      <c r="AC529" s="26"/>
      <c r="AD529" s="26"/>
      <c r="AE529" s="147" t="str">
        <f t="shared" si="280"/>
        <v>0</v>
      </c>
      <c r="AF529" s="147" t="str">
        <f t="shared" si="261"/>
        <v>1</v>
      </c>
      <c r="AG529" s="147" t="str">
        <f t="shared" si="281"/>
        <v>0</v>
      </c>
      <c r="AH529" s="147" t="str">
        <f t="shared" si="262"/>
        <v>NO</v>
      </c>
      <c r="AI529" s="147" t="str">
        <f t="shared" si="263"/>
        <v>NO</v>
      </c>
      <c r="AJ529" s="147" t="str">
        <f t="shared" si="264"/>
        <v>NO</v>
      </c>
      <c r="AK529" s="147" t="str">
        <f t="shared" si="265"/>
        <v>NO</v>
      </c>
      <c r="AL529" s="21"/>
      <c r="AM529" s="21">
        <f>IF(H529="Y",AL529,((AB529*$O$902)-6000))</f>
        <v>6292.02</v>
      </c>
      <c r="AN529" s="27" t="s">
        <v>37</v>
      </c>
      <c r="AO529" s="21">
        <v>1</v>
      </c>
      <c r="AP529" s="21">
        <f t="shared" si="290"/>
        <v>1</v>
      </c>
      <c r="AQ529" s="149">
        <f t="shared" si="279"/>
        <v>6292.02</v>
      </c>
      <c r="AR529" s="21">
        <v>6292.02</v>
      </c>
      <c r="AS529" s="610">
        <v>6292.02</v>
      </c>
      <c r="AT529" s="112">
        <v>6292.02</v>
      </c>
      <c r="AU529" s="4"/>
      <c r="AV529" s="4"/>
      <c r="AW529" s="23" t="e">
        <f>VLOOKUP(K529,#REF!,8,FALSE)</f>
        <v>#REF!</v>
      </c>
      <c r="AX529" s="23" t="e">
        <f>VLOOKUP(K529,#REF!,8,FALSE)</f>
        <v>#REF!</v>
      </c>
      <c r="AY529" s="23" t="e">
        <f>VLOOKUP(K529,#REF!,8,FALSE)</f>
        <v>#REF!</v>
      </c>
      <c r="AZ529" s="4"/>
      <c r="BA529" s="272"/>
      <c r="BB529" s="313">
        <f t="shared" si="276"/>
        <v>0</v>
      </c>
      <c r="BC529" s="269">
        <f t="shared" si="277"/>
        <v>6292.02</v>
      </c>
      <c r="BD529" t="str">
        <f t="shared" si="289"/>
        <v/>
      </c>
      <c r="BP529" s="166">
        <f t="shared" si="266"/>
        <v>6292.02</v>
      </c>
      <c r="BS529" s="165"/>
      <c r="BX529" s="495">
        <f t="shared" si="267"/>
        <v>6292.02</v>
      </c>
      <c r="BZ529" s="636">
        <f t="shared" si="283"/>
        <v>0</v>
      </c>
      <c r="CA529" s="633">
        <f t="shared" si="284"/>
        <v>0</v>
      </c>
    </row>
    <row r="530" spans="1:79" x14ac:dyDescent="0.2">
      <c r="A530" s="4">
        <v>1</v>
      </c>
      <c r="B530" s="4">
        <v>1</v>
      </c>
      <c r="C530" s="5">
        <f t="shared" si="285"/>
        <v>4000</v>
      </c>
      <c r="D530" s="6">
        <v>4000</v>
      </c>
      <c r="E530" s="121">
        <v>43012</v>
      </c>
      <c r="F530" s="6" t="s">
        <v>1606</v>
      </c>
      <c r="G530" s="7" t="s">
        <v>75</v>
      </c>
      <c r="H530" s="7"/>
      <c r="I530" s="7" t="s">
        <v>157</v>
      </c>
      <c r="J530" s="7"/>
      <c r="K530" s="29">
        <v>383267</v>
      </c>
      <c r="L530" s="10" t="s">
        <v>1162</v>
      </c>
      <c r="M530" s="10" t="s">
        <v>1165</v>
      </c>
      <c r="N530" s="10" t="s">
        <v>1166</v>
      </c>
      <c r="O530" s="11" t="s">
        <v>1167</v>
      </c>
      <c r="P530" s="12">
        <v>39966</v>
      </c>
      <c r="Q530" s="13">
        <f t="shared" ca="1" si="286"/>
        <v>16.306639288158795</v>
      </c>
      <c r="R530" s="14">
        <v>9</v>
      </c>
      <c r="S530" s="15">
        <v>872</v>
      </c>
      <c r="T530" s="8">
        <v>872</v>
      </c>
      <c r="U530" s="16">
        <v>45017</v>
      </c>
      <c r="V530" s="17">
        <v>1</v>
      </c>
      <c r="W530" s="16">
        <v>45128</v>
      </c>
      <c r="X530" s="14">
        <v>63</v>
      </c>
      <c r="Y530" s="18">
        <f t="shared" si="282"/>
        <v>63</v>
      </c>
      <c r="Z530" s="18">
        <v>1</v>
      </c>
      <c r="AA530" s="16">
        <v>45138</v>
      </c>
      <c r="AB530" s="26">
        <v>2546.4</v>
      </c>
      <c r="AC530" s="26"/>
      <c r="AD530" s="26"/>
      <c r="AE530" s="147" t="str">
        <f t="shared" si="280"/>
        <v>0</v>
      </c>
      <c r="AF530" s="147" t="str">
        <f t="shared" si="261"/>
        <v>0</v>
      </c>
      <c r="AG530" s="147" t="str">
        <f t="shared" si="281"/>
        <v>1</v>
      </c>
      <c r="AH530" s="147" t="str">
        <f t="shared" si="262"/>
        <v>NO</v>
      </c>
      <c r="AI530" s="147" t="str">
        <f t="shared" si="263"/>
        <v>NO</v>
      </c>
      <c r="AJ530" s="147" t="str">
        <f t="shared" si="264"/>
        <v>NO</v>
      </c>
      <c r="AK530" s="147" t="str">
        <f t="shared" si="265"/>
        <v>NO</v>
      </c>
      <c r="AL530" s="21"/>
      <c r="AM530" s="21">
        <v>2546.4</v>
      </c>
      <c r="AN530" s="27" t="s">
        <v>43</v>
      </c>
      <c r="AO530" s="21">
        <v>1</v>
      </c>
      <c r="AP530" s="21">
        <f t="shared" si="290"/>
        <v>1</v>
      </c>
      <c r="AQ530" s="149">
        <f t="shared" si="279"/>
        <v>2546.4</v>
      </c>
      <c r="AR530" s="21">
        <v>2546.4</v>
      </c>
      <c r="AS530" s="610">
        <v>0</v>
      </c>
      <c r="AT530" s="112">
        <v>2546.4</v>
      </c>
      <c r="AU530" s="4"/>
      <c r="AV530" s="4"/>
      <c r="AW530" s="23" t="e">
        <f>VLOOKUP(K530,#REF!,8,FALSE)</f>
        <v>#REF!</v>
      </c>
      <c r="AX530" s="23" t="e">
        <f>VLOOKUP(K530,#REF!,8,FALSE)</f>
        <v>#REF!</v>
      </c>
      <c r="AY530" s="23" t="e">
        <f>VLOOKUP(K530,#REF!,8,FALSE)</f>
        <v>#REF!</v>
      </c>
      <c r="AZ530" s="4"/>
      <c r="BA530" s="272"/>
      <c r="BB530" s="313">
        <f t="shared" si="276"/>
        <v>0</v>
      </c>
      <c r="BC530" s="269">
        <f t="shared" si="277"/>
        <v>2546.4</v>
      </c>
      <c r="BD530" t="str">
        <f t="shared" si="289"/>
        <v/>
      </c>
      <c r="BJ530">
        <f>AB530</f>
        <v>2546.4</v>
      </c>
      <c r="BK530" s="269">
        <f>AM530</f>
        <v>2546.4</v>
      </c>
      <c r="BO530" s="106">
        <f>BK530/192*127</f>
        <v>1684.3375000000001</v>
      </c>
      <c r="BP530" s="166">
        <f t="shared" si="266"/>
        <v>4230.7375000000002</v>
      </c>
      <c r="BS530" s="165" t="s">
        <v>2564</v>
      </c>
      <c r="BT530" t="s">
        <v>2563</v>
      </c>
      <c r="BV530" s="110" t="s">
        <v>2569</v>
      </c>
      <c r="BX530" s="495">
        <f t="shared" si="267"/>
        <v>4230.7375000000002</v>
      </c>
      <c r="BZ530" s="636">
        <f t="shared" si="283"/>
        <v>0</v>
      </c>
      <c r="CA530" s="633">
        <f t="shared" si="284"/>
        <v>4230.7375000000002</v>
      </c>
    </row>
    <row r="531" spans="1:79" x14ac:dyDescent="0.2">
      <c r="A531" s="4">
        <v>1</v>
      </c>
      <c r="B531" s="4">
        <v>1</v>
      </c>
      <c r="C531" s="5">
        <f t="shared" si="285"/>
        <v>4000</v>
      </c>
      <c r="D531" s="6">
        <v>4000</v>
      </c>
      <c r="E531" s="121">
        <v>43012</v>
      </c>
      <c r="F531" s="6" t="s">
        <v>1606</v>
      </c>
      <c r="G531" s="7" t="s">
        <v>75</v>
      </c>
      <c r="H531" s="7"/>
      <c r="I531" s="7" t="s">
        <v>157</v>
      </c>
      <c r="J531" s="7"/>
      <c r="K531" s="29">
        <v>389392</v>
      </c>
      <c r="L531" s="10" t="s">
        <v>1162</v>
      </c>
      <c r="M531" s="10" t="s">
        <v>1168</v>
      </c>
      <c r="N531" s="10" t="s">
        <v>1169</v>
      </c>
      <c r="O531" s="11" t="s">
        <v>1170</v>
      </c>
      <c r="P531" s="12">
        <v>40246</v>
      </c>
      <c r="Q531" s="13">
        <f t="shared" ca="1" si="286"/>
        <v>15.540041067761807</v>
      </c>
      <c r="R531" s="14">
        <v>8</v>
      </c>
      <c r="S531" s="15">
        <v>872</v>
      </c>
      <c r="T531" s="8">
        <v>872</v>
      </c>
      <c r="U531" s="16">
        <v>45017</v>
      </c>
      <c r="V531" s="17">
        <v>1</v>
      </c>
      <c r="W531" s="16">
        <v>45382</v>
      </c>
      <c r="X531" s="14">
        <v>192</v>
      </c>
      <c r="Y531" s="18">
        <f t="shared" si="282"/>
        <v>192</v>
      </c>
      <c r="Z531" s="18">
        <f t="shared" ref="Z531:Z549" si="291">Y531/192</f>
        <v>1</v>
      </c>
      <c r="AA531" s="18" t="s">
        <v>36</v>
      </c>
      <c r="AB531" s="26">
        <v>28</v>
      </c>
      <c r="AC531" s="26"/>
      <c r="AD531" s="26"/>
      <c r="AE531" s="147" t="str">
        <f t="shared" si="280"/>
        <v>0</v>
      </c>
      <c r="AF531" s="147" t="str">
        <f t="shared" si="261"/>
        <v>1</v>
      </c>
      <c r="AG531" s="147" t="str">
        <f t="shared" si="281"/>
        <v>0</v>
      </c>
      <c r="AH531" s="147" t="str">
        <f t="shared" ref="AH531:AH594" si="292">IF(AD531="BAND3","YES","NO")</f>
        <v>NO</v>
      </c>
      <c r="AI531" s="147" t="str">
        <f t="shared" ref="AI531:AI594" si="293">IF(AD531="BAND4","YES","NO")</f>
        <v>NO</v>
      </c>
      <c r="AJ531" s="147" t="str">
        <f t="shared" ref="AJ531:AJ594" si="294">IF(AD531="BAND5","YES","NO")</f>
        <v>NO</v>
      </c>
      <c r="AK531" s="147" t="str">
        <f t="shared" ref="AK531:AK594" si="295">IF(AD531="BAND6","YES","NO")</f>
        <v>NO</v>
      </c>
      <c r="AL531" s="21"/>
      <c r="AM531" s="21">
        <f>IF(H531="Y",AL531,((AB531*$O$902)-6000))</f>
        <v>7237.5599999999995</v>
      </c>
      <c r="AN531" s="27" t="s">
        <v>56</v>
      </c>
      <c r="AO531" s="21">
        <v>1</v>
      </c>
      <c r="AP531" s="21">
        <f t="shared" si="290"/>
        <v>1</v>
      </c>
      <c r="AQ531" s="149">
        <f t="shared" si="279"/>
        <v>7237.5599999999995</v>
      </c>
      <c r="AR531" s="21">
        <v>7237.5599999999995</v>
      </c>
      <c r="AS531" s="610">
        <v>7237.5599999999995</v>
      </c>
      <c r="AT531" s="112">
        <v>7237.5599999999995</v>
      </c>
      <c r="AU531" s="4"/>
      <c r="AV531" s="4"/>
      <c r="AW531" s="23" t="e">
        <f>VLOOKUP(K531,#REF!,8,FALSE)</f>
        <v>#REF!</v>
      </c>
      <c r="AX531" s="23" t="e">
        <f>VLOOKUP(K531,#REF!,8,FALSE)</f>
        <v>#REF!</v>
      </c>
      <c r="AY531" s="23" t="e">
        <f>VLOOKUP(K531,#REF!,8,FALSE)</f>
        <v>#REF!</v>
      </c>
      <c r="AZ531" s="4"/>
      <c r="BA531" s="272"/>
      <c r="BB531" s="313">
        <f t="shared" si="276"/>
        <v>0</v>
      </c>
      <c r="BC531" s="269">
        <f t="shared" si="277"/>
        <v>7237.5599999999995</v>
      </c>
      <c r="BD531" t="str">
        <f t="shared" si="289"/>
        <v/>
      </c>
      <c r="BP531" s="166">
        <f t="shared" ref="BP531:BP594" si="296">BC531+BO531</f>
        <v>7237.5599999999995</v>
      </c>
      <c r="BS531" s="165"/>
      <c r="BX531" s="495">
        <f t="shared" ref="BX531:BX594" si="297">AQ531+BO531+BU531</f>
        <v>7237.5599999999995</v>
      </c>
      <c r="BZ531" s="636">
        <f t="shared" si="283"/>
        <v>0</v>
      </c>
      <c r="CA531" s="633">
        <f t="shared" si="284"/>
        <v>0</v>
      </c>
    </row>
    <row r="532" spans="1:79" x14ac:dyDescent="0.2">
      <c r="A532" s="4">
        <v>1</v>
      </c>
      <c r="B532" s="4">
        <v>1</v>
      </c>
      <c r="C532" s="5">
        <f t="shared" si="285"/>
        <v>4000</v>
      </c>
      <c r="D532" s="6">
        <v>4000</v>
      </c>
      <c r="E532" s="121">
        <v>43012</v>
      </c>
      <c r="F532" s="6" t="s">
        <v>1606</v>
      </c>
      <c r="G532" s="7" t="s">
        <v>75</v>
      </c>
      <c r="H532" s="7"/>
      <c r="I532" s="7" t="s">
        <v>157</v>
      </c>
      <c r="J532" s="7"/>
      <c r="K532" s="29">
        <v>392124</v>
      </c>
      <c r="L532" s="10" t="s">
        <v>1162</v>
      </c>
      <c r="M532" s="10" t="s">
        <v>2311</v>
      </c>
      <c r="N532" s="10" t="s">
        <v>410</v>
      </c>
      <c r="O532" s="11" t="s">
        <v>2312</v>
      </c>
      <c r="P532" s="12">
        <v>40472</v>
      </c>
      <c r="Q532" s="13">
        <f t="shared" ca="1" si="286"/>
        <v>14.921286789869953</v>
      </c>
      <c r="R532" s="14">
        <v>8</v>
      </c>
      <c r="S532" s="15">
        <v>872</v>
      </c>
      <c r="T532" s="8">
        <v>872</v>
      </c>
      <c r="U532" s="16">
        <v>45069</v>
      </c>
      <c r="V532" s="17">
        <v>26</v>
      </c>
      <c r="W532" s="16">
        <v>45382</v>
      </c>
      <c r="X532" s="14">
        <v>192</v>
      </c>
      <c r="Y532" s="18">
        <f t="shared" si="282"/>
        <v>167</v>
      </c>
      <c r="Z532" s="18">
        <f t="shared" si="291"/>
        <v>0.86979166666666663</v>
      </c>
      <c r="AA532" s="18" t="s">
        <v>36</v>
      </c>
      <c r="AB532" s="26">
        <v>25</v>
      </c>
      <c r="AC532" s="26"/>
      <c r="AD532" s="26"/>
      <c r="AE532" s="147" t="str">
        <f t="shared" si="280"/>
        <v>1</v>
      </c>
      <c r="AF532" s="147" t="str">
        <f t="shared" si="261"/>
        <v>0</v>
      </c>
      <c r="AG532" s="147" t="str">
        <f t="shared" si="281"/>
        <v>0</v>
      </c>
      <c r="AH532" s="147" t="str">
        <f t="shared" si="292"/>
        <v>NO</v>
      </c>
      <c r="AI532" s="147" t="str">
        <f t="shared" si="293"/>
        <v>NO</v>
      </c>
      <c r="AJ532" s="147" t="str">
        <f t="shared" si="294"/>
        <v>NO</v>
      </c>
      <c r="AK532" s="147" t="str">
        <f t="shared" si="295"/>
        <v>NO</v>
      </c>
      <c r="AL532" s="21"/>
      <c r="AM532" s="21">
        <f>IF(H532="Y",AL532,((AB532*$O$902)-6000))</f>
        <v>5819.25</v>
      </c>
      <c r="AN532" s="27" t="s">
        <v>43</v>
      </c>
      <c r="AO532" s="21">
        <v>1</v>
      </c>
      <c r="AP532" s="21">
        <f t="shared" si="290"/>
        <v>0.86979166666666663</v>
      </c>
      <c r="AQ532" s="149">
        <f t="shared" si="279"/>
        <v>5061.53515625</v>
      </c>
      <c r="AR532" s="21">
        <v>5061.53515625</v>
      </c>
      <c r="AS532" s="610">
        <v>0</v>
      </c>
      <c r="AT532" s="112">
        <v>0</v>
      </c>
      <c r="AU532" s="4"/>
      <c r="AV532" s="4"/>
      <c r="AW532" s="23" t="e">
        <f>VLOOKUP(K532,#REF!,8,FALSE)</f>
        <v>#REF!</v>
      </c>
      <c r="AX532" s="23" t="e">
        <f>VLOOKUP(K532,#REF!,8,FALSE)</f>
        <v>#REF!</v>
      </c>
      <c r="AY532" s="23" t="e">
        <f>VLOOKUP(K532,#REF!,8,FALSE)</f>
        <v>#REF!</v>
      </c>
      <c r="AZ532" s="4"/>
      <c r="BA532" s="272"/>
      <c r="BB532" s="313">
        <f t="shared" si="276"/>
        <v>5061.53515625</v>
      </c>
      <c r="BC532" s="269">
        <f t="shared" si="277"/>
        <v>5061.53515625</v>
      </c>
      <c r="BD532" t="str">
        <f t="shared" si="289"/>
        <v/>
      </c>
      <c r="BP532" s="166">
        <f t="shared" si="296"/>
        <v>5061.53515625</v>
      </c>
      <c r="BS532" s="165"/>
      <c r="BX532" s="495">
        <f t="shared" si="297"/>
        <v>5061.53515625</v>
      </c>
      <c r="BZ532" s="636">
        <f t="shared" si="283"/>
        <v>0</v>
      </c>
      <c r="CA532" s="633">
        <f t="shared" si="284"/>
        <v>5061.53515625</v>
      </c>
    </row>
    <row r="533" spans="1:79" x14ac:dyDescent="0.2">
      <c r="A533" s="4">
        <v>1</v>
      </c>
      <c r="B533" s="4">
        <v>1</v>
      </c>
      <c r="C533" s="5">
        <f t="shared" si="285"/>
        <v>4000</v>
      </c>
      <c r="D533" s="6">
        <v>4000</v>
      </c>
      <c r="E533" s="121">
        <v>43012</v>
      </c>
      <c r="F533" s="6" t="s">
        <v>1606</v>
      </c>
      <c r="G533" s="7" t="s">
        <v>75</v>
      </c>
      <c r="H533" s="7"/>
      <c r="I533" s="7" t="s">
        <v>157</v>
      </c>
      <c r="J533" s="7"/>
      <c r="K533" s="29">
        <v>371306</v>
      </c>
      <c r="L533" s="10" t="s">
        <v>1162</v>
      </c>
      <c r="M533" s="10" t="s">
        <v>1171</v>
      </c>
      <c r="N533" s="10" t="s">
        <v>1172</v>
      </c>
      <c r="O533" s="11" t="s">
        <v>1173</v>
      </c>
      <c r="P533" s="12">
        <v>39352</v>
      </c>
      <c r="Q533" s="13">
        <f t="shared" ca="1" si="286"/>
        <v>17.987679671457904</v>
      </c>
      <c r="R533" s="14">
        <v>10</v>
      </c>
      <c r="S533" s="15">
        <v>872</v>
      </c>
      <c r="T533" s="8">
        <v>872</v>
      </c>
      <c r="U533" s="16">
        <v>45017</v>
      </c>
      <c r="V533" s="17">
        <v>1</v>
      </c>
      <c r="W533" s="16">
        <v>45382</v>
      </c>
      <c r="X533" s="14">
        <v>192</v>
      </c>
      <c r="Y533" s="18">
        <f t="shared" si="282"/>
        <v>192</v>
      </c>
      <c r="Z533" s="18">
        <f t="shared" si="291"/>
        <v>1</v>
      </c>
      <c r="AA533" s="18" t="s">
        <v>36</v>
      </c>
      <c r="AB533" s="26">
        <v>24</v>
      </c>
      <c r="AC533" s="26"/>
      <c r="AD533" s="26"/>
      <c r="AE533" s="147" t="str">
        <f t="shared" si="280"/>
        <v>1</v>
      </c>
      <c r="AF533" s="147" t="str">
        <f t="shared" si="261"/>
        <v>0</v>
      </c>
      <c r="AG533" s="147" t="str">
        <f t="shared" si="281"/>
        <v>0</v>
      </c>
      <c r="AH533" s="147" t="str">
        <f t="shared" si="292"/>
        <v>NO</v>
      </c>
      <c r="AI533" s="147" t="str">
        <f t="shared" si="293"/>
        <v>NO</v>
      </c>
      <c r="AJ533" s="147" t="str">
        <f t="shared" si="294"/>
        <v>NO</v>
      </c>
      <c r="AK533" s="147" t="str">
        <f t="shared" si="295"/>
        <v>NO</v>
      </c>
      <c r="AL533" s="21"/>
      <c r="AM533" s="21">
        <f>IF(H533="Y",AL533,((AB533*$O$902)-6000))</f>
        <v>5346.48</v>
      </c>
      <c r="AN533" s="27" t="s">
        <v>56</v>
      </c>
      <c r="AO533" s="21">
        <v>1</v>
      </c>
      <c r="AP533" s="21">
        <f t="shared" si="290"/>
        <v>1</v>
      </c>
      <c r="AQ533" s="149">
        <f t="shared" si="279"/>
        <v>5346.48</v>
      </c>
      <c r="AR533" s="21">
        <v>5346.48</v>
      </c>
      <c r="AS533" s="610">
        <v>5346.48</v>
      </c>
      <c r="AT533" s="112">
        <v>5346.48</v>
      </c>
      <c r="AU533" s="4"/>
      <c r="AV533" s="4"/>
      <c r="AW533" s="23" t="e">
        <f>VLOOKUP(K533,#REF!,8,FALSE)</f>
        <v>#REF!</v>
      </c>
      <c r="AX533" s="23" t="e">
        <f>VLOOKUP(K533,#REF!,8,FALSE)</f>
        <v>#REF!</v>
      </c>
      <c r="AY533" s="23" t="e">
        <f>VLOOKUP(K533,#REF!,8,FALSE)</f>
        <v>#REF!</v>
      </c>
      <c r="AZ533" s="4"/>
      <c r="BA533" s="272"/>
      <c r="BB533" s="313">
        <f t="shared" si="276"/>
        <v>0</v>
      </c>
      <c r="BC533" s="269">
        <f t="shared" si="277"/>
        <v>5346.48</v>
      </c>
      <c r="BD533" t="str">
        <f t="shared" si="289"/>
        <v/>
      </c>
      <c r="BP533" s="166">
        <f t="shared" si="296"/>
        <v>5346.48</v>
      </c>
      <c r="BS533" s="165"/>
      <c r="BX533" s="495">
        <f t="shared" si="297"/>
        <v>5346.48</v>
      </c>
      <c r="BZ533" s="636">
        <f t="shared" si="283"/>
        <v>0</v>
      </c>
      <c r="CA533" s="633">
        <f t="shared" si="284"/>
        <v>0</v>
      </c>
    </row>
    <row r="534" spans="1:79" x14ac:dyDescent="0.2">
      <c r="A534" s="4">
        <v>1</v>
      </c>
      <c r="B534" s="4">
        <v>1</v>
      </c>
      <c r="C534" s="5">
        <f t="shared" si="285"/>
        <v>4000</v>
      </c>
      <c r="D534" s="6">
        <v>4000</v>
      </c>
      <c r="E534" s="121">
        <v>43012</v>
      </c>
      <c r="F534" s="6" t="s">
        <v>1606</v>
      </c>
      <c r="G534" s="7" t="s">
        <v>75</v>
      </c>
      <c r="H534" s="7"/>
      <c r="I534" s="7" t="s">
        <v>157</v>
      </c>
      <c r="J534" s="7"/>
      <c r="K534" s="29">
        <v>374534</v>
      </c>
      <c r="L534" s="10" t="s">
        <v>1162</v>
      </c>
      <c r="M534" s="10" t="s">
        <v>316</v>
      </c>
      <c r="N534" s="10" t="s">
        <v>623</v>
      </c>
      <c r="O534" s="11" t="s">
        <v>1174</v>
      </c>
      <c r="P534" s="12">
        <v>39618</v>
      </c>
      <c r="Q534" s="13">
        <f t="shared" ca="1" si="286"/>
        <v>17.259411362080765</v>
      </c>
      <c r="R534" s="14">
        <v>10</v>
      </c>
      <c r="S534" s="15">
        <v>872</v>
      </c>
      <c r="T534" s="8">
        <v>872</v>
      </c>
      <c r="U534" s="16">
        <v>45017</v>
      </c>
      <c r="V534" s="17">
        <v>1</v>
      </c>
      <c r="W534" s="16">
        <v>45382</v>
      </c>
      <c r="X534" s="14">
        <v>192</v>
      </c>
      <c r="Y534" s="18">
        <f t="shared" si="282"/>
        <v>192</v>
      </c>
      <c r="Z534" s="18">
        <f t="shared" si="291"/>
        <v>1</v>
      </c>
      <c r="AA534" s="18" t="s">
        <v>36</v>
      </c>
      <c r="AB534" s="26">
        <v>23</v>
      </c>
      <c r="AC534" s="26"/>
      <c r="AD534" s="26"/>
      <c r="AE534" s="147" t="str">
        <f t="shared" si="280"/>
        <v>1</v>
      </c>
      <c r="AF534" s="147" t="str">
        <f t="shared" si="261"/>
        <v>0</v>
      </c>
      <c r="AG534" s="147" t="str">
        <f t="shared" si="281"/>
        <v>0</v>
      </c>
      <c r="AH534" s="147" t="str">
        <f t="shared" si="292"/>
        <v>NO</v>
      </c>
      <c r="AI534" s="147" t="str">
        <f t="shared" si="293"/>
        <v>NO</v>
      </c>
      <c r="AJ534" s="147" t="str">
        <f t="shared" si="294"/>
        <v>NO</v>
      </c>
      <c r="AK534" s="147" t="str">
        <f t="shared" si="295"/>
        <v>NO</v>
      </c>
      <c r="AL534" s="21"/>
      <c r="AM534" s="21">
        <f>IF(H534="Y",AL534,((AB534*$O$902)-6000))</f>
        <v>4873.7099999999991</v>
      </c>
      <c r="AN534" s="27" t="s">
        <v>56</v>
      </c>
      <c r="AO534" s="21">
        <v>1</v>
      </c>
      <c r="AP534" s="21">
        <f t="shared" si="290"/>
        <v>1</v>
      </c>
      <c r="AQ534" s="149">
        <f t="shared" si="279"/>
        <v>4873.7099999999991</v>
      </c>
      <c r="AR534" s="21">
        <v>4873.7099999999991</v>
      </c>
      <c r="AS534" s="610">
        <v>4873.7099999999991</v>
      </c>
      <c r="AT534" s="112">
        <v>4873.7099999999991</v>
      </c>
      <c r="AU534" s="4"/>
      <c r="AV534" s="4"/>
      <c r="AW534" s="23" t="e">
        <f>VLOOKUP(K534,#REF!,8,FALSE)</f>
        <v>#REF!</v>
      </c>
      <c r="AX534" s="23" t="e">
        <f>VLOOKUP(K534,#REF!,8,FALSE)</f>
        <v>#REF!</v>
      </c>
      <c r="AY534" s="23" t="e">
        <f>VLOOKUP(K534,#REF!,8,FALSE)</f>
        <v>#REF!</v>
      </c>
      <c r="AZ534" s="4"/>
      <c r="BA534" s="272"/>
      <c r="BB534" s="313">
        <f t="shared" si="276"/>
        <v>0</v>
      </c>
      <c r="BC534" s="269">
        <f t="shared" si="277"/>
        <v>4873.7099999999991</v>
      </c>
      <c r="BD534" t="str">
        <f t="shared" si="289"/>
        <v/>
      </c>
      <c r="BP534" s="166">
        <f t="shared" si="296"/>
        <v>4873.7099999999991</v>
      </c>
      <c r="BS534" s="165"/>
      <c r="BX534" s="495">
        <f t="shared" si="297"/>
        <v>4873.7099999999991</v>
      </c>
      <c r="BZ534" s="636">
        <f t="shared" si="283"/>
        <v>0</v>
      </c>
      <c r="CA534" s="633">
        <f t="shared" si="284"/>
        <v>0</v>
      </c>
    </row>
    <row r="535" spans="1:79" x14ac:dyDescent="0.2">
      <c r="A535" s="4">
        <v>0</v>
      </c>
      <c r="B535" s="4">
        <v>1</v>
      </c>
      <c r="C535" s="5">
        <f t="shared" si="285"/>
        <v>4000</v>
      </c>
      <c r="D535" s="6">
        <v>4000</v>
      </c>
      <c r="E535" s="121">
        <v>43012</v>
      </c>
      <c r="F535" s="6" t="s">
        <v>1606</v>
      </c>
      <c r="G535" s="7" t="s">
        <v>75</v>
      </c>
      <c r="H535" s="7"/>
      <c r="I535" s="7" t="s">
        <v>157</v>
      </c>
      <c r="J535" s="7" t="s">
        <v>142</v>
      </c>
      <c r="K535" s="29">
        <v>374534</v>
      </c>
      <c r="L535" s="10" t="s">
        <v>1162</v>
      </c>
      <c r="M535" s="10" t="s">
        <v>316</v>
      </c>
      <c r="N535" s="10" t="s">
        <v>623</v>
      </c>
      <c r="O535" s="11" t="s">
        <v>1174</v>
      </c>
      <c r="P535" s="12">
        <v>39618</v>
      </c>
      <c r="Q535" s="13">
        <f t="shared" ca="1" si="286"/>
        <v>17.259411362080765</v>
      </c>
      <c r="R535" s="14">
        <v>10</v>
      </c>
      <c r="S535" s="15">
        <v>872</v>
      </c>
      <c r="T535" s="8">
        <v>872</v>
      </c>
      <c r="U535" s="16">
        <v>45170</v>
      </c>
      <c r="V535" s="17">
        <v>65</v>
      </c>
      <c r="W535" s="16">
        <v>45382</v>
      </c>
      <c r="X535" s="14">
        <v>192</v>
      </c>
      <c r="Y535" s="18">
        <f t="shared" si="282"/>
        <v>128</v>
      </c>
      <c r="Z535" s="18">
        <f t="shared" si="291"/>
        <v>0.66666666666666663</v>
      </c>
      <c r="AA535" s="18" t="s">
        <v>36</v>
      </c>
      <c r="AB535" s="26">
        <v>720</v>
      </c>
      <c r="AC535" s="26"/>
      <c r="AD535" s="26"/>
      <c r="AE535" s="147">
        <v>1</v>
      </c>
      <c r="AF535" s="147">
        <v>0</v>
      </c>
      <c r="AG535" s="147">
        <v>0</v>
      </c>
      <c r="AH535" s="147" t="str">
        <f t="shared" si="292"/>
        <v>NO</v>
      </c>
      <c r="AI535" s="147" t="str">
        <f t="shared" si="293"/>
        <v>NO</v>
      </c>
      <c r="AJ535" s="147" t="str">
        <f t="shared" si="294"/>
        <v>NO</v>
      </c>
      <c r="AK535" s="147" t="str">
        <f t="shared" si="295"/>
        <v>NO</v>
      </c>
      <c r="AL535" s="21"/>
      <c r="AM535" s="21">
        <f>AB535</f>
        <v>720</v>
      </c>
      <c r="AN535" s="27" t="s">
        <v>56</v>
      </c>
      <c r="AO535" s="21">
        <v>1</v>
      </c>
      <c r="AP535" s="21">
        <v>1</v>
      </c>
      <c r="AQ535" s="149">
        <f t="shared" si="279"/>
        <v>720</v>
      </c>
      <c r="AR535" s="21">
        <v>0</v>
      </c>
      <c r="AS535" s="610">
        <v>0</v>
      </c>
      <c r="AT535" s="112">
        <v>0</v>
      </c>
      <c r="AU535" s="4"/>
      <c r="AV535" s="4"/>
      <c r="AW535" s="23" t="e">
        <f>VLOOKUP(K535,#REF!,8,FALSE)</f>
        <v>#REF!</v>
      </c>
      <c r="AX535" s="23" t="e">
        <f>VLOOKUP(K535,#REF!,8,FALSE)</f>
        <v>#REF!</v>
      </c>
      <c r="AY535" s="23" t="e">
        <f>VLOOKUP(K535,#REF!,8,FALSE)</f>
        <v>#REF!</v>
      </c>
      <c r="AZ535" s="4"/>
      <c r="BA535" s="272"/>
      <c r="BB535" s="313">
        <f t="shared" si="276"/>
        <v>0</v>
      </c>
      <c r="BC535" s="269">
        <f t="shared" si="277"/>
        <v>0</v>
      </c>
      <c r="BP535" s="166">
        <f t="shared" si="296"/>
        <v>0</v>
      </c>
      <c r="BS535" s="165"/>
      <c r="BX535" s="495">
        <f t="shared" si="297"/>
        <v>720</v>
      </c>
      <c r="BY535" t="s">
        <v>2472</v>
      </c>
      <c r="BZ535" s="636">
        <f t="shared" si="283"/>
        <v>720</v>
      </c>
      <c r="CA535" s="633">
        <f t="shared" si="284"/>
        <v>720</v>
      </c>
    </row>
    <row r="536" spans="1:79" x14ac:dyDescent="0.2">
      <c r="A536" s="4">
        <v>1</v>
      </c>
      <c r="B536" s="4">
        <v>1</v>
      </c>
      <c r="C536" s="5">
        <f t="shared" si="285"/>
        <v>4000</v>
      </c>
      <c r="D536" s="6">
        <v>4000</v>
      </c>
      <c r="E536" s="121">
        <v>43012</v>
      </c>
      <c r="F536" s="6" t="s">
        <v>1606</v>
      </c>
      <c r="G536" s="7" t="s">
        <v>75</v>
      </c>
      <c r="H536" s="7"/>
      <c r="I536" s="7" t="s">
        <v>157</v>
      </c>
      <c r="J536" s="7"/>
      <c r="K536" s="29">
        <v>397388</v>
      </c>
      <c r="L536" s="10" t="s">
        <v>1162</v>
      </c>
      <c r="M536" s="10" t="s">
        <v>1175</v>
      </c>
      <c r="N536" s="10" t="s">
        <v>1176</v>
      </c>
      <c r="O536" s="11" t="s">
        <v>1177</v>
      </c>
      <c r="P536" s="12">
        <v>40462</v>
      </c>
      <c r="Q536" s="13">
        <f t="shared" ca="1" si="286"/>
        <v>14.948665297741274</v>
      </c>
      <c r="R536" s="14">
        <v>7</v>
      </c>
      <c r="S536" s="15">
        <v>872</v>
      </c>
      <c r="T536" s="8">
        <v>872</v>
      </c>
      <c r="U536" s="16">
        <v>45017</v>
      </c>
      <c r="V536" s="17">
        <v>1</v>
      </c>
      <c r="W536" s="16">
        <v>45382</v>
      </c>
      <c r="X536" s="14">
        <v>192</v>
      </c>
      <c r="Y536" s="18">
        <f t="shared" si="282"/>
        <v>192</v>
      </c>
      <c r="Z536" s="18">
        <f t="shared" si="291"/>
        <v>1</v>
      </c>
      <c r="AA536" s="18" t="s">
        <v>36</v>
      </c>
      <c r="AB536" s="26">
        <v>24</v>
      </c>
      <c r="AC536" s="26"/>
      <c r="AD536" s="26"/>
      <c r="AE536" s="147" t="str">
        <f t="shared" ref="AE536:AE599" si="298">IF(AND(AB536&lt;=25,AB536&gt;=20),"1","0")</f>
        <v>1</v>
      </c>
      <c r="AF536" s="147" t="str">
        <f t="shared" ref="AF536:AF599" si="299">IF(AND(AB536&lt;=30,AB536&gt;=26),"1","0")</f>
        <v>0</v>
      </c>
      <c r="AG536" s="147" t="str">
        <f t="shared" ref="AG536:AG599" si="300">IF(AB536&gt;=31,"1","0")</f>
        <v>0</v>
      </c>
      <c r="AH536" s="147" t="str">
        <f t="shared" si="292"/>
        <v>NO</v>
      </c>
      <c r="AI536" s="147" t="str">
        <f t="shared" si="293"/>
        <v>NO</v>
      </c>
      <c r="AJ536" s="147" t="str">
        <f t="shared" si="294"/>
        <v>NO</v>
      </c>
      <c r="AK536" s="147" t="str">
        <f t="shared" si="295"/>
        <v>NO</v>
      </c>
      <c r="AL536" s="21"/>
      <c r="AM536" s="21">
        <f t="shared" ref="AM536:AM541" si="301">IF(H536="Y",AL536,((AB536*$O$902)-6000))</f>
        <v>5346.48</v>
      </c>
      <c r="AN536" s="27" t="s">
        <v>56</v>
      </c>
      <c r="AO536" s="21">
        <v>1</v>
      </c>
      <c r="AP536" s="21">
        <f t="shared" ref="AP536:AP567" si="302">AO536*Z536</f>
        <v>1</v>
      </c>
      <c r="AQ536" s="149">
        <f t="shared" si="279"/>
        <v>5346.48</v>
      </c>
      <c r="AR536" s="21">
        <v>5346.48</v>
      </c>
      <c r="AS536" s="610">
        <v>5346.48</v>
      </c>
      <c r="AT536" s="112">
        <v>5346.48</v>
      </c>
      <c r="AU536" s="4"/>
      <c r="AV536" s="4"/>
      <c r="AW536" s="23" t="e">
        <f>VLOOKUP(K536,#REF!,8,FALSE)</f>
        <v>#REF!</v>
      </c>
      <c r="AX536" s="23" t="e">
        <f>VLOOKUP(K536,#REF!,8,FALSE)</f>
        <v>#REF!</v>
      </c>
      <c r="AY536" s="23" t="e">
        <f>VLOOKUP(K536,#REF!,8,FALSE)</f>
        <v>#REF!</v>
      </c>
      <c r="AZ536" s="4"/>
      <c r="BA536" s="272"/>
      <c r="BB536" s="313">
        <f t="shared" si="276"/>
        <v>0</v>
      </c>
      <c r="BC536" s="269">
        <f t="shared" si="277"/>
        <v>5346.48</v>
      </c>
      <c r="BD536" t="str">
        <f t="shared" ref="BD536:BD546" si="303">BG536&amp;BH536&amp;BI536</f>
        <v/>
      </c>
      <c r="BP536" s="166">
        <f t="shared" si="296"/>
        <v>5346.48</v>
      </c>
      <c r="BS536" s="165"/>
      <c r="BX536" s="495">
        <f t="shared" si="297"/>
        <v>5346.48</v>
      </c>
      <c r="BZ536" s="636">
        <f t="shared" si="283"/>
        <v>0</v>
      </c>
      <c r="CA536" s="633">
        <f t="shared" si="284"/>
        <v>0</v>
      </c>
    </row>
    <row r="537" spans="1:79" x14ac:dyDescent="0.2">
      <c r="A537" s="4">
        <v>1</v>
      </c>
      <c r="B537" s="4">
        <v>1</v>
      </c>
      <c r="C537" s="5">
        <f t="shared" si="285"/>
        <v>4000</v>
      </c>
      <c r="D537" s="6">
        <v>4000</v>
      </c>
      <c r="E537" s="121">
        <v>43012</v>
      </c>
      <c r="F537" s="6" t="s">
        <v>1606</v>
      </c>
      <c r="G537" s="7" t="s">
        <v>75</v>
      </c>
      <c r="H537" s="7"/>
      <c r="I537" s="7" t="s">
        <v>157</v>
      </c>
      <c r="J537" s="7"/>
      <c r="K537" s="29">
        <v>394852</v>
      </c>
      <c r="L537" s="10" t="s">
        <v>1162</v>
      </c>
      <c r="M537" s="10" t="s">
        <v>1178</v>
      </c>
      <c r="N537" s="10" t="s">
        <v>1179</v>
      </c>
      <c r="O537" s="11" t="s">
        <v>1180</v>
      </c>
      <c r="P537" s="12">
        <v>39685</v>
      </c>
      <c r="Q537" s="13">
        <f t="shared" ca="1" si="286"/>
        <v>17.075975359342916</v>
      </c>
      <c r="R537" s="14">
        <v>10</v>
      </c>
      <c r="S537" s="15">
        <v>872</v>
      </c>
      <c r="T537" s="8">
        <v>872</v>
      </c>
      <c r="U537" s="16">
        <v>45017</v>
      </c>
      <c r="V537" s="17">
        <v>1</v>
      </c>
      <c r="W537" s="16">
        <v>45382</v>
      </c>
      <c r="X537" s="14">
        <v>192</v>
      </c>
      <c r="Y537" s="18">
        <f t="shared" si="282"/>
        <v>192</v>
      </c>
      <c r="Z537" s="18">
        <f t="shared" si="291"/>
        <v>1</v>
      </c>
      <c r="AA537" s="18" t="s">
        <v>36</v>
      </c>
      <c r="AB537" s="26">
        <v>30</v>
      </c>
      <c r="AC537" s="26"/>
      <c r="AD537" s="26"/>
      <c r="AE537" s="147" t="str">
        <f t="shared" si="298"/>
        <v>0</v>
      </c>
      <c r="AF537" s="147" t="str">
        <f t="shared" si="299"/>
        <v>1</v>
      </c>
      <c r="AG537" s="147" t="str">
        <f t="shared" si="300"/>
        <v>0</v>
      </c>
      <c r="AH537" s="147" t="str">
        <f t="shared" si="292"/>
        <v>NO</v>
      </c>
      <c r="AI537" s="147" t="str">
        <f t="shared" si="293"/>
        <v>NO</v>
      </c>
      <c r="AJ537" s="147" t="str">
        <f t="shared" si="294"/>
        <v>NO</v>
      </c>
      <c r="AK537" s="147" t="str">
        <f t="shared" si="295"/>
        <v>NO</v>
      </c>
      <c r="AL537" s="21"/>
      <c r="AM537" s="21">
        <f t="shared" si="301"/>
        <v>8183.0999999999985</v>
      </c>
      <c r="AN537" s="27" t="s">
        <v>66</v>
      </c>
      <c r="AO537" s="21">
        <v>1</v>
      </c>
      <c r="AP537" s="21">
        <f t="shared" si="302"/>
        <v>1</v>
      </c>
      <c r="AQ537" s="149">
        <f t="shared" si="279"/>
        <v>8183.0999999999985</v>
      </c>
      <c r="AR537" s="21">
        <v>8183.0999999999985</v>
      </c>
      <c r="AS537" s="610">
        <v>8183.0999999999985</v>
      </c>
      <c r="AT537" s="112">
        <v>8183.0999999999985</v>
      </c>
      <c r="AU537" s="4"/>
      <c r="AV537" s="4"/>
      <c r="AW537" s="23" t="e">
        <f>VLOOKUP(K537,#REF!,8,FALSE)</f>
        <v>#REF!</v>
      </c>
      <c r="AX537" s="23" t="e">
        <f>VLOOKUP(K537,#REF!,8,FALSE)</f>
        <v>#REF!</v>
      </c>
      <c r="AY537" s="23" t="e">
        <f>VLOOKUP(K537,#REF!,8,FALSE)</f>
        <v>#REF!</v>
      </c>
      <c r="AZ537" s="4"/>
      <c r="BA537" s="272"/>
      <c r="BB537" s="313">
        <f t="shared" si="276"/>
        <v>0</v>
      </c>
      <c r="BC537" s="269">
        <f t="shared" si="277"/>
        <v>8183.0999999999985</v>
      </c>
      <c r="BD537" t="str">
        <f t="shared" si="303"/>
        <v/>
      </c>
      <c r="BP537" s="166">
        <f t="shared" si="296"/>
        <v>8183.0999999999985</v>
      </c>
      <c r="BS537" s="165"/>
      <c r="BX537" s="495">
        <f t="shared" si="297"/>
        <v>8183.0999999999985</v>
      </c>
      <c r="BZ537" s="636">
        <f t="shared" si="283"/>
        <v>0</v>
      </c>
      <c r="CA537" s="633">
        <f t="shared" si="284"/>
        <v>0</v>
      </c>
    </row>
    <row r="538" spans="1:79" x14ac:dyDescent="0.2">
      <c r="A538" s="4">
        <v>1</v>
      </c>
      <c r="B538" s="4">
        <v>1</v>
      </c>
      <c r="C538" s="5">
        <f t="shared" si="285"/>
        <v>4000</v>
      </c>
      <c r="D538" s="6">
        <v>4000</v>
      </c>
      <c r="E538" s="121">
        <v>43012</v>
      </c>
      <c r="F538" s="6" t="s">
        <v>1606</v>
      </c>
      <c r="G538" s="7" t="s">
        <v>75</v>
      </c>
      <c r="H538" s="7"/>
      <c r="I538" s="7" t="s">
        <v>157</v>
      </c>
      <c r="J538" s="7"/>
      <c r="K538" s="29">
        <v>397177</v>
      </c>
      <c r="L538" s="10" t="s">
        <v>1162</v>
      </c>
      <c r="M538" s="10" t="s">
        <v>1181</v>
      </c>
      <c r="N538" s="10" t="s">
        <v>1182</v>
      </c>
      <c r="O538" s="11" t="s">
        <v>1183</v>
      </c>
      <c r="P538" s="12">
        <v>40647</v>
      </c>
      <c r="Q538" s="13">
        <f t="shared" ca="1" si="286"/>
        <v>14.442162902121835</v>
      </c>
      <c r="R538" s="14">
        <v>7</v>
      </c>
      <c r="S538" s="15">
        <v>872</v>
      </c>
      <c r="T538" s="8">
        <v>872</v>
      </c>
      <c r="U538" s="16">
        <v>45017</v>
      </c>
      <c r="V538" s="17">
        <v>1</v>
      </c>
      <c r="W538" s="16">
        <v>45382</v>
      </c>
      <c r="X538" s="14">
        <v>192</v>
      </c>
      <c r="Y538" s="18">
        <f t="shared" si="282"/>
        <v>192</v>
      </c>
      <c r="Z538" s="18">
        <f t="shared" si="291"/>
        <v>1</v>
      </c>
      <c r="AA538" s="18" t="s">
        <v>36</v>
      </c>
      <c r="AB538" s="26">
        <v>23</v>
      </c>
      <c r="AC538" s="26"/>
      <c r="AD538" s="26"/>
      <c r="AE538" s="147" t="str">
        <f t="shared" si="298"/>
        <v>1</v>
      </c>
      <c r="AF538" s="147" t="str">
        <f t="shared" si="299"/>
        <v>0</v>
      </c>
      <c r="AG538" s="147" t="str">
        <f t="shared" si="300"/>
        <v>0</v>
      </c>
      <c r="AH538" s="147" t="str">
        <f t="shared" si="292"/>
        <v>NO</v>
      </c>
      <c r="AI538" s="147" t="str">
        <f t="shared" si="293"/>
        <v>NO</v>
      </c>
      <c r="AJ538" s="147" t="str">
        <f t="shared" si="294"/>
        <v>NO</v>
      </c>
      <c r="AK538" s="147" t="str">
        <f t="shared" si="295"/>
        <v>NO</v>
      </c>
      <c r="AL538" s="21"/>
      <c r="AM538" s="21">
        <f t="shared" si="301"/>
        <v>4873.7099999999991</v>
      </c>
      <c r="AN538" s="27" t="s">
        <v>56</v>
      </c>
      <c r="AO538" s="21">
        <v>1</v>
      </c>
      <c r="AP538" s="21">
        <f t="shared" si="302"/>
        <v>1</v>
      </c>
      <c r="AQ538" s="149">
        <f t="shared" si="279"/>
        <v>4873.7099999999991</v>
      </c>
      <c r="AR538" s="21">
        <v>4873.7099999999991</v>
      </c>
      <c r="AS538" s="610">
        <v>4873.7099999999991</v>
      </c>
      <c r="AT538" s="112">
        <v>4873.7099999999991</v>
      </c>
      <c r="AU538" s="4"/>
      <c r="AV538" s="4"/>
      <c r="AW538" s="23" t="e">
        <f>VLOOKUP(K538,#REF!,8,FALSE)</f>
        <v>#REF!</v>
      </c>
      <c r="AX538" s="23" t="e">
        <f>VLOOKUP(K538,#REF!,8,FALSE)</f>
        <v>#REF!</v>
      </c>
      <c r="AY538" s="23" t="e">
        <f>VLOOKUP(K538,#REF!,8,FALSE)</f>
        <v>#REF!</v>
      </c>
      <c r="AZ538" s="4"/>
      <c r="BA538" s="272"/>
      <c r="BB538" s="313">
        <f t="shared" ref="BB538:BB569" si="304">BC538-AT538</f>
        <v>0</v>
      </c>
      <c r="BC538" s="269">
        <f t="shared" ref="BC538:BC569" si="305">AR538</f>
        <v>4873.7099999999991</v>
      </c>
      <c r="BD538" t="str">
        <f t="shared" si="303"/>
        <v/>
      </c>
      <c r="BP538" s="166">
        <f t="shared" si="296"/>
        <v>4873.7099999999991</v>
      </c>
      <c r="BS538" s="165"/>
      <c r="BX538" s="495">
        <f t="shared" si="297"/>
        <v>4873.7099999999991</v>
      </c>
      <c r="BZ538" s="636">
        <f t="shared" si="283"/>
        <v>0</v>
      </c>
      <c r="CA538" s="633">
        <f t="shared" si="284"/>
        <v>0</v>
      </c>
    </row>
    <row r="539" spans="1:79" x14ac:dyDescent="0.2">
      <c r="A539" s="4">
        <v>1</v>
      </c>
      <c r="B539" s="4">
        <v>1</v>
      </c>
      <c r="C539" s="5">
        <f t="shared" si="285"/>
        <v>4000</v>
      </c>
      <c r="D539" s="6">
        <v>4000</v>
      </c>
      <c r="E539" s="121">
        <v>43012</v>
      </c>
      <c r="F539" s="6" t="s">
        <v>1606</v>
      </c>
      <c r="G539" s="7" t="s">
        <v>75</v>
      </c>
      <c r="H539" s="7"/>
      <c r="I539" s="7" t="s">
        <v>157</v>
      </c>
      <c r="J539" s="7"/>
      <c r="K539" s="29">
        <v>385476</v>
      </c>
      <c r="L539" s="10" t="s">
        <v>1162</v>
      </c>
      <c r="M539" s="10" t="s">
        <v>506</v>
      </c>
      <c r="N539" s="10" t="s">
        <v>2309</v>
      </c>
      <c r="O539" s="11" t="s">
        <v>2310</v>
      </c>
      <c r="P539" s="12">
        <v>40193</v>
      </c>
      <c r="Q539" s="13">
        <f t="shared" ca="1" si="286"/>
        <v>15.685147159479808</v>
      </c>
      <c r="R539" s="14">
        <v>8</v>
      </c>
      <c r="S539" s="15">
        <v>872</v>
      </c>
      <c r="T539" s="8">
        <v>872</v>
      </c>
      <c r="U539" s="16">
        <v>45071</v>
      </c>
      <c r="V539" s="17">
        <v>28</v>
      </c>
      <c r="W539" s="16">
        <v>45382</v>
      </c>
      <c r="X539" s="14">
        <v>192</v>
      </c>
      <c r="Y539" s="18">
        <f t="shared" si="282"/>
        <v>165</v>
      </c>
      <c r="Z539" s="18">
        <f t="shared" si="291"/>
        <v>0.859375</v>
      </c>
      <c r="AA539" s="18" t="s">
        <v>36</v>
      </c>
      <c r="AB539" s="26">
        <v>24</v>
      </c>
      <c r="AC539" s="26"/>
      <c r="AD539" s="26"/>
      <c r="AE539" s="147" t="str">
        <f t="shared" si="298"/>
        <v>1</v>
      </c>
      <c r="AF539" s="147" t="str">
        <f t="shared" si="299"/>
        <v>0</v>
      </c>
      <c r="AG539" s="147" t="str">
        <f t="shared" si="300"/>
        <v>0</v>
      </c>
      <c r="AH539" s="147" t="str">
        <f t="shared" si="292"/>
        <v>NO</v>
      </c>
      <c r="AI539" s="147" t="str">
        <f t="shared" si="293"/>
        <v>NO</v>
      </c>
      <c r="AJ539" s="147" t="str">
        <f t="shared" si="294"/>
        <v>NO</v>
      </c>
      <c r="AK539" s="147" t="str">
        <f t="shared" si="295"/>
        <v>NO</v>
      </c>
      <c r="AL539" s="21"/>
      <c r="AM539" s="21">
        <f t="shared" si="301"/>
        <v>5346.48</v>
      </c>
      <c r="AN539" s="27" t="s">
        <v>43</v>
      </c>
      <c r="AO539" s="21">
        <v>1</v>
      </c>
      <c r="AP539" s="21">
        <f t="shared" si="302"/>
        <v>0.859375</v>
      </c>
      <c r="AQ539" s="149">
        <f t="shared" si="279"/>
        <v>4594.6312499999995</v>
      </c>
      <c r="AR539" s="21">
        <v>4594.6312499999995</v>
      </c>
      <c r="AS539" s="610">
        <v>0</v>
      </c>
      <c r="AT539" s="112">
        <v>0</v>
      </c>
      <c r="AU539" s="4"/>
      <c r="AV539" s="4"/>
      <c r="AW539" s="23" t="e">
        <f>VLOOKUP(K539,#REF!,8,FALSE)</f>
        <v>#REF!</v>
      </c>
      <c r="AX539" s="23" t="e">
        <f>VLOOKUP(K539,#REF!,8,FALSE)</f>
        <v>#REF!</v>
      </c>
      <c r="AY539" s="23" t="e">
        <f>VLOOKUP(K539,#REF!,8,FALSE)</f>
        <v>#REF!</v>
      </c>
      <c r="AZ539" s="4"/>
      <c r="BA539" s="272"/>
      <c r="BB539" s="313">
        <f t="shared" si="304"/>
        <v>4594.6312499999995</v>
      </c>
      <c r="BC539" s="269">
        <f t="shared" si="305"/>
        <v>4594.6312499999995</v>
      </c>
      <c r="BD539" t="str">
        <f t="shared" si="303"/>
        <v/>
      </c>
      <c r="BP539" s="166">
        <f t="shared" si="296"/>
        <v>4594.6312499999995</v>
      </c>
      <c r="BS539" s="165"/>
      <c r="BX539" s="495">
        <f t="shared" si="297"/>
        <v>4594.6312499999995</v>
      </c>
      <c r="BZ539" s="636">
        <f t="shared" si="283"/>
        <v>0</v>
      </c>
      <c r="CA539" s="633">
        <f t="shared" si="284"/>
        <v>4594.6312499999995</v>
      </c>
    </row>
    <row r="540" spans="1:79" x14ac:dyDescent="0.2">
      <c r="A540" s="4">
        <v>1</v>
      </c>
      <c r="B540" s="4">
        <v>1</v>
      </c>
      <c r="C540" s="5">
        <f t="shared" si="285"/>
        <v>4000</v>
      </c>
      <c r="D540" s="6">
        <v>4000</v>
      </c>
      <c r="E540" s="121">
        <v>43012</v>
      </c>
      <c r="F540" s="6" t="s">
        <v>1606</v>
      </c>
      <c r="G540" s="7" t="s">
        <v>75</v>
      </c>
      <c r="H540" s="7"/>
      <c r="I540" s="7" t="s">
        <v>157</v>
      </c>
      <c r="J540" s="7"/>
      <c r="K540" s="29">
        <v>390741</v>
      </c>
      <c r="L540" s="10" t="s">
        <v>1162</v>
      </c>
      <c r="M540" s="10" t="s">
        <v>1184</v>
      </c>
      <c r="N540" s="10" t="s">
        <v>1185</v>
      </c>
      <c r="O540" s="11" t="s">
        <v>1186</v>
      </c>
      <c r="P540" s="12">
        <v>40293</v>
      </c>
      <c r="Q540" s="13">
        <f t="shared" ca="1" si="286"/>
        <v>15.411362080766597</v>
      </c>
      <c r="R540" s="14">
        <v>8</v>
      </c>
      <c r="S540" s="15">
        <v>872</v>
      </c>
      <c r="T540" s="8">
        <v>872</v>
      </c>
      <c r="U540" s="16">
        <v>45017</v>
      </c>
      <c r="V540" s="17">
        <v>1</v>
      </c>
      <c r="W540" s="16">
        <v>45382</v>
      </c>
      <c r="X540" s="14">
        <v>192</v>
      </c>
      <c r="Y540" s="18">
        <f t="shared" si="282"/>
        <v>192</v>
      </c>
      <c r="Z540" s="18">
        <f t="shared" si="291"/>
        <v>1</v>
      </c>
      <c r="AA540" s="18" t="s">
        <v>36</v>
      </c>
      <c r="AB540" s="26">
        <v>25</v>
      </c>
      <c r="AC540" s="26"/>
      <c r="AD540" s="26"/>
      <c r="AE540" s="147" t="str">
        <f t="shared" si="298"/>
        <v>1</v>
      </c>
      <c r="AF540" s="147" t="str">
        <f t="shared" si="299"/>
        <v>0</v>
      </c>
      <c r="AG540" s="147" t="str">
        <f t="shared" si="300"/>
        <v>0</v>
      </c>
      <c r="AH540" s="147" t="str">
        <f t="shared" si="292"/>
        <v>NO</v>
      </c>
      <c r="AI540" s="147" t="str">
        <f t="shared" si="293"/>
        <v>NO</v>
      </c>
      <c r="AJ540" s="147" t="str">
        <f t="shared" si="294"/>
        <v>NO</v>
      </c>
      <c r="AK540" s="147" t="str">
        <f t="shared" si="295"/>
        <v>NO</v>
      </c>
      <c r="AL540" s="21"/>
      <c r="AM540" s="21">
        <f t="shared" si="301"/>
        <v>5819.25</v>
      </c>
      <c r="AN540" s="27" t="s">
        <v>43</v>
      </c>
      <c r="AO540" s="21">
        <v>1</v>
      </c>
      <c r="AP540" s="21">
        <f t="shared" si="302"/>
        <v>1</v>
      </c>
      <c r="AQ540" s="149">
        <f t="shared" si="279"/>
        <v>5819.25</v>
      </c>
      <c r="AR540" s="21">
        <v>5819.25</v>
      </c>
      <c r="AS540" s="610">
        <v>5819.25</v>
      </c>
      <c r="AT540" s="112">
        <v>5819.25</v>
      </c>
      <c r="AU540" s="4"/>
      <c r="AV540" s="4"/>
      <c r="AW540" s="23" t="e">
        <f>VLOOKUP(K540,#REF!,8,FALSE)</f>
        <v>#REF!</v>
      </c>
      <c r="AX540" s="23" t="e">
        <f>VLOOKUP(K540,#REF!,8,FALSE)</f>
        <v>#REF!</v>
      </c>
      <c r="AY540" s="23" t="e">
        <f>VLOOKUP(K540,#REF!,8,FALSE)</f>
        <v>#REF!</v>
      </c>
      <c r="AZ540" s="4"/>
      <c r="BA540" s="272"/>
      <c r="BB540" s="313">
        <f t="shared" si="304"/>
        <v>0</v>
      </c>
      <c r="BC540" s="269">
        <f t="shared" si="305"/>
        <v>5819.25</v>
      </c>
      <c r="BD540" t="str">
        <f t="shared" si="303"/>
        <v/>
      </c>
      <c r="BP540" s="166">
        <f t="shared" si="296"/>
        <v>5819.25</v>
      </c>
      <c r="BS540" s="165"/>
      <c r="BX540" s="495">
        <f t="shared" si="297"/>
        <v>5819.25</v>
      </c>
      <c r="BZ540" s="636">
        <f t="shared" si="283"/>
        <v>0</v>
      </c>
      <c r="CA540" s="633">
        <f t="shared" si="284"/>
        <v>0</v>
      </c>
    </row>
    <row r="541" spans="1:79" x14ac:dyDescent="0.2">
      <c r="A541" s="4">
        <v>1</v>
      </c>
      <c r="B541" s="4">
        <v>1</v>
      </c>
      <c r="C541" s="5">
        <f t="shared" si="285"/>
        <v>4000</v>
      </c>
      <c r="D541" s="6">
        <v>4000</v>
      </c>
      <c r="E541" s="121">
        <v>43012</v>
      </c>
      <c r="F541" s="6" t="s">
        <v>1606</v>
      </c>
      <c r="G541" s="7" t="s">
        <v>75</v>
      </c>
      <c r="H541" s="7"/>
      <c r="I541" s="7" t="s">
        <v>157</v>
      </c>
      <c r="J541" s="7"/>
      <c r="K541" s="29">
        <v>440768</v>
      </c>
      <c r="L541" s="10" t="s">
        <v>1162</v>
      </c>
      <c r="M541" s="10" t="s">
        <v>1187</v>
      </c>
      <c r="N541" s="10" t="s">
        <v>1188</v>
      </c>
      <c r="O541" s="11" t="s">
        <v>1189</v>
      </c>
      <c r="P541" s="12">
        <v>40738</v>
      </c>
      <c r="Q541" s="13">
        <f t="shared" ca="1" si="286"/>
        <v>14.193018480492814</v>
      </c>
      <c r="R541" s="14">
        <v>7</v>
      </c>
      <c r="S541" s="15">
        <v>872</v>
      </c>
      <c r="T541" s="8">
        <v>872</v>
      </c>
      <c r="U541" s="16">
        <v>45048</v>
      </c>
      <c r="V541" s="17">
        <v>11</v>
      </c>
      <c r="W541" s="16">
        <v>45382</v>
      </c>
      <c r="X541" s="14">
        <v>192</v>
      </c>
      <c r="Y541" s="18">
        <f t="shared" si="282"/>
        <v>182</v>
      </c>
      <c r="Z541" s="18">
        <f t="shared" si="291"/>
        <v>0.94791666666666663</v>
      </c>
      <c r="AA541" s="18" t="s">
        <v>36</v>
      </c>
      <c r="AB541" s="26">
        <v>23</v>
      </c>
      <c r="AC541" s="26"/>
      <c r="AD541" s="26"/>
      <c r="AE541" s="147" t="str">
        <f t="shared" si="298"/>
        <v>1</v>
      </c>
      <c r="AF541" s="147" t="str">
        <f t="shared" si="299"/>
        <v>0</v>
      </c>
      <c r="AG541" s="147" t="str">
        <f t="shared" si="300"/>
        <v>0</v>
      </c>
      <c r="AH541" s="147" t="str">
        <f t="shared" si="292"/>
        <v>NO</v>
      </c>
      <c r="AI541" s="147" t="str">
        <f t="shared" si="293"/>
        <v>NO</v>
      </c>
      <c r="AJ541" s="147" t="str">
        <f t="shared" si="294"/>
        <v>NO</v>
      </c>
      <c r="AK541" s="147" t="str">
        <f t="shared" si="295"/>
        <v>NO</v>
      </c>
      <c r="AL541" s="21"/>
      <c r="AM541" s="21">
        <f t="shared" si="301"/>
        <v>4873.7099999999991</v>
      </c>
      <c r="AN541" s="27" t="s">
        <v>43</v>
      </c>
      <c r="AO541" s="21">
        <v>1</v>
      </c>
      <c r="AP541" s="21">
        <f t="shared" si="302"/>
        <v>0.94791666666666663</v>
      </c>
      <c r="AQ541" s="149">
        <f t="shared" si="279"/>
        <v>4619.8709374999989</v>
      </c>
      <c r="AR541" s="21">
        <v>4619.8709374999989</v>
      </c>
      <c r="AS541" s="610">
        <v>0</v>
      </c>
      <c r="AT541" s="112">
        <v>4619.8709374999989</v>
      </c>
      <c r="AU541" s="4"/>
      <c r="AV541" s="4"/>
      <c r="AW541" s="23" t="e">
        <f>VLOOKUP(K541,#REF!,8,FALSE)</f>
        <v>#REF!</v>
      </c>
      <c r="AX541" s="23" t="e">
        <f>VLOOKUP(K541,#REF!,8,FALSE)</f>
        <v>#REF!</v>
      </c>
      <c r="AY541" s="23" t="e">
        <f>VLOOKUP(K541,#REF!,8,FALSE)</f>
        <v>#REF!</v>
      </c>
      <c r="AZ541" s="4"/>
      <c r="BA541" s="272"/>
      <c r="BB541" s="313">
        <f t="shared" si="304"/>
        <v>0</v>
      </c>
      <c r="BC541" s="269">
        <f t="shared" si="305"/>
        <v>4619.8709374999989</v>
      </c>
      <c r="BD541" t="str">
        <f t="shared" si="303"/>
        <v/>
      </c>
      <c r="BP541" s="166">
        <f t="shared" si="296"/>
        <v>4619.8709374999989</v>
      </c>
      <c r="BS541" s="165"/>
      <c r="BX541" s="495">
        <f t="shared" si="297"/>
        <v>4619.8709374999989</v>
      </c>
      <c r="BZ541" s="636">
        <f t="shared" si="283"/>
        <v>0</v>
      </c>
      <c r="CA541" s="633">
        <f t="shared" si="284"/>
        <v>4619.8709374999989</v>
      </c>
    </row>
    <row r="542" spans="1:79" x14ac:dyDescent="0.2">
      <c r="A542" s="4">
        <v>1</v>
      </c>
      <c r="B542" s="4">
        <v>1</v>
      </c>
      <c r="C542" s="5">
        <f t="shared" si="285"/>
        <v>4000</v>
      </c>
      <c r="D542" s="6">
        <v>4000</v>
      </c>
      <c r="E542" s="121">
        <v>43012</v>
      </c>
      <c r="F542" s="6" t="s">
        <v>1606</v>
      </c>
      <c r="G542" s="7" t="s">
        <v>75</v>
      </c>
      <c r="H542" s="7"/>
      <c r="I542" s="7" t="s">
        <v>157</v>
      </c>
      <c r="J542" s="7"/>
      <c r="K542" s="29">
        <v>395065</v>
      </c>
      <c r="L542" s="10" t="s">
        <v>1162</v>
      </c>
      <c r="M542" s="10" t="s">
        <v>105</v>
      </c>
      <c r="N542" s="10" t="s">
        <v>593</v>
      </c>
      <c r="O542" s="11" t="s">
        <v>1190</v>
      </c>
      <c r="P542" s="12">
        <v>40626</v>
      </c>
      <c r="Q542" s="13">
        <f t="shared" ca="1" si="286"/>
        <v>14.499657768651609</v>
      </c>
      <c r="R542" s="14">
        <v>7</v>
      </c>
      <c r="S542" s="15">
        <v>872</v>
      </c>
      <c r="T542" s="8">
        <v>872</v>
      </c>
      <c r="U542" s="16">
        <v>45017</v>
      </c>
      <c r="V542" s="17">
        <v>1</v>
      </c>
      <c r="W542" s="16">
        <v>45382</v>
      </c>
      <c r="X542" s="14">
        <v>192</v>
      </c>
      <c r="Y542" s="18">
        <f t="shared" si="282"/>
        <v>192</v>
      </c>
      <c r="Z542" s="18">
        <f t="shared" si="291"/>
        <v>1</v>
      </c>
      <c r="AA542" s="18" t="s">
        <v>36</v>
      </c>
      <c r="AB542" s="26">
        <v>20010</v>
      </c>
      <c r="AC542" s="26"/>
      <c r="AD542" s="26"/>
      <c r="AE542" s="147" t="str">
        <f t="shared" si="298"/>
        <v>0</v>
      </c>
      <c r="AF542" s="147" t="str">
        <f t="shared" si="299"/>
        <v>0</v>
      </c>
      <c r="AG542" s="147" t="str">
        <f t="shared" si="300"/>
        <v>1</v>
      </c>
      <c r="AH542" s="147" t="str">
        <f t="shared" si="292"/>
        <v>NO</v>
      </c>
      <c r="AI542" s="147" t="str">
        <f t="shared" si="293"/>
        <v>NO</v>
      </c>
      <c r="AJ542" s="147" t="str">
        <f t="shared" si="294"/>
        <v>NO</v>
      </c>
      <c r="AK542" s="147" t="str">
        <f t="shared" si="295"/>
        <v>NO</v>
      </c>
      <c r="AL542" s="21"/>
      <c r="AM542" s="21">
        <v>20010</v>
      </c>
      <c r="AN542" s="27" t="s">
        <v>185</v>
      </c>
      <c r="AO542" s="21">
        <v>1</v>
      </c>
      <c r="AP542" s="21">
        <f t="shared" si="302"/>
        <v>1</v>
      </c>
      <c r="AQ542" s="149">
        <f t="shared" si="279"/>
        <v>20010</v>
      </c>
      <c r="AR542" s="21">
        <v>20010</v>
      </c>
      <c r="AS542" s="610">
        <v>20010</v>
      </c>
      <c r="AT542" s="112">
        <v>20010</v>
      </c>
      <c r="AU542" s="4"/>
      <c r="AV542" s="4"/>
      <c r="AW542" s="23" t="e">
        <f>VLOOKUP(K542,#REF!,8,FALSE)</f>
        <v>#REF!</v>
      </c>
      <c r="AX542" s="23" t="e">
        <f>VLOOKUP(K542,#REF!,8,FALSE)</f>
        <v>#REF!</v>
      </c>
      <c r="AY542" s="23" t="e">
        <f>VLOOKUP(K542,#REF!,8,FALSE)</f>
        <v>#REF!</v>
      </c>
      <c r="AZ542" s="4"/>
      <c r="BA542" s="272"/>
      <c r="BB542" s="313">
        <f t="shared" si="304"/>
        <v>0</v>
      </c>
      <c r="BC542" s="269">
        <f t="shared" si="305"/>
        <v>20010</v>
      </c>
      <c r="BD542" t="str">
        <f t="shared" si="303"/>
        <v/>
      </c>
      <c r="BP542" s="166">
        <f t="shared" si="296"/>
        <v>20010</v>
      </c>
      <c r="BS542" s="165"/>
      <c r="BX542" s="495">
        <f t="shared" si="297"/>
        <v>20010</v>
      </c>
      <c r="BZ542" s="636">
        <f t="shared" si="283"/>
        <v>0</v>
      </c>
      <c r="CA542" s="633">
        <f t="shared" si="284"/>
        <v>0</v>
      </c>
    </row>
    <row r="543" spans="1:79" x14ac:dyDescent="0.2">
      <c r="A543" s="4">
        <v>1</v>
      </c>
      <c r="B543" s="4">
        <v>1</v>
      </c>
      <c r="C543" s="5">
        <f t="shared" si="285"/>
        <v>4000</v>
      </c>
      <c r="D543" s="6">
        <v>4000</v>
      </c>
      <c r="E543" s="121">
        <v>43012</v>
      </c>
      <c r="F543" s="6" t="s">
        <v>1606</v>
      </c>
      <c r="G543" s="7" t="s">
        <v>75</v>
      </c>
      <c r="H543" s="7"/>
      <c r="I543" s="7" t="s">
        <v>157</v>
      </c>
      <c r="J543" s="7"/>
      <c r="K543" s="29">
        <v>367891</v>
      </c>
      <c r="L543" s="10" t="s">
        <v>1162</v>
      </c>
      <c r="M543" s="10" t="s">
        <v>1191</v>
      </c>
      <c r="N543" s="10" t="s">
        <v>1192</v>
      </c>
      <c r="O543" s="11" t="s">
        <v>1193</v>
      </c>
      <c r="P543" s="12">
        <v>39082</v>
      </c>
      <c r="Q543" s="13">
        <f t="shared" ca="1" si="286"/>
        <v>18.726899383983572</v>
      </c>
      <c r="R543" s="14">
        <v>11</v>
      </c>
      <c r="S543" s="15">
        <v>872</v>
      </c>
      <c r="T543" s="8">
        <v>872</v>
      </c>
      <c r="U543" s="16">
        <v>45017</v>
      </c>
      <c r="V543" s="17">
        <v>1</v>
      </c>
      <c r="W543" s="16">
        <v>45128</v>
      </c>
      <c r="X543" s="14">
        <v>63</v>
      </c>
      <c r="Y543" s="18">
        <f t="shared" si="282"/>
        <v>63</v>
      </c>
      <c r="Z543" s="18">
        <f t="shared" si="291"/>
        <v>0.328125</v>
      </c>
      <c r="AA543" s="16" t="s">
        <v>166</v>
      </c>
      <c r="AB543" s="26">
        <v>25</v>
      </c>
      <c r="AC543" s="26"/>
      <c r="AD543" s="26"/>
      <c r="AE543" s="147" t="str">
        <f t="shared" si="298"/>
        <v>1</v>
      </c>
      <c r="AF543" s="147" t="str">
        <f t="shared" si="299"/>
        <v>0</v>
      </c>
      <c r="AG543" s="147" t="str">
        <f t="shared" si="300"/>
        <v>0</v>
      </c>
      <c r="AH543" s="147" t="str">
        <f t="shared" si="292"/>
        <v>NO</v>
      </c>
      <c r="AI543" s="147" t="str">
        <f t="shared" si="293"/>
        <v>NO</v>
      </c>
      <c r="AJ543" s="147" t="str">
        <f t="shared" si="294"/>
        <v>NO</v>
      </c>
      <c r="AK543" s="147" t="str">
        <f t="shared" si="295"/>
        <v>NO</v>
      </c>
      <c r="AL543" s="21"/>
      <c r="AM543" s="21">
        <f>IF(H543="Y",AL543,((AB543*$O$902)-6000))</f>
        <v>5819.25</v>
      </c>
      <c r="AN543" s="27" t="s">
        <v>56</v>
      </c>
      <c r="AO543" s="21">
        <v>1</v>
      </c>
      <c r="AP543" s="21">
        <f t="shared" si="302"/>
        <v>0.328125</v>
      </c>
      <c r="AQ543" s="149">
        <f t="shared" si="279"/>
        <v>1909.44140625</v>
      </c>
      <c r="AR543" s="21">
        <v>1909.44140625</v>
      </c>
      <c r="AS543" s="610">
        <v>1909.44140625</v>
      </c>
      <c r="AT543" s="112">
        <v>1909.44140625</v>
      </c>
      <c r="AU543" s="4"/>
      <c r="AV543" s="4"/>
      <c r="AW543" s="23" t="e">
        <f>VLOOKUP(K543,#REF!,8,FALSE)</f>
        <v>#REF!</v>
      </c>
      <c r="AX543" s="23" t="e">
        <f>VLOOKUP(K543,#REF!,8,FALSE)</f>
        <v>#REF!</v>
      </c>
      <c r="AY543" s="266" t="s">
        <v>2142</v>
      </c>
      <c r="AZ543" s="268" t="s">
        <v>75</v>
      </c>
      <c r="BA543" s="274">
        <f>AM543/3*2</f>
        <v>3879.5</v>
      </c>
      <c r="BB543" s="313">
        <f t="shared" si="304"/>
        <v>0</v>
      </c>
      <c r="BC543" s="269">
        <f t="shared" si="305"/>
        <v>1909.44140625</v>
      </c>
      <c r="BD543" t="e">
        <f t="shared" si="303"/>
        <v>#REF!</v>
      </c>
      <c r="BE543" t="s">
        <v>2351</v>
      </c>
      <c r="BI543" t="e">
        <f>VLOOKUP(K543,#REF!,8,FALSE)</f>
        <v>#REF!</v>
      </c>
      <c r="BK543" s="269"/>
      <c r="BN543" s="353" t="s">
        <v>75</v>
      </c>
      <c r="BO543" s="106"/>
      <c r="BP543" s="166">
        <f t="shared" si="296"/>
        <v>1909.44140625</v>
      </c>
      <c r="BQ543" t="s">
        <v>2351</v>
      </c>
      <c r="BS543" s="165"/>
      <c r="BX543" s="495">
        <f t="shared" si="297"/>
        <v>1909.44140625</v>
      </c>
      <c r="BZ543" s="636">
        <f t="shared" si="283"/>
        <v>0</v>
      </c>
      <c r="CA543" s="633">
        <f t="shared" si="284"/>
        <v>0</v>
      </c>
    </row>
    <row r="544" spans="1:79" x14ac:dyDescent="0.2">
      <c r="A544" s="4">
        <v>1</v>
      </c>
      <c r="B544" s="4">
        <v>1</v>
      </c>
      <c r="C544" s="5">
        <f t="shared" si="285"/>
        <v>4000</v>
      </c>
      <c r="D544" s="6">
        <v>4000</v>
      </c>
      <c r="E544" s="121">
        <v>43012</v>
      </c>
      <c r="F544" s="6" t="s">
        <v>1606</v>
      </c>
      <c r="G544" s="7" t="s">
        <v>75</v>
      </c>
      <c r="H544" s="7"/>
      <c r="I544" s="7" t="s">
        <v>157</v>
      </c>
      <c r="J544" s="7"/>
      <c r="K544" s="29">
        <v>383234</v>
      </c>
      <c r="L544" s="10" t="s">
        <v>1162</v>
      </c>
      <c r="M544" s="10" t="s">
        <v>1194</v>
      </c>
      <c r="N544" s="10" t="s">
        <v>907</v>
      </c>
      <c r="O544" s="11" t="s">
        <v>1195</v>
      </c>
      <c r="P544" s="12">
        <v>39911</v>
      </c>
      <c r="Q544" s="13">
        <f t="shared" ca="1" si="286"/>
        <v>16.45722108145106</v>
      </c>
      <c r="R544" s="14">
        <v>9</v>
      </c>
      <c r="S544" s="15">
        <v>872</v>
      </c>
      <c r="T544" s="8">
        <v>872</v>
      </c>
      <c r="U544" s="16">
        <v>45017</v>
      </c>
      <c r="V544" s="17">
        <v>1</v>
      </c>
      <c r="W544" s="16">
        <v>45382</v>
      </c>
      <c r="X544" s="14">
        <v>192</v>
      </c>
      <c r="Y544" s="18">
        <f t="shared" si="282"/>
        <v>192</v>
      </c>
      <c r="Z544" s="18">
        <f t="shared" si="291"/>
        <v>1</v>
      </c>
      <c r="AA544" s="18" t="s">
        <v>36</v>
      </c>
      <c r="AB544" s="26">
        <v>22</v>
      </c>
      <c r="AC544" s="26"/>
      <c r="AD544" s="26"/>
      <c r="AE544" s="147" t="str">
        <f t="shared" si="298"/>
        <v>1</v>
      </c>
      <c r="AF544" s="147" t="str">
        <f t="shared" si="299"/>
        <v>0</v>
      </c>
      <c r="AG544" s="147" t="str">
        <f t="shared" si="300"/>
        <v>0</v>
      </c>
      <c r="AH544" s="147" t="str">
        <f t="shared" si="292"/>
        <v>NO</v>
      </c>
      <c r="AI544" s="147" t="str">
        <f t="shared" si="293"/>
        <v>NO</v>
      </c>
      <c r="AJ544" s="147" t="str">
        <f t="shared" si="294"/>
        <v>NO</v>
      </c>
      <c r="AK544" s="147" t="str">
        <f t="shared" si="295"/>
        <v>NO</v>
      </c>
      <c r="AL544" s="21"/>
      <c r="AM544" s="21">
        <f>IF(H544="Y",AL544,((AB544*$O$902)-6000))</f>
        <v>4400.9399999999987</v>
      </c>
      <c r="AN544" s="27" t="s">
        <v>43</v>
      </c>
      <c r="AO544" s="21">
        <v>1</v>
      </c>
      <c r="AP544" s="21">
        <f t="shared" si="302"/>
        <v>1</v>
      </c>
      <c r="AQ544" s="149">
        <f t="shared" si="279"/>
        <v>4400.9399999999987</v>
      </c>
      <c r="AR544" s="21">
        <v>4400.9399999999987</v>
      </c>
      <c r="AS544" s="610">
        <v>4400.9399999999987</v>
      </c>
      <c r="AT544" s="112">
        <v>4400.9399999999987</v>
      </c>
      <c r="AU544" s="4"/>
      <c r="AV544" s="4"/>
      <c r="AW544" s="23" t="e">
        <f>VLOOKUP(K544,#REF!,8,FALSE)</f>
        <v>#REF!</v>
      </c>
      <c r="AX544" s="23" t="e">
        <f>VLOOKUP(K544,#REF!,8,FALSE)</f>
        <v>#REF!</v>
      </c>
      <c r="AY544" s="23" t="e">
        <f>VLOOKUP(K544,#REF!,8,FALSE)</f>
        <v>#REF!</v>
      </c>
      <c r="AZ544" s="4"/>
      <c r="BA544" s="272"/>
      <c r="BB544" s="313">
        <f t="shared" si="304"/>
        <v>0</v>
      </c>
      <c r="BC544" s="269">
        <f t="shared" si="305"/>
        <v>4400.9399999999987</v>
      </c>
      <c r="BD544" t="str">
        <f t="shared" si="303"/>
        <v/>
      </c>
      <c r="BP544" s="166">
        <f t="shared" si="296"/>
        <v>4400.9399999999987</v>
      </c>
      <c r="BS544" s="165"/>
      <c r="BX544" s="495">
        <f t="shared" si="297"/>
        <v>4400.9399999999987</v>
      </c>
      <c r="BZ544" s="636">
        <f t="shared" si="283"/>
        <v>0</v>
      </c>
      <c r="CA544" s="633">
        <f t="shared" si="284"/>
        <v>0</v>
      </c>
    </row>
    <row r="545" spans="1:79" x14ac:dyDescent="0.2">
      <c r="A545" s="4">
        <v>1</v>
      </c>
      <c r="B545" s="4">
        <v>1</v>
      </c>
      <c r="C545" s="5">
        <f t="shared" si="285"/>
        <v>41126</v>
      </c>
      <c r="D545" s="6">
        <v>41126</v>
      </c>
      <c r="E545" s="121">
        <v>43012</v>
      </c>
      <c r="F545" s="6" t="s">
        <v>1876</v>
      </c>
      <c r="G545" s="7" t="s">
        <v>75</v>
      </c>
      <c r="H545" s="7"/>
      <c r="I545" s="7" t="s">
        <v>32</v>
      </c>
      <c r="J545" s="7"/>
      <c r="K545" s="29">
        <v>435232</v>
      </c>
      <c r="L545" s="10" t="s">
        <v>1196</v>
      </c>
      <c r="M545" s="10" t="s">
        <v>704</v>
      </c>
      <c r="N545" s="10" t="s">
        <v>1197</v>
      </c>
      <c r="O545" s="11" t="s">
        <v>1198</v>
      </c>
      <c r="P545" s="12">
        <v>42828</v>
      </c>
      <c r="Q545" s="13">
        <f t="shared" ca="1" si="286"/>
        <v>8.470910335386721</v>
      </c>
      <c r="R545" s="14">
        <v>1</v>
      </c>
      <c r="S545" s="15">
        <v>872</v>
      </c>
      <c r="T545" s="8">
        <v>872</v>
      </c>
      <c r="U545" s="16">
        <v>45017</v>
      </c>
      <c r="V545" s="17">
        <v>1</v>
      </c>
      <c r="W545" s="16">
        <v>45382</v>
      </c>
      <c r="X545" s="14">
        <v>192</v>
      </c>
      <c r="Y545" s="18">
        <f t="shared" si="282"/>
        <v>192</v>
      </c>
      <c r="Z545" s="18">
        <f t="shared" si="291"/>
        <v>1</v>
      </c>
      <c r="AA545" s="18" t="s">
        <v>36</v>
      </c>
      <c r="AB545" s="26">
        <v>30</v>
      </c>
      <c r="AC545" s="26"/>
      <c r="AD545" s="26"/>
      <c r="AE545" s="147" t="str">
        <f t="shared" si="298"/>
        <v>0</v>
      </c>
      <c r="AF545" s="147" t="str">
        <f t="shared" si="299"/>
        <v>1</v>
      </c>
      <c r="AG545" s="147" t="str">
        <f t="shared" si="300"/>
        <v>0</v>
      </c>
      <c r="AH545" s="147" t="str">
        <f t="shared" si="292"/>
        <v>NO</v>
      </c>
      <c r="AI545" s="147" t="str">
        <f t="shared" si="293"/>
        <v>NO</v>
      </c>
      <c r="AJ545" s="147" t="str">
        <f t="shared" si="294"/>
        <v>NO</v>
      </c>
      <c r="AK545" s="147" t="str">
        <f t="shared" si="295"/>
        <v>NO</v>
      </c>
      <c r="AL545" s="21"/>
      <c r="AM545" s="21">
        <f>IF(H545="Y",AL545,((AB545*$O$902)-6000))</f>
        <v>8183.0999999999985</v>
      </c>
      <c r="AN545" s="27" t="s">
        <v>37</v>
      </c>
      <c r="AO545" s="21">
        <v>1</v>
      </c>
      <c r="AP545" s="21">
        <f t="shared" si="302"/>
        <v>1</v>
      </c>
      <c r="AQ545" s="149">
        <f t="shared" si="279"/>
        <v>8183.0999999999985</v>
      </c>
      <c r="AR545" s="21">
        <v>8183.0999999999985</v>
      </c>
      <c r="AS545" s="610">
        <v>8183.0999999999985</v>
      </c>
      <c r="AT545" s="112">
        <v>8183.0999999999985</v>
      </c>
      <c r="AU545" s="4"/>
      <c r="AV545" s="4"/>
      <c r="AW545" s="23" t="e">
        <f>VLOOKUP(K545,#REF!,8,FALSE)</f>
        <v>#REF!</v>
      </c>
      <c r="AX545" s="23" t="e">
        <f>VLOOKUP(K545,#REF!,8,FALSE)</f>
        <v>#REF!</v>
      </c>
      <c r="AY545" s="23" t="e">
        <f>VLOOKUP(K545,#REF!,8,FALSE)</f>
        <v>#REF!</v>
      </c>
      <c r="AZ545" s="4"/>
      <c r="BA545" s="272"/>
      <c r="BB545" s="313">
        <f t="shared" si="304"/>
        <v>0</v>
      </c>
      <c r="BC545" s="269">
        <f t="shared" si="305"/>
        <v>8183.0999999999985</v>
      </c>
      <c r="BD545" t="str">
        <f t="shared" si="303"/>
        <v/>
      </c>
      <c r="BP545" s="166">
        <f t="shared" si="296"/>
        <v>8183.0999999999985</v>
      </c>
      <c r="BS545" s="165"/>
      <c r="BX545" s="495">
        <f t="shared" si="297"/>
        <v>8183.0999999999985</v>
      </c>
      <c r="BZ545" s="636">
        <f t="shared" si="283"/>
        <v>0</v>
      </c>
      <c r="CA545" s="633">
        <f t="shared" si="284"/>
        <v>0</v>
      </c>
    </row>
    <row r="546" spans="1:79" x14ac:dyDescent="0.2">
      <c r="A546" s="4">
        <v>0</v>
      </c>
      <c r="B546" s="4">
        <v>1</v>
      </c>
      <c r="C546" s="5">
        <f t="shared" si="285"/>
        <v>41126</v>
      </c>
      <c r="D546" s="6">
        <v>41126</v>
      </c>
      <c r="E546" s="121">
        <v>43012</v>
      </c>
      <c r="F546" s="6" t="s">
        <v>1876</v>
      </c>
      <c r="G546" s="7" t="s">
        <v>75</v>
      </c>
      <c r="H546" s="7"/>
      <c r="I546" s="7" t="s">
        <v>32</v>
      </c>
      <c r="J546" s="7" t="s">
        <v>142</v>
      </c>
      <c r="K546" s="29">
        <v>435232</v>
      </c>
      <c r="L546" s="10" t="s">
        <v>1196</v>
      </c>
      <c r="M546" s="10" t="s">
        <v>704</v>
      </c>
      <c r="N546" s="10" t="s">
        <v>1197</v>
      </c>
      <c r="O546" s="11" t="s">
        <v>1198</v>
      </c>
      <c r="P546" s="12">
        <v>42828</v>
      </c>
      <c r="Q546" s="13">
        <f t="shared" ca="1" si="286"/>
        <v>8.470910335386721</v>
      </c>
      <c r="R546" s="14">
        <v>1</v>
      </c>
      <c r="S546" s="15">
        <v>872</v>
      </c>
      <c r="T546" s="8">
        <v>872</v>
      </c>
      <c r="U546" s="16">
        <v>45082</v>
      </c>
      <c r="V546" s="17">
        <v>30</v>
      </c>
      <c r="W546" s="16">
        <v>45382</v>
      </c>
      <c r="X546" s="14">
        <v>192</v>
      </c>
      <c r="Y546" s="18">
        <f t="shared" si="282"/>
        <v>163</v>
      </c>
      <c r="Z546" s="18">
        <f t="shared" si="291"/>
        <v>0.84895833333333337</v>
      </c>
      <c r="AA546" s="18" t="s">
        <v>36</v>
      </c>
      <c r="AB546" s="26">
        <v>6036.9</v>
      </c>
      <c r="AC546" s="26"/>
      <c r="AD546" s="26"/>
      <c r="AE546" s="147" t="str">
        <f t="shared" si="298"/>
        <v>0</v>
      </c>
      <c r="AF546" s="147" t="str">
        <f t="shared" si="299"/>
        <v>0</v>
      </c>
      <c r="AG546" s="147" t="str">
        <f t="shared" si="300"/>
        <v>1</v>
      </c>
      <c r="AH546" s="147" t="str">
        <f t="shared" si="292"/>
        <v>NO</v>
      </c>
      <c r="AI546" s="147" t="str">
        <f t="shared" si="293"/>
        <v>NO</v>
      </c>
      <c r="AJ546" s="147" t="str">
        <f t="shared" si="294"/>
        <v>NO</v>
      </c>
      <c r="AK546" s="147" t="str">
        <f t="shared" si="295"/>
        <v>NO</v>
      </c>
      <c r="AL546" s="21"/>
      <c r="AM546" s="21">
        <f>AB546</f>
        <v>6036.9</v>
      </c>
      <c r="AN546" s="27" t="s">
        <v>37</v>
      </c>
      <c r="AO546" s="21">
        <v>1</v>
      </c>
      <c r="AP546" s="21">
        <f t="shared" si="302"/>
        <v>0.84895833333333337</v>
      </c>
      <c r="AQ546" s="149">
        <f t="shared" si="279"/>
        <v>5125.0765625000004</v>
      </c>
      <c r="AR546" s="21">
        <v>5125.0765625000004</v>
      </c>
      <c r="AS546" s="610">
        <v>0</v>
      </c>
      <c r="AT546" s="112">
        <v>0</v>
      </c>
      <c r="AU546" s="4"/>
      <c r="AV546" s="4"/>
      <c r="AW546" s="23" t="e">
        <f>VLOOKUP(K546,#REF!,8,FALSE)</f>
        <v>#REF!</v>
      </c>
      <c r="AX546" s="23" t="e">
        <f>VLOOKUP(K546,#REF!,8,FALSE)</f>
        <v>#REF!</v>
      </c>
      <c r="AY546" s="23" t="e">
        <f>VLOOKUP(K546,#REF!,8,FALSE)</f>
        <v>#REF!</v>
      </c>
      <c r="AZ546" s="4"/>
      <c r="BA546" s="272"/>
      <c r="BB546" s="313">
        <f t="shared" si="304"/>
        <v>5125.0765625000004</v>
      </c>
      <c r="BC546" s="269">
        <f t="shared" si="305"/>
        <v>5125.0765625000004</v>
      </c>
      <c r="BD546" t="str">
        <f t="shared" si="303"/>
        <v/>
      </c>
      <c r="BP546" s="166">
        <f t="shared" si="296"/>
        <v>5125.0765625000004</v>
      </c>
      <c r="BS546" s="165"/>
      <c r="BX546" s="495">
        <f t="shared" si="297"/>
        <v>5125.0765625000004</v>
      </c>
      <c r="BZ546" s="636">
        <f t="shared" si="283"/>
        <v>0</v>
      </c>
      <c r="CA546" s="633">
        <f t="shared" si="284"/>
        <v>5125.0765625000004</v>
      </c>
    </row>
    <row r="547" spans="1:79" x14ac:dyDescent="0.2">
      <c r="A547" s="4">
        <v>1</v>
      </c>
      <c r="B547" s="4">
        <v>1</v>
      </c>
      <c r="C547" s="5">
        <f t="shared" si="285"/>
        <v>41126</v>
      </c>
      <c r="D547" s="6">
        <v>41126</v>
      </c>
      <c r="E547" s="121">
        <v>43012</v>
      </c>
      <c r="F547" s="6" t="s">
        <v>1876</v>
      </c>
      <c r="G547" s="7" t="s">
        <v>75</v>
      </c>
      <c r="H547" s="7"/>
      <c r="I547" s="7" t="s">
        <v>32</v>
      </c>
      <c r="J547" s="7"/>
      <c r="K547" s="29">
        <v>435233</v>
      </c>
      <c r="L547" s="10" t="s">
        <v>1196</v>
      </c>
      <c r="M547" s="10" t="s">
        <v>402</v>
      </c>
      <c r="N547" s="10" t="s">
        <v>1197</v>
      </c>
      <c r="O547" s="11" t="s">
        <v>2497</v>
      </c>
      <c r="P547" s="12">
        <v>42828</v>
      </c>
      <c r="Q547" s="13">
        <f t="shared" ca="1" si="286"/>
        <v>8.470910335386721</v>
      </c>
      <c r="R547" s="14">
        <v>1</v>
      </c>
      <c r="S547" s="15">
        <v>872</v>
      </c>
      <c r="T547" s="8">
        <v>872</v>
      </c>
      <c r="U547" s="16">
        <v>45093</v>
      </c>
      <c r="V547" s="17">
        <v>38</v>
      </c>
      <c r="W547" s="16">
        <v>45382</v>
      </c>
      <c r="X547" s="14">
        <v>192</v>
      </c>
      <c r="Y547" s="18">
        <f t="shared" si="282"/>
        <v>155</v>
      </c>
      <c r="Z547" s="18">
        <f t="shared" si="291"/>
        <v>0.80729166666666663</v>
      </c>
      <c r="AA547" s="18" t="s">
        <v>36</v>
      </c>
      <c r="AB547" s="26">
        <v>24</v>
      </c>
      <c r="AC547" s="26"/>
      <c r="AD547" s="26"/>
      <c r="AE547" s="147" t="str">
        <f t="shared" si="298"/>
        <v>1</v>
      </c>
      <c r="AF547" s="147" t="str">
        <f t="shared" si="299"/>
        <v>0</v>
      </c>
      <c r="AG547" s="147" t="str">
        <f t="shared" si="300"/>
        <v>0</v>
      </c>
      <c r="AH547" s="147" t="str">
        <f t="shared" si="292"/>
        <v>NO</v>
      </c>
      <c r="AI547" s="147" t="str">
        <f t="shared" si="293"/>
        <v>NO</v>
      </c>
      <c r="AJ547" s="147" t="str">
        <f t="shared" si="294"/>
        <v>NO</v>
      </c>
      <c r="AK547" s="147" t="str">
        <f t="shared" si="295"/>
        <v>NO</v>
      </c>
      <c r="AL547" s="21"/>
      <c r="AM547" s="21">
        <f>IF(H547="Y",AL547,((AB547*$O$902)-6000))</f>
        <v>5346.48</v>
      </c>
      <c r="AN547" s="27" t="s">
        <v>56</v>
      </c>
      <c r="AO547" s="21">
        <v>1</v>
      </c>
      <c r="AP547" s="21">
        <f t="shared" si="302"/>
        <v>0.80729166666666663</v>
      </c>
      <c r="AQ547" s="149">
        <f t="shared" si="279"/>
        <v>4316.1687499999998</v>
      </c>
      <c r="AR547" s="21">
        <v>0</v>
      </c>
      <c r="AS547" s="610">
        <v>0</v>
      </c>
      <c r="AT547" s="112">
        <v>0</v>
      </c>
      <c r="AU547" s="4"/>
      <c r="AV547" s="4"/>
      <c r="AW547" s="23" t="e">
        <f>VLOOKUP(K547,#REF!,8,FALSE)</f>
        <v>#REF!</v>
      </c>
      <c r="AX547" s="23" t="e">
        <f>VLOOKUP(K547,#REF!,8,FALSE)</f>
        <v>#REF!</v>
      </c>
      <c r="AY547" s="23" t="e">
        <f>VLOOKUP(K547,#REF!,8,FALSE)</f>
        <v>#REF!</v>
      </c>
      <c r="AZ547" s="4"/>
      <c r="BA547" s="272"/>
      <c r="BB547" s="313">
        <f t="shared" si="304"/>
        <v>0</v>
      </c>
      <c r="BC547" s="269">
        <f t="shared" si="305"/>
        <v>0</v>
      </c>
      <c r="BP547" s="166">
        <f t="shared" si="296"/>
        <v>0</v>
      </c>
      <c r="BS547" s="165"/>
      <c r="BX547" s="495">
        <f t="shared" si="297"/>
        <v>4316.1687499999998</v>
      </c>
      <c r="BY547" t="s">
        <v>2471</v>
      </c>
      <c r="BZ547" s="636">
        <f t="shared" si="283"/>
        <v>4316.1687499999998</v>
      </c>
      <c r="CA547" s="633">
        <f t="shared" si="284"/>
        <v>4316.1687499999998</v>
      </c>
    </row>
    <row r="548" spans="1:79" x14ac:dyDescent="0.2">
      <c r="A548" s="4">
        <v>1</v>
      </c>
      <c r="B548" s="4">
        <v>1</v>
      </c>
      <c r="C548" s="5">
        <f t="shared" si="285"/>
        <v>41127</v>
      </c>
      <c r="D548" s="6">
        <v>41127</v>
      </c>
      <c r="E548" s="121">
        <v>43012</v>
      </c>
      <c r="F548" s="6" t="s">
        <v>1606</v>
      </c>
      <c r="G548" s="7" t="s">
        <v>75</v>
      </c>
      <c r="H548" s="7"/>
      <c r="I548" s="7" t="s">
        <v>32</v>
      </c>
      <c r="J548" s="7"/>
      <c r="K548" s="29">
        <v>403293</v>
      </c>
      <c r="L548" s="10" t="s">
        <v>1199</v>
      </c>
      <c r="M548" s="10" t="s">
        <v>115</v>
      </c>
      <c r="N548" s="10" t="s">
        <v>1200</v>
      </c>
      <c r="O548" s="11" t="s">
        <v>1201</v>
      </c>
      <c r="P548" s="12">
        <v>40872</v>
      </c>
      <c r="Q548" s="13">
        <f t="shared" ca="1" si="286"/>
        <v>13.826146475017111</v>
      </c>
      <c r="R548" s="14">
        <v>6</v>
      </c>
      <c r="S548" s="15" t="s">
        <v>98</v>
      </c>
      <c r="T548" s="8" t="s">
        <v>98</v>
      </c>
      <c r="U548" s="16">
        <v>45017</v>
      </c>
      <c r="V548" s="17">
        <v>1</v>
      </c>
      <c r="W548" s="16">
        <v>45128</v>
      </c>
      <c r="X548" s="14">
        <v>63</v>
      </c>
      <c r="Y548" s="18">
        <f t="shared" si="282"/>
        <v>63</v>
      </c>
      <c r="Z548" s="18">
        <f t="shared" si="291"/>
        <v>0.328125</v>
      </c>
      <c r="AA548" s="18" t="s">
        <v>48</v>
      </c>
      <c r="AB548" s="26">
        <v>25</v>
      </c>
      <c r="AC548" s="26"/>
      <c r="AD548" s="26"/>
      <c r="AE548" s="147" t="str">
        <f t="shared" si="298"/>
        <v>1</v>
      </c>
      <c r="AF548" s="147" t="str">
        <f t="shared" si="299"/>
        <v>0</v>
      </c>
      <c r="AG548" s="147" t="str">
        <f t="shared" si="300"/>
        <v>0</v>
      </c>
      <c r="AH548" s="147" t="str">
        <f t="shared" si="292"/>
        <v>NO</v>
      </c>
      <c r="AI548" s="147" t="str">
        <f t="shared" si="293"/>
        <v>NO</v>
      </c>
      <c r="AJ548" s="147" t="str">
        <f t="shared" si="294"/>
        <v>NO</v>
      </c>
      <c r="AK548" s="147" t="str">
        <f t="shared" si="295"/>
        <v>NO</v>
      </c>
      <c r="AL548" s="21"/>
      <c r="AM548" s="21">
        <f>IF(H548="Y",AL548,((AB548*$O$902)-6000))</f>
        <v>5819.25</v>
      </c>
      <c r="AN548" s="27" t="s">
        <v>66</v>
      </c>
      <c r="AO548" s="21">
        <v>1</v>
      </c>
      <c r="AP548" s="21">
        <f t="shared" si="302"/>
        <v>0.328125</v>
      </c>
      <c r="AQ548" s="149">
        <f t="shared" si="279"/>
        <v>1909.44140625</v>
      </c>
      <c r="AR548" s="21">
        <v>1909.44140625</v>
      </c>
      <c r="AS548" s="610">
        <v>1909.44140625</v>
      </c>
      <c r="AT548" s="112">
        <v>1909.44140625</v>
      </c>
      <c r="AU548" s="4"/>
      <c r="AV548" s="4"/>
      <c r="AW548" s="23" t="e">
        <f>VLOOKUP(K548,#REF!,8,FALSE)</f>
        <v>#REF!</v>
      </c>
      <c r="AX548" s="23" t="s">
        <v>2251</v>
      </c>
      <c r="AY548" s="23" t="e">
        <f>VLOOKUP(K548,#REF!,8,FALSE)</f>
        <v>#REF!</v>
      </c>
      <c r="AZ548" s="4"/>
      <c r="BA548" s="272"/>
      <c r="BB548" s="313">
        <f t="shared" si="304"/>
        <v>0</v>
      </c>
      <c r="BC548" s="269">
        <f t="shared" si="305"/>
        <v>1909.44140625</v>
      </c>
      <c r="BD548" s="110" t="s">
        <v>2405</v>
      </c>
      <c r="BJ548">
        <f>AB548</f>
        <v>25</v>
      </c>
      <c r="BK548" s="269">
        <f>AM548</f>
        <v>5819.25</v>
      </c>
      <c r="BO548" s="106">
        <f>BK548/192*127</f>
        <v>3849.19140625</v>
      </c>
      <c r="BP548" s="166">
        <f t="shared" si="296"/>
        <v>5758.6328125</v>
      </c>
      <c r="BS548" s="165" t="s">
        <v>1495</v>
      </c>
      <c r="BT548" t="s">
        <v>1495</v>
      </c>
      <c r="BX548" s="495">
        <f t="shared" si="297"/>
        <v>5758.6328125</v>
      </c>
      <c r="BZ548" s="636">
        <f t="shared" si="283"/>
        <v>0</v>
      </c>
      <c r="CA548" s="633">
        <f t="shared" si="284"/>
        <v>3849.19140625</v>
      </c>
    </row>
    <row r="549" spans="1:79" x14ac:dyDescent="0.2">
      <c r="A549" s="4">
        <v>1</v>
      </c>
      <c r="B549" s="4">
        <v>1</v>
      </c>
      <c r="C549" s="5">
        <f t="shared" si="285"/>
        <v>41127</v>
      </c>
      <c r="D549" s="6">
        <v>41127</v>
      </c>
      <c r="E549" s="121">
        <v>43012</v>
      </c>
      <c r="F549" s="6" t="s">
        <v>1606</v>
      </c>
      <c r="G549" s="7" t="s">
        <v>75</v>
      </c>
      <c r="H549" s="7"/>
      <c r="I549" s="7" t="s">
        <v>32</v>
      </c>
      <c r="J549" s="7"/>
      <c r="K549" s="29">
        <v>409622</v>
      </c>
      <c r="L549" s="10" t="s">
        <v>1199</v>
      </c>
      <c r="M549" s="10" t="s">
        <v>132</v>
      </c>
      <c r="N549" s="10" t="s">
        <v>1202</v>
      </c>
      <c r="O549" s="11" t="s">
        <v>1203</v>
      </c>
      <c r="P549" s="12">
        <v>41516</v>
      </c>
      <c r="Q549" s="13">
        <f t="shared" ca="1" si="286"/>
        <v>12.062970568104038</v>
      </c>
      <c r="R549" s="14">
        <v>5</v>
      </c>
      <c r="S549" s="15">
        <v>872</v>
      </c>
      <c r="T549" s="8">
        <v>872</v>
      </c>
      <c r="U549" s="16">
        <v>45017</v>
      </c>
      <c r="V549" s="17">
        <v>1</v>
      </c>
      <c r="W549" s="16">
        <v>45382</v>
      </c>
      <c r="X549" s="14">
        <v>192</v>
      </c>
      <c r="Y549" s="18">
        <f t="shared" si="282"/>
        <v>192</v>
      </c>
      <c r="Z549" s="18">
        <f t="shared" si="291"/>
        <v>1</v>
      </c>
      <c r="AA549" s="18" t="s">
        <v>36</v>
      </c>
      <c r="AB549" s="26">
        <v>25</v>
      </c>
      <c r="AC549" s="26"/>
      <c r="AD549" s="26"/>
      <c r="AE549" s="147" t="str">
        <f t="shared" si="298"/>
        <v>1</v>
      </c>
      <c r="AF549" s="147" t="str">
        <f t="shared" si="299"/>
        <v>0</v>
      </c>
      <c r="AG549" s="147" t="str">
        <f t="shared" si="300"/>
        <v>0</v>
      </c>
      <c r="AH549" s="147" t="str">
        <f t="shared" si="292"/>
        <v>NO</v>
      </c>
      <c r="AI549" s="147" t="str">
        <f t="shared" si="293"/>
        <v>NO</v>
      </c>
      <c r="AJ549" s="147" t="str">
        <f t="shared" si="294"/>
        <v>NO</v>
      </c>
      <c r="AK549" s="147" t="str">
        <f t="shared" si="295"/>
        <v>NO</v>
      </c>
      <c r="AL549" s="21"/>
      <c r="AM549" s="21">
        <f>IF(H549="Y",AL549,((AB549*$O$902)-6000))</f>
        <v>5819.25</v>
      </c>
      <c r="AN549" s="27" t="s">
        <v>37</v>
      </c>
      <c r="AO549" s="21">
        <v>1</v>
      </c>
      <c r="AP549" s="21">
        <f t="shared" si="302"/>
        <v>1</v>
      </c>
      <c r="AQ549" s="149">
        <f t="shared" si="279"/>
        <v>5819.25</v>
      </c>
      <c r="AR549" s="21">
        <v>5819.25</v>
      </c>
      <c r="AS549" s="610">
        <v>5819.25</v>
      </c>
      <c r="AT549" s="112">
        <v>5819.25</v>
      </c>
      <c r="AU549" s="4"/>
      <c r="AV549" s="4"/>
      <c r="AW549" s="23" t="e">
        <f>VLOOKUP(K549,#REF!,8,FALSE)</f>
        <v>#REF!</v>
      </c>
      <c r="AX549" s="23" t="e">
        <f>VLOOKUP(K549,#REF!,8,FALSE)</f>
        <v>#REF!</v>
      </c>
      <c r="AY549" s="23" t="e">
        <f>VLOOKUP(K549,#REF!,8,FALSE)</f>
        <v>#REF!</v>
      </c>
      <c r="AZ549" s="4"/>
      <c r="BA549" s="272"/>
      <c r="BB549" s="313">
        <f t="shared" si="304"/>
        <v>0</v>
      </c>
      <c r="BC549" s="269">
        <f t="shared" si="305"/>
        <v>5819.25</v>
      </c>
      <c r="BD549" t="str">
        <f>BG549&amp;BH549&amp;BI549</f>
        <v/>
      </c>
      <c r="BP549" s="166">
        <f t="shared" si="296"/>
        <v>5819.25</v>
      </c>
      <c r="BS549" s="165"/>
      <c r="BX549" s="495">
        <f t="shared" si="297"/>
        <v>5819.25</v>
      </c>
      <c r="BZ549" s="636">
        <f t="shared" si="283"/>
        <v>0</v>
      </c>
      <c r="CA549" s="633">
        <f t="shared" si="284"/>
        <v>0</v>
      </c>
    </row>
    <row r="550" spans="1:79" x14ac:dyDescent="0.2">
      <c r="A550" s="4">
        <v>1</v>
      </c>
      <c r="B550" s="4">
        <v>1</v>
      </c>
      <c r="C550" s="5">
        <f t="shared" si="285"/>
        <v>41127</v>
      </c>
      <c r="D550" s="6">
        <v>41127</v>
      </c>
      <c r="E550" s="121">
        <v>43012</v>
      </c>
      <c r="F550" s="6" t="s">
        <v>1606</v>
      </c>
      <c r="G550" s="7" t="s">
        <v>75</v>
      </c>
      <c r="H550" s="7"/>
      <c r="I550" s="7" t="s">
        <v>32</v>
      </c>
      <c r="J550" s="7"/>
      <c r="K550" s="29">
        <v>413170</v>
      </c>
      <c r="L550" s="10" t="s">
        <v>1199</v>
      </c>
      <c r="M550" s="123" t="s">
        <v>1204</v>
      </c>
      <c r="N550" s="122" t="s">
        <v>1205</v>
      </c>
      <c r="O550" s="122" t="str">
        <f>M550&amp;" "&amp;N550</f>
        <v>Jasper Wright</v>
      </c>
      <c r="P550" s="125">
        <v>41720</v>
      </c>
      <c r="Q550" s="13">
        <f t="shared" ca="1" si="286"/>
        <v>11.504449007529089</v>
      </c>
      <c r="R550" s="14">
        <v>4</v>
      </c>
      <c r="S550" s="15">
        <v>872</v>
      </c>
      <c r="T550" s="8">
        <v>872</v>
      </c>
      <c r="U550" s="16">
        <v>45017</v>
      </c>
      <c r="V550" s="17">
        <v>1</v>
      </c>
      <c r="W550" s="16">
        <v>45382</v>
      </c>
      <c r="X550" s="14">
        <v>192</v>
      </c>
      <c r="Y550" s="18">
        <f t="shared" si="282"/>
        <v>192</v>
      </c>
      <c r="Z550" s="18">
        <v>1</v>
      </c>
      <c r="AA550" s="16" t="s">
        <v>36</v>
      </c>
      <c r="AB550" s="26">
        <v>2658.8</v>
      </c>
      <c r="AC550" s="26"/>
      <c r="AD550" s="26"/>
      <c r="AE550" s="147" t="str">
        <f t="shared" si="298"/>
        <v>0</v>
      </c>
      <c r="AF550" s="147" t="str">
        <f t="shared" si="299"/>
        <v>0</v>
      </c>
      <c r="AG550" s="147" t="str">
        <f t="shared" si="300"/>
        <v>1</v>
      </c>
      <c r="AH550" s="147" t="str">
        <f t="shared" si="292"/>
        <v>NO</v>
      </c>
      <c r="AI550" s="147" t="str">
        <f t="shared" si="293"/>
        <v>NO</v>
      </c>
      <c r="AJ550" s="147" t="str">
        <f t="shared" si="294"/>
        <v>NO</v>
      </c>
      <c r="AK550" s="147" t="str">
        <f t="shared" si="295"/>
        <v>NO</v>
      </c>
      <c r="AL550" s="21"/>
      <c r="AM550" s="21">
        <v>2658.8</v>
      </c>
      <c r="AN550" s="27" t="s">
        <v>536</v>
      </c>
      <c r="AO550" s="21">
        <v>1</v>
      </c>
      <c r="AP550" s="21">
        <f t="shared" si="302"/>
        <v>1</v>
      </c>
      <c r="AQ550" s="149">
        <f t="shared" si="279"/>
        <v>2658.8</v>
      </c>
      <c r="AR550" s="21">
        <v>2658.8</v>
      </c>
      <c r="AS550" s="610">
        <v>0</v>
      </c>
      <c r="AT550" s="112">
        <v>2658.8</v>
      </c>
      <c r="AU550" s="4"/>
      <c r="AV550" s="4"/>
      <c r="AW550" s="23" t="e">
        <f>VLOOKUP(K550,#REF!,8,FALSE)</f>
        <v>#REF!</v>
      </c>
      <c r="AX550" s="23" t="e">
        <f>VLOOKUP(K550,#REF!,8,FALSE)</f>
        <v>#REF!</v>
      </c>
      <c r="AY550" s="23" t="e">
        <f>VLOOKUP(K550,#REF!,8,FALSE)</f>
        <v>#REF!</v>
      </c>
      <c r="AZ550" s="4"/>
      <c r="BA550" s="272"/>
      <c r="BB550" s="313">
        <f t="shared" si="304"/>
        <v>0</v>
      </c>
      <c r="BC550" s="269">
        <f t="shared" si="305"/>
        <v>2658.8</v>
      </c>
      <c r="BD550" t="str">
        <f>BG550&amp;BH550&amp;BI550</f>
        <v/>
      </c>
      <c r="BP550" s="166">
        <f t="shared" si="296"/>
        <v>2658.8</v>
      </c>
      <c r="BS550" s="165"/>
      <c r="BX550" s="495">
        <f t="shared" si="297"/>
        <v>2658.8</v>
      </c>
      <c r="BZ550" s="636">
        <f t="shared" si="283"/>
        <v>0</v>
      </c>
      <c r="CA550" s="633">
        <f t="shared" si="284"/>
        <v>2658.8</v>
      </c>
    </row>
    <row r="551" spans="1:79" x14ac:dyDescent="0.2">
      <c r="A551" s="4">
        <v>1</v>
      </c>
      <c r="B551" s="4">
        <v>1</v>
      </c>
      <c r="C551" s="5">
        <f t="shared" si="285"/>
        <v>41127</v>
      </c>
      <c r="D551" s="6">
        <v>41127</v>
      </c>
      <c r="E551" s="121">
        <v>43012</v>
      </c>
      <c r="F551" s="6" t="s">
        <v>1606</v>
      </c>
      <c r="G551" s="7" t="s">
        <v>75</v>
      </c>
      <c r="H551" s="7"/>
      <c r="I551" s="7" t="s">
        <v>32</v>
      </c>
      <c r="J551" s="7"/>
      <c r="K551" s="29">
        <v>414755</v>
      </c>
      <c r="L551" s="10" t="s">
        <v>1199</v>
      </c>
      <c r="M551" s="123" t="s">
        <v>942</v>
      </c>
      <c r="N551" s="122" t="s">
        <v>2418</v>
      </c>
      <c r="O551" s="122" t="s">
        <v>2498</v>
      </c>
      <c r="P551" s="125">
        <v>41476</v>
      </c>
      <c r="Q551" s="13">
        <f t="shared" ca="1" si="286"/>
        <v>12.172484599589323</v>
      </c>
      <c r="R551" s="14">
        <v>5</v>
      </c>
      <c r="S551" s="15">
        <v>872</v>
      </c>
      <c r="T551" s="8">
        <v>872</v>
      </c>
      <c r="U551" s="16">
        <v>45017</v>
      </c>
      <c r="V551" s="17">
        <v>1</v>
      </c>
      <c r="W551" s="16">
        <v>45382</v>
      </c>
      <c r="X551" s="14">
        <v>192</v>
      </c>
      <c r="Y551" s="18">
        <f t="shared" si="282"/>
        <v>192</v>
      </c>
      <c r="Z551" s="18">
        <v>1</v>
      </c>
      <c r="AA551" s="16" t="s">
        <v>36</v>
      </c>
      <c r="AB551" s="26">
        <v>27</v>
      </c>
      <c r="AC551" s="26"/>
      <c r="AD551" s="26"/>
      <c r="AE551" s="147" t="str">
        <f t="shared" si="298"/>
        <v>0</v>
      </c>
      <c r="AF551" s="147" t="str">
        <f t="shared" si="299"/>
        <v>1</v>
      </c>
      <c r="AG551" s="147" t="str">
        <f t="shared" si="300"/>
        <v>0</v>
      </c>
      <c r="AH551" s="147" t="str">
        <f t="shared" si="292"/>
        <v>NO</v>
      </c>
      <c r="AI551" s="147" t="str">
        <f t="shared" si="293"/>
        <v>NO</v>
      </c>
      <c r="AJ551" s="147" t="str">
        <f t="shared" si="294"/>
        <v>NO</v>
      </c>
      <c r="AK551" s="147" t="str">
        <f t="shared" si="295"/>
        <v>NO</v>
      </c>
      <c r="AL551" s="21"/>
      <c r="AM551" s="21">
        <f>IF(H551="Y",AL551,((AB551*$O$902)-6000))</f>
        <v>6764.7899999999991</v>
      </c>
      <c r="AN551" s="27"/>
      <c r="AO551" s="21">
        <v>1</v>
      </c>
      <c r="AP551" s="21">
        <f t="shared" si="302"/>
        <v>1</v>
      </c>
      <c r="AQ551" s="149">
        <f t="shared" si="279"/>
        <v>6764.7899999999991</v>
      </c>
      <c r="AR551" s="21">
        <v>0</v>
      </c>
      <c r="AS551" s="610">
        <v>0</v>
      </c>
      <c r="AT551" s="112">
        <v>0</v>
      </c>
      <c r="AU551" s="4"/>
      <c r="AV551" s="4"/>
      <c r="AW551" s="23" t="e">
        <f>VLOOKUP(K551,#REF!,8,FALSE)</f>
        <v>#REF!</v>
      </c>
      <c r="AX551" s="23" t="e">
        <f>VLOOKUP(K551,#REF!,8,FALSE)</f>
        <v>#REF!</v>
      </c>
      <c r="AY551" s="23" t="e">
        <f>VLOOKUP(K551,#REF!,8,FALSE)</f>
        <v>#REF!</v>
      </c>
      <c r="AZ551" s="4"/>
      <c r="BA551" s="272"/>
      <c r="BB551" s="313">
        <f t="shared" si="304"/>
        <v>0</v>
      </c>
      <c r="BC551" s="269">
        <f t="shared" si="305"/>
        <v>0</v>
      </c>
      <c r="BP551" s="166">
        <f t="shared" si="296"/>
        <v>0</v>
      </c>
      <c r="BS551" s="165"/>
      <c r="BX551" s="495">
        <f t="shared" si="297"/>
        <v>6764.7899999999991</v>
      </c>
      <c r="BY551" t="s">
        <v>2471</v>
      </c>
      <c r="BZ551" s="636">
        <f t="shared" si="283"/>
        <v>6764.7899999999991</v>
      </c>
      <c r="CA551" s="633">
        <f t="shared" si="284"/>
        <v>6764.7899999999991</v>
      </c>
    </row>
    <row r="552" spans="1:79" x14ac:dyDescent="0.2">
      <c r="A552" s="4">
        <v>1</v>
      </c>
      <c r="B552" s="4">
        <v>1</v>
      </c>
      <c r="C552" s="5">
        <f t="shared" si="285"/>
        <v>41127</v>
      </c>
      <c r="D552" s="6">
        <v>41127</v>
      </c>
      <c r="E552" s="121">
        <v>43012</v>
      </c>
      <c r="F552" s="6" t="s">
        <v>1606</v>
      </c>
      <c r="G552" s="7" t="s">
        <v>75</v>
      </c>
      <c r="H552" s="7"/>
      <c r="I552" s="7" t="s">
        <v>32</v>
      </c>
      <c r="J552" s="7"/>
      <c r="K552" s="29">
        <v>419798</v>
      </c>
      <c r="L552" s="10" t="s">
        <v>1199</v>
      </c>
      <c r="M552" s="10" t="s">
        <v>788</v>
      </c>
      <c r="N552" s="10" t="s">
        <v>1197</v>
      </c>
      <c r="O552" s="11" t="s">
        <v>1206</v>
      </c>
      <c r="P552" s="12">
        <v>42036</v>
      </c>
      <c r="Q552" s="13">
        <f t="shared" ca="1" si="286"/>
        <v>10.639288158795345</v>
      </c>
      <c r="R552" s="14">
        <v>3</v>
      </c>
      <c r="S552" s="15">
        <v>872</v>
      </c>
      <c r="T552" s="8">
        <v>872</v>
      </c>
      <c r="U552" s="16">
        <v>45017</v>
      </c>
      <c r="V552" s="17">
        <v>1</v>
      </c>
      <c r="W552" s="16">
        <v>45382</v>
      </c>
      <c r="X552" s="14">
        <v>192</v>
      </c>
      <c r="Y552" s="18">
        <f t="shared" si="282"/>
        <v>192</v>
      </c>
      <c r="Z552" s="18">
        <f>Y552/192</f>
        <v>1</v>
      </c>
      <c r="AA552" s="18" t="s">
        <v>36</v>
      </c>
      <c r="AB552" s="26">
        <v>2818.5</v>
      </c>
      <c r="AC552" s="26"/>
      <c r="AD552" s="26"/>
      <c r="AE552" s="147" t="str">
        <f t="shared" si="298"/>
        <v>0</v>
      </c>
      <c r="AF552" s="147" t="str">
        <f t="shared" si="299"/>
        <v>0</v>
      </c>
      <c r="AG552" s="147" t="str">
        <f t="shared" si="300"/>
        <v>1</v>
      </c>
      <c r="AH552" s="147" t="str">
        <f t="shared" si="292"/>
        <v>NO</v>
      </c>
      <c r="AI552" s="147" t="str">
        <f t="shared" si="293"/>
        <v>NO</v>
      </c>
      <c r="AJ552" s="147" t="str">
        <f t="shared" si="294"/>
        <v>NO</v>
      </c>
      <c r="AK552" s="147" t="str">
        <f t="shared" si="295"/>
        <v>NO</v>
      </c>
      <c r="AL552" s="21"/>
      <c r="AM552" s="21">
        <v>2818.5</v>
      </c>
      <c r="AN552" s="27" t="s">
        <v>185</v>
      </c>
      <c r="AO552" s="21">
        <v>1</v>
      </c>
      <c r="AP552" s="21">
        <f t="shared" si="302"/>
        <v>1</v>
      </c>
      <c r="AQ552" s="149">
        <f t="shared" si="279"/>
        <v>2818.5</v>
      </c>
      <c r="AR552" s="21">
        <v>2818.5</v>
      </c>
      <c r="AS552" s="610">
        <v>2818.5</v>
      </c>
      <c r="AT552" s="112">
        <v>2818.5</v>
      </c>
      <c r="AU552" s="4"/>
      <c r="AV552" s="4"/>
      <c r="AW552" s="23" t="e">
        <f>VLOOKUP(K552,#REF!,8,FALSE)</f>
        <v>#REF!</v>
      </c>
      <c r="AX552" s="23" t="e">
        <f>VLOOKUP(K552,#REF!,8,FALSE)</f>
        <v>#REF!</v>
      </c>
      <c r="AY552" s="23" t="e">
        <f>VLOOKUP(K552,#REF!,8,FALSE)</f>
        <v>#REF!</v>
      </c>
      <c r="AZ552" s="4"/>
      <c r="BA552" s="272"/>
      <c r="BB552" s="313">
        <f t="shared" si="304"/>
        <v>0</v>
      </c>
      <c r="BC552" s="269">
        <f t="shared" si="305"/>
        <v>2818.5</v>
      </c>
      <c r="BD552" t="str">
        <f>BG552&amp;BH552&amp;BI552</f>
        <v/>
      </c>
      <c r="BP552" s="166">
        <f t="shared" si="296"/>
        <v>2818.5</v>
      </c>
      <c r="BS552" s="165"/>
      <c r="BX552" s="495">
        <f t="shared" si="297"/>
        <v>2818.5</v>
      </c>
      <c r="BZ552" s="636">
        <f t="shared" si="283"/>
        <v>0</v>
      </c>
      <c r="CA552" s="633">
        <f t="shared" si="284"/>
        <v>0</v>
      </c>
    </row>
    <row r="553" spans="1:79" x14ac:dyDescent="0.2">
      <c r="A553" s="4">
        <v>1</v>
      </c>
      <c r="B553" s="4">
        <v>1</v>
      </c>
      <c r="C553" s="5">
        <f t="shared" si="285"/>
        <v>41206</v>
      </c>
      <c r="D553" s="6">
        <v>41206</v>
      </c>
      <c r="E553" s="121">
        <v>43012</v>
      </c>
      <c r="F553" s="6" t="s">
        <v>1606</v>
      </c>
      <c r="G553" s="7" t="s">
        <v>75</v>
      </c>
      <c r="H553" s="7"/>
      <c r="I553" s="7" t="s">
        <v>157</v>
      </c>
      <c r="J553" s="7"/>
      <c r="K553" s="29">
        <v>425838</v>
      </c>
      <c r="L553" s="58" t="s">
        <v>1207</v>
      </c>
      <c r="M553" s="10" t="s">
        <v>1208</v>
      </c>
      <c r="N553" s="10" t="s">
        <v>1209</v>
      </c>
      <c r="O553" s="11" t="s">
        <v>1210</v>
      </c>
      <c r="P553" s="12">
        <v>40121</v>
      </c>
      <c r="Q553" s="13">
        <f t="shared" ca="1" si="286"/>
        <v>15.88227241615332</v>
      </c>
      <c r="R553" s="14">
        <v>8</v>
      </c>
      <c r="S553" s="15">
        <v>872</v>
      </c>
      <c r="T553" s="8">
        <v>872</v>
      </c>
      <c r="U553" s="16">
        <v>45017</v>
      </c>
      <c r="V553" s="17">
        <v>1</v>
      </c>
      <c r="W553" s="16">
        <v>45382</v>
      </c>
      <c r="X553" s="14">
        <v>192</v>
      </c>
      <c r="Y553" s="18">
        <f t="shared" si="282"/>
        <v>192</v>
      </c>
      <c r="Z553" s="18">
        <f>Y553/192</f>
        <v>1</v>
      </c>
      <c r="AA553" s="18" t="s">
        <v>36</v>
      </c>
      <c r="AB553" s="26">
        <v>41</v>
      </c>
      <c r="AC553" s="26"/>
      <c r="AD553" s="26"/>
      <c r="AE553" s="147" t="str">
        <f t="shared" si="298"/>
        <v>0</v>
      </c>
      <c r="AF553" s="147" t="str">
        <f t="shared" si="299"/>
        <v>0</v>
      </c>
      <c r="AG553" s="147" t="str">
        <f t="shared" si="300"/>
        <v>1</v>
      </c>
      <c r="AH553" s="147" t="str">
        <f t="shared" si="292"/>
        <v>NO</v>
      </c>
      <c r="AI553" s="147" t="str">
        <f t="shared" si="293"/>
        <v>NO</v>
      </c>
      <c r="AJ553" s="147" t="str">
        <f t="shared" si="294"/>
        <v>NO</v>
      </c>
      <c r="AK553" s="147" t="str">
        <f t="shared" si="295"/>
        <v>NO</v>
      </c>
      <c r="AL553" s="21"/>
      <c r="AM553" s="21">
        <f>IF(H553="Y",AL553,((AB553*$O$902)-6000))</f>
        <v>13383.57</v>
      </c>
      <c r="AN553" s="27" t="s">
        <v>43</v>
      </c>
      <c r="AO553" s="21">
        <v>1</v>
      </c>
      <c r="AP553" s="21">
        <f t="shared" si="302"/>
        <v>1</v>
      </c>
      <c r="AQ553" s="149">
        <f t="shared" si="279"/>
        <v>13383.57</v>
      </c>
      <c r="AR553" s="21">
        <v>13383.57</v>
      </c>
      <c r="AS553" s="610">
        <v>13383.57</v>
      </c>
      <c r="AT553" s="112">
        <v>13383.57</v>
      </c>
      <c r="AU553" s="4"/>
      <c r="AV553" s="4"/>
      <c r="AW553" s="23" t="e">
        <f>VLOOKUP(K553,#REF!,8,FALSE)</f>
        <v>#REF!</v>
      </c>
      <c r="AX553" s="23" t="e">
        <f>VLOOKUP(K553,#REF!,8,FALSE)</f>
        <v>#REF!</v>
      </c>
      <c r="AY553" s="23" t="e">
        <f>VLOOKUP(K553,#REF!,8,FALSE)</f>
        <v>#REF!</v>
      </c>
      <c r="AZ553" s="4"/>
      <c r="BA553" s="272"/>
      <c r="BB553" s="313">
        <f t="shared" si="304"/>
        <v>0</v>
      </c>
      <c r="BC553" s="269">
        <f t="shared" si="305"/>
        <v>13383.57</v>
      </c>
      <c r="BD553" t="str">
        <f>BG553&amp;BH553&amp;BI553</f>
        <v/>
      </c>
      <c r="BP553" s="166">
        <f t="shared" si="296"/>
        <v>13383.57</v>
      </c>
      <c r="BS553" s="165"/>
      <c r="BX553" s="495">
        <f t="shared" si="297"/>
        <v>13383.57</v>
      </c>
      <c r="BZ553" s="636">
        <f t="shared" si="283"/>
        <v>0</v>
      </c>
      <c r="CA553" s="633">
        <f t="shared" si="284"/>
        <v>0</v>
      </c>
    </row>
    <row r="554" spans="1:79" x14ac:dyDescent="0.2">
      <c r="A554" s="4">
        <v>1</v>
      </c>
      <c r="B554" s="4">
        <v>1</v>
      </c>
      <c r="C554" s="5">
        <f t="shared" si="285"/>
        <v>41206</v>
      </c>
      <c r="D554" s="6">
        <v>41206</v>
      </c>
      <c r="E554" s="121">
        <v>43012</v>
      </c>
      <c r="F554" s="6" t="s">
        <v>1606</v>
      </c>
      <c r="G554" s="7" t="s">
        <v>75</v>
      </c>
      <c r="H554" s="7"/>
      <c r="I554" s="7" t="s">
        <v>157</v>
      </c>
      <c r="J554" s="7"/>
      <c r="K554" s="29">
        <v>387850</v>
      </c>
      <c r="L554" s="58" t="s">
        <v>1207</v>
      </c>
      <c r="M554" s="58" t="s">
        <v>115</v>
      </c>
      <c r="N554" s="58" t="s">
        <v>425</v>
      </c>
      <c r="O554" s="11" t="s">
        <v>1211</v>
      </c>
      <c r="P554" s="12">
        <v>40249</v>
      </c>
      <c r="Q554" s="13">
        <f t="shared" ca="1" si="286"/>
        <v>15.53182751540041</v>
      </c>
      <c r="R554" s="14">
        <v>8</v>
      </c>
      <c r="S554" s="15">
        <v>872</v>
      </c>
      <c r="T554" s="8">
        <v>872</v>
      </c>
      <c r="U554" s="16">
        <v>45020</v>
      </c>
      <c r="V554" s="17">
        <v>1</v>
      </c>
      <c r="W554" s="16">
        <v>45382</v>
      </c>
      <c r="X554" s="14">
        <v>192</v>
      </c>
      <c r="Y554" s="18">
        <f t="shared" si="282"/>
        <v>192</v>
      </c>
      <c r="Z554" s="18">
        <f>Y554/192</f>
        <v>1</v>
      </c>
      <c r="AA554" s="18" t="s">
        <v>36</v>
      </c>
      <c r="AB554" s="26">
        <v>25</v>
      </c>
      <c r="AC554" s="26"/>
      <c r="AD554" s="26"/>
      <c r="AE554" s="147" t="str">
        <f t="shared" si="298"/>
        <v>1</v>
      </c>
      <c r="AF554" s="147" t="str">
        <f t="shared" si="299"/>
        <v>0</v>
      </c>
      <c r="AG554" s="147" t="str">
        <f t="shared" si="300"/>
        <v>0</v>
      </c>
      <c r="AH554" s="147" t="str">
        <f t="shared" si="292"/>
        <v>NO</v>
      </c>
      <c r="AI554" s="147" t="str">
        <f t="shared" si="293"/>
        <v>NO</v>
      </c>
      <c r="AJ554" s="147" t="str">
        <f t="shared" si="294"/>
        <v>NO</v>
      </c>
      <c r="AK554" s="147" t="str">
        <f t="shared" si="295"/>
        <v>NO</v>
      </c>
      <c r="AL554" s="21"/>
      <c r="AM554" s="21">
        <f>IF(H554="Y",AL554,((AB554*$O$902)-6000))</f>
        <v>5819.25</v>
      </c>
      <c r="AN554" s="27" t="s">
        <v>185</v>
      </c>
      <c r="AO554" s="21">
        <v>1</v>
      </c>
      <c r="AP554" s="21">
        <f t="shared" si="302"/>
        <v>1</v>
      </c>
      <c r="AQ554" s="149">
        <f t="shared" si="279"/>
        <v>5819.25</v>
      </c>
      <c r="AR554" s="21">
        <v>5819.25</v>
      </c>
      <c r="AS554" s="610">
        <v>0</v>
      </c>
      <c r="AT554" s="112">
        <v>5819.25</v>
      </c>
      <c r="AU554" s="4"/>
      <c r="AV554" s="4"/>
      <c r="AW554" s="23" t="e">
        <f>VLOOKUP(K554,#REF!,8,FALSE)</f>
        <v>#REF!</v>
      </c>
      <c r="AX554" s="23" t="e">
        <f>VLOOKUP(K554,#REF!,8,FALSE)</f>
        <v>#REF!</v>
      </c>
      <c r="AY554" s="23" t="e">
        <f>VLOOKUP(K554,#REF!,8,FALSE)</f>
        <v>#REF!</v>
      </c>
      <c r="AZ554" s="4"/>
      <c r="BA554" s="272"/>
      <c r="BB554" s="313">
        <f t="shared" si="304"/>
        <v>0</v>
      </c>
      <c r="BC554" s="269">
        <f t="shared" si="305"/>
        <v>5819.25</v>
      </c>
      <c r="BD554" t="str">
        <f>BG554&amp;BH554&amp;BI554</f>
        <v/>
      </c>
      <c r="BP554" s="166">
        <f t="shared" si="296"/>
        <v>5819.25</v>
      </c>
      <c r="BS554" s="165"/>
      <c r="BX554" s="495">
        <f t="shared" si="297"/>
        <v>5819.25</v>
      </c>
      <c r="BZ554" s="636">
        <f t="shared" si="283"/>
        <v>0</v>
      </c>
      <c r="CA554" s="633">
        <f t="shared" si="284"/>
        <v>5819.25</v>
      </c>
    </row>
    <row r="555" spans="1:79" x14ac:dyDescent="0.2">
      <c r="A555" s="4">
        <v>0</v>
      </c>
      <c r="B555" s="4">
        <v>1</v>
      </c>
      <c r="C555" s="5">
        <f t="shared" si="285"/>
        <v>41206</v>
      </c>
      <c r="D555" s="6">
        <v>41206</v>
      </c>
      <c r="E555" s="121">
        <v>43012</v>
      </c>
      <c r="F555" s="6" t="s">
        <v>1606</v>
      </c>
      <c r="G555" s="7" t="s">
        <v>75</v>
      </c>
      <c r="H555" s="7"/>
      <c r="I555" s="7" t="s">
        <v>157</v>
      </c>
      <c r="J555" s="7"/>
      <c r="K555" s="29">
        <v>434563</v>
      </c>
      <c r="L555" s="58" t="s">
        <v>1207</v>
      </c>
      <c r="M555" s="58" t="s">
        <v>241</v>
      </c>
      <c r="N555" s="58" t="s">
        <v>1212</v>
      </c>
      <c r="O555" s="11" t="s">
        <v>1213</v>
      </c>
      <c r="P555" s="12">
        <v>42840</v>
      </c>
      <c r="Q555" s="13">
        <f t="shared" ca="1" si="286"/>
        <v>8.4380561259411362</v>
      </c>
      <c r="R555" s="14">
        <v>1</v>
      </c>
      <c r="S555" s="15">
        <v>872</v>
      </c>
      <c r="T555" s="8">
        <v>872</v>
      </c>
      <c r="U555" s="16">
        <v>45017</v>
      </c>
      <c r="V555" s="17">
        <v>1</v>
      </c>
      <c r="W555" s="16">
        <v>45128</v>
      </c>
      <c r="X555" s="14">
        <v>63</v>
      </c>
      <c r="Y555" s="18">
        <f t="shared" si="282"/>
        <v>63</v>
      </c>
      <c r="Z555" s="18">
        <f>Y555/192</f>
        <v>0.328125</v>
      </c>
      <c r="AA555" s="18" t="s">
        <v>36</v>
      </c>
      <c r="AB555" s="26">
        <v>30</v>
      </c>
      <c r="AC555" s="26"/>
      <c r="AD555" s="26"/>
      <c r="AE555" s="147" t="str">
        <f t="shared" si="298"/>
        <v>0</v>
      </c>
      <c r="AF555" s="147" t="str">
        <f t="shared" si="299"/>
        <v>1</v>
      </c>
      <c r="AG555" s="147" t="str">
        <f t="shared" si="300"/>
        <v>0</v>
      </c>
      <c r="AH555" s="147" t="str">
        <f t="shared" si="292"/>
        <v>NO</v>
      </c>
      <c r="AI555" s="147" t="str">
        <f t="shared" si="293"/>
        <v>NO</v>
      </c>
      <c r="AJ555" s="147" t="str">
        <f t="shared" si="294"/>
        <v>NO</v>
      </c>
      <c r="AK555" s="147" t="str">
        <f t="shared" si="295"/>
        <v>NO</v>
      </c>
      <c r="AL555" s="21"/>
      <c r="AM555" s="21">
        <f>IF(H555="Y",AL555,((AB555*$O$902)-6000))</f>
        <v>8183.0999999999985</v>
      </c>
      <c r="AN555" s="27" t="s">
        <v>56</v>
      </c>
      <c r="AO555" s="21">
        <v>1</v>
      </c>
      <c r="AP555" s="21">
        <f t="shared" si="302"/>
        <v>0.328125</v>
      </c>
      <c r="AQ555" s="149">
        <f t="shared" si="279"/>
        <v>2685.0796874999996</v>
      </c>
      <c r="AR555" s="21">
        <v>2685.0796874999996</v>
      </c>
      <c r="AS555" s="610">
        <v>8183.0999999999985</v>
      </c>
      <c r="AT555" s="112">
        <v>0</v>
      </c>
      <c r="AU555" s="4"/>
      <c r="AV555" s="4"/>
      <c r="AW555" s="23" t="e">
        <f>VLOOKUP(K555,#REF!,8,FALSE)</f>
        <v>#REF!</v>
      </c>
      <c r="AX555" s="23" t="e">
        <f>VLOOKUP(K555,#REF!,8,FALSE)</f>
        <v>#REF!</v>
      </c>
      <c r="AY555" s="23" t="e">
        <f>VLOOKUP(K555,#REF!,8,FALSE)</f>
        <v>#REF!</v>
      </c>
      <c r="AZ555" s="4"/>
      <c r="BA555" s="272"/>
      <c r="BB555" s="318">
        <f t="shared" si="304"/>
        <v>2685.0796874999996</v>
      </c>
      <c r="BC555" s="269">
        <f t="shared" si="305"/>
        <v>2685.0796874999996</v>
      </c>
      <c r="BD555" t="s">
        <v>2425</v>
      </c>
      <c r="BE555" t="s">
        <v>2426</v>
      </c>
      <c r="BF555">
        <v>43009</v>
      </c>
      <c r="BP555" s="166">
        <f t="shared" si="296"/>
        <v>2685.0796874999996</v>
      </c>
      <c r="BS555" s="165"/>
      <c r="BX555" s="495">
        <f t="shared" si="297"/>
        <v>2685.0796874999996</v>
      </c>
      <c r="BZ555" s="636">
        <f t="shared" si="283"/>
        <v>0</v>
      </c>
      <c r="CA555" s="633">
        <f t="shared" si="284"/>
        <v>-5498.0203124999989</v>
      </c>
    </row>
    <row r="556" spans="1:79" x14ac:dyDescent="0.2">
      <c r="A556" s="4">
        <v>0</v>
      </c>
      <c r="B556" s="4">
        <v>1</v>
      </c>
      <c r="C556" s="5">
        <f t="shared" si="285"/>
        <v>41206</v>
      </c>
      <c r="D556" s="6">
        <v>41206</v>
      </c>
      <c r="E556" s="121">
        <v>43012</v>
      </c>
      <c r="F556" s="6" t="s">
        <v>1606</v>
      </c>
      <c r="G556" s="7" t="s">
        <v>75</v>
      </c>
      <c r="H556" s="7"/>
      <c r="I556" s="7" t="s">
        <v>157</v>
      </c>
      <c r="J556" s="7" t="s">
        <v>142</v>
      </c>
      <c r="K556" s="29">
        <v>434563</v>
      </c>
      <c r="L556" s="58" t="s">
        <v>1207</v>
      </c>
      <c r="M556" s="58" t="s">
        <v>241</v>
      </c>
      <c r="N556" s="58" t="s">
        <v>1212</v>
      </c>
      <c r="O556" s="11" t="s">
        <v>1213</v>
      </c>
      <c r="P556" s="12">
        <v>42840</v>
      </c>
      <c r="Q556" s="13">
        <f t="shared" ca="1" si="286"/>
        <v>8.4380561259411362</v>
      </c>
      <c r="R556" s="14">
        <v>1</v>
      </c>
      <c r="S556" s="15">
        <v>872</v>
      </c>
      <c r="T556" s="8">
        <v>872</v>
      </c>
      <c r="U556" s="16">
        <v>45017</v>
      </c>
      <c r="V556" s="17">
        <v>1</v>
      </c>
      <c r="W556" s="16">
        <v>45128</v>
      </c>
      <c r="X556" s="14">
        <v>63</v>
      </c>
      <c r="Y556" s="18">
        <f t="shared" si="282"/>
        <v>63</v>
      </c>
      <c r="Z556" s="18">
        <v>1</v>
      </c>
      <c r="AA556" s="16">
        <v>45128</v>
      </c>
      <c r="AB556" s="41">
        <v>15658.75</v>
      </c>
      <c r="AC556" s="41"/>
      <c r="AD556" s="41"/>
      <c r="AE556" s="147" t="str">
        <f t="shared" si="298"/>
        <v>0</v>
      </c>
      <c r="AF556" s="147" t="str">
        <f t="shared" si="299"/>
        <v>0</v>
      </c>
      <c r="AG556" s="147" t="str">
        <f t="shared" si="300"/>
        <v>1</v>
      </c>
      <c r="AH556" s="147" t="str">
        <f t="shared" si="292"/>
        <v>NO</v>
      </c>
      <c r="AI556" s="147" t="str">
        <f t="shared" si="293"/>
        <v>NO</v>
      </c>
      <c r="AJ556" s="147" t="str">
        <f t="shared" si="294"/>
        <v>NO</v>
      </c>
      <c r="AK556" s="147" t="str">
        <f t="shared" si="295"/>
        <v>NO</v>
      </c>
      <c r="AL556" s="21"/>
      <c r="AM556" s="21">
        <v>15658.75</v>
      </c>
      <c r="AN556" s="27" t="s">
        <v>56</v>
      </c>
      <c r="AO556" s="21">
        <v>1</v>
      </c>
      <c r="AP556" s="21">
        <f t="shared" si="302"/>
        <v>1</v>
      </c>
      <c r="AQ556" s="149">
        <f t="shared" si="279"/>
        <v>15658.75</v>
      </c>
      <c r="AR556" s="21">
        <v>15658.75</v>
      </c>
      <c r="AS556" s="610">
        <v>0</v>
      </c>
      <c r="AT556" s="112">
        <v>15658.75</v>
      </c>
      <c r="AU556" s="4"/>
      <c r="AV556" s="4"/>
      <c r="AW556" s="23" t="e">
        <f>VLOOKUP(K556,#REF!,8,FALSE)</f>
        <v>#REF!</v>
      </c>
      <c r="AX556" s="23" t="e">
        <f>VLOOKUP(K556,#REF!,8,FALSE)</f>
        <v>#REF!</v>
      </c>
      <c r="AY556" s="23" t="e">
        <f>VLOOKUP(K556,#REF!,8,FALSE)</f>
        <v>#REF!</v>
      </c>
      <c r="AZ556" s="4"/>
      <c r="BA556" s="272"/>
      <c r="BB556" s="318">
        <f t="shared" si="304"/>
        <v>0</v>
      </c>
      <c r="BC556" s="269">
        <f t="shared" si="305"/>
        <v>15658.75</v>
      </c>
      <c r="BK556" s="269"/>
      <c r="BO556" s="111">
        <f>BK556/192*127</f>
        <v>0</v>
      </c>
      <c r="BP556" s="166">
        <f t="shared" si="296"/>
        <v>15658.75</v>
      </c>
      <c r="BS556" s="165"/>
      <c r="BX556" s="495">
        <f t="shared" si="297"/>
        <v>15658.75</v>
      </c>
      <c r="BZ556" s="636">
        <f t="shared" si="283"/>
        <v>0</v>
      </c>
      <c r="CA556" s="633">
        <f t="shared" si="284"/>
        <v>15658.75</v>
      </c>
    </row>
    <row r="557" spans="1:79" x14ac:dyDescent="0.2">
      <c r="A557" s="4">
        <v>1</v>
      </c>
      <c r="B557" s="4">
        <v>1</v>
      </c>
      <c r="C557" s="5">
        <f t="shared" si="285"/>
        <v>41206</v>
      </c>
      <c r="D557" s="6">
        <v>41206</v>
      </c>
      <c r="E557" s="121">
        <v>43012</v>
      </c>
      <c r="F557" s="6" t="s">
        <v>1606</v>
      </c>
      <c r="G557" s="7" t="s">
        <v>75</v>
      </c>
      <c r="H557" s="7"/>
      <c r="I557" s="7" t="s">
        <v>157</v>
      </c>
      <c r="J557" s="7"/>
      <c r="K557" s="29">
        <v>384105</v>
      </c>
      <c r="L557" s="58" t="s">
        <v>1207</v>
      </c>
      <c r="M557" s="10" t="s">
        <v>174</v>
      </c>
      <c r="N557" s="10" t="s">
        <v>1214</v>
      </c>
      <c r="O557" s="11" t="s">
        <v>1215</v>
      </c>
      <c r="P557" s="12">
        <v>40036</v>
      </c>
      <c r="Q557" s="13">
        <f t="shared" ca="1" si="286"/>
        <v>16.114989733059549</v>
      </c>
      <c r="R557" s="14">
        <v>9</v>
      </c>
      <c r="S557" s="15">
        <v>872</v>
      </c>
      <c r="T557" s="8">
        <v>872</v>
      </c>
      <c r="U557" s="16">
        <v>45017</v>
      </c>
      <c r="V557" s="17">
        <v>1</v>
      </c>
      <c r="W557" s="16">
        <v>45382</v>
      </c>
      <c r="X557" s="14">
        <v>192</v>
      </c>
      <c r="Y557" s="18">
        <f t="shared" si="282"/>
        <v>192</v>
      </c>
      <c r="Z557" s="18">
        <f t="shared" ref="Z557:Z604" si="306">Y557/192</f>
        <v>1</v>
      </c>
      <c r="AA557" s="18" t="s">
        <v>36</v>
      </c>
      <c r="AB557" s="26">
        <v>25</v>
      </c>
      <c r="AC557" s="26"/>
      <c r="AD557" s="26"/>
      <c r="AE557" s="147" t="str">
        <f t="shared" si="298"/>
        <v>1</v>
      </c>
      <c r="AF557" s="147" t="str">
        <f t="shared" si="299"/>
        <v>0</v>
      </c>
      <c r="AG557" s="147" t="str">
        <f t="shared" si="300"/>
        <v>0</v>
      </c>
      <c r="AH557" s="147" t="str">
        <f t="shared" si="292"/>
        <v>NO</v>
      </c>
      <c r="AI557" s="147" t="str">
        <f t="shared" si="293"/>
        <v>NO</v>
      </c>
      <c r="AJ557" s="147" t="str">
        <f t="shared" si="294"/>
        <v>NO</v>
      </c>
      <c r="AK557" s="147" t="str">
        <f t="shared" si="295"/>
        <v>NO</v>
      </c>
      <c r="AL557" s="21"/>
      <c r="AM557" s="21">
        <f t="shared" ref="AM557:AM562" si="307">IF(H557="Y",AL557,((AB557*$O$902)-6000))</f>
        <v>5819.25</v>
      </c>
      <c r="AN557" s="27" t="s">
        <v>81</v>
      </c>
      <c r="AO557" s="21">
        <v>1</v>
      </c>
      <c r="AP557" s="21">
        <f t="shared" si="302"/>
        <v>1</v>
      </c>
      <c r="AQ557" s="149">
        <f t="shared" si="279"/>
        <v>5819.25</v>
      </c>
      <c r="AR557" s="21">
        <v>5819.25</v>
      </c>
      <c r="AS557" s="610">
        <v>5819.25</v>
      </c>
      <c r="AT557" s="112">
        <v>5819.25</v>
      </c>
      <c r="AU557" s="4"/>
      <c r="AV557" s="4"/>
      <c r="AW557" s="23" t="e">
        <f>VLOOKUP(K557,#REF!,8,FALSE)</f>
        <v>#REF!</v>
      </c>
      <c r="AX557" s="23" t="e">
        <f>VLOOKUP(K557,#REF!,8,FALSE)</f>
        <v>#REF!</v>
      </c>
      <c r="AY557" s="23" t="e">
        <f>VLOOKUP(K557,#REF!,8,FALSE)</f>
        <v>#REF!</v>
      </c>
      <c r="AZ557" s="4"/>
      <c r="BA557" s="272"/>
      <c r="BB557" s="313">
        <f t="shared" si="304"/>
        <v>0</v>
      </c>
      <c r="BC557" s="269">
        <f t="shared" si="305"/>
        <v>5819.25</v>
      </c>
      <c r="BD557" t="str">
        <f>BG557&amp;BH557&amp;BI557</f>
        <v/>
      </c>
      <c r="BP557" s="166">
        <f t="shared" si="296"/>
        <v>5819.25</v>
      </c>
      <c r="BS557" s="165"/>
      <c r="BX557" s="495">
        <f t="shared" si="297"/>
        <v>5819.25</v>
      </c>
      <c r="BZ557" s="636">
        <f t="shared" si="283"/>
        <v>0</v>
      </c>
      <c r="CA557" s="633">
        <f t="shared" si="284"/>
        <v>0</v>
      </c>
    </row>
    <row r="558" spans="1:79" x14ac:dyDescent="0.2">
      <c r="A558" s="4">
        <v>1</v>
      </c>
      <c r="B558" s="4">
        <v>1</v>
      </c>
      <c r="C558" s="5">
        <f t="shared" si="285"/>
        <v>41206</v>
      </c>
      <c r="D558" s="6">
        <v>41206</v>
      </c>
      <c r="E558" s="121">
        <v>43012</v>
      </c>
      <c r="F558" s="6" t="s">
        <v>1606</v>
      </c>
      <c r="G558" s="7" t="s">
        <v>75</v>
      </c>
      <c r="H558" s="7"/>
      <c r="I558" s="33" t="s">
        <v>270</v>
      </c>
      <c r="J558" s="33"/>
      <c r="K558" s="29">
        <v>365904</v>
      </c>
      <c r="L558" s="58" t="s">
        <v>1207</v>
      </c>
      <c r="M558" s="10" t="s">
        <v>1216</v>
      </c>
      <c r="N558" s="10" t="s">
        <v>1217</v>
      </c>
      <c r="O558" s="11" t="s">
        <v>1218</v>
      </c>
      <c r="P558" s="12">
        <v>38887</v>
      </c>
      <c r="Q558" s="13">
        <f t="shared" ca="1" si="286"/>
        <v>19.260780287474333</v>
      </c>
      <c r="R558" s="14">
        <v>12</v>
      </c>
      <c r="S558" s="15">
        <v>872</v>
      </c>
      <c r="T558" s="8">
        <v>872</v>
      </c>
      <c r="U558" s="16">
        <v>45017</v>
      </c>
      <c r="V558" s="17">
        <v>1</v>
      </c>
      <c r="W558" s="16">
        <v>45128</v>
      </c>
      <c r="X558" s="14">
        <v>63</v>
      </c>
      <c r="Y558" s="18">
        <f t="shared" si="282"/>
        <v>63</v>
      </c>
      <c r="Z558" s="18">
        <f t="shared" si="306"/>
        <v>0.328125</v>
      </c>
      <c r="AA558" s="16" t="s">
        <v>270</v>
      </c>
      <c r="AB558" s="26">
        <v>35</v>
      </c>
      <c r="AC558" s="26"/>
      <c r="AD558" s="26"/>
      <c r="AE558" s="147" t="str">
        <f t="shared" si="298"/>
        <v>0</v>
      </c>
      <c r="AF558" s="147" t="str">
        <f t="shared" si="299"/>
        <v>0</v>
      </c>
      <c r="AG558" s="147" t="str">
        <f t="shared" si="300"/>
        <v>1</v>
      </c>
      <c r="AH558" s="147" t="str">
        <f t="shared" si="292"/>
        <v>NO</v>
      </c>
      <c r="AI558" s="147" t="str">
        <f t="shared" si="293"/>
        <v>NO</v>
      </c>
      <c r="AJ558" s="147" t="str">
        <f t="shared" si="294"/>
        <v>NO</v>
      </c>
      <c r="AK558" s="147" t="str">
        <f t="shared" si="295"/>
        <v>NO</v>
      </c>
      <c r="AL558" s="21"/>
      <c r="AM558" s="21">
        <f t="shared" si="307"/>
        <v>10546.95</v>
      </c>
      <c r="AN558" s="27" t="s">
        <v>81</v>
      </c>
      <c r="AO558" s="21">
        <v>1</v>
      </c>
      <c r="AP558" s="21">
        <f t="shared" si="302"/>
        <v>0.328125</v>
      </c>
      <c r="AQ558" s="149">
        <f t="shared" si="279"/>
        <v>3460.7179687500002</v>
      </c>
      <c r="AR558" s="21">
        <v>3460.7179687500002</v>
      </c>
      <c r="AS558" s="610">
        <v>3460.7179687500002</v>
      </c>
      <c r="AT558" s="112">
        <v>3460.7179687500002</v>
      </c>
      <c r="AU558" s="4"/>
      <c r="AV558" s="4"/>
      <c r="AW558" s="23" t="e">
        <f>VLOOKUP(K558,#REF!,8,FALSE)</f>
        <v>#REF!</v>
      </c>
      <c r="AX558" s="23" t="e">
        <f>VLOOKUP(K558,#REF!,8,FALSE)</f>
        <v>#REF!</v>
      </c>
      <c r="AY558" s="23" t="e">
        <f>VLOOKUP(K558,#REF!,8,FALSE)</f>
        <v>#REF!</v>
      </c>
      <c r="AZ558" s="4"/>
      <c r="BA558" s="272"/>
      <c r="BB558" s="313">
        <f t="shared" si="304"/>
        <v>0</v>
      </c>
      <c r="BC558" s="269">
        <f t="shared" si="305"/>
        <v>3460.7179687500002</v>
      </c>
      <c r="BD558" s="110" t="s">
        <v>2405</v>
      </c>
      <c r="BJ558">
        <f>AB558</f>
        <v>35</v>
      </c>
      <c r="BK558" s="269">
        <f>AM558</f>
        <v>10546.95</v>
      </c>
      <c r="BO558" s="106">
        <f>BK558/192*127</f>
        <v>6976.3679687499998</v>
      </c>
      <c r="BP558" s="166">
        <f t="shared" si="296"/>
        <v>10437.0859375</v>
      </c>
      <c r="BS558" s="165"/>
      <c r="BX558" s="495">
        <f t="shared" si="297"/>
        <v>10437.0859375</v>
      </c>
      <c r="BZ558" s="636">
        <f t="shared" si="283"/>
        <v>0</v>
      </c>
      <c r="CA558" s="633">
        <f t="shared" si="284"/>
        <v>6976.3679687499998</v>
      </c>
    </row>
    <row r="559" spans="1:79" x14ac:dyDescent="0.2">
      <c r="A559" s="4">
        <v>1</v>
      </c>
      <c r="B559" s="4">
        <v>1</v>
      </c>
      <c r="C559" s="5">
        <f t="shared" si="285"/>
        <v>41206</v>
      </c>
      <c r="D559" s="6">
        <v>41206</v>
      </c>
      <c r="E559" s="121">
        <v>43012</v>
      </c>
      <c r="F559" s="6" t="s">
        <v>1606</v>
      </c>
      <c r="G559" s="7" t="s">
        <v>75</v>
      </c>
      <c r="H559" s="7"/>
      <c r="I559" s="7" t="s">
        <v>157</v>
      </c>
      <c r="J559" s="7"/>
      <c r="K559" s="29">
        <v>368868</v>
      </c>
      <c r="L559" s="58" t="s">
        <v>1207</v>
      </c>
      <c r="M559" s="10" t="s">
        <v>1219</v>
      </c>
      <c r="N559" s="10" t="s">
        <v>1220</v>
      </c>
      <c r="O559" s="11" t="s">
        <v>1221</v>
      </c>
      <c r="P559" s="12">
        <v>39107</v>
      </c>
      <c r="Q559" s="13">
        <f t="shared" ca="1" si="286"/>
        <v>18.658453114305271</v>
      </c>
      <c r="R559" s="14">
        <v>11</v>
      </c>
      <c r="S559" s="15">
        <v>872</v>
      </c>
      <c r="T559" s="8">
        <v>872</v>
      </c>
      <c r="U559" s="16">
        <v>45017</v>
      </c>
      <c r="V559" s="17">
        <v>1</v>
      </c>
      <c r="W559" s="16">
        <v>45128</v>
      </c>
      <c r="X559" s="14">
        <v>63</v>
      </c>
      <c r="Y559" s="18">
        <f t="shared" si="282"/>
        <v>63</v>
      </c>
      <c r="Z559" s="18">
        <f t="shared" si="306"/>
        <v>0.328125</v>
      </c>
      <c r="AA559" s="16" t="s">
        <v>166</v>
      </c>
      <c r="AB559" s="26">
        <v>25</v>
      </c>
      <c r="AC559" s="26"/>
      <c r="AD559" s="26"/>
      <c r="AE559" s="147" t="str">
        <f t="shared" si="298"/>
        <v>1</v>
      </c>
      <c r="AF559" s="147" t="str">
        <f t="shared" si="299"/>
        <v>0</v>
      </c>
      <c r="AG559" s="147" t="str">
        <f t="shared" si="300"/>
        <v>0</v>
      </c>
      <c r="AH559" s="147" t="str">
        <f t="shared" si="292"/>
        <v>NO</v>
      </c>
      <c r="AI559" s="147" t="str">
        <f t="shared" si="293"/>
        <v>NO</v>
      </c>
      <c r="AJ559" s="147" t="str">
        <f t="shared" si="294"/>
        <v>NO</v>
      </c>
      <c r="AK559" s="147" t="str">
        <f t="shared" si="295"/>
        <v>NO</v>
      </c>
      <c r="AL559" s="21"/>
      <c r="AM559" s="21">
        <f t="shared" si="307"/>
        <v>5819.25</v>
      </c>
      <c r="AN559" s="27" t="s">
        <v>56</v>
      </c>
      <c r="AO559" s="21">
        <v>1</v>
      </c>
      <c r="AP559" s="21">
        <f t="shared" si="302"/>
        <v>0.328125</v>
      </c>
      <c r="AQ559" s="149">
        <f t="shared" si="279"/>
        <v>1909.44140625</v>
      </c>
      <c r="AR559" s="21">
        <v>1909.44140625</v>
      </c>
      <c r="AS559" s="610">
        <v>1909.44140625</v>
      </c>
      <c r="AT559" s="112">
        <v>1909.44140625</v>
      </c>
      <c r="AU559" s="4"/>
      <c r="AV559" s="4"/>
      <c r="AW559" s="23" t="e">
        <f>VLOOKUP(K559,#REF!,8,FALSE)</f>
        <v>#REF!</v>
      </c>
      <c r="AX559" s="23" t="e">
        <f>VLOOKUP(K559,#REF!,8,FALSE)</f>
        <v>#REF!</v>
      </c>
      <c r="AY559" s="23" t="s">
        <v>2245</v>
      </c>
      <c r="AZ559" s="4"/>
      <c r="BA559" s="272"/>
      <c r="BB559" s="313">
        <f t="shared" si="304"/>
        <v>0</v>
      </c>
      <c r="BC559" s="269">
        <f t="shared" si="305"/>
        <v>1909.44140625</v>
      </c>
      <c r="BD559" t="e">
        <f t="shared" ref="BD559:BD564" si="308">BG559&amp;BH559&amp;BI559</f>
        <v>#REF!</v>
      </c>
      <c r="BE559" t="s">
        <v>2394</v>
      </c>
      <c r="BF559">
        <v>43012</v>
      </c>
      <c r="BI559" t="e">
        <f>VLOOKUP(K559,#REF!,8,FALSE)</f>
        <v>#REF!</v>
      </c>
      <c r="BK559" s="269"/>
      <c r="BN559" s="353" t="s">
        <v>75</v>
      </c>
      <c r="BO559" s="106"/>
      <c r="BP559" s="166">
        <f t="shared" si="296"/>
        <v>1909.44140625</v>
      </c>
      <c r="BQ559" t="s">
        <v>2351</v>
      </c>
      <c r="BS559" s="165"/>
      <c r="BX559" s="495">
        <f t="shared" si="297"/>
        <v>1909.44140625</v>
      </c>
      <c r="BZ559" s="636">
        <f t="shared" si="283"/>
        <v>0</v>
      </c>
      <c r="CA559" s="633">
        <f t="shared" si="284"/>
        <v>0</v>
      </c>
    </row>
    <row r="560" spans="1:79" x14ac:dyDescent="0.2">
      <c r="A560" s="4">
        <v>1</v>
      </c>
      <c r="B560" s="4">
        <v>1</v>
      </c>
      <c r="C560" s="5">
        <f t="shared" si="285"/>
        <v>41206</v>
      </c>
      <c r="D560" s="6">
        <v>41206</v>
      </c>
      <c r="E560" s="121">
        <v>43012</v>
      </c>
      <c r="F560" s="6" t="s">
        <v>1606</v>
      </c>
      <c r="G560" s="7" t="s">
        <v>75</v>
      </c>
      <c r="H560" s="7"/>
      <c r="I560" s="7" t="s">
        <v>157</v>
      </c>
      <c r="J560" s="7"/>
      <c r="K560" s="29">
        <v>390562</v>
      </c>
      <c r="L560" s="58" t="s">
        <v>1207</v>
      </c>
      <c r="M560" s="10" t="s">
        <v>1219</v>
      </c>
      <c r="N560" s="10" t="s">
        <v>1222</v>
      </c>
      <c r="O560" s="11" t="s">
        <v>1223</v>
      </c>
      <c r="P560" s="12">
        <v>40656</v>
      </c>
      <c r="Q560" s="13">
        <f t="shared" ca="1" si="286"/>
        <v>14.417522245037645</v>
      </c>
      <c r="R560" s="14">
        <v>7</v>
      </c>
      <c r="S560" s="15">
        <v>872</v>
      </c>
      <c r="T560" s="8">
        <v>872</v>
      </c>
      <c r="U560" s="16">
        <v>45017</v>
      </c>
      <c r="V560" s="17">
        <v>1</v>
      </c>
      <c r="W560" s="16">
        <v>45382</v>
      </c>
      <c r="X560" s="14">
        <v>192</v>
      </c>
      <c r="Y560" s="18">
        <f t="shared" si="282"/>
        <v>192</v>
      </c>
      <c r="Z560" s="18">
        <f t="shared" si="306"/>
        <v>1</v>
      </c>
      <c r="AA560" s="18" t="s">
        <v>36</v>
      </c>
      <c r="AB560" s="26">
        <v>28</v>
      </c>
      <c r="AC560" s="26"/>
      <c r="AD560" s="26"/>
      <c r="AE560" s="147" t="str">
        <f t="shared" si="298"/>
        <v>0</v>
      </c>
      <c r="AF560" s="147" t="str">
        <f t="shared" si="299"/>
        <v>1</v>
      </c>
      <c r="AG560" s="147" t="str">
        <f t="shared" si="300"/>
        <v>0</v>
      </c>
      <c r="AH560" s="147" t="str">
        <f t="shared" si="292"/>
        <v>NO</v>
      </c>
      <c r="AI560" s="147" t="str">
        <f t="shared" si="293"/>
        <v>NO</v>
      </c>
      <c r="AJ560" s="147" t="str">
        <f t="shared" si="294"/>
        <v>NO</v>
      </c>
      <c r="AK560" s="147" t="str">
        <f t="shared" si="295"/>
        <v>NO</v>
      </c>
      <c r="AL560" s="21"/>
      <c r="AM560" s="21">
        <f t="shared" si="307"/>
        <v>7237.5599999999995</v>
      </c>
      <c r="AN560" s="27" t="s">
        <v>56</v>
      </c>
      <c r="AO560" s="21">
        <v>1</v>
      </c>
      <c r="AP560" s="21">
        <f t="shared" si="302"/>
        <v>1</v>
      </c>
      <c r="AQ560" s="149">
        <f t="shared" si="279"/>
        <v>7237.5599999999995</v>
      </c>
      <c r="AR560" s="21">
        <v>7237.5599999999995</v>
      </c>
      <c r="AS560" s="610">
        <v>7237.5599999999995</v>
      </c>
      <c r="AT560" s="112">
        <v>7237.5599999999995</v>
      </c>
      <c r="AU560" s="4"/>
      <c r="AV560" s="4"/>
      <c r="AW560" s="23" t="e">
        <f>VLOOKUP(K560,#REF!,8,FALSE)</f>
        <v>#REF!</v>
      </c>
      <c r="AX560" s="23" t="e">
        <f>VLOOKUP(K560,#REF!,8,FALSE)</f>
        <v>#REF!</v>
      </c>
      <c r="AY560" s="23" t="e">
        <f>VLOOKUP(K560,#REF!,8,FALSE)</f>
        <v>#REF!</v>
      </c>
      <c r="AZ560" s="4"/>
      <c r="BA560" s="272"/>
      <c r="BB560" s="313">
        <f t="shared" si="304"/>
        <v>0</v>
      </c>
      <c r="BC560" s="269">
        <f t="shared" si="305"/>
        <v>7237.5599999999995</v>
      </c>
      <c r="BD560" t="str">
        <f t="shared" si="308"/>
        <v/>
      </c>
      <c r="BP560" s="166">
        <f t="shared" si="296"/>
        <v>7237.5599999999995</v>
      </c>
      <c r="BS560" s="165"/>
      <c r="BX560" s="495">
        <f t="shared" si="297"/>
        <v>7237.5599999999995</v>
      </c>
      <c r="BZ560" s="636">
        <f t="shared" si="283"/>
        <v>0</v>
      </c>
      <c r="CA560" s="633">
        <f t="shared" si="284"/>
        <v>0</v>
      </c>
    </row>
    <row r="561" spans="1:79" x14ac:dyDescent="0.2">
      <c r="A561" s="4">
        <v>1</v>
      </c>
      <c r="B561" s="4">
        <v>1</v>
      </c>
      <c r="C561" s="5">
        <f t="shared" si="285"/>
        <v>41206</v>
      </c>
      <c r="D561" s="6">
        <v>41206</v>
      </c>
      <c r="E561" s="121">
        <v>43012</v>
      </c>
      <c r="F561" s="6" t="s">
        <v>1606</v>
      </c>
      <c r="G561" s="7" t="s">
        <v>75</v>
      </c>
      <c r="H561" s="7"/>
      <c r="I561" s="7" t="s">
        <v>157</v>
      </c>
      <c r="J561" s="7"/>
      <c r="K561" s="29">
        <v>377110</v>
      </c>
      <c r="L561" s="58" t="s">
        <v>1207</v>
      </c>
      <c r="M561" s="10" t="s">
        <v>1224</v>
      </c>
      <c r="N561" s="10" t="s">
        <v>1225</v>
      </c>
      <c r="O561" s="11" t="s">
        <v>1226</v>
      </c>
      <c r="P561" s="12">
        <v>39597</v>
      </c>
      <c r="Q561" s="13">
        <f t="shared" ca="1" si="286"/>
        <v>17.316906228610542</v>
      </c>
      <c r="R561" s="14">
        <v>10</v>
      </c>
      <c r="S561" s="15">
        <v>872</v>
      </c>
      <c r="T561" s="8">
        <v>872</v>
      </c>
      <c r="U561" s="16">
        <v>45017</v>
      </c>
      <c r="V561" s="17">
        <v>1</v>
      </c>
      <c r="W561" s="16">
        <v>45382</v>
      </c>
      <c r="X561" s="14">
        <v>192</v>
      </c>
      <c r="Y561" s="18">
        <f t="shared" si="282"/>
        <v>192</v>
      </c>
      <c r="Z561" s="18">
        <f t="shared" si="306"/>
        <v>1</v>
      </c>
      <c r="AA561" s="18" t="s">
        <v>36</v>
      </c>
      <c r="AB561" s="26">
        <v>28</v>
      </c>
      <c r="AC561" s="26"/>
      <c r="AD561" s="26"/>
      <c r="AE561" s="147" t="str">
        <f t="shared" si="298"/>
        <v>0</v>
      </c>
      <c r="AF561" s="147" t="str">
        <f t="shared" si="299"/>
        <v>1</v>
      </c>
      <c r="AG561" s="147" t="str">
        <f t="shared" si="300"/>
        <v>0</v>
      </c>
      <c r="AH561" s="147" t="str">
        <f t="shared" si="292"/>
        <v>NO</v>
      </c>
      <c r="AI561" s="147" t="str">
        <f t="shared" si="293"/>
        <v>NO</v>
      </c>
      <c r="AJ561" s="147" t="str">
        <f t="shared" si="294"/>
        <v>NO</v>
      </c>
      <c r="AK561" s="147" t="str">
        <f t="shared" si="295"/>
        <v>NO</v>
      </c>
      <c r="AL561" s="21"/>
      <c r="AM561" s="21">
        <f t="shared" si="307"/>
        <v>7237.5599999999995</v>
      </c>
      <c r="AN561" s="22" t="s">
        <v>52</v>
      </c>
      <c r="AO561" s="21">
        <v>1</v>
      </c>
      <c r="AP561" s="21">
        <f t="shared" si="302"/>
        <v>1</v>
      </c>
      <c r="AQ561" s="149">
        <f t="shared" si="279"/>
        <v>7237.5599999999995</v>
      </c>
      <c r="AR561" s="21">
        <v>7237.5599999999995</v>
      </c>
      <c r="AS561" s="610">
        <v>7237.5599999999995</v>
      </c>
      <c r="AT561" s="112">
        <v>7237.5599999999995</v>
      </c>
      <c r="AU561" s="4"/>
      <c r="AV561" s="4"/>
      <c r="AW561" s="23" t="e">
        <f>VLOOKUP(K561,#REF!,8,FALSE)</f>
        <v>#REF!</v>
      </c>
      <c r="AX561" s="23" t="e">
        <f>VLOOKUP(K561,#REF!,8,FALSE)</f>
        <v>#REF!</v>
      </c>
      <c r="AY561" s="23" t="e">
        <f>VLOOKUP(K561,#REF!,8,FALSE)</f>
        <v>#REF!</v>
      </c>
      <c r="AZ561" s="4"/>
      <c r="BA561" s="272"/>
      <c r="BB561" s="313">
        <f t="shared" si="304"/>
        <v>0</v>
      </c>
      <c r="BC561" s="269">
        <f t="shared" si="305"/>
        <v>7237.5599999999995</v>
      </c>
      <c r="BD561" t="str">
        <f t="shared" si="308"/>
        <v/>
      </c>
      <c r="BP561" s="166">
        <f t="shared" si="296"/>
        <v>7237.5599999999995</v>
      </c>
      <c r="BS561" s="165"/>
      <c r="BX561" s="495">
        <f t="shared" si="297"/>
        <v>7237.5599999999995</v>
      </c>
      <c r="BZ561" s="636">
        <f t="shared" si="283"/>
        <v>0</v>
      </c>
      <c r="CA561" s="633">
        <f t="shared" si="284"/>
        <v>0</v>
      </c>
    </row>
    <row r="562" spans="1:79" x14ac:dyDescent="0.2">
      <c r="A562" s="4">
        <v>1</v>
      </c>
      <c r="B562" s="4">
        <v>1</v>
      </c>
      <c r="C562" s="5">
        <f t="shared" si="285"/>
        <v>41206</v>
      </c>
      <c r="D562" s="6">
        <v>41206</v>
      </c>
      <c r="E562" s="121">
        <v>43012</v>
      </c>
      <c r="F562" s="6" t="s">
        <v>1606</v>
      </c>
      <c r="G562" s="7" t="s">
        <v>75</v>
      </c>
      <c r="H562" s="7"/>
      <c r="I562" s="7" t="s">
        <v>157</v>
      </c>
      <c r="J562" s="7"/>
      <c r="K562" s="29">
        <v>374748</v>
      </c>
      <c r="L562" s="58" t="s">
        <v>1207</v>
      </c>
      <c r="M562" s="10" t="s">
        <v>855</v>
      </c>
      <c r="N562" s="10" t="s">
        <v>1227</v>
      </c>
      <c r="O562" s="11" t="s">
        <v>1228</v>
      </c>
      <c r="P562" s="12">
        <v>39499</v>
      </c>
      <c r="Q562" s="13">
        <f t="shared" ca="1" si="286"/>
        <v>17.585215605749486</v>
      </c>
      <c r="R562" s="14">
        <v>10</v>
      </c>
      <c r="S562" s="15">
        <v>872</v>
      </c>
      <c r="T562" s="8">
        <v>872</v>
      </c>
      <c r="U562" s="16">
        <v>45017</v>
      </c>
      <c r="V562" s="17">
        <v>1</v>
      </c>
      <c r="W562" s="16">
        <v>45382</v>
      </c>
      <c r="X562" s="14">
        <v>192</v>
      </c>
      <c r="Y562" s="18">
        <f t="shared" si="282"/>
        <v>192</v>
      </c>
      <c r="Z562" s="18">
        <f t="shared" si="306"/>
        <v>1</v>
      </c>
      <c r="AA562" s="18" t="s">
        <v>36</v>
      </c>
      <c r="AB562" s="26">
        <v>25</v>
      </c>
      <c r="AC562" s="26"/>
      <c r="AD562" s="26"/>
      <c r="AE562" s="147" t="str">
        <f t="shared" si="298"/>
        <v>1</v>
      </c>
      <c r="AF562" s="147" t="str">
        <f t="shared" si="299"/>
        <v>0</v>
      </c>
      <c r="AG562" s="147" t="str">
        <f t="shared" si="300"/>
        <v>0</v>
      </c>
      <c r="AH562" s="147" t="str">
        <f t="shared" si="292"/>
        <v>NO</v>
      </c>
      <c r="AI562" s="147" t="str">
        <f t="shared" si="293"/>
        <v>NO</v>
      </c>
      <c r="AJ562" s="147" t="str">
        <f t="shared" si="294"/>
        <v>NO</v>
      </c>
      <c r="AK562" s="147" t="str">
        <f t="shared" si="295"/>
        <v>NO</v>
      </c>
      <c r="AL562" s="21"/>
      <c r="AM562" s="21">
        <f t="shared" si="307"/>
        <v>5819.25</v>
      </c>
      <c r="AN562" s="22" t="s">
        <v>56</v>
      </c>
      <c r="AO562" s="21">
        <v>1</v>
      </c>
      <c r="AP562" s="21">
        <f t="shared" si="302"/>
        <v>1</v>
      </c>
      <c r="AQ562" s="149">
        <f t="shared" si="279"/>
        <v>5819.25</v>
      </c>
      <c r="AR562" s="21">
        <v>5819.25</v>
      </c>
      <c r="AS562" s="610">
        <v>5819.25</v>
      </c>
      <c r="AT562" s="112">
        <v>5819.25</v>
      </c>
      <c r="AU562" s="4"/>
      <c r="AV562" s="4"/>
      <c r="AW562" s="23" t="e">
        <f>VLOOKUP(K562,#REF!,8,FALSE)</f>
        <v>#REF!</v>
      </c>
      <c r="AX562" s="23" t="e">
        <f>VLOOKUP(K562,#REF!,8,FALSE)</f>
        <v>#REF!</v>
      </c>
      <c r="AY562" s="23" t="e">
        <f>VLOOKUP(K562,#REF!,8,FALSE)</f>
        <v>#REF!</v>
      </c>
      <c r="AZ562" s="4"/>
      <c r="BA562" s="272"/>
      <c r="BB562" s="313">
        <f t="shared" si="304"/>
        <v>0</v>
      </c>
      <c r="BC562" s="269">
        <f t="shared" si="305"/>
        <v>5819.25</v>
      </c>
      <c r="BD562" t="str">
        <f t="shared" si="308"/>
        <v/>
      </c>
      <c r="BP562" s="166">
        <f t="shared" si="296"/>
        <v>5819.25</v>
      </c>
      <c r="BS562" s="165"/>
      <c r="BX562" s="495">
        <f t="shared" si="297"/>
        <v>5819.25</v>
      </c>
      <c r="BZ562" s="636">
        <f t="shared" si="283"/>
        <v>0</v>
      </c>
      <c r="CA562" s="633">
        <f t="shared" si="284"/>
        <v>0</v>
      </c>
    </row>
    <row r="563" spans="1:79" x14ac:dyDescent="0.2">
      <c r="A563" s="4">
        <v>0</v>
      </c>
      <c r="B563" s="4">
        <v>1</v>
      </c>
      <c r="C563" s="5">
        <f t="shared" si="285"/>
        <v>41206</v>
      </c>
      <c r="D563" s="6">
        <v>41206</v>
      </c>
      <c r="E563" s="121">
        <v>43012</v>
      </c>
      <c r="F563" s="6" t="s">
        <v>1606</v>
      </c>
      <c r="G563" s="7" t="s">
        <v>75</v>
      </c>
      <c r="H563" s="7"/>
      <c r="I563" s="7" t="s">
        <v>157</v>
      </c>
      <c r="J563" s="7" t="s">
        <v>142</v>
      </c>
      <c r="K563" s="29">
        <v>374748</v>
      </c>
      <c r="L563" s="58" t="s">
        <v>1207</v>
      </c>
      <c r="M563" s="10" t="s">
        <v>855</v>
      </c>
      <c r="N563" s="10" t="s">
        <v>1227</v>
      </c>
      <c r="O563" s="11" t="s">
        <v>1228</v>
      </c>
      <c r="P563" s="12">
        <v>39499</v>
      </c>
      <c r="Q563" s="13">
        <f t="shared" ca="1" si="286"/>
        <v>17.585215605749486</v>
      </c>
      <c r="R563" s="14">
        <v>10</v>
      </c>
      <c r="S563" s="15">
        <v>872</v>
      </c>
      <c r="T563" s="8">
        <v>872</v>
      </c>
      <c r="U563" s="16">
        <v>45017</v>
      </c>
      <c r="V563" s="17">
        <v>1</v>
      </c>
      <c r="W563" s="16">
        <v>45382</v>
      </c>
      <c r="X563" s="14">
        <v>192</v>
      </c>
      <c r="Y563" s="18">
        <f t="shared" si="282"/>
        <v>192</v>
      </c>
      <c r="Z563" s="18">
        <f t="shared" si="306"/>
        <v>1</v>
      </c>
      <c r="AA563" s="18" t="s">
        <v>36</v>
      </c>
      <c r="AB563" s="26">
        <v>6810</v>
      </c>
      <c r="AC563" s="26"/>
      <c r="AD563" s="26"/>
      <c r="AE563" s="147" t="str">
        <f t="shared" si="298"/>
        <v>0</v>
      </c>
      <c r="AF563" s="147" t="str">
        <f t="shared" si="299"/>
        <v>0</v>
      </c>
      <c r="AG563" s="147" t="str">
        <f t="shared" si="300"/>
        <v>1</v>
      </c>
      <c r="AH563" s="147" t="str">
        <f t="shared" si="292"/>
        <v>NO</v>
      </c>
      <c r="AI563" s="147" t="str">
        <f t="shared" si="293"/>
        <v>NO</v>
      </c>
      <c r="AJ563" s="147" t="str">
        <f t="shared" si="294"/>
        <v>NO</v>
      </c>
      <c r="AK563" s="147" t="str">
        <f t="shared" si="295"/>
        <v>NO</v>
      </c>
      <c r="AL563" s="21"/>
      <c r="AM563" s="21">
        <f>540+2850+3420</f>
        <v>6810</v>
      </c>
      <c r="AN563" s="22" t="s">
        <v>56</v>
      </c>
      <c r="AO563" s="21">
        <v>1</v>
      </c>
      <c r="AP563" s="21">
        <f t="shared" si="302"/>
        <v>1</v>
      </c>
      <c r="AQ563" s="149">
        <f t="shared" si="279"/>
        <v>6810</v>
      </c>
      <c r="AR563" s="21">
        <v>6810</v>
      </c>
      <c r="AS563" s="610">
        <v>6810</v>
      </c>
      <c r="AT563" s="112">
        <v>6810</v>
      </c>
      <c r="AU563" s="4"/>
      <c r="AV563" s="4"/>
      <c r="AW563" s="23" t="e">
        <f>VLOOKUP(K563,#REF!,8,FALSE)</f>
        <v>#REF!</v>
      </c>
      <c r="AX563" s="23" t="e">
        <f>VLOOKUP(K563,#REF!,8,FALSE)</f>
        <v>#REF!</v>
      </c>
      <c r="AY563" s="23" t="e">
        <f>VLOOKUP(K563,#REF!,8,FALSE)</f>
        <v>#REF!</v>
      </c>
      <c r="AZ563" s="4"/>
      <c r="BA563" s="272"/>
      <c r="BB563" s="313">
        <f t="shared" si="304"/>
        <v>0</v>
      </c>
      <c r="BC563" s="269">
        <f t="shared" si="305"/>
        <v>6810</v>
      </c>
      <c r="BD563" t="str">
        <f t="shared" si="308"/>
        <v/>
      </c>
      <c r="BP563" s="166">
        <f t="shared" si="296"/>
        <v>6810</v>
      </c>
      <c r="BS563" s="165"/>
      <c r="BX563" s="495">
        <f t="shared" si="297"/>
        <v>6810</v>
      </c>
      <c r="BZ563" s="636">
        <f t="shared" si="283"/>
        <v>0</v>
      </c>
      <c r="CA563" s="633">
        <f t="shared" si="284"/>
        <v>0</v>
      </c>
    </row>
    <row r="564" spans="1:79" x14ac:dyDescent="0.2">
      <c r="A564" s="4">
        <v>1</v>
      </c>
      <c r="B564" s="4">
        <v>1</v>
      </c>
      <c r="C564" s="5">
        <f t="shared" si="285"/>
        <v>41206</v>
      </c>
      <c r="D564" s="6">
        <v>41206</v>
      </c>
      <c r="E564" s="121">
        <v>43012</v>
      </c>
      <c r="F564" s="6" t="s">
        <v>1606</v>
      </c>
      <c r="G564" s="7" t="s">
        <v>75</v>
      </c>
      <c r="H564" s="7"/>
      <c r="I564" s="7" t="s">
        <v>157</v>
      </c>
      <c r="J564" s="7"/>
      <c r="K564" s="29">
        <v>416370</v>
      </c>
      <c r="L564" s="58" t="s">
        <v>1207</v>
      </c>
      <c r="M564" s="10" t="s">
        <v>1229</v>
      </c>
      <c r="N564" s="10" t="s">
        <v>1230</v>
      </c>
      <c r="O564" s="11" t="s">
        <v>1231</v>
      </c>
      <c r="P564" s="12">
        <v>41952</v>
      </c>
      <c r="Q564" s="13">
        <f t="shared" ca="1" si="286"/>
        <v>10.869267624914443</v>
      </c>
      <c r="R564" s="14">
        <v>3</v>
      </c>
      <c r="S564" s="15">
        <v>872</v>
      </c>
      <c r="T564" s="8">
        <v>872</v>
      </c>
      <c r="U564" s="16">
        <v>45017</v>
      </c>
      <c r="V564" s="17">
        <v>1</v>
      </c>
      <c r="W564" s="16">
        <v>45382</v>
      </c>
      <c r="X564" s="14">
        <v>192</v>
      </c>
      <c r="Y564" s="18">
        <f t="shared" si="282"/>
        <v>192</v>
      </c>
      <c r="Z564" s="18">
        <f t="shared" si="306"/>
        <v>1</v>
      </c>
      <c r="AA564" s="18" t="s">
        <v>36</v>
      </c>
      <c r="AB564" s="26">
        <v>25</v>
      </c>
      <c r="AC564" s="26"/>
      <c r="AD564" s="26"/>
      <c r="AE564" s="147" t="str">
        <f t="shared" si="298"/>
        <v>1</v>
      </c>
      <c r="AF564" s="147" t="str">
        <f t="shared" si="299"/>
        <v>0</v>
      </c>
      <c r="AG564" s="147" t="str">
        <f t="shared" si="300"/>
        <v>0</v>
      </c>
      <c r="AH564" s="147" t="str">
        <f t="shared" si="292"/>
        <v>NO</v>
      </c>
      <c r="AI564" s="147" t="str">
        <f t="shared" si="293"/>
        <v>NO</v>
      </c>
      <c r="AJ564" s="147" t="str">
        <f t="shared" si="294"/>
        <v>NO</v>
      </c>
      <c r="AK564" s="147" t="str">
        <f t="shared" si="295"/>
        <v>NO</v>
      </c>
      <c r="AL564" s="21"/>
      <c r="AM564" s="21">
        <f t="shared" ref="AM564:AM579" si="309">IF(H564="Y",AL564,((AB564*$O$902)-6000))</f>
        <v>5819.25</v>
      </c>
      <c r="AN564" s="27" t="s">
        <v>37</v>
      </c>
      <c r="AO564" s="21">
        <v>1</v>
      </c>
      <c r="AP564" s="21">
        <f t="shared" si="302"/>
        <v>1</v>
      </c>
      <c r="AQ564" s="149">
        <f t="shared" si="279"/>
        <v>5819.25</v>
      </c>
      <c r="AR564" s="21">
        <v>5819.25</v>
      </c>
      <c r="AS564" s="610">
        <v>5819.25</v>
      </c>
      <c r="AT564" s="112">
        <v>5819.25</v>
      </c>
      <c r="AU564" s="4"/>
      <c r="AV564" s="4"/>
      <c r="AW564" s="23" t="e">
        <f>VLOOKUP(K564,#REF!,8,FALSE)</f>
        <v>#REF!</v>
      </c>
      <c r="AX564" s="23" t="e">
        <f>VLOOKUP(K564,#REF!,8,FALSE)</f>
        <v>#REF!</v>
      </c>
      <c r="AY564" s="23" t="e">
        <f>VLOOKUP(K564,#REF!,8,FALSE)</f>
        <v>#REF!</v>
      </c>
      <c r="AZ564" s="4"/>
      <c r="BA564" s="272"/>
      <c r="BB564" s="313">
        <f t="shared" si="304"/>
        <v>0</v>
      </c>
      <c r="BC564" s="269">
        <f t="shared" si="305"/>
        <v>5819.25</v>
      </c>
      <c r="BD564" t="str">
        <f t="shared" si="308"/>
        <v/>
      </c>
      <c r="BP564" s="166">
        <f t="shared" si="296"/>
        <v>5819.25</v>
      </c>
      <c r="BS564" s="165"/>
      <c r="BX564" s="495">
        <f t="shared" si="297"/>
        <v>5819.25</v>
      </c>
      <c r="BZ564" s="636">
        <f t="shared" si="283"/>
        <v>0</v>
      </c>
      <c r="CA564" s="633">
        <f t="shared" si="284"/>
        <v>0</v>
      </c>
    </row>
    <row r="565" spans="1:79" x14ac:dyDescent="0.2">
      <c r="A565" s="4">
        <v>1</v>
      </c>
      <c r="B565" s="4">
        <v>1</v>
      </c>
      <c r="C565" s="5">
        <f t="shared" si="285"/>
        <v>41206</v>
      </c>
      <c r="D565" s="6">
        <v>41206</v>
      </c>
      <c r="E565" s="121">
        <v>43012</v>
      </c>
      <c r="F565" s="6" t="s">
        <v>1606</v>
      </c>
      <c r="G565" s="7" t="s">
        <v>75</v>
      </c>
      <c r="H565" s="7"/>
      <c r="I565" s="33" t="s">
        <v>270</v>
      </c>
      <c r="J565" s="33"/>
      <c r="K565" s="29">
        <v>350700</v>
      </c>
      <c r="L565" s="58" t="s">
        <v>1207</v>
      </c>
      <c r="M565" s="10" t="s">
        <v>1232</v>
      </c>
      <c r="N565" s="10" t="s">
        <v>1202</v>
      </c>
      <c r="O565" s="11" t="s">
        <v>1233</v>
      </c>
      <c r="P565" s="12">
        <v>38372</v>
      </c>
      <c r="Q565" s="13">
        <f t="shared" ca="1" si="286"/>
        <v>20.670773442847366</v>
      </c>
      <c r="R565" s="14">
        <v>13</v>
      </c>
      <c r="S565" s="15">
        <v>872</v>
      </c>
      <c r="T565" s="8">
        <v>872</v>
      </c>
      <c r="U565" s="16">
        <v>45017</v>
      </c>
      <c r="V565" s="17">
        <v>1</v>
      </c>
      <c r="W565" s="16">
        <v>45128</v>
      </c>
      <c r="X565" s="14">
        <v>63</v>
      </c>
      <c r="Y565" s="18">
        <f t="shared" si="282"/>
        <v>63</v>
      </c>
      <c r="Z565" s="18">
        <f t="shared" si="306"/>
        <v>0.328125</v>
      </c>
      <c r="AA565" s="16" t="s">
        <v>270</v>
      </c>
      <c r="AB565" s="26">
        <v>25</v>
      </c>
      <c r="AC565" s="26"/>
      <c r="AD565" s="26"/>
      <c r="AE565" s="147" t="str">
        <f t="shared" si="298"/>
        <v>1</v>
      </c>
      <c r="AF565" s="147" t="str">
        <f t="shared" si="299"/>
        <v>0</v>
      </c>
      <c r="AG565" s="147" t="str">
        <f t="shared" si="300"/>
        <v>0</v>
      </c>
      <c r="AH565" s="147" t="str">
        <f t="shared" si="292"/>
        <v>NO</v>
      </c>
      <c r="AI565" s="147" t="str">
        <f t="shared" si="293"/>
        <v>NO</v>
      </c>
      <c r="AJ565" s="147" t="str">
        <f t="shared" si="294"/>
        <v>NO</v>
      </c>
      <c r="AK565" s="147" t="str">
        <f t="shared" si="295"/>
        <v>NO</v>
      </c>
      <c r="AL565" s="21"/>
      <c r="AM565" s="21">
        <f t="shared" si="309"/>
        <v>5819.25</v>
      </c>
      <c r="AN565" s="27" t="s">
        <v>56</v>
      </c>
      <c r="AO565" s="21">
        <v>1</v>
      </c>
      <c r="AP565" s="21">
        <f t="shared" si="302"/>
        <v>0.328125</v>
      </c>
      <c r="AQ565" s="149">
        <f t="shared" si="279"/>
        <v>1909.44140625</v>
      </c>
      <c r="AR565" s="21">
        <v>1909.44140625</v>
      </c>
      <c r="AS565" s="610">
        <v>1909.44140625</v>
      </c>
      <c r="AT565" s="112">
        <v>1909.44140625</v>
      </c>
      <c r="AU565" s="4"/>
      <c r="AV565" s="4"/>
      <c r="AW565" s="23" t="e">
        <f>VLOOKUP(K565,#REF!,8,FALSE)</f>
        <v>#REF!</v>
      </c>
      <c r="AX565" s="23" t="e">
        <f>VLOOKUP(K565,#REF!,8,FALSE)</f>
        <v>#REF!</v>
      </c>
      <c r="AY565" s="23" t="e">
        <f>VLOOKUP(K565,#REF!,8,FALSE)</f>
        <v>#REF!</v>
      </c>
      <c r="AZ565" s="4"/>
      <c r="BA565" s="272"/>
      <c r="BB565" s="313">
        <f t="shared" si="304"/>
        <v>0</v>
      </c>
      <c r="BC565" s="269">
        <f t="shared" si="305"/>
        <v>1909.44140625</v>
      </c>
      <c r="BD565" s="110" t="s">
        <v>2405</v>
      </c>
      <c r="BJ565">
        <f>AB565</f>
        <v>25</v>
      </c>
      <c r="BK565" s="269">
        <f>AM565</f>
        <v>5819.25</v>
      </c>
      <c r="BO565" s="106">
        <f>BK565/192*127</f>
        <v>3849.19140625</v>
      </c>
      <c r="BP565" s="166">
        <f t="shared" si="296"/>
        <v>5758.6328125</v>
      </c>
      <c r="BS565" s="165"/>
      <c r="BX565" s="495">
        <f t="shared" si="297"/>
        <v>5758.6328125</v>
      </c>
      <c r="BZ565" s="636">
        <f t="shared" si="283"/>
        <v>0</v>
      </c>
      <c r="CA565" s="633">
        <f t="shared" si="284"/>
        <v>3849.19140625</v>
      </c>
    </row>
    <row r="566" spans="1:79" x14ac:dyDescent="0.2">
      <c r="A566" s="4">
        <v>1</v>
      </c>
      <c r="B566" s="4">
        <v>1</v>
      </c>
      <c r="C566" s="5">
        <f t="shared" si="285"/>
        <v>41206</v>
      </c>
      <c r="D566" s="6">
        <v>41206</v>
      </c>
      <c r="E566" s="121">
        <v>43012</v>
      </c>
      <c r="F566" s="6" t="s">
        <v>1606</v>
      </c>
      <c r="G566" s="7" t="s">
        <v>75</v>
      </c>
      <c r="H566" s="7"/>
      <c r="I566" s="7" t="s">
        <v>157</v>
      </c>
      <c r="J566" s="7"/>
      <c r="K566" s="29">
        <v>416371</v>
      </c>
      <c r="L566" s="58" t="s">
        <v>1207</v>
      </c>
      <c r="M566" s="10" t="s">
        <v>1234</v>
      </c>
      <c r="N566" s="10" t="s">
        <v>1230</v>
      </c>
      <c r="O566" s="11" t="s">
        <v>1235</v>
      </c>
      <c r="P566" s="12">
        <v>41952</v>
      </c>
      <c r="Q566" s="13">
        <f t="shared" ca="1" si="286"/>
        <v>10.869267624914443</v>
      </c>
      <c r="R566" s="14">
        <v>3</v>
      </c>
      <c r="S566" s="15">
        <v>872</v>
      </c>
      <c r="T566" s="8">
        <v>872</v>
      </c>
      <c r="U566" s="16">
        <v>45017</v>
      </c>
      <c r="V566" s="17">
        <v>1</v>
      </c>
      <c r="W566" s="16">
        <v>45382</v>
      </c>
      <c r="X566" s="14">
        <v>192</v>
      </c>
      <c r="Y566" s="18">
        <f t="shared" si="282"/>
        <v>192</v>
      </c>
      <c r="Z566" s="18">
        <f t="shared" si="306"/>
        <v>1</v>
      </c>
      <c r="AA566" s="18" t="s">
        <v>36</v>
      </c>
      <c r="AB566" s="26">
        <v>25</v>
      </c>
      <c r="AC566" s="26"/>
      <c r="AD566" s="26"/>
      <c r="AE566" s="147" t="str">
        <f t="shared" si="298"/>
        <v>1</v>
      </c>
      <c r="AF566" s="147" t="str">
        <f t="shared" si="299"/>
        <v>0</v>
      </c>
      <c r="AG566" s="147" t="str">
        <f t="shared" si="300"/>
        <v>0</v>
      </c>
      <c r="AH566" s="147" t="str">
        <f t="shared" si="292"/>
        <v>NO</v>
      </c>
      <c r="AI566" s="147" t="str">
        <f t="shared" si="293"/>
        <v>NO</v>
      </c>
      <c r="AJ566" s="147" t="str">
        <f t="shared" si="294"/>
        <v>NO</v>
      </c>
      <c r="AK566" s="147" t="str">
        <f t="shared" si="295"/>
        <v>NO</v>
      </c>
      <c r="AL566" s="21"/>
      <c r="AM566" s="21">
        <f t="shared" si="309"/>
        <v>5819.25</v>
      </c>
      <c r="AN566" s="27" t="s">
        <v>37</v>
      </c>
      <c r="AO566" s="21">
        <v>1</v>
      </c>
      <c r="AP566" s="21">
        <f t="shared" si="302"/>
        <v>1</v>
      </c>
      <c r="AQ566" s="149">
        <f t="shared" si="279"/>
        <v>5819.25</v>
      </c>
      <c r="AR566" s="21">
        <v>5819.25</v>
      </c>
      <c r="AS566" s="610">
        <v>5819.25</v>
      </c>
      <c r="AT566" s="112">
        <v>5819.25</v>
      </c>
      <c r="AU566" s="4"/>
      <c r="AV566" s="4"/>
      <c r="AW566" s="23" t="e">
        <f>VLOOKUP(K566,#REF!,8,FALSE)</f>
        <v>#REF!</v>
      </c>
      <c r="AX566" s="23" t="e">
        <f>VLOOKUP(K566,#REF!,8,FALSE)</f>
        <v>#REF!</v>
      </c>
      <c r="AY566" s="23" t="e">
        <f>VLOOKUP(K566,#REF!,8,FALSE)</f>
        <v>#REF!</v>
      </c>
      <c r="AZ566" s="4"/>
      <c r="BA566" s="272"/>
      <c r="BB566" s="313">
        <f t="shared" si="304"/>
        <v>0</v>
      </c>
      <c r="BC566" s="269">
        <f t="shared" si="305"/>
        <v>5819.25</v>
      </c>
      <c r="BD566" t="str">
        <f>BG566&amp;BH566&amp;BI566</f>
        <v/>
      </c>
      <c r="BP566" s="166">
        <f t="shared" si="296"/>
        <v>5819.25</v>
      </c>
      <c r="BS566" s="165"/>
      <c r="BX566" s="495">
        <f t="shared" si="297"/>
        <v>5819.25</v>
      </c>
      <c r="BZ566" s="636">
        <f t="shared" si="283"/>
        <v>0</v>
      </c>
      <c r="CA566" s="633">
        <f t="shared" si="284"/>
        <v>0</v>
      </c>
    </row>
    <row r="567" spans="1:79" x14ac:dyDescent="0.2">
      <c r="A567" s="4">
        <v>1</v>
      </c>
      <c r="B567" s="4">
        <v>1</v>
      </c>
      <c r="C567" s="5">
        <f t="shared" si="285"/>
        <v>41206</v>
      </c>
      <c r="D567" s="6">
        <v>41206</v>
      </c>
      <c r="E567" s="121">
        <v>43012</v>
      </c>
      <c r="F567" s="6" t="s">
        <v>1606</v>
      </c>
      <c r="G567" s="7" t="s">
        <v>75</v>
      </c>
      <c r="H567" s="7"/>
      <c r="I567" s="7" t="s">
        <v>157</v>
      </c>
      <c r="J567" s="7"/>
      <c r="K567" s="29">
        <v>390326</v>
      </c>
      <c r="L567" s="58" t="s">
        <v>1207</v>
      </c>
      <c r="M567" s="10" t="s">
        <v>139</v>
      </c>
      <c r="N567" s="10" t="s">
        <v>1236</v>
      </c>
      <c r="O567" s="11" t="s">
        <v>1237</v>
      </c>
      <c r="P567" s="12">
        <v>40277</v>
      </c>
      <c r="Q567" s="13">
        <f t="shared" ca="1" si="286"/>
        <v>15.455167693360712</v>
      </c>
      <c r="R567" s="14">
        <v>8</v>
      </c>
      <c r="S567" s="15">
        <v>872</v>
      </c>
      <c r="T567" s="8">
        <v>872</v>
      </c>
      <c r="U567" s="16">
        <v>45017</v>
      </c>
      <c r="V567" s="17">
        <v>1</v>
      </c>
      <c r="W567" s="16">
        <v>45382</v>
      </c>
      <c r="X567" s="14">
        <v>192</v>
      </c>
      <c r="Y567" s="18">
        <f t="shared" si="282"/>
        <v>192</v>
      </c>
      <c r="Z567" s="18">
        <f t="shared" si="306"/>
        <v>1</v>
      </c>
      <c r="AA567" s="18" t="s">
        <v>36</v>
      </c>
      <c r="AB567" s="26">
        <v>25</v>
      </c>
      <c r="AC567" s="26"/>
      <c r="AD567" s="26"/>
      <c r="AE567" s="147" t="str">
        <f t="shared" si="298"/>
        <v>1</v>
      </c>
      <c r="AF567" s="147" t="str">
        <f t="shared" si="299"/>
        <v>0</v>
      </c>
      <c r="AG567" s="147" t="str">
        <f t="shared" si="300"/>
        <v>0</v>
      </c>
      <c r="AH567" s="147" t="str">
        <f t="shared" si="292"/>
        <v>NO</v>
      </c>
      <c r="AI567" s="147" t="str">
        <f t="shared" si="293"/>
        <v>NO</v>
      </c>
      <c r="AJ567" s="147" t="str">
        <f t="shared" si="294"/>
        <v>NO</v>
      </c>
      <c r="AK567" s="147" t="str">
        <f t="shared" si="295"/>
        <v>NO</v>
      </c>
      <c r="AL567" s="21"/>
      <c r="AM567" s="21">
        <f t="shared" si="309"/>
        <v>5819.25</v>
      </c>
      <c r="AN567" s="27" t="s">
        <v>662</v>
      </c>
      <c r="AO567" s="21">
        <v>1</v>
      </c>
      <c r="AP567" s="21">
        <f t="shared" si="302"/>
        <v>1</v>
      </c>
      <c r="AQ567" s="149">
        <f t="shared" si="279"/>
        <v>5819.25</v>
      </c>
      <c r="AR567" s="21">
        <v>5819.25</v>
      </c>
      <c r="AS567" s="610">
        <v>5819.25</v>
      </c>
      <c r="AT567" s="112">
        <v>5819.25</v>
      </c>
      <c r="AU567" s="4"/>
      <c r="AV567" s="4"/>
      <c r="AW567" s="23" t="e">
        <f>VLOOKUP(K567,#REF!,8,FALSE)</f>
        <v>#REF!</v>
      </c>
      <c r="AX567" s="23" t="e">
        <f>VLOOKUP(K567,#REF!,8,FALSE)</f>
        <v>#REF!</v>
      </c>
      <c r="AY567" s="23" t="e">
        <f>VLOOKUP(K567,#REF!,8,FALSE)</f>
        <v>#REF!</v>
      </c>
      <c r="AZ567" s="4"/>
      <c r="BA567" s="272"/>
      <c r="BB567" s="313">
        <f t="shared" si="304"/>
        <v>0</v>
      </c>
      <c r="BC567" s="269">
        <f t="shared" si="305"/>
        <v>5819.25</v>
      </c>
      <c r="BD567" t="str">
        <f>BG567&amp;BH567&amp;BI567</f>
        <v/>
      </c>
      <c r="BP567" s="166">
        <f t="shared" si="296"/>
        <v>5819.25</v>
      </c>
      <c r="BS567" s="165"/>
      <c r="BX567" s="495">
        <f t="shared" si="297"/>
        <v>5819.25</v>
      </c>
      <c r="BZ567" s="636">
        <f t="shared" si="283"/>
        <v>0</v>
      </c>
      <c r="CA567" s="633">
        <f t="shared" si="284"/>
        <v>0</v>
      </c>
    </row>
    <row r="568" spans="1:79" x14ac:dyDescent="0.2">
      <c r="A568" s="4">
        <v>1</v>
      </c>
      <c r="B568" s="4">
        <v>1</v>
      </c>
      <c r="C568" s="5">
        <f t="shared" si="285"/>
        <v>41206</v>
      </c>
      <c r="D568" s="6">
        <v>41206</v>
      </c>
      <c r="E568" s="121">
        <v>43012</v>
      </c>
      <c r="F568" s="6" t="s">
        <v>1606</v>
      </c>
      <c r="G568" s="7" t="s">
        <v>75</v>
      </c>
      <c r="H568" s="7"/>
      <c r="I568" s="7" t="s">
        <v>157</v>
      </c>
      <c r="J568" s="7"/>
      <c r="K568" s="29">
        <v>422700</v>
      </c>
      <c r="L568" s="58" t="s">
        <v>1207</v>
      </c>
      <c r="M568" s="10" t="s">
        <v>578</v>
      </c>
      <c r="N568" s="10" t="s">
        <v>1238</v>
      </c>
      <c r="O568" s="11" t="s">
        <v>1239</v>
      </c>
      <c r="P568" s="12">
        <v>39669</v>
      </c>
      <c r="Q568" s="13">
        <f t="shared" ca="1" si="286"/>
        <v>17.119780971937029</v>
      </c>
      <c r="R568" s="14">
        <v>10</v>
      </c>
      <c r="S568" s="15">
        <v>872</v>
      </c>
      <c r="T568" s="8">
        <v>872</v>
      </c>
      <c r="U568" s="16">
        <v>45017</v>
      </c>
      <c r="V568" s="17">
        <v>1</v>
      </c>
      <c r="W568" s="16">
        <v>45382</v>
      </c>
      <c r="X568" s="14">
        <v>192</v>
      </c>
      <c r="Y568" s="18">
        <f t="shared" si="282"/>
        <v>192</v>
      </c>
      <c r="Z568" s="18">
        <f t="shared" si="306"/>
        <v>1</v>
      </c>
      <c r="AA568" s="18" t="s">
        <v>36</v>
      </c>
      <c r="AB568" s="26">
        <v>25</v>
      </c>
      <c r="AC568" s="26"/>
      <c r="AD568" s="26"/>
      <c r="AE568" s="147" t="str">
        <f t="shared" si="298"/>
        <v>1</v>
      </c>
      <c r="AF568" s="147" t="str">
        <f t="shared" si="299"/>
        <v>0</v>
      </c>
      <c r="AG568" s="147" t="str">
        <f t="shared" si="300"/>
        <v>0</v>
      </c>
      <c r="AH568" s="147" t="str">
        <f t="shared" si="292"/>
        <v>NO</v>
      </c>
      <c r="AI568" s="147" t="str">
        <f t="shared" si="293"/>
        <v>NO</v>
      </c>
      <c r="AJ568" s="147" t="str">
        <f t="shared" si="294"/>
        <v>NO</v>
      </c>
      <c r="AK568" s="147" t="str">
        <f t="shared" si="295"/>
        <v>NO</v>
      </c>
      <c r="AL568" s="21"/>
      <c r="AM568" s="21">
        <f t="shared" si="309"/>
        <v>5819.25</v>
      </c>
      <c r="AN568" s="27" t="s">
        <v>43</v>
      </c>
      <c r="AO568" s="21">
        <v>1</v>
      </c>
      <c r="AP568" s="21">
        <f t="shared" ref="AP568:AP599" si="310">AO568*Z568</f>
        <v>1</v>
      </c>
      <c r="AQ568" s="149">
        <f t="shared" si="279"/>
        <v>5819.25</v>
      </c>
      <c r="AR568" s="21">
        <v>5819.25</v>
      </c>
      <c r="AS568" s="610">
        <v>5819.25</v>
      </c>
      <c r="AT568" s="112">
        <v>5819.25</v>
      </c>
      <c r="AU568" s="4"/>
      <c r="AV568" s="4"/>
      <c r="AW568" s="23" t="e">
        <f>VLOOKUP(K568,#REF!,8,FALSE)</f>
        <v>#REF!</v>
      </c>
      <c r="AX568" s="23" t="e">
        <f>VLOOKUP(K568,#REF!,8,FALSE)</f>
        <v>#REF!</v>
      </c>
      <c r="AY568" s="23" t="e">
        <f>VLOOKUP(K568,#REF!,8,FALSE)</f>
        <v>#REF!</v>
      </c>
      <c r="AZ568" s="4"/>
      <c r="BA568" s="272"/>
      <c r="BB568" s="313">
        <f t="shared" si="304"/>
        <v>0</v>
      </c>
      <c r="BC568" s="269">
        <f t="shared" si="305"/>
        <v>5819.25</v>
      </c>
      <c r="BD568" t="str">
        <f>BG568&amp;BH568&amp;BI568</f>
        <v/>
      </c>
      <c r="BP568" s="166">
        <f t="shared" si="296"/>
        <v>5819.25</v>
      </c>
      <c r="BS568" s="165"/>
      <c r="BX568" s="495">
        <f t="shared" si="297"/>
        <v>5819.25</v>
      </c>
      <c r="BZ568" s="636">
        <f t="shared" si="283"/>
        <v>0</v>
      </c>
      <c r="CA568" s="633">
        <f t="shared" si="284"/>
        <v>0</v>
      </c>
    </row>
    <row r="569" spans="1:79" x14ac:dyDescent="0.2">
      <c r="A569" s="4">
        <v>1</v>
      </c>
      <c r="B569" s="4">
        <v>1</v>
      </c>
      <c r="C569" s="5">
        <f t="shared" si="285"/>
        <v>41206</v>
      </c>
      <c r="D569" s="6">
        <v>41206</v>
      </c>
      <c r="E569" s="121">
        <v>43012</v>
      </c>
      <c r="F569" s="6" t="s">
        <v>1606</v>
      </c>
      <c r="G569" s="7" t="s">
        <v>75</v>
      </c>
      <c r="H569" s="7"/>
      <c r="I569" s="7" t="s">
        <v>157</v>
      </c>
      <c r="J569" s="7"/>
      <c r="K569" s="28">
        <v>392651</v>
      </c>
      <c r="L569" s="58" t="s">
        <v>1207</v>
      </c>
      <c r="M569" s="10" t="s">
        <v>1620</v>
      </c>
      <c r="N569" s="10" t="s">
        <v>2499</v>
      </c>
      <c r="O569" s="11" t="s">
        <v>2500</v>
      </c>
      <c r="P569" s="12">
        <v>40454</v>
      </c>
      <c r="Q569" s="13">
        <f t="shared" ca="1" si="286"/>
        <v>14.97056810403833</v>
      </c>
      <c r="R569" s="14">
        <v>8</v>
      </c>
      <c r="S569" s="15">
        <v>872</v>
      </c>
      <c r="T569" s="8">
        <v>872</v>
      </c>
      <c r="U569" s="16">
        <v>45017</v>
      </c>
      <c r="V569" s="17">
        <v>1</v>
      </c>
      <c r="W569" s="16">
        <v>45382</v>
      </c>
      <c r="X569" s="14">
        <v>192</v>
      </c>
      <c r="Y569" s="18">
        <f t="shared" si="282"/>
        <v>192</v>
      </c>
      <c r="Z569" s="18">
        <f t="shared" si="306"/>
        <v>1</v>
      </c>
      <c r="AA569" s="18" t="s">
        <v>36</v>
      </c>
      <c r="AB569" s="26">
        <v>28</v>
      </c>
      <c r="AC569" s="26"/>
      <c r="AD569" s="26"/>
      <c r="AE569" s="147" t="str">
        <f t="shared" si="298"/>
        <v>0</v>
      </c>
      <c r="AF569" s="147" t="str">
        <f t="shared" si="299"/>
        <v>1</v>
      </c>
      <c r="AG569" s="147" t="str">
        <f t="shared" si="300"/>
        <v>0</v>
      </c>
      <c r="AH569" s="147" t="str">
        <f t="shared" si="292"/>
        <v>NO</v>
      </c>
      <c r="AI569" s="147" t="str">
        <f t="shared" si="293"/>
        <v>NO</v>
      </c>
      <c r="AJ569" s="147" t="str">
        <f t="shared" si="294"/>
        <v>NO</v>
      </c>
      <c r="AK569" s="147" t="str">
        <f t="shared" si="295"/>
        <v>NO</v>
      </c>
      <c r="AL569" s="21"/>
      <c r="AM569" s="21">
        <f t="shared" si="309"/>
        <v>7237.5599999999995</v>
      </c>
      <c r="AN569" s="27" t="s">
        <v>56</v>
      </c>
      <c r="AO569" s="21">
        <v>1</v>
      </c>
      <c r="AP569" s="21">
        <f t="shared" si="310"/>
        <v>1</v>
      </c>
      <c r="AQ569" s="149">
        <f t="shared" si="279"/>
        <v>7237.5599999999995</v>
      </c>
      <c r="AR569" s="21">
        <v>0</v>
      </c>
      <c r="AS569" s="610">
        <v>0</v>
      </c>
      <c r="AT569" s="112">
        <v>0</v>
      </c>
      <c r="AU569" s="4"/>
      <c r="AV569" s="4"/>
      <c r="AW569" s="23" t="e">
        <f>VLOOKUP(K569,#REF!,8,FALSE)</f>
        <v>#REF!</v>
      </c>
      <c r="AX569" s="23" t="e">
        <f>VLOOKUP(K569,#REF!,8,FALSE)</f>
        <v>#REF!</v>
      </c>
      <c r="AY569" s="23" t="e">
        <f>VLOOKUP(K569,#REF!,8,FALSE)</f>
        <v>#REF!</v>
      </c>
      <c r="AZ569" s="4"/>
      <c r="BA569" s="272"/>
      <c r="BB569" s="313">
        <f t="shared" si="304"/>
        <v>0</v>
      </c>
      <c r="BC569" s="269">
        <f t="shared" si="305"/>
        <v>0</v>
      </c>
      <c r="BP569" s="166">
        <f t="shared" si="296"/>
        <v>0</v>
      </c>
      <c r="BS569" s="165"/>
      <c r="BX569" s="495">
        <f t="shared" si="297"/>
        <v>7237.5599999999995</v>
      </c>
      <c r="BY569" t="s">
        <v>2471</v>
      </c>
      <c r="BZ569" s="636">
        <f t="shared" si="283"/>
        <v>7237.5599999999995</v>
      </c>
      <c r="CA569" s="633">
        <f t="shared" si="284"/>
        <v>7237.5599999999995</v>
      </c>
    </row>
    <row r="570" spans="1:79" x14ac:dyDescent="0.2">
      <c r="A570" s="4">
        <v>1</v>
      </c>
      <c r="B570" s="4">
        <v>1</v>
      </c>
      <c r="C570" s="5">
        <f t="shared" si="285"/>
        <v>41206</v>
      </c>
      <c r="D570" s="6">
        <v>41206</v>
      </c>
      <c r="E570" s="121">
        <v>43012</v>
      </c>
      <c r="F570" s="6" t="s">
        <v>1606</v>
      </c>
      <c r="G570" s="7" t="s">
        <v>75</v>
      </c>
      <c r="H570" s="7"/>
      <c r="I570" s="7" t="s">
        <v>157</v>
      </c>
      <c r="J570" s="7"/>
      <c r="K570" s="29">
        <v>387534</v>
      </c>
      <c r="L570" s="58" t="s">
        <v>1207</v>
      </c>
      <c r="M570" s="10" t="s">
        <v>588</v>
      </c>
      <c r="N570" s="10" t="s">
        <v>1240</v>
      </c>
      <c r="O570" s="11" t="s">
        <v>1241</v>
      </c>
      <c r="P570" s="12">
        <v>40240</v>
      </c>
      <c r="Q570" s="13">
        <f t="shared" ca="1" si="286"/>
        <v>15.5564681724846</v>
      </c>
      <c r="R570" s="14">
        <v>8</v>
      </c>
      <c r="S570" s="15">
        <v>872</v>
      </c>
      <c r="T570" s="8">
        <v>872</v>
      </c>
      <c r="U570" s="16">
        <v>45017</v>
      </c>
      <c r="V570" s="17">
        <v>1</v>
      </c>
      <c r="W570" s="16">
        <v>45382</v>
      </c>
      <c r="X570" s="14">
        <v>192</v>
      </c>
      <c r="Y570" s="18">
        <f t="shared" si="282"/>
        <v>192</v>
      </c>
      <c r="Z570" s="18">
        <f t="shared" si="306"/>
        <v>1</v>
      </c>
      <c r="AA570" s="18" t="s">
        <v>36</v>
      </c>
      <c r="AB570" s="26">
        <v>22</v>
      </c>
      <c r="AC570" s="26"/>
      <c r="AD570" s="26"/>
      <c r="AE570" s="147" t="str">
        <f t="shared" si="298"/>
        <v>1</v>
      </c>
      <c r="AF570" s="147" t="str">
        <f t="shared" si="299"/>
        <v>0</v>
      </c>
      <c r="AG570" s="147" t="str">
        <f t="shared" si="300"/>
        <v>0</v>
      </c>
      <c r="AH570" s="147" t="str">
        <f t="shared" si="292"/>
        <v>NO</v>
      </c>
      <c r="AI570" s="147" t="str">
        <f t="shared" si="293"/>
        <v>NO</v>
      </c>
      <c r="AJ570" s="147" t="str">
        <f t="shared" si="294"/>
        <v>NO</v>
      </c>
      <c r="AK570" s="147" t="str">
        <f t="shared" si="295"/>
        <v>NO</v>
      </c>
      <c r="AL570" s="21"/>
      <c r="AM570" s="21">
        <f t="shared" si="309"/>
        <v>4400.9399999999987</v>
      </c>
      <c r="AN570" s="27" t="s">
        <v>66</v>
      </c>
      <c r="AO570" s="21">
        <v>1</v>
      </c>
      <c r="AP570" s="21">
        <f t="shared" si="310"/>
        <v>1</v>
      </c>
      <c r="AQ570" s="149">
        <f t="shared" si="279"/>
        <v>4400.9399999999987</v>
      </c>
      <c r="AR570" s="21">
        <v>4400.9399999999987</v>
      </c>
      <c r="AS570" s="610">
        <v>4400.9399999999987</v>
      </c>
      <c r="AT570" s="112">
        <v>4400.9399999999987</v>
      </c>
      <c r="AU570" s="4"/>
      <c r="AV570" s="4"/>
      <c r="AW570" s="23" t="e">
        <f>VLOOKUP(K570,#REF!,8,FALSE)</f>
        <v>#REF!</v>
      </c>
      <c r="AX570" s="23" t="e">
        <f>VLOOKUP(K570,#REF!,8,FALSE)</f>
        <v>#REF!</v>
      </c>
      <c r="AY570" s="23" t="e">
        <f>VLOOKUP(K570,#REF!,8,FALSE)</f>
        <v>#REF!</v>
      </c>
      <c r="AZ570" s="4"/>
      <c r="BA570" s="272"/>
      <c r="BB570" s="313">
        <f t="shared" ref="BB570:BB601" si="311">BC570-AT570</f>
        <v>0</v>
      </c>
      <c r="BC570" s="269">
        <f t="shared" ref="BC570:BC601" si="312">AR570</f>
        <v>4400.9399999999987</v>
      </c>
      <c r="BD570" t="str">
        <f t="shared" ref="BD570:BD577" si="313">BG570&amp;BH570&amp;BI570</f>
        <v/>
      </c>
      <c r="BP570" s="166">
        <f t="shared" si="296"/>
        <v>4400.9399999999987</v>
      </c>
      <c r="BS570" s="165"/>
      <c r="BX570" s="495">
        <f t="shared" si="297"/>
        <v>4400.9399999999987</v>
      </c>
      <c r="BZ570" s="636">
        <f t="shared" si="283"/>
        <v>0</v>
      </c>
      <c r="CA570" s="633">
        <f t="shared" si="284"/>
        <v>0</v>
      </c>
    </row>
    <row r="571" spans="1:79" x14ac:dyDescent="0.2">
      <c r="A571" s="4">
        <v>1</v>
      </c>
      <c r="B571" s="4">
        <v>1</v>
      </c>
      <c r="C571" s="5">
        <f t="shared" si="285"/>
        <v>41206</v>
      </c>
      <c r="D571" s="6">
        <v>41206</v>
      </c>
      <c r="E571" s="121">
        <v>43012</v>
      </c>
      <c r="F571" s="6" t="s">
        <v>1606</v>
      </c>
      <c r="G571" s="7" t="s">
        <v>75</v>
      </c>
      <c r="H571" s="7"/>
      <c r="I571" s="7" t="s">
        <v>157</v>
      </c>
      <c r="J571" s="7"/>
      <c r="K571" s="29">
        <v>390021</v>
      </c>
      <c r="L571" s="58" t="s">
        <v>1207</v>
      </c>
      <c r="M571" s="10" t="s">
        <v>1242</v>
      </c>
      <c r="N571" s="10" t="s">
        <v>1243</v>
      </c>
      <c r="O571" s="11" t="s">
        <v>1244</v>
      </c>
      <c r="P571" s="12">
        <v>40329</v>
      </c>
      <c r="Q571" s="13">
        <f t="shared" ca="1" si="286"/>
        <v>15.312799452429843</v>
      </c>
      <c r="R571" s="14">
        <v>8</v>
      </c>
      <c r="S571" s="15">
        <v>872</v>
      </c>
      <c r="T571" s="8">
        <v>872</v>
      </c>
      <c r="U571" s="16">
        <v>45017</v>
      </c>
      <c r="V571" s="17">
        <v>1</v>
      </c>
      <c r="W571" s="16">
        <v>45382</v>
      </c>
      <c r="X571" s="14">
        <v>192</v>
      </c>
      <c r="Y571" s="18">
        <f t="shared" si="282"/>
        <v>192</v>
      </c>
      <c r="Z571" s="18">
        <f t="shared" si="306"/>
        <v>1</v>
      </c>
      <c r="AA571" s="18" t="s">
        <v>36</v>
      </c>
      <c r="AB571" s="26">
        <v>30</v>
      </c>
      <c r="AC571" s="26"/>
      <c r="AD571" s="26"/>
      <c r="AE571" s="147" t="str">
        <f t="shared" si="298"/>
        <v>0</v>
      </c>
      <c r="AF571" s="147" t="str">
        <f t="shared" si="299"/>
        <v>1</v>
      </c>
      <c r="AG571" s="147" t="str">
        <f t="shared" si="300"/>
        <v>0</v>
      </c>
      <c r="AH571" s="147" t="str">
        <f t="shared" si="292"/>
        <v>NO</v>
      </c>
      <c r="AI571" s="147" t="str">
        <f t="shared" si="293"/>
        <v>NO</v>
      </c>
      <c r="AJ571" s="147" t="str">
        <f t="shared" si="294"/>
        <v>NO</v>
      </c>
      <c r="AK571" s="147" t="str">
        <f t="shared" si="295"/>
        <v>NO</v>
      </c>
      <c r="AL571" s="21"/>
      <c r="AM571" s="21">
        <f t="shared" si="309"/>
        <v>8183.0999999999985</v>
      </c>
      <c r="AN571" s="27" t="s">
        <v>43</v>
      </c>
      <c r="AO571" s="21">
        <v>1</v>
      </c>
      <c r="AP571" s="21">
        <f t="shared" si="310"/>
        <v>1</v>
      </c>
      <c r="AQ571" s="149">
        <f t="shared" si="279"/>
        <v>8183.0999999999985</v>
      </c>
      <c r="AR571" s="21">
        <v>8183.0999999999985</v>
      </c>
      <c r="AS571" s="610">
        <v>8183.0999999999985</v>
      </c>
      <c r="AT571" s="112">
        <v>8183.0999999999985</v>
      </c>
      <c r="AU571" s="4"/>
      <c r="AV571" s="4"/>
      <c r="AW571" s="23" t="e">
        <f>VLOOKUP(K571,#REF!,8,FALSE)</f>
        <v>#REF!</v>
      </c>
      <c r="AX571" s="23" t="e">
        <f>VLOOKUP(K571,#REF!,8,FALSE)</f>
        <v>#REF!</v>
      </c>
      <c r="AY571" s="23" t="e">
        <f>VLOOKUP(K571,#REF!,8,FALSE)</f>
        <v>#REF!</v>
      </c>
      <c r="AZ571" s="4"/>
      <c r="BA571" s="272"/>
      <c r="BB571" s="313">
        <f t="shared" si="311"/>
        <v>0</v>
      </c>
      <c r="BC571" s="269">
        <f t="shared" si="312"/>
        <v>8183.0999999999985</v>
      </c>
      <c r="BD571" t="str">
        <f t="shared" si="313"/>
        <v/>
      </c>
      <c r="BP571" s="166">
        <f t="shared" si="296"/>
        <v>8183.0999999999985</v>
      </c>
      <c r="BS571" s="165"/>
      <c r="BX571" s="495">
        <f t="shared" si="297"/>
        <v>8183.0999999999985</v>
      </c>
      <c r="BZ571" s="636">
        <f t="shared" si="283"/>
        <v>0</v>
      </c>
      <c r="CA571" s="633">
        <f t="shared" si="284"/>
        <v>0</v>
      </c>
    </row>
    <row r="572" spans="1:79" x14ac:dyDescent="0.2">
      <c r="A572" s="4">
        <v>0</v>
      </c>
      <c r="B572" s="4">
        <v>1</v>
      </c>
      <c r="C572" s="5">
        <f t="shared" si="285"/>
        <v>41206</v>
      </c>
      <c r="D572" s="6">
        <v>41206</v>
      </c>
      <c r="E572" s="121">
        <v>43012</v>
      </c>
      <c r="F572" s="6" t="s">
        <v>1606</v>
      </c>
      <c r="G572" s="7" t="s">
        <v>75</v>
      </c>
      <c r="H572" s="7"/>
      <c r="I572" s="7" t="s">
        <v>157</v>
      </c>
      <c r="J572" s="7"/>
      <c r="K572" s="29">
        <v>373783</v>
      </c>
      <c r="L572" s="58" t="s">
        <v>1207</v>
      </c>
      <c r="M572" s="10" t="s">
        <v>1649</v>
      </c>
      <c r="N572" s="10" t="s">
        <v>1650</v>
      </c>
      <c r="O572" s="11" t="s">
        <v>2346</v>
      </c>
      <c r="P572" s="12">
        <v>39415</v>
      </c>
      <c r="Q572" s="13">
        <f t="shared" ca="1" si="286"/>
        <v>17.815195071868583</v>
      </c>
      <c r="R572" s="14">
        <v>10</v>
      </c>
      <c r="S572" s="15">
        <v>872</v>
      </c>
      <c r="T572" s="8">
        <v>872</v>
      </c>
      <c r="U572" s="102">
        <v>45173</v>
      </c>
      <c r="V572" s="17">
        <v>66</v>
      </c>
      <c r="W572" s="16">
        <v>45382</v>
      </c>
      <c r="X572" s="14">
        <v>192</v>
      </c>
      <c r="Y572" s="18">
        <f t="shared" si="282"/>
        <v>127</v>
      </c>
      <c r="Z572" s="18">
        <f t="shared" si="306"/>
        <v>0.66145833333333337</v>
      </c>
      <c r="AA572" s="18"/>
      <c r="AB572" s="26">
        <v>25</v>
      </c>
      <c r="AC572" s="26"/>
      <c r="AD572" s="26"/>
      <c r="AE572" s="147" t="str">
        <f t="shared" si="298"/>
        <v>1</v>
      </c>
      <c r="AF572" s="147" t="str">
        <f t="shared" si="299"/>
        <v>0</v>
      </c>
      <c r="AG572" s="147" t="str">
        <f t="shared" si="300"/>
        <v>0</v>
      </c>
      <c r="AH572" s="147" t="str">
        <f t="shared" si="292"/>
        <v>NO</v>
      </c>
      <c r="AI572" s="147" t="str">
        <f t="shared" si="293"/>
        <v>NO</v>
      </c>
      <c r="AJ572" s="147" t="str">
        <f t="shared" si="294"/>
        <v>NO</v>
      </c>
      <c r="AK572" s="147" t="str">
        <f t="shared" si="295"/>
        <v>NO</v>
      </c>
      <c r="AL572" s="21"/>
      <c r="AM572" s="21">
        <f t="shared" si="309"/>
        <v>5819.25</v>
      </c>
      <c r="AN572" s="27"/>
      <c r="AO572" s="21">
        <v>1</v>
      </c>
      <c r="AP572" s="21">
        <f t="shared" si="310"/>
        <v>0.66145833333333337</v>
      </c>
      <c r="AQ572" s="149">
        <f t="shared" si="279"/>
        <v>3849.19140625</v>
      </c>
      <c r="AR572" s="21">
        <v>3849.19140625</v>
      </c>
      <c r="AS572" s="610">
        <v>0</v>
      </c>
      <c r="AT572" s="112">
        <v>0</v>
      </c>
      <c r="AU572" s="4"/>
      <c r="AV572" s="4"/>
      <c r="AW572" s="23"/>
      <c r="AX572" s="23"/>
      <c r="AY572" s="23"/>
      <c r="AZ572" s="4"/>
      <c r="BA572" s="272"/>
      <c r="BB572" s="313">
        <f t="shared" si="311"/>
        <v>3849.19140625</v>
      </c>
      <c r="BC572" s="269">
        <f t="shared" si="312"/>
        <v>3849.19140625</v>
      </c>
      <c r="BD572" t="str">
        <f t="shared" si="313"/>
        <v/>
      </c>
      <c r="BJ572" t="s">
        <v>2344</v>
      </c>
      <c r="BP572" s="166">
        <f t="shared" si="296"/>
        <v>3849.19140625</v>
      </c>
      <c r="BS572" s="165"/>
      <c r="BX572" s="495">
        <f t="shared" si="297"/>
        <v>3849.19140625</v>
      </c>
      <c r="BZ572" s="636">
        <f t="shared" si="283"/>
        <v>0</v>
      </c>
      <c r="CA572" s="633">
        <f t="shared" si="284"/>
        <v>3849.19140625</v>
      </c>
    </row>
    <row r="573" spans="1:79" x14ac:dyDescent="0.2">
      <c r="A573" s="4">
        <v>1</v>
      </c>
      <c r="B573" s="4">
        <v>1</v>
      </c>
      <c r="C573" s="5">
        <f t="shared" si="285"/>
        <v>41206</v>
      </c>
      <c r="D573" s="6">
        <v>41206</v>
      </c>
      <c r="E573" s="121">
        <v>43012</v>
      </c>
      <c r="F573" s="6" t="s">
        <v>1606</v>
      </c>
      <c r="G573" s="7" t="s">
        <v>75</v>
      </c>
      <c r="H573" s="7"/>
      <c r="I573" s="7" t="s">
        <v>157</v>
      </c>
      <c r="J573" s="7"/>
      <c r="K573" s="29">
        <v>396360</v>
      </c>
      <c r="L573" s="58" t="s">
        <v>1207</v>
      </c>
      <c r="M573" s="10" t="s">
        <v>211</v>
      </c>
      <c r="N573" s="10" t="s">
        <v>1245</v>
      </c>
      <c r="O573" s="11" t="s">
        <v>1246</v>
      </c>
      <c r="P573" s="12">
        <v>40781</v>
      </c>
      <c r="Q573" s="13">
        <f t="shared" ca="1" si="286"/>
        <v>14.075290896646132</v>
      </c>
      <c r="R573" s="14">
        <v>7</v>
      </c>
      <c r="S573" s="15">
        <v>872</v>
      </c>
      <c r="T573" s="8">
        <v>872</v>
      </c>
      <c r="U573" s="16">
        <v>45017</v>
      </c>
      <c r="V573" s="17">
        <v>1</v>
      </c>
      <c r="W573" s="16">
        <v>45382</v>
      </c>
      <c r="X573" s="14">
        <v>192</v>
      </c>
      <c r="Y573" s="18">
        <f t="shared" si="282"/>
        <v>192</v>
      </c>
      <c r="Z573" s="18">
        <f t="shared" si="306"/>
        <v>1</v>
      </c>
      <c r="AA573" s="18" t="s">
        <v>36</v>
      </c>
      <c r="AB573" s="26">
        <v>27</v>
      </c>
      <c r="AC573" s="26"/>
      <c r="AD573" s="26"/>
      <c r="AE573" s="147" t="str">
        <f t="shared" si="298"/>
        <v>0</v>
      </c>
      <c r="AF573" s="147" t="str">
        <f t="shared" si="299"/>
        <v>1</v>
      </c>
      <c r="AG573" s="147" t="str">
        <f t="shared" si="300"/>
        <v>0</v>
      </c>
      <c r="AH573" s="147" t="str">
        <f t="shared" si="292"/>
        <v>NO</v>
      </c>
      <c r="AI573" s="147" t="str">
        <f t="shared" si="293"/>
        <v>NO</v>
      </c>
      <c r="AJ573" s="147" t="str">
        <f t="shared" si="294"/>
        <v>NO</v>
      </c>
      <c r="AK573" s="147" t="str">
        <f t="shared" si="295"/>
        <v>NO</v>
      </c>
      <c r="AL573" s="21"/>
      <c r="AM573" s="21">
        <f t="shared" si="309"/>
        <v>6764.7899999999991</v>
      </c>
      <c r="AN573" s="27" t="s">
        <v>56</v>
      </c>
      <c r="AO573" s="21">
        <v>1</v>
      </c>
      <c r="AP573" s="21">
        <f t="shared" si="310"/>
        <v>1</v>
      </c>
      <c r="AQ573" s="149">
        <f t="shared" si="279"/>
        <v>6764.7899999999991</v>
      </c>
      <c r="AR573" s="21">
        <v>6764.7899999999991</v>
      </c>
      <c r="AS573" s="610">
        <v>6764.7899999999991</v>
      </c>
      <c r="AT573" s="112">
        <v>6764.7899999999991</v>
      </c>
      <c r="AU573" s="4"/>
      <c r="AV573" s="4"/>
      <c r="AW573" s="23" t="e">
        <f>VLOOKUP(K573,#REF!,8,FALSE)</f>
        <v>#REF!</v>
      </c>
      <c r="AX573" s="23" t="e">
        <f>VLOOKUP(K573,#REF!,8,FALSE)</f>
        <v>#REF!</v>
      </c>
      <c r="AY573" s="23" t="e">
        <f>VLOOKUP(K573,#REF!,8,FALSE)</f>
        <v>#REF!</v>
      </c>
      <c r="AZ573" s="4"/>
      <c r="BA573" s="272"/>
      <c r="BB573" s="313">
        <f t="shared" si="311"/>
        <v>0</v>
      </c>
      <c r="BC573" s="269">
        <f t="shared" si="312"/>
        <v>6764.7899999999991</v>
      </c>
      <c r="BD573" t="str">
        <f t="shared" si="313"/>
        <v/>
      </c>
      <c r="BP573" s="166">
        <f t="shared" si="296"/>
        <v>6764.7899999999991</v>
      </c>
      <c r="BS573" s="165"/>
      <c r="BX573" s="495">
        <f t="shared" si="297"/>
        <v>6764.7899999999991</v>
      </c>
      <c r="BZ573" s="636">
        <f t="shared" si="283"/>
        <v>0</v>
      </c>
      <c r="CA573" s="633">
        <f t="shared" si="284"/>
        <v>0</v>
      </c>
    </row>
    <row r="574" spans="1:79" x14ac:dyDescent="0.2">
      <c r="A574" s="4">
        <v>1</v>
      </c>
      <c r="B574" s="4">
        <v>1</v>
      </c>
      <c r="C574" s="5">
        <f t="shared" si="285"/>
        <v>41206</v>
      </c>
      <c r="D574" s="6">
        <v>41206</v>
      </c>
      <c r="E574" s="121">
        <v>43012</v>
      </c>
      <c r="F574" s="6" t="s">
        <v>1606</v>
      </c>
      <c r="G574" s="7" t="s">
        <v>75</v>
      </c>
      <c r="H574" s="7"/>
      <c r="I574" s="7" t="s">
        <v>157</v>
      </c>
      <c r="J574" s="7"/>
      <c r="K574" s="29">
        <v>433833</v>
      </c>
      <c r="L574" s="58" t="s">
        <v>1207</v>
      </c>
      <c r="M574" s="10" t="s">
        <v>638</v>
      </c>
      <c r="N574" s="10" t="s">
        <v>1247</v>
      </c>
      <c r="O574" s="11" t="s">
        <v>1248</v>
      </c>
      <c r="P574" s="12">
        <v>40128</v>
      </c>
      <c r="Q574" s="13">
        <f t="shared" ca="1" si="286"/>
        <v>15.863107460643395</v>
      </c>
      <c r="R574" s="14">
        <v>8</v>
      </c>
      <c r="S574" s="15">
        <v>872</v>
      </c>
      <c r="T574" s="8">
        <v>872</v>
      </c>
      <c r="U574" s="16">
        <v>45017</v>
      </c>
      <c r="V574" s="17">
        <v>1</v>
      </c>
      <c r="W574" s="16">
        <v>45382</v>
      </c>
      <c r="X574" s="14">
        <v>192</v>
      </c>
      <c r="Y574" s="18">
        <f t="shared" si="282"/>
        <v>192</v>
      </c>
      <c r="Z574" s="18">
        <f t="shared" si="306"/>
        <v>1</v>
      </c>
      <c r="AA574" s="18" t="s">
        <v>36</v>
      </c>
      <c r="AB574" s="26">
        <v>30</v>
      </c>
      <c r="AC574" s="26"/>
      <c r="AD574" s="26"/>
      <c r="AE574" s="147" t="str">
        <f t="shared" si="298"/>
        <v>0</v>
      </c>
      <c r="AF574" s="147" t="str">
        <f t="shared" si="299"/>
        <v>1</v>
      </c>
      <c r="AG574" s="147" t="str">
        <f t="shared" si="300"/>
        <v>0</v>
      </c>
      <c r="AH574" s="147" t="str">
        <f t="shared" si="292"/>
        <v>NO</v>
      </c>
      <c r="AI574" s="147" t="str">
        <f t="shared" si="293"/>
        <v>NO</v>
      </c>
      <c r="AJ574" s="147" t="str">
        <f t="shared" si="294"/>
        <v>NO</v>
      </c>
      <c r="AK574" s="147" t="str">
        <f t="shared" si="295"/>
        <v>NO</v>
      </c>
      <c r="AL574" s="21"/>
      <c r="AM574" s="21">
        <f t="shared" si="309"/>
        <v>8183.0999999999985</v>
      </c>
      <c r="AN574" s="27" t="s">
        <v>384</v>
      </c>
      <c r="AO574" s="21">
        <v>1</v>
      </c>
      <c r="AP574" s="21">
        <f t="shared" si="310"/>
        <v>1</v>
      </c>
      <c r="AQ574" s="149">
        <f t="shared" si="279"/>
        <v>8183.0999999999985</v>
      </c>
      <c r="AR574" s="21">
        <v>8183.0999999999985</v>
      </c>
      <c r="AS574" s="610">
        <v>8183.0999999999985</v>
      </c>
      <c r="AT574" s="112">
        <v>8183.0999999999985</v>
      </c>
      <c r="AU574" s="4"/>
      <c r="AV574" s="4"/>
      <c r="AW574" s="23" t="e">
        <f>VLOOKUP(K574,#REF!,8,FALSE)</f>
        <v>#REF!</v>
      </c>
      <c r="AX574" s="23" t="e">
        <f>VLOOKUP(K574,#REF!,8,FALSE)</f>
        <v>#REF!</v>
      </c>
      <c r="AY574" s="23" t="e">
        <f>VLOOKUP(K574,#REF!,8,FALSE)</f>
        <v>#REF!</v>
      </c>
      <c r="AZ574" s="4"/>
      <c r="BA574" s="272"/>
      <c r="BB574" s="313">
        <f t="shared" si="311"/>
        <v>0</v>
      </c>
      <c r="BC574" s="269">
        <f t="shared" si="312"/>
        <v>8183.0999999999985</v>
      </c>
      <c r="BD574" t="str">
        <f t="shared" si="313"/>
        <v/>
      </c>
      <c r="BP574" s="166">
        <f t="shared" si="296"/>
        <v>8183.0999999999985</v>
      </c>
      <c r="BS574" s="165"/>
      <c r="BX574" s="495">
        <f t="shared" si="297"/>
        <v>8183.0999999999985</v>
      </c>
      <c r="BZ574" s="636">
        <f t="shared" si="283"/>
        <v>0</v>
      </c>
      <c r="CA574" s="633">
        <f t="shared" si="284"/>
        <v>0</v>
      </c>
    </row>
    <row r="575" spans="1:79" x14ac:dyDescent="0.2">
      <c r="A575" s="107">
        <v>1</v>
      </c>
      <c r="B575" s="4">
        <v>1</v>
      </c>
      <c r="C575" s="59">
        <f t="shared" si="285"/>
        <v>41206</v>
      </c>
      <c r="D575" s="60">
        <v>41206</v>
      </c>
      <c r="E575" s="121">
        <v>43012</v>
      </c>
      <c r="F575" s="60" t="s">
        <v>1606</v>
      </c>
      <c r="G575" s="61" t="s">
        <v>75</v>
      </c>
      <c r="H575" s="61"/>
      <c r="I575" s="61" t="s">
        <v>157</v>
      </c>
      <c r="J575" s="61"/>
      <c r="K575" s="28">
        <v>397687</v>
      </c>
      <c r="L575" s="126" t="s">
        <v>1207</v>
      </c>
      <c r="M575" s="113" t="s">
        <v>1249</v>
      </c>
      <c r="N575" s="113" t="s">
        <v>1250</v>
      </c>
      <c r="O575" s="114" t="s">
        <v>1251</v>
      </c>
      <c r="P575" s="115">
        <v>40757</v>
      </c>
      <c r="Q575" s="116">
        <f t="shared" ca="1" si="286"/>
        <v>14.140999315537304</v>
      </c>
      <c r="R575" s="117">
        <v>7</v>
      </c>
      <c r="S575" s="62">
        <v>872</v>
      </c>
      <c r="T575" s="63">
        <v>872</v>
      </c>
      <c r="U575" s="39">
        <v>45017</v>
      </c>
      <c r="V575" s="17">
        <v>1</v>
      </c>
      <c r="W575" s="39">
        <v>45128</v>
      </c>
      <c r="X575" s="117">
        <v>63</v>
      </c>
      <c r="Y575" s="64">
        <f t="shared" si="282"/>
        <v>63</v>
      </c>
      <c r="Z575" s="64">
        <f t="shared" si="306"/>
        <v>0.328125</v>
      </c>
      <c r="AA575" s="64" t="s">
        <v>48</v>
      </c>
      <c r="AB575" s="127">
        <v>30</v>
      </c>
      <c r="AC575" s="127"/>
      <c r="AD575" s="127"/>
      <c r="AE575" s="147" t="str">
        <f t="shared" si="298"/>
        <v>0</v>
      </c>
      <c r="AF575" s="147" t="str">
        <f t="shared" si="299"/>
        <v>1</v>
      </c>
      <c r="AG575" s="147" t="str">
        <f t="shared" si="300"/>
        <v>0</v>
      </c>
      <c r="AH575" s="147" t="str">
        <f t="shared" si="292"/>
        <v>NO</v>
      </c>
      <c r="AI575" s="147" t="str">
        <f t="shared" si="293"/>
        <v>NO</v>
      </c>
      <c r="AJ575" s="147" t="str">
        <f t="shared" si="294"/>
        <v>NO</v>
      </c>
      <c r="AK575" s="147" t="str">
        <f t="shared" si="295"/>
        <v>NO</v>
      </c>
      <c r="AL575" s="48"/>
      <c r="AM575" s="48">
        <f t="shared" si="309"/>
        <v>8183.0999999999985</v>
      </c>
      <c r="AN575" s="65" t="s">
        <v>81</v>
      </c>
      <c r="AO575" s="48">
        <v>1</v>
      </c>
      <c r="AP575" s="48">
        <f t="shared" si="310"/>
        <v>0.328125</v>
      </c>
      <c r="AQ575" s="149">
        <f t="shared" si="279"/>
        <v>2685.0796874999996</v>
      </c>
      <c r="AR575" s="48">
        <v>2685.0796874999996</v>
      </c>
      <c r="AS575" s="611">
        <v>2685.0796874999996</v>
      </c>
      <c r="AT575" s="112">
        <v>2685.0796874999996</v>
      </c>
      <c r="AU575" s="107"/>
      <c r="AV575" s="107"/>
      <c r="AW575" s="23" t="e">
        <f>VLOOKUP(K575,#REF!,8,FALSE)</f>
        <v>#REF!</v>
      </c>
      <c r="AX575" s="23" t="s">
        <v>2258</v>
      </c>
      <c r="AY575" s="23" t="e">
        <f>VLOOKUP(K575,#REF!,8,FALSE)</f>
        <v>#REF!</v>
      </c>
      <c r="AZ575" s="107"/>
      <c r="BA575" s="272"/>
      <c r="BB575" s="313">
        <f t="shared" si="311"/>
        <v>0</v>
      </c>
      <c r="BC575" s="269">
        <f t="shared" si="312"/>
        <v>2685.0796874999996</v>
      </c>
      <c r="BD575" t="e">
        <f t="shared" si="313"/>
        <v>#REF!</v>
      </c>
      <c r="BE575" t="s">
        <v>2394</v>
      </c>
      <c r="BF575">
        <v>43012</v>
      </c>
      <c r="BH575" t="e">
        <f>VLOOKUP(K575,#REF!,8,FALSE)</f>
        <v>#REF!</v>
      </c>
      <c r="BJ575">
        <f>AB575</f>
        <v>30</v>
      </c>
      <c r="BK575" s="269">
        <f>AM575</f>
        <v>8183.0999999999985</v>
      </c>
      <c r="BL575" s="353"/>
      <c r="BM575" s="353" t="s">
        <v>75</v>
      </c>
      <c r="BN575" s="353"/>
      <c r="BO575" s="106">
        <f>BK575/192*127</f>
        <v>5412.7796874999985</v>
      </c>
      <c r="BP575" s="166">
        <f t="shared" si="296"/>
        <v>8097.8593749999982</v>
      </c>
      <c r="BS575" s="165"/>
      <c r="BX575" s="495">
        <f t="shared" si="297"/>
        <v>8097.8593749999982</v>
      </c>
      <c r="BZ575" s="636">
        <f t="shared" si="283"/>
        <v>0</v>
      </c>
      <c r="CA575" s="633">
        <f t="shared" si="284"/>
        <v>5412.7796874999985</v>
      </c>
    </row>
    <row r="576" spans="1:79" x14ac:dyDescent="0.2">
      <c r="A576" s="4">
        <v>1</v>
      </c>
      <c r="B576" s="4">
        <v>1</v>
      </c>
      <c r="C576" s="5">
        <f t="shared" si="285"/>
        <v>41206</v>
      </c>
      <c r="D576" s="6">
        <v>41206</v>
      </c>
      <c r="E576" s="121">
        <v>43012</v>
      </c>
      <c r="F576" s="6" t="s">
        <v>1606</v>
      </c>
      <c r="G576" s="7" t="s">
        <v>75</v>
      </c>
      <c r="H576" s="7"/>
      <c r="I576" s="7" t="s">
        <v>157</v>
      </c>
      <c r="J576" s="7"/>
      <c r="K576" s="29">
        <v>382436</v>
      </c>
      <c r="L576" s="58" t="s">
        <v>1207</v>
      </c>
      <c r="M576" s="10" t="s">
        <v>398</v>
      </c>
      <c r="N576" s="10" t="s">
        <v>1252</v>
      </c>
      <c r="O576" s="11" t="s">
        <v>1253</v>
      </c>
      <c r="P576" s="12">
        <v>39949</v>
      </c>
      <c r="Q576" s="13">
        <f t="shared" ca="1" si="286"/>
        <v>16.353182751540039</v>
      </c>
      <c r="R576" s="14">
        <v>9</v>
      </c>
      <c r="S576" s="15">
        <v>872</v>
      </c>
      <c r="T576" s="8">
        <v>872</v>
      </c>
      <c r="U576" s="16">
        <v>45017</v>
      </c>
      <c r="V576" s="17">
        <v>1</v>
      </c>
      <c r="W576" s="16">
        <v>45382</v>
      </c>
      <c r="X576" s="14">
        <v>192</v>
      </c>
      <c r="Y576" s="18">
        <f t="shared" si="282"/>
        <v>192</v>
      </c>
      <c r="Z576" s="18">
        <f t="shared" si="306"/>
        <v>1</v>
      </c>
      <c r="AA576" s="18" t="s">
        <v>36</v>
      </c>
      <c r="AB576" s="26">
        <v>25</v>
      </c>
      <c r="AC576" s="26"/>
      <c r="AD576" s="26"/>
      <c r="AE576" s="147" t="str">
        <f t="shared" si="298"/>
        <v>1</v>
      </c>
      <c r="AF576" s="147" t="str">
        <f t="shared" si="299"/>
        <v>0</v>
      </c>
      <c r="AG576" s="147" t="str">
        <f t="shared" si="300"/>
        <v>0</v>
      </c>
      <c r="AH576" s="147" t="str">
        <f t="shared" si="292"/>
        <v>NO</v>
      </c>
      <c r="AI576" s="147" t="str">
        <f t="shared" si="293"/>
        <v>NO</v>
      </c>
      <c r="AJ576" s="147" t="str">
        <f t="shared" si="294"/>
        <v>NO</v>
      </c>
      <c r="AK576" s="147" t="str">
        <f t="shared" si="295"/>
        <v>NO</v>
      </c>
      <c r="AL576" s="21"/>
      <c r="AM576" s="21">
        <f t="shared" si="309"/>
        <v>5819.25</v>
      </c>
      <c r="AN576" s="27" t="s">
        <v>56</v>
      </c>
      <c r="AO576" s="21">
        <v>1</v>
      </c>
      <c r="AP576" s="21">
        <f t="shared" si="310"/>
        <v>1</v>
      </c>
      <c r="AQ576" s="149">
        <f t="shared" ref="AQ576:AQ639" si="314">AP576*AM576</f>
        <v>5819.25</v>
      </c>
      <c r="AR576" s="21">
        <v>5819.25</v>
      </c>
      <c r="AS576" s="610">
        <v>5819.25</v>
      </c>
      <c r="AT576" s="112">
        <v>5819.25</v>
      </c>
      <c r="AU576" s="4"/>
      <c r="AV576" s="4"/>
      <c r="AW576" s="23" t="e">
        <f>VLOOKUP(K576,#REF!,8,FALSE)</f>
        <v>#REF!</v>
      </c>
      <c r="AX576" s="23" t="e">
        <f>VLOOKUP(K576,#REF!,8,FALSE)</f>
        <v>#REF!</v>
      </c>
      <c r="AY576" s="23" t="e">
        <f>VLOOKUP(K576,#REF!,8,FALSE)</f>
        <v>#REF!</v>
      </c>
      <c r="AZ576" s="4"/>
      <c r="BA576" s="272"/>
      <c r="BB576" s="313">
        <f t="shared" si="311"/>
        <v>0</v>
      </c>
      <c r="BC576" s="269">
        <f t="shared" si="312"/>
        <v>5819.25</v>
      </c>
      <c r="BD576" t="str">
        <f t="shared" si="313"/>
        <v/>
      </c>
      <c r="BP576" s="166">
        <f t="shared" si="296"/>
        <v>5819.25</v>
      </c>
      <c r="BS576" s="165"/>
      <c r="BX576" s="495">
        <f t="shared" si="297"/>
        <v>5819.25</v>
      </c>
      <c r="BZ576" s="636">
        <f t="shared" si="283"/>
        <v>0</v>
      </c>
      <c r="CA576" s="633">
        <f t="shared" si="284"/>
        <v>0</v>
      </c>
    </row>
    <row r="577" spans="1:79" x14ac:dyDescent="0.2">
      <c r="A577" s="4">
        <v>1</v>
      </c>
      <c r="B577" s="4">
        <v>1</v>
      </c>
      <c r="C577" s="5">
        <f t="shared" si="285"/>
        <v>41206</v>
      </c>
      <c r="D577" s="6">
        <v>41206</v>
      </c>
      <c r="E577" s="121">
        <v>43012</v>
      </c>
      <c r="F577" s="6" t="s">
        <v>1606</v>
      </c>
      <c r="G577" s="7" t="s">
        <v>75</v>
      </c>
      <c r="H577" s="7"/>
      <c r="I577" s="7" t="s">
        <v>157</v>
      </c>
      <c r="J577" s="7"/>
      <c r="K577" s="29">
        <v>389299</v>
      </c>
      <c r="L577" s="58" t="s">
        <v>1207</v>
      </c>
      <c r="M577" s="10" t="s">
        <v>223</v>
      </c>
      <c r="N577" s="10" t="s">
        <v>1254</v>
      </c>
      <c r="O577" s="11" t="s">
        <v>1255</v>
      </c>
      <c r="P577" s="12">
        <v>40363</v>
      </c>
      <c r="Q577" s="13">
        <f t="shared" ca="1" si="286"/>
        <v>15.219712525667351</v>
      </c>
      <c r="R577" s="14">
        <v>8</v>
      </c>
      <c r="S577" s="15">
        <v>872</v>
      </c>
      <c r="T577" s="8">
        <v>872</v>
      </c>
      <c r="U577" s="16">
        <v>45017</v>
      </c>
      <c r="V577" s="17">
        <v>1</v>
      </c>
      <c r="W577" s="16">
        <v>45382</v>
      </c>
      <c r="X577" s="14">
        <v>192</v>
      </c>
      <c r="Y577" s="18">
        <f t="shared" si="282"/>
        <v>192</v>
      </c>
      <c r="Z577" s="18">
        <f t="shared" si="306"/>
        <v>1</v>
      </c>
      <c r="AA577" s="18" t="s">
        <v>36</v>
      </c>
      <c r="AB577" s="26">
        <v>26</v>
      </c>
      <c r="AC577" s="26"/>
      <c r="AD577" s="26"/>
      <c r="AE577" s="147" t="str">
        <f t="shared" si="298"/>
        <v>0</v>
      </c>
      <c r="AF577" s="147" t="str">
        <f t="shared" si="299"/>
        <v>1</v>
      </c>
      <c r="AG577" s="147" t="str">
        <f t="shared" si="300"/>
        <v>0</v>
      </c>
      <c r="AH577" s="147" t="str">
        <f t="shared" si="292"/>
        <v>NO</v>
      </c>
      <c r="AI577" s="147" t="str">
        <f t="shared" si="293"/>
        <v>NO</v>
      </c>
      <c r="AJ577" s="147" t="str">
        <f t="shared" si="294"/>
        <v>NO</v>
      </c>
      <c r="AK577" s="147" t="str">
        <f t="shared" si="295"/>
        <v>NO</v>
      </c>
      <c r="AL577" s="21"/>
      <c r="AM577" s="21">
        <f t="shared" si="309"/>
        <v>6292.02</v>
      </c>
      <c r="AN577" s="27" t="s">
        <v>37</v>
      </c>
      <c r="AO577" s="21">
        <v>1</v>
      </c>
      <c r="AP577" s="21">
        <f t="shared" si="310"/>
        <v>1</v>
      </c>
      <c r="AQ577" s="149">
        <f t="shared" si="314"/>
        <v>6292.02</v>
      </c>
      <c r="AR577" s="21">
        <v>6292.02</v>
      </c>
      <c r="AS577" s="610">
        <v>6292.02</v>
      </c>
      <c r="AT577" s="112">
        <v>6292.02</v>
      </c>
      <c r="AU577" s="4"/>
      <c r="AV577" s="4"/>
      <c r="AW577" s="23" t="e">
        <f>VLOOKUP(K577,#REF!,8,FALSE)</f>
        <v>#REF!</v>
      </c>
      <c r="AX577" s="23" t="e">
        <f>VLOOKUP(K577,#REF!,8,FALSE)</f>
        <v>#REF!</v>
      </c>
      <c r="AY577" s="23" t="e">
        <f>VLOOKUP(K577,#REF!,8,FALSE)</f>
        <v>#REF!</v>
      </c>
      <c r="AZ577" s="4"/>
      <c r="BA577" s="272"/>
      <c r="BB577" s="313">
        <f t="shared" si="311"/>
        <v>0</v>
      </c>
      <c r="BC577" s="269">
        <f t="shared" si="312"/>
        <v>6292.02</v>
      </c>
      <c r="BD577" t="str">
        <f t="shared" si="313"/>
        <v/>
      </c>
      <c r="BP577" s="166">
        <f t="shared" si="296"/>
        <v>6292.02</v>
      </c>
      <c r="BS577" s="165"/>
      <c r="BX577" s="495">
        <f t="shared" si="297"/>
        <v>6292.02</v>
      </c>
      <c r="BZ577" s="636">
        <f t="shared" si="283"/>
        <v>0</v>
      </c>
      <c r="CA577" s="633">
        <f t="shared" si="284"/>
        <v>0</v>
      </c>
    </row>
    <row r="578" spans="1:79" x14ac:dyDescent="0.2">
      <c r="A578" s="4">
        <v>1</v>
      </c>
      <c r="B578" s="4">
        <v>1</v>
      </c>
      <c r="C578" s="5">
        <f t="shared" si="285"/>
        <v>41206</v>
      </c>
      <c r="D578" s="6">
        <v>41206</v>
      </c>
      <c r="E578" s="121">
        <v>43012</v>
      </c>
      <c r="F578" s="6" t="s">
        <v>1606</v>
      </c>
      <c r="G578" s="7" t="s">
        <v>75</v>
      </c>
      <c r="H578" s="7"/>
      <c r="I578" s="33" t="s">
        <v>270</v>
      </c>
      <c r="J578" s="33"/>
      <c r="K578" s="29">
        <v>358391</v>
      </c>
      <c r="L578" s="58" t="s">
        <v>1207</v>
      </c>
      <c r="M578" s="10" t="s">
        <v>1256</v>
      </c>
      <c r="N578" s="10" t="s">
        <v>1257</v>
      </c>
      <c r="O578" s="11" t="s">
        <v>1258</v>
      </c>
      <c r="P578" s="12">
        <v>38512</v>
      </c>
      <c r="Q578" s="13">
        <f t="shared" ca="1" si="286"/>
        <v>20.28747433264887</v>
      </c>
      <c r="R578" s="14">
        <v>13</v>
      </c>
      <c r="S578" s="15">
        <v>872</v>
      </c>
      <c r="T578" s="8">
        <v>872</v>
      </c>
      <c r="U578" s="16">
        <v>45017</v>
      </c>
      <c r="V578" s="17">
        <v>1</v>
      </c>
      <c r="W578" s="16">
        <v>45128</v>
      </c>
      <c r="X578" s="14">
        <v>63</v>
      </c>
      <c r="Y578" s="18">
        <f t="shared" si="282"/>
        <v>63</v>
      </c>
      <c r="Z578" s="18">
        <f t="shared" si="306"/>
        <v>0.328125</v>
      </c>
      <c r="AA578" s="16" t="s">
        <v>270</v>
      </c>
      <c r="AB578" s="26">
        <v>21</v>
      </c>
      <c r="AC578" s="26"/>
      <c r="AD578" s="26"/>
      <c r="AE578" s="147" t="str">
        <f t="shared" si="298"/>
        <v>1</v>
      </c>
      <c r="AF578" s="147" t="str">
        <f t="shared" si="299"/>
        <v>0</v>
      </c>
      <c r="AG578" s="147" t="str">
        <f t="shared" si="300"/>
        <v>0</v>
      </c>
      <c r="AH578" s="147" t="str">
        <f t="shared" si="292"/>
        <v>NO</v>
      </c>
      <c r="AI578" s="147" t="str">
        <f t="shared" si="293"/>
        <v>NO</v>
      </c>
      <c r="AJ578" s="147" t="str">
        <f t="shared" si="294"/>
        <v>NO</v>
      </c>
      <c r="AK578" s="147" t="str">
        <f t="shared" si="295"/>
        <v>NO</v>
      </c>
      <c r="AL578" s="21"/>
      <c r="AM578" s="21">
        <f t="shared" si="309"/>
        <v>3928.17</v>
      </c>
      <c r="AN578" s="27" t="s">
        <v>56</v>
      </c>
      <c r="AO578" s="21">
        <v>1</v>
      </c>
      <c r="AP578" s="21">
        <f t="shared" si="310"/>
        <v>0.328125</v>
      </c>
      <c r="AQ578" s="149">
        <f t="shared" si="314"/>
        <v>1288.9307812500001</v>
      </c>
      <c r="AR578" s="21">
        <v>1288.9307812500001</v>
      </c>
      <c r="AS578" s="610">
        <v>1288.9307812500001</v>
      </c>
      <c r="AT578" s="112">
        <v>1288.9307812500001</v>
      </c>
      <c r="AU578" s="4"/>
      <c r="AV578" s="4"/>
      <c r="AW578" s="23" t="e">
        <f>VLOOKUP(K578,#REF!,8,FALSE)</f>
        <v>#REF!</v>
      </c>
      <c r="AX578" s="23" t="e">
        <f>VLOOKUP(K578,#REF!,8,FALSE)</f>
        <v>#REF!</v>
      </c>
      <c r="AY578" s="23" t="e">
        <f>VLOOKUP(K578,#REF!,8,FALSE)</f>
        <v>#REF!</v>
      </c>
      <c r="AZ578" s="4"/>
      <c r="BA578" s="272"/>
      <c r="BB578" s="313">
        <f t="shared" si="311"/>
        <v>0</v>
      </c>
      <c r="BC578" s="269">
        <f t="shared" si="312"/>
        <v>1288.9307812500001</v>
      </c>
      <c r="BD578" s="110" t="s">
        <v>2405</v>
      </c>
      <c r="BJ578">
        <f>AB578</f>
        <v>21</v>
      </c>
      <c r="BK578" s="269">
        <f>AM578</f>
        <v>3928.17</v>
      </c>
      <c r="BO578" s="106">
        <f>BK578/192*127</f>
        <v>2598.32078125</v>
      </c>
      <c r="BP578" s="166">
        <f t="shared" si="296"/>
        <v>3887.2515625000001</v>
      </c>
      <c r="BS578" s="165"/>
      <c r="BX578" s="495">
        <f t="shared" si="297"/>
        <v>3887.2515625000001</v>
      </c>
      <c r="BZ578" s="636">
        <f t="shared" si="283"/>
        <v>0</v>
      </c>
      <c r="CA578" s="633">
        <f t="shared" si="284"/>
        <v>2598.32078125</v>
      </c>
    </row>
    <row r="579" spans="1:79" x14ac:dyDescent="0.2">
      <c r="A579" s="4">
        <v>1</v>
      </c>
      <c r="B579" s="4">
        <v>1</v>
      </c>
      <c r="C579" s="5">
        <f t="shared" si="285"/>
        <v>41206</v>
      </c>
      <c r="D579" s="6">
        <v>41206</v>
      </c>
      <c r="E579" s="121">
        <v>43012</v>
      </c>
      <c r="F579" s="6" t="s">
        <v>1606</v>
      </c>
      <c r="G579" s="7" t="s">
        <v>75</v>
      </c>
      <c r="H579" s="7"/>
      <c r="I579" s="7" t="s">
        <v>157</v>
      </c>
      <c r="J579" s="7"/>
      <c r="K579" s="29">
        <v>384337</v>
      </c>
      <c r="L579" s="58" t="s">
        <v>1207</v>
      </c>
      <c r="M579" s="10" t="s">
        <v>293</v>
      </c>
      <c r="N579" s="10" t="s">
        <v>1259</v>
      </c>
      <c r="O579" s="11" t="s">
        <v>1260</v>
      </c>
      <c r="P579" s="12">
        <v>39847</v>
      </c>
      <c r="Q579" s="13">
        <f t="shared" ca="1" si="286"/>
        <v>16.632443531827516</v>
      </c>
      <c r="R579" s="14">
        <v>9</v>
      </c>
      <c r="S579" s="15">
        <v>872</v>
      </c>
      <c r="T579" s="8">
        <v>872</v>
      </c>
      <c r="U579" s="16">
        <v>45017</v>
      </c>
      <c r="V579" s="17">
        <v>1</v>
      </c>
      <c r="W579" s="16">
        <v>45382</v>
      </c>
      <c r="X579" s="14">
        <v>192</v>
      </c>
      <c r="Y579" s="18">
        <f t="shared" ref="Y579:Y622" si="315">X579-V579+1</f>
        <v>192</v>
      </c>
      <c r="Z579" s="18">
        <f t="shared" si="306"/>
        <v>1</v>
      </c>
      <c r="AA579" s="18" t="s">
        <v>36</v>
      </c>
      <c r="AB579" s="26">
        <v>27</v>
      </c>
      <c r="AC579" s="26"/>
      <c r="AD579" s="26"/>
      <c r="AE579" s="147" t="str">
        <f t="shared" si="298"/>
        <v>0</v>
      </c>
      <c r="AF579" s="147" t="str">
        <f t="shared" si="299"/>
        <v>1</v>
      </c>
      <c r="AG579" s="147" t="str">
        <f t="shared" si="300"/>
        <v>0</v>
      </c>
      <c r="AH579" s="147" t="str">
        <f t="shared" si="292"/>
        <v>NO</v>
      </c>
      <c r="AI579" s="147" t="str">
        <f t="shared" si="293"/>
        <v>NO</v>
      </c>
      <c r="AJ579" s="147" t="str">
        <f t="shared" si="294"/>
        <v>NO</v>
      </c>
      <c r="AK579" s="147" t="str">
        <f t="shared" si="295"/>
        <v>NO</v>
      </c>
      <c r="AL579" s="21"/>
      <c r="AM579" s="21">
        <f t="shared" si="309"/>
        <v>6764.7899999999991</v>
      </c>
      <c r="AN579" s="27" t="s">
        <v>56</v>
      </c>
      <c r="AO579" s="21">
        <v>1</v>
      </c>
      <c r="AP579" s="21">
        <f t="shared" si="310"/>
        <v>1</v>
      </c>
      <c r="AQ579" s="149">
        <f t="shared" si="314"/>
        <v>6764.7899999999991</v>
      </c>
      <c r="AR579" s="21">
        <v>6764.7899999999991</v>
      </c>
      <c r="AS579" s="610">
        <v>6764.7899999999991</v>
      </c>
      <c r="AT579" s="112">
        <v>6764.7899999999991</v>
      </c>
      <c r="AU579" s="4"/>
      <c r="AV579" s="4"/>
      <c r="AW579" s="23" t="e">
        <f>VLOOKUP(K579,#REF!,8,FALSE)</f>
        <v>#REF!</v>
      </c>
      <c r="AX579" s="23" t="e">
        <f>VLOOKUP(K579,#REF!,8,FALSE)</f>
        <v>#REF!</v>
      </c>
      <c r="AY579" s="23" t="e">
        <f>VLOOKUP(K579,#REF!,8,FALSE)</f>
        <v>#REF!</v>
      </c>
      <c r="AZ579" s="4"/>
      <c r="BA579" s="272"/>
      <c r="BB579" s="313">
        <f t="shared" si="311"/>
        <v>0</v>
      </c>
      <c r="BC579" s="269">
        <f t="shared" si="312"/>
        <v>6764.7899999999991</v>
      </c>
      <c r="BD579" t="str">
        <f t="shared" ref="BD579:BD607" si="316">BG579&amp;BH579&amp;BI579</f>
        <v/>
      </c>
      <c r="BP579" s="166">
        <f t="shared" si="296"/>
        <v>6764.7899999999991</v>
      </c>
      <c r="BS579" s="165"/>
      <c r="BX579" s="495">
        <f t="shared" si="297"/>
        <v>6764.7899999999991</v>
      </c>
      <c r="BZ579" s="636">
        <f t="shared" ref="BZ579:BZ642" si="317">BX579-BP579</f>
        <v>0</v>
      </c>
      <c r="CA579" s="633">
        <f t="shared" ref="CA579:CA642" si="318">BX579-AS579</f>
        <v>0</v>
      </c>
    </row>
    <row r="580" spans="1:79" x14ac:dyDescent="0.2">
      <c r="A580" s="4">
        <v>1</v>
      </c>
      <c r="B580" s="4">
        <v>1</v>
      </c>
      <c r="C580" s="5">
        <f t="shared" si="285"/>
        <v>41206</v>
      </c>
      <c r="D580" s="6">
        <v>41206</v>
      </c>
      <c r="E580" s="121">
        <v>43012</v>
      </c>
      <c r="F580" s="6" t="s">
        <v>1606</v>
      </c>
      <c r="G580" s="7" t="s">
        <v>75</v>
      </c>
      <c r="H580" s="7"/>
      <c r="I580" s="7" t="s">
        <v>157</v>
      </c>
      <c r="J580" s="7"/>
      <c r="K580" s="29">
        <v>397241</v>
      </c>
      <c r="L580" s="58" t="s">
        <v>1207</v>
      </c>
      <c r="M580" s="10" t="s">
        <v>1261</v>
      </c>
      <c r="N580" s="10" t="s">
        <v>1262</v>
      </c>
      <c r="O580" s="11" t="s">
        <v>1263</v>
      </c>
      <c r="P580" s="12">
        <v>40691</v>
      </c>
      <c r="Q580" s="13">
        <f t="shared" ca="1" si="286"/>
        <v>14.321697467488022</v>
      </c>
      <c r="R580" s="14">
        <v>7</v>
      </c>
      <c r="S580" s="15">
        <v>872</v>
      </c>
      <c r="T580" s="8">
        <v>872</v>
      </c>
      <c r="U580" s="16">
        <v>45017</v>
      </c>
      <c r="V580" s="17">
        <v>1</v>
      </c>
      <c r="W580" s="16">
        <v>45382</v>
      </c>
      <c r="X580" s="14">
        <v>192</v>
      </c>
      <c r="Y580" s="18">
        <f t="shared" si="315"/>
        <v>192</v>
      </c>
      <c r="Z580" s="18">
        <f t="shared" si="306"/>
        <v>1</v>
      </c>
      <c r="AA580" s="18" t="s">
        <v>36</v>
      </c>
      <c r="AB580" s="26">
        <v>13649.5</v>
      </c>
      <c r="AC580" s="26"/>
      <c r="AD580" s="26"/>
      <c r="AE580" s="147" t="str">
        <f t="shared" si="298"/>
        <v>0</v>
      </c>
      <c r="AF580" s="147" t="str">
        <f t="shared" si="299"/>
        <v>0</v>
      </c>
      <c r="AG580" s="147" t="str">
        <f t="shared" si="300"/>
        <v>1</v>
      </c>
      <c r="AH580" s="147" t="str">
        <f t="shared" si="292"/>
        <v>NO</v>
      </c>
      <c r="AI580" s="147" t="str">
        <f t="shared" si="293"/>
        <v>NO</v>
      </c>
      <c r="AJ580" s="147" t="str">
        <f t="shared" si="294"/>
        <v>NO</v>
      </c>
      <c r="AK580" s="147" t="str">
        <f t="shared" si="295"/>
        <v>NO</v>
      </c>
      <c r="AL580" s="21"/>
      <c r="AM580" s="21">
        <v>13649.5</v>
      </c>
      <c r="AN580" s="27"/>
      <c r="AO580" s="21">
        <v>1</v>
      </c>
      <c r="AP580" s="21">
        <f t="shared" si="310"/>
        <v>1</v>
      </c>
      <c r="AQ580" s="149">
        <f t="shared" si="314"/>
        <v>13649.5</v>
      </c>
      <c r="AR580" s="21">
        <v>13649.5</v>
      </c>
      <c r="AS580" s="610">
        <v>13649.5</v>
      </c>
      <c r="AT580" s="112">
        <v>13649.5</v>
      </c>
      <c r="AU580" s="4"/>
      <c r="AV580" s="4"/>
      <c r="AW580" s="23" t="e">
        <f>VLOOKUP(K580,#REF!,8,FALSE)</f>
        <v>#REF!</v>
      </c>
      <c r="AX580" s="23" t="e">
        <f>VLOOKUP(K580,#REF!,8,FALSE)</f>
        <v>#REF!</v>
      </c>
      <c r="AY580" s="23" t="e">
        <f>VLOOKUP(K580,#REF!,8,FALSE)</f>
        <v>#REF!</v>
      </c>
      <c r="AZ580" s="4"/>
      <c r="BA580" s="272"/>
      <c r="BB580" s="313">
        <f t="shared" si="311"/>
        <v>0</v>
      </c>
      <c r="BC580" s="269">
        <f t="shared" si="312"/>
        <v>13649.5</v>
      </c>
      <c r="BD580" t="str">
        <f t="shared" si="316"/>
        <v/>
      </c>
      <c r="BP580" s="166">
        <f t="shared" si="296"/>
        <v>13649.5</v>
      </c>
      <c r="BS580" s="165"/>
      <c r="BX580" s="495">
        <f t="shared" si="297"/>
        <v>13649.5</v>
      </c>
      <c r="BZ580" s="636">
        <f t="shared" si="317"/>
        <v>0</v>
      </c>
      <c r="CA580" s="633">
        <f t="shared" si="318"/>
        <v>0</v>
      </c>
    </row>
    <row r="581" spans="1:79" x14ac:dyDescent="0.2">
      <c r="A581" s="4">
        <v>0</v>
      </c>
      <c r="B581" s="4">
        <v>1</v>
      </c>
      <c r="C581" s="5">
        <f t="shared" ref="C581:C644" si="319">D581*1</f>
        <v>41206</v>
      </c>
      <c r="D581" s="6">
        <v>41206</v>
      </c>
      <c r="E581" s="121">
        <v>43012</v>
      </c>
      <c r="F581" s="6" t="s">
        <v>1606</v>
      </c>
      <c r="G581" s="7" t="s">
        <v>75</v>
      </c>
      <c r="H581" s="7"/>
      <c r="I581" s="7" t="s">
        <v>157</v>
      </c>
      <c r="J581" s="7" t="s">
        <v>142</v>
      </c>
      <c r="K581" s="29">
        <v>397241</v>
      </c>
      <c r="L581" s="58" t="s">
        <v>1207</v>
      </c>
      <c r="M581" s="10" t="s">
        <v>1261</v>
      </c>
      <c r="N581" s="10" t="s">
        <v>1262</v>
      </c>
      <c r="O581" s="11" t="s">
        <v>1263</v>
      </c>
      <c r="P581" s="12">
        <v>40691</v>
      </c>
      <c r="Q581" s="13">
        <f t="shared" ca="1" si="286"/>
        <v>14.321697467488022</v>
      </c>
      <c r="R581" s="14">
        <v>7</v>
      </c>
      <c r="S581" s="15">
        <v>872</v>
      </c>
      <c r="T581" s="8">
        <v>872</v>
      </c>
      <c r="U581" s="16">
        <v>45017</v>
      </c>
      <c r="V581" s="17">
        <v>1</v>
      </c>
      <c r="W581" s="16">
        <v>45382</v>
      </c>
      <c r="X581" s="14">
        <v>192</v>
      </c>
      <c r="Y581" s="18">
        <f t="shared" si="315"/>
        <v>192</v>
      </c>
      <c r="Z581" s="18">
        <f t="shared" si="306"/>
        <v>1</v>
      </c>
      <c r="AA581" s="18" t="s">
        <v>36</v>
      </c>
      <c r="AB581" s="38">
        <v>30</v>
      </c>
      <c r="AC581" s="38"/>
      <c r="AD581" s="38"/>
      <c r="AE581" s="147" t="str">
        <f t="shared" si="298"/>
        <v>0</v>
      </c>
      <c r="AF581" s="147" t="str">
        <f t="shared" si="299"/>
        <v>1</v>
      </c>
      <c r="AG581" s="147" t="str">
        <f t="shared" si="300"/>
        <v>0</v>
      </c>
      <c r="AH581" s="147" t="str">
        <f t="shared" si="292"/>
        <v>NO</v>
      </c>
      <c r="AI581" s="147" t="str">
        <f t="shared" si="293"/>
        <v>NO</v>
      </c>
      <c r="AJ581" s="147" t="str">
        <f t="shared" si="294"/>
        <v>NO</v>
      </c>
      <c r="AK581" s="147" t="str">
        <f t="shared" si="295"/>
        <v>NO</v>
      </c>
      <c r="AL581" s="21"/>
      <c r="AM581" s="21">
        <f>IF(H581="Y",AL581,((AB581*$O$902)-6000))</f>
        <v>8183.0999999999985</v>
      </c>
      <c r="AN581" s="27"/>
      <c r="AO581" s="21">
        <v>1</v>
      </c>
      <c r="AP581" s="21">
        <f t="shared" si="310"/>
        <v>1</v>
      </c>
      <c r="AQ581" s="149">
        <f t="shared" si="314"/>
        <v>8183.0999999999985</v>
      </c>
      <c r="AR581" s="21">
        <v>8183.0999999999985</v>
      </c>
      <c r="AS581" s="610">
        <v>8183.0999999999985</v>
      </c>
      <c r="AT581" s="112">
        <v>8183.0999999999985</v>
      </c>
      <c r="AU581" s="4"/>
      <c r="AV581" s="4"/>
      <c r="AW581" s="23" t="e">
        <f>VLOOKUP(K581,#REF!,8,FALSE)</f>
        <v>#REF!</v>
      </c>
      <c r="AX581" s="23" t="e">
        <f>VLOOKUP(K581,#REF!,8,FALSE)</f>
        <v>#REF!</v>
      </c>
      <c r="AY581" s="23" t="e">
        <f>VLOOKUP(K581,#REF!,8,FALSE)</f>
        <v>#REF!</v>
      </c>
      <c r="AZ581" s="4"/>
      <c r="BA581" s="272"/>
      <c r="BB581" s="313">
        <f t="shared" si="311"/>
        <v>0</v>
      </c>
      <c r="BC581" s="269">
        <f t="shared" si="312"/>
        <v>8183.0999999999985</v>
      </c>
      <c r="BD581" t="str">
        <f t="shared" si="316"/>
        <v/>
      </c>
      <c r="BP581" s="166">
        <f t="shared" si="296"/>
        <v>8183.0999999999985</v>
      </c>
      <c r="BS581" s="165"/>
      <c r="BX581" s="495">
        <f t="shared" si="297"/>
        <v>8183.0999999999985</v>
      </c>
      <c r="BZ581" s="636">
        <f t="shared" si="317"/>
        <v>0</v>
      </c>
      <c r="CA581" s="633">
        <f t="shared" si="318"/>
        <v>0</v>
      </c>
    </row>
    <row r="582" spans="1:79" x14ac:dyDescent="0.2">
      <c r="A582" s="4">
        <v>1</v>
      </c>
      <c r="B582" s="4">
        <v>1</v>
      </c>
      <c r="C582" s="5">
        <f t="shared" si="319"/>
        <v>41206</v>
      </c>
      <c r="D582" s="6">
        <v>41206</v>
      </c>
      <c r="E582" s="121">
        <v>43012</v>
      </c>
      <c r="F582" s="6" t="s">
        <v>1606</v>
      </c>
      <c r="G582" s="7" t="s">
        <v>75</v>
      </c>
      <c r="H582" s="7"/>
      <c r="I582" s="7" t="s">
        <v>157</v>
      </c>
      <c r="J582" s="7"/>
      <c r="K582" s="29">
        <v>397650</v>
      </c>
      <c r="L582" s="58" t="s">
        <v>1207</v>
      </c>
      <c r="M582" s="10" t="s">
        <v>1264</v>
      </c>
      <c r="N582" s="10" t="s">
        <v>1265</v>
      </c>
      <c r="O582" s="11" t="s">
        <v>1266</v>
      </c>
      <c r="P582" s="12">
        <v>40466</v>
      </c>
      <c r="Q582" s="13">
        <f t="shared" ca="1" si="286"/>
        <v>14.937713894592745</v>
      </c>
      <c r="R582" s="14">
        <v>7</v>
      </c>
      <c r="S582" s="15">
        <v>872</v>
      </c>
      <c r="T582" s="8">
        <v>872</v>
      </c>
      <c r="U582" s="16">
        <v>45017</v>
      </c>
      <c r="V582" s="17">
        <v>1</v>
      </c>
      <c r="W582" s="16">
        <v>45382</v>
      </c>
      <c r="X582" s="14">
        <v>192</v>
      </c>
      <c r="Y582" s="18">
        <f t="shared" si="315"/>
        <v>192</v>
      </c>
      <c r="Z582" s="18">
        <f t="shared" si="306"/>
        <v>1</v>
      </c>
      <c r="AA582" s="18" t="s">
        <v>36</v>
      </c>
      <c r="AB582" s="26">
        <v>25</v>
      </c>
      <c r="AC582" s="26"/>
      <c r="AD582" s="26"/>
      <c r="AE582" s="147" t="str">
        <f t="shared" si="298"/>
        <v>1</v>
      </c>
      <c r="AF582" s="147" t="str">
        <f t="shared" si="299"/>
        <v>0</v>
      </c>
      <c r="AG582" s="147" t="str">
        <f t="shared" si="300"/>
        <v>0</v>
      </c>
      <c r="AH582" s="147" t="str">
        <f t="shared" si="292"/>
        <v>NO</v>
      </c>
      <c r="AI582" s="147" t="str">
        <f t="shared" si="293"/>
        <v>NO</v>
      </c>
      <c r="AJ582" s="147" t="str">
        <f t="shared" si="294"/>
        <v>NO</v>
      </c>
      <c r="AK582" s="147" t="str">
        <f t="shared" si="295"/>
        <v>NO</v>
      </c>
      <c r="AL582" s="21"/>
      <c r="AM582" s="21">
        <f>IF(H582="Y",AL582,((AB582*$O$902)-6000))</f>
        <v>5819.25</v>
      </c>
      <c r="AN582" s="27" t="s">
        <v>56</v>
      </c>
      <c r="AO582" s="21">
        <v>1</v>
      </c>
      <c r="AP582" s="21">
        <f t="shared" si="310"/>
        <v>1</v>
      </c>
      <c r="AQ582" s="149">
        <f t="shared" si="314"/>
        <v>5819.25</v>
      </c>
      <c r="AR582" s="21">
        <v>5819.25</v>
      </c>
      <c r="AS582" s="610">
        <v>0</v>
      </c>
      <c r="AT582" s="112">
        <v>5819.25</v>
      </c>
      <c r="AU582" s="4"/>
      <c r="AV582" s="4"/>
      <c r="AW582" s="23" t="e">
        <f>VLOOKUP(K582,#REF!,8,FALSE)</f>
        <v>#REF!</v>
      </c>
      <c r="AX582" s="23" t="e">
        <f>VLOOKUP(K582,#REF!,8,FALSE)</f>
        <v>#REF!</v>
      </c>
      <c r="AY582" s="23" t="e">
        <f>VLOOKUP(K582,#REF!,8,FALSE)</f>
        <v>#REF!</v>
      </c>
      <c r="AZ582" s="4"/>
      <c r="BA582" s="272"/>
      <c r="BB582" s="313">
        <f t="shared" si="311"/>
        <v>0</v>
      </c>
      <c r="BC582" s="269">
        <f t="shared" si="312"/>
        <v>5819.25</v>
      </c>
      <c r="BD582" t="str">
        <f t="shared" si="316"/>
        <v/>
      </c>
      <c r="BP582" s="166">
        <f t="shared" si="296"/>
        <v>5819.25</v>
      </c>
      <c r="BS582" s="165"/>
      <c r="BX582" s="495">
        <f t="shared" si="297"/>
        <v>5819.25</v>
      </c>
      <c r="BZ582" s="636">
        <f t="shared" si="317"/>
        <v>0</v>
      </c>
      <c r="CA582" s="633">
        <f t="shared" si="318"/>
        <v>5819.25</v>
      </c>
    </row>
    <row r="583" spans="1:79" x14ac:dyDescent="0.2">
      <c r="A583" s="4">
        <v>1</v>
      </c>
      <c r="B583" s="4">
        <v>1</v>
      </c>
      <c r="C583" s="5">
        <f t="shared" si="319"/>
        <v>41206</v>
      </c>
      <c r="D583" s="6">
        <v>41206</v>
      </c>
      <c r="E583" s="121">
        <v>43012</v>
      </c>
      <c r="F583" s="6" t="s">
        <v>1606</v>
      </c>
      <c r="G583" s="7" t="s">
        <v>75</v>
      </c>
      <c r="H583" s="7"/>
      <c r="I583" s="7" t="s">
        <v>157</v>
      </c>
      <c r="J583" s="7"/>
      <c r="K583" s="29">
        <v>409697</v>
      </c>
      <c r="L583" s="58" t="s">
        <v>1207</v>
      </c>
      <c r="M583" s="10" t="s">
        <v>1267</v>
      </c>
      <c r="N583" s="10" t="s">
        <v>1250</v>
      </c>
      <c r="O583" s="11" t="s">
        <v>1268</v>
      </c>
      <c r="P583" s="12">
        <v>41473</v>
      </c>
      <c r="Q583" s="13">
        <f t="shared" ca="1" si="286"/>
        <v>12.180698151950718</v>
      </c>
      <c r="R583" s="14">
        <v>5</v>
      </c>
      <c r="S583" s="15">
        <v>872</v>
      </c>
      <c r="T583" s="8">
        <v>872</v>
      </c>
      <c r="U583" s="16">
        <v>45017</v>
      </c>
      <c r="V583" s="17">
        <v>1</v>
      </c>
      <c r="W583" s="16">
        <v>45382</v>
      </c>
      <c r="X583" s="14">
        <v>192</v>
      </c>
      <c r="Y583" s="18">
        <f t="shared" si="315"/>
        <v>192</v>
      </c>
      <c r="Z583" s="18">
        <f t="shared" si="306"/>
        <v>1</v>
      </c>
      <c r="AA583" s="18" t="s">
        <v>36</v>
      </c>
      <c r="AB583" s="26">
        <v>25</v>
      </c>
      <c r="AC583" s="26"/>
      <c r="AD583" s="26"/>
      <c r="AE583" s="147" t="str">
        <f t="shared" si="298"/>
        <v>1</v>
      </c>
      <c r="AF583" s="147" t="str">
        <f t="shared" si="299"/>
        <v>0</v>
      </c>
      <c r="AG583" s="147" t="str">
        <f t="shared" si="300"/>
        <v>0</v>
      </c>
      <c r="AH583" s="147" t="str">
        <f t="shared" si="292"/>
        <v>NO</v>
      </c>
      <c r="AI583" s="147" t="str">
        <f t="shared" si="293"/>
        <v>NO</v>
      </c>
      <c r="AJ583" s="147" t="str">
        <f t="shared" si="294"/>
        <v>NO</v>
      </c>
      <c r="AK583" s="147" t="str">
        <f t="shared" si="295"/>
        <v>NO</v>
      </c>
      <c r="AL583" s="21"/>
      <c r="AM583" s="21">
        <f>IF(H583="Y",AL583,((AB583*$O$902)-6000))</f>
        <v>5819.25</v>
      </c>
      <c r="AN583" s="27" t="s">
        <v>81</v>
      </c>
      <c r="AO583" s="21">
        <v>1</v>
      </c>
      <c r="AP583" s="21">
        <f t="shared" si="310"/>
        <v>1</v>
      </c>
      <c r="AQ583" s="149">
        <f t="shared" si="314"/>
        <v>5819.25</v>
      </c>
      <c r="AR583" s="21">
        <v>5819.25</v>
      </c>
      <c r="AS583" s="610">
        <v>5819.25</v>
      </c>
      <c r="AT583" s="112">
        <v>5819.25</v>
      </c>
      <c r="AU583" s="4"/>
      <c r="AV583" s="4"/>
      <c r="AW583" s="23" t="e">
        <f>VLOOKUP(K583,#REF!,8,FALSE)</f>
        <v>#REF!</v>
      </c>
      <c r="AX583" s="23" t="e">
        <f>VLOOKUP(K583,#REF!,8,FALSE)</f>
        <v>#REF!</v>
      </c>
      <c r="AY583" s="23" t="e">
        <f>VLOOKUP(K583,#REF!,8,FALSE)</f>
        <v>#REF!</v>
      </c>
      <c r="AZ583" s="4"/>
      <c r="BA583" s="272"/>
      <c r="BB583" s="313">
        <f t="shared" si="311"/>
        <v>0</v>
      </c>
      <c r="BC583" s="269">
        <f t="shared" si="312"/>
        <v>5819.25</v>
      </c>
      <c r="BD583" t="str">
        <f t="shared" si="316"/>
        <v/>
      </c>
      <c r="BP583" s="166">
        <f t="shared" si="296"/>
        <v>5819.25</v>
      </c>
      <c r="BS583" s="165"/>
      <c r="BX583" s="495">
        <f t="shared" si="297"/>
        <v>5819.25</v>
      </c>
      <c r="BZ583" s="636">
        <f t="shared" si="317"/>
        <v>0</v>
      </c>
      <c r="CA583" s="633">
        <f t="shared" si="318"/>
        <v>0</v>
      </c>
    </row>
    <row r="584" spans="1:79" x14ac:dyDescent="0.2">
      <c r="A584" s="4">
        <v>1</v>
      </c>
      <c r="B584" s="4">
        <v>1</v>
      </c>
      <c r="C584" s="5">
        <f t="shared" si="319"/>
        <v>41206</v>
      </c>
      <c r="D584" s="6">
        <v>41206</v>
      </c>
      <c r="E584" s="121">
        <v>43012</v>
      </c>
      <c r="F584" s="6" t="s">
        <v>1606</v>
      </c>
      <c r="G584" s="7" t="s">
        <v>75</v>
      </c>
      <c r="H584" s="7"/>
      <c r="I584" s="7" t="s">
        <v>157</v>
      </c>
      <c r="J584" s="7"/>
      <c r="K584" s="29">
        <v>419910</v>
      </c>
      <c r="L584" s="58" t="s">
        <v>1207</v>
      </c>
      <c r="M584" s="10" t="s">
        <v>819</v>
      </c>
      <c r="N584" s="10" t="s">
        <v>820</v>
      </c>
      <c r="O584" s="11" t="str">
        <f>M584&amp;N584</f>
        <v>ZacharySparks</v>
      </c>
      <c r="P584" s="12">
        <v>42201</v>
      </c>
      <c r="Q584" s="13">
        <f t="shared" ca="1" si="286"/>
        <v>10.18754277891855</v>
      </c>
      <c r="R584" s="14">
        <v>3</v>
      </c>
      <c r="S584" s="15">
        <v>872</v>
      </c>
      <c r="T584" s="8">
        <v>872</v>
      </c>
      <c r="U584" s="16">
        <v>45017</v>
      </c>
      <c r="V584" s="17">
        <v>1</v>
      </c>
      <c r="W584" s="16">
        <v>45382</v>
      </c>
      <c r="X584" s="14">
        <v>192</v>
      </c>
      <c r="Y584" s="18">
        <f t="shared" si="315"/>
        <v>192</v>
      </c>
      <c r="Z584" s="18">
        <f t="shared" si="306"/>
        <v>1</v>
      </c>
      <c r="AA584" s="18" t="s">
        <v>36</v>
      </c>
      <c r="AB584" s="26">
        <v>12468</v>
      </c>
      <c r="AC584" s="26"/>
      <c r="AD584" s="26"/>
      <c r="AE584" s="147" t="str">
        <f t="shared" si="298"/>
        <v>0</v>
      </c>
      <c r="AF584" s="147" t="str">
        <f t="shared" si="299"/>
        <v>0</v>
      </c>
      <c r="AG584" s="147" t="str">
        <f t="shared" si="300"/>
        <v>1</v>
      </c>
      <c r="AH584" s="147" t="str">
        <f t="shared" si="292"/>
        <v>NO</v>
      </c>
      <c r="AI584" s="147" t="str">
        <f t="shared" si="293"/>
        <v>NO</v>
      </c>
      <c r="AJ584" s="147" t="str">
        <f t="shared" si="294"/>
        <v>NO</v>
      </c>
      <c r="AK584" s="147" t="str">
        <f t="shared" si="295"/>
        <v>NO</v>
      </c>
      <c r="AL584" s="21"/>
      <c r="AM584" s="21">
        <v>12468</v>
      </c>
      <c r="AN584" s="27"/>
      <c r="AO584" s="21">
        <v>1</v>
      </c>
      <c r="AP584" s="21">
        <f t="shared" si="310"/>
        <v>1</v>
      </c>
      <c r="AQ584" s="149">
        <f t="shared" si="314"/>
        <v>12468</v>
      </c>
      <c r="AR584" s="21">
        <v>12468</v>
      </c>
      <c r="AS584" s="610">
        <v>0</v>
      </c>
      <c r="AT584" s="112">
        <v>12468</v>
      </c>
      <c r="AU584" s="4"/>
      <c r="AV584" s="4"/>
      <c r="AW584" s="23" t="e">
        <f>VLOOKUP(K584,#REF!,8,FALSE)</f>
        <v>#REF!</v>
      </c>
      <c r="AX584" s="23" t="e">
        <f>VLOOKUP(K584,#REF!,8,FALSE)</f>
        <v>#REF!</v>
      </c>
      <c r="AY584" s="23" t="e">
        <f>VLOOKUP(K584,#REF!,8,FALSE)</f>
        <v>#REF!</v>
      </c>
      <c r="AZ584" s="4"/>
      <c r="BA584" s="272"/>
      <c r="BB584" s="313">
        <f t="shared" si="311"/>
        <v>0</v>
      </c>
      <c r="BC584" s="269">
        <f t="shared" si="312"/>
        <v>12468</v>
      </c>
      <c r="BD584" t="str">
        <f t="shared" si="316"/>
        <v/>
      </c>
      <c r="BP584" s="166">
        <f t="shared" si="296"/>
        <v>12468</v>
      </c>
      <c r="BS584" s="165"/>
      <c r="BX584" s="495">
        <f t="shared" si="297"/>
        <v>12468</v>
      </c>
      <c r="BZ584" s="636">
        <f t="shared" si="317"/>
        <v>0</v>
      </c>
      <c r="CA584" s="633">
        <f t="shared" si="318"/>
        <v>12468</v>
      </c>
    </row>
    <row r="585" spans="1:79" x14ac:dyDescent="0.2">
      <c r="A585" s="4">
        <v>1</v>
      </c>
      <c r="B585" s="4">
        <v>1</v>
      </c>
      <c r="C585" s="5">
        <f t="shared" si="319"/>
        <v>41129</v>
      </c>
      <c r="D585" s="6">
        <v>41129</v>
      </c>
      <c r="E585" s="121">
        <v>43012</v>
      </c>
      <c r="F585" s="6" t="s">
        <v>1876</v>
      </c>
      <c r="G585" s="7" t="s">
        <v>75</v>
      </c>
      <c r="H585" s="7"/>
      <c r="I585" s="7" t="s">
        <v>32</v>
      </c>
      <c r="J585" s="7"/>
      <c r="K585" s="29">
        <v>429049</v>
      </c>
      <c r="L585" s="58" t="s">
        <v>1269</v>
      </c>
      <c r="M585" s="10" t="s">
        <v>40</v>
      </c>
      <c r="N585" s="10" t="s">
        <v>1270</v>
      </c>
      <c r="O585" s="11" t="s">
        <v>1271</v>
      </c>
      <c r="P585" s="12">
        <v>42929</v>
      </c>
      <c r="Q585" s="13">
        <f t="shared" ref="Q585:Q648" ca="1" si="320">(TODAY()-P585)/365.25</f>
        <v>8.1943874058863795</v>
      </c>
      <c r="R585" s="14">
        <v>0</v>
      </c>
      <c r="S585" s="15">
        <v>872</v>
      </c>
      <c r="T585" s="8">
        <v>872</v>
      </c>
      <c r="U585" s="16">
        <v>45017</v>
      </c>
      <c r="V585" s="17">
        <v>1</v>
      </c>
      <c r="W585" s="16">
        <v>45382</v>
      </c>
      <c r="X585" s="14">
        <v>192</v>
      </c>
      <c r="Y585" s="18">
        <f t="shared" si="315"/>
        <v>192</v>
      </c>
      <c r="Z585" s="18">
        <f t="shared" si="306"/>
        <v>1</v>
      </c>
      <c r="AA585" s="18" t="s">
        <v>36</v>
      </c>
      <c r="AB585" s="26">
        <v>30</v>
      </c>
      <c r="AC585" s="26"/>
      <c r="AD585" s="26"/>
      <c r="AE585" s="147" t="str">
        <f t="shared" si="298"/>
        <v>0</v>
      </c>
      <c r="AF585" s="147" t="str">
        <f t="shared" si="299"/>
        <v>1</v>
      </c>
      <c r="AG585" s="147" t="str">
        <f t="shared" si="300"/>
        <v>0</v>
      </c>
      <c r="AH585" s="147" t="str">
        <f t="shared" si="292"/>
        <v>NO</v>
      </c>
      <c r="AI585" s="147" t="str">
        <f t="shared" si="293"/>
        <v>NO</v>
      </c>
      <c r="AJ585" s="147" t="str">
        <f t="shared" si="294"/>
        <v>NO</v>
      </c>
      <c r="AK585" s="147" t="str">
        <f t="shared" si="295"/>
        <v>NO</v>
      </c>
      <c r="AL585" s="21"/>
      <c r="AM585" s="21">
        <f t="shared" ref="AM585:AM590" si="321">IF(H585="Y",AL585,((AB585*$O$902)-6000))</f>
        <v>8183.0999999999985</v>
      </c>
      <c r="AN585" s="27" t="s">
        <v>37</v>
      </c>
      <c r="AO585" s="21">
        <v>1</v>
      </c>
      <c r="AP585" s="21">
        <f t="shared" si="310"/>
        <v>1</v>
      </c>
      <c r="AQ585" s="149">
        <f t="shared" si="314"/>
        <v>8183.0999999999985</v>
      </c>
      <c r="AR585" s="21">
        <v>8183.0999999999985</v>
      </c>
      <c r="AS585" s="610">
        <v>8183.0999999999985</v>
      </c>
      <c r="AT585" s="112">
        <v>8183.0999999999985</v>
      </c>
      <c r="AU585" s="4"/>
      <c r="AV585" s="4"/>
      <c r="AW585" s="23" t="e">
        <f>VLOOKUP(K585,#REF!,8,FALSE)</f>
        <v>#REF!</v>
      </c>
      <c r="AX585" s="23" t="e">
        <f>VLOOKUP(K585,#REF!,8,FALSE)</f>
        <v>#REF!</v>
      </c>
      <c r="AY585" s="23" t="e">
        <f>VLOOKUP(K585,#REF!,8,FALSE)</f>
        <v>#REF!</v>
      </c>
      <c r="AZ585" s="4"/>
      <c r="BA585" s="272"/>
      <c r="BB585" s="313">
        <f t="shared" si="311"/>
        <v>0</v>
      </c>
      <c r="BC585" s="269">
        <f t="shared" si="312"/>
        <v>8183.0999999999985</v>
      </c>
      <c r="BD585" t="str">
        <f t="shared" si="316"/>
        <v/>
      </c>
      <c r="BP585" s="166">
        <f t="shared" si="296"/>
        <v>8183.0999999999985</v>
      </c>
      <c r="BS585" s="165"/>
      <c r="BX585" s="495">
        <f t="shared" si="297"/>
        <v>8183.0999999999985</v>
      </c>
      <c r="BZ585" s="636">
        <f t="shared" si="317"/>
        <v>0</v>
      </c>
      <c r="CA585" s="633">
        <f t="shared" si="318"/>
        <v>0</v>
      </c>
    </row>
    <row r="586" spans="1:79" x14ac:dyDescent="0.2">
      <c r="A586" s="4">
        <v>1</v>
      </c>
      <c r="B586" s="4">
        <v>1</v>
      </c>
      <c r="C586" s="5">
        <f t="shared" si="319"/>
        <v>41129</v>
      </c>
      <c r="D586" s="6">
        <v>41129</v>
      </c>
      <c r="E586" s="121">
        <v>43012</v>
      </c>
      <c r="F586" s="6" t="s">
        <v>1876</v>
      </c>
      <c r="G586" s="7" t="s">
        <v>75</v>
      </c>
      <c r="H586" s="7"/>
      <c r="I586" s="7" t="s">
        <v>32</v>
      </c>
      <c r="J586" s="7"/>
      <c r="K586" s="29">
        <v>434700</v>
      </c>
      <c r="L586" s="58" t="s">
        <v>1269</v>
      </c>
      <c r="M586" s="10" t="s">
        <v>1272</v>
      </c>
      <c r="N586" s="10" t="s">
        <v>1273</v>
      </c>
      <c r="O586" s="11" t="s">
        <v>1274</v>
      </c>
      <c r="P586" s="12">
        <v>42853</v>
      </c>
      <c r="Q586" s="13">
        <f t="shared" ca="1" si="320"/>
        <v>8.4024640657084184</v>
      </c>
      <c r="R586" s="14">
        <v>1</v>
      </c>
      <c r="S586" s="15">
        <v>872</v>
      </c>
      <c r="T586" s="8">
        <v>872</v>
      </c>
      <c r="U586" s="16">
        <v>45017</v>
      </c>
      <c r="V586" s="17">
        <v>1</v>
      </c>
      <c r="W586" s="16">
        <v>45017</v>
      </c>
      <c r="X586" s="14">
        <v>0</v>
      </c>
      <c r="Y586" s="18">
        <f t="shared" si="315"/>
        <v>0</v>
      </c>
      <c r="Z586" s="18">
        <f t="shared" si="306"/>
        <v>0</v>
      </c>
      <c r="AA586" s="18" t="s">
        <v>36</v>
      </c>
      <c r="AB586" s="26">
        <v>25</v>
      </c>
      <c r="AC586" s="26"/>
      <c r="AD586" s="26"/>
      <c r="AE586" s="147" t="str">
        <f t="shared" si="298"/>
        <v>1</v>
      </c>
      <c r="AF586" s="147" t="str">
        <f t="shared" si="299"/>
        <v>0</v>
      </c>
      <c r="AG586" s="147" t="str">
        <f t="shared" si="300"/>
        <v>0</v>
      </c>
      <c r="AH586" s="147" t="str">
        <f t="shared" si="292"/>
        <v>NO</v>
      </c>
      <c r="AI586" s="147" t="str">
        <f t="shared" si="293"/>
        <v>NO</v>
      </c>
      <c r="AJ586" s="147" t="str">
        <f t="shared" si="294"/>
        <v>NO</v>
      </c>
      <c r="AK586" s="147" t="str">
        <f t="shared" si="295"/>
        <v>NO</v>
      </c>
      <c r="AL586" s="21"/>
      <c r="AM586" s="21">
        <f t="shared" si="321"/>
        <v>5819.25</v>
      </c>
      <c r="AN586" s="27" t="s">
        <v>37</v>
      </c>
      <c r="AO586" s="21">
        <v>1</v>
      </c>
      <c r="AP586" s="21">
        <f t="shared" si="310"/>
        <v>0</v>
      </c>
      <c r="AQ586" s="149">
        <f t="shared" si="314"/>
        <v>0</v>
      </c>
      <c r="AR586" s="21">
        <v>0</v>
      </c>
      <c r="AS586" s="610">
        <v>5819.25</v>
      </c>
      <c r="AT586" s="112">
        <v>5819.25</v>
      </c>
      <c r="AU586" s="4"/>
      <c r="AV586" s="4"/>
      <c r="AW586" s="23" t="e">
        <f>VLOOKUP(K586,#REF!,8,FALSE)</f>
        <v>#REF!</v>
      </c>
      <c r="AX586" s="23" t="e">
        <f>VLOOKUP(K586,#REF!,8,FALSE)</f>
        <v>#REF!</v>
      </c>
      <c r="AY586" s="23" t="e">
        <f>VLOOKUP(K586,#REF!,8,FALSE)</f>
        <v>#REF!</v>
      </c>
      <c r="AZ586" s="4"/>
      <c r="BA586" s="272"/>
      <c r="BB586" s="313">
        <f t="shared" si="311"/>
        <v>-5819.25</v>
      </c>
      <c r="BC586" s="269">
        <f t="shared" si="312"/>
        <v>0</v>
      </c>
      <c r="BD586" t="str">
        <f t="shared" si="316"/>
        <v/>
      </c>
      <c r="BP586" s="166">
        <f t="shared" si="296"/>
        <v>0</v>
      </c>
      <c r="BS586" s="165"/>
      <c r="BX586" s="495">
        <f t="shared" si="297"/>
        <v>0</v>
      </c>
      <c r="BZ586" s="636">
        <f t="shared" si="317"/>
        <v>0</v>
      </c>
      <c r="CA586" s="633">
        <f t="shared" si="318"/>
        <v>-5819.25</v>
      </c>
    </row>
    <row r="587" spans="1:79" x14ac:dyDescent="0.2">
      <c r="A587" s="4">
        <v>1</v>
      </c>
      <c r="B587" s="4">
        <v>1</v>
      </c>
      <c r="C587" s="5">
        <f t="shared" si="319"/>
        <v>41129</v>
      </c>
      <c r="D587" s="6">
        <v>41129</v>
      </c>
      <c r="E587" s="121">
        <v>43012</v>
      </c>
      <c r="F587" s="6" t="s">
        <v>1876</v>
      </c>
      <c r="G587" s="7" t="s">
        <v>75</v>
      </c>
      <c r="H587" s="7"/>
      <c r="I587" s="7" t="s">
        <v>32</v>
      </c>
      <c r="J587" s="7"/>
      <c r="K587" s="29">
        <v>440604</v>
      </c>
      <c r="L587" s="58" t="s">
        <v>1269</v>
      </c>
      <c r="M587" s="10" t="s">
        <v>1275</v>
      </c>
      <c r="N587" s="10" t="s">
        <v>1276</v>
      </c>
      <c r="O587" s="11" t="s">
        <v>1277</v>
      </c>
      <c r="P587" s="12">
        <v>42788</v>
      </c>
      <c r="Q587" s="13">
        <f t="shared" ca="1" si="320"/>
        <v>8.5804243668720055</v>
      </c>
      <c r="R587" s="14">
        <v>1</v>
      </c>
      <c r="S587" s="15">
        <v>872</v>
      </c>
      <c r="T587" s="8">
        <v>872</v>
      </c>
      <c r="U587" s="16">
        <v>45042</v>
      </c>
      <c r="V587" s="17">
        <v>9</v>
      </c>
      <c r="W587" s="16">
        <v>45382</v>
      </c>
      <c r="X587" s="14">
        <v>192</v>
      </c>
      <c r="Y587" s="18">
        <f t="shared" si="315"/>
        <v>184</v>
      </c>
      <c r="Z587" s="18">
        <f t="shared" si="306"/>
        <v>0.95833333333333337</v>
      </c>
      <c r="AA587" s="18" t="s">
        <v>36</v>
      </c>
      <c r="AB587" s="26">
        <v>30</v>
      </c>
      <c r="AC587" s="26"/>
      <c r="AD587" s="26"/>
      <c r="AE587" s="147" t="str">
        <f t="shared" si="298"/>
        <v>0</v>
      </c>
      <c r="AF587" s="147" t="str">
        <f t="shared" si="299"/>
        <v>1</v>
      </c>
      <c r="AG587" s="147" t="str">
        <f t="shared" si="300"/>
        <v>0</v>
      </c>
      <c r="AH587" s="147" t="str">
        <f t="shared" si="292"/>
        <v>NO</v>
      </c>
      <c r="AI587" s="147" t="str">
        <f t="shared" si="293"/>
        <v>NO</v>
      </c>
      <c r="AJ587" s="147" t="str">
        <f t="shared" si="294"/>
        <v>NO</v>
      </c>
      <c r="AK587" s="147" t="str">
        <f t="shared" si="295"/>
        <v>NO</v>
      </c>
      <c r="AL587" s="21"/>
      <c r="AM587" s="21">
        <f t="shared" si="321"/>
        <v>8183.0999999999985</v>
      </c>
      <c r="AN587" s="27" t="s">
        <v>43</v>
      </c>
      <c r="AO587" s="21">
        <v>1</v>
      </c>
      <c r="AP587" s="21">
        <f t="shared" si="310"/>
        <v>0.95833333333333337</v>
      </c>
      <c r="AQ587" s="149">
        <f t="shared" si="314"/>
        <v>7842.1374999999989</v>
      </c>
      <c r="AR587" s="21">
        <v>7842.1374999999989</v>
      </c>
      <c r="AS587" s="610">
        <v>0</v>
      </c>
      <c r="AT587" s="112">
        <v>7842.1374999999989</v>
      </c>
      <c r="AU587" s="4"/>
      <c r="AV587" s="4"/>
      <c r="AW587" s="23" t="e">
        <f>VLOOKUP(K587,#REF!,8,FALSE)</f>
        <v>#REF!</v>
      </c>
      <c r="AX587" s="23" t="e">
        <f>VLOOKUP(K587,#REF!,8,FALSE)</f>
        <v>#REF!</v>
      </c>
      <c r="AY587" s="23" t="e">
        <f>VLOOKUP(K587,#REF!,8,FALSE)</f>
        <v>#REF!</v>
      </c>
      <c r="AZ587" s="4"/>
      <c r="BA587" s="272"/>
      <c r="BB587" s="313">
        <f t="shared" si="311"/>
        <v>0</v>
      </c>
      <c r="BC587" s="269">
        <f t="shared" si="312"/>
        <v>7842.1374999999989</v>
      </c>
      <c r="BD587" t="str">
        <f t="shared" si="316"/>
        <v/>
      </c>
      <c r="BP587" s="166">
        <f t="shared" si="296"/>
        <v>7842.1374999999989</v>
      </c>
      <c r="BS587" s="165"/>
      <c r="BX587" s="495">
        <f t="shared" si="297"/>
        <v>7842.1374999999989</v>
      </c>
      <c r="BZ587" s="636">
        <f t="shared" si="317"/>
        <v>0</v>
      </c>
      <c r="CA587" s="633">
        <f t="shared" si="318"/>
        <v>7842.1374999999989</v>
      </c>
    </row>
    <row r="588" spans="1:79" x14ac:dyDescent="0.2">
      <c r="A588" s="4">
        <v>1</v>
      </c>
      <c r="B588" s="4">
        <v>1</v>
      </c>
      <c r="C588" s="5">
        <f t="shared" si="319"/>
        <v>41129</v>
      </c>
      <c r="D588" s="6">
        <v>41129</v>
      </c>
      <c r="E588" s="121">
        <v>43012</v>
      </c>
      <c r="F588" s="6" t="s">
        <v>1876</v>
      </c>
      <c r="G588" s="7" t="s">
        <v>75</v>
      </c>
      <c r="H588" s="7"/>
      <c r="I588" s="7" t="s">
        <v>32</v>
      </c>
      <c r="J588" s="7"/>
      <c r="K588" s="29">
        <v>421786</v>
      </c>
      <c r="L588" s="58" t="s">
        <v>1269</v>
      </c>
      <c r="M588" s="10" t="s">
        <v>942</v>
      </c>
      <c r="N588" s="10" t="s">
        <v>1278</v>
      </c>
      <c r="O588" s="11" t="s">
        <v>1279</v>
      </c>
      <c r="P588" s="12">
        <v>42503</v>
      </c>
      <c r="Q588" s="13">
        <f t="shared" ca="1" si="320"/>
        <v>9.3607118412046546</v>
      </c>
      <c r="R588" s="14">
        <v>2</v>
      </c>
      <c r="S588" s="15">
        <v>872</v>
      </c>
      <c r="T588" s="8">
        <v>872</v>
      </c>
      <c r="U588" s="16">
        <v>45017</v>
      </c>
      <c r="V588" s="17">
        <v>1</v>
      </c>
      <c r="W588" s="16">
        <v>45128</v>
      </c>
      <c r="X588" s="14">
        <v>63</v>
      </c>
      <c r="Y588" s="18">
        <f t="shared" si="315"/>
        <v>63</v>
      </c>
      <c r="Z588" s="18">
        <f t="shared" si="306"/>
        <v>0.328125</v>
      </c>
      <c r="AA588" s="16" t="s">
        <v>405</v>
      </c>
      <c r="AB588" s="26">
        <v>30</v>
      </c>
      <c r="AC588" s="26"/>
      <c r="AD588" s="26"/>
      <c r="AE588" s="147" t="str">
        <f t="shared" si="298"/>
        <v>0</v>
      </c>
      <c r="AF588" s="147" t="str">
        <f t="shared" si="299"/>
        <v>1</v>
      </c>
      <c r="AG588" s="147" t="str">
        <f t="shared" si="300"/>
        <v>0</v>
      </c>
      <c r="AH588" s="147" t="str">
        <f t="shared" si="292"/>
        <v>NO</v>
      </c>
      <c r="AI588" s="147" t="str">
        <f t="shared" si="293"/>
        <v>NO</v>
      </c>
      <c r="AJ588" s="147" t="str">
        <f t="shared" si="294"/>
        <v>NO</v>
      </c>
      <c r="AK588" s="147" t="str">
        <f t="shared" si="295"/>
        <v>NO</v>
      </c>
      <c r="AL588" s="21"/>
      <c r="AM588" s="21">
        <f t="shared" si="321"/>
        <v>8183.0999999999985</v>
      </c>
      <c r="AN588" s="27" t="s">
        <v>43</v>
      </c>
      <c r="AO588" s="21">
        <v>1</v>
      </c>
      <c r="AP588" s="21">
        <f t="shared" si="310"/>
        <v>0.328125</v>
      </c>
      <c r="AQ588" s="149">
        <f t="shared" si="314"/>
        <v>2685.0796874999996</v>
      </c>
      <c r="AR588" s="21">
        <v>2685.0796874999996</v>
      </c>
      <c r="AS588" s="610">
        <v>2685.0796874999996</v>
      </c>
      <c r="AT588" s="112">
        <v>2685.0796874999996</v>
      </c>
      <c r="AU588" s="4"/>
      <c r="AV588" s="4"/>
      <c r="AW588" s="23" t="s">
        <v>2231</v>
      </c>
      <c r="AX588" s="23" t="e">
        <f>VLOOKUP(K588,#REF!,8,FALSE)</f>
        <v>#REF!</v>
      </c>
      <c r="AY588" s="23" t="e">
        <f>VLOOKUP(K588,#REF!,8,FALSE)</f>
        <v>#REF!</v>
      </c>
      <c r="AZ588" s="4"/>
      <c r="BA588" s="272"/>
      <c r="BB588" s="313">
        <f t="shared" si="311"/>
        <v>0</v>
      </c>
      <c r="BC588" s="269">
        <f t="shared" si="312"/>
        <v>2685.0796874999996</v>
      </c>
      <c r="BD588" t="e">
        <f t="shared" si="316"/>
        <v>#REF!</v>
      </c>
      <c r="BE588" t="s">
        <v>2394</v>
      </c>
      <c r="BF588">
        <v>43012</v>
      </c>
      <c r="BG588" t="e">
        <f>VLOOKUP(K588,#REF!,9,FALSE)</f>
        <v>#REF!</v>
      </c>
      <c r="BJ588">
        <f>AB588</f>
        <v>30</v>
      </c>
      <c r="BK588" s="269">
        <f>AM588</f>
        <v>8183.0999999999985</v>
      </c>
      <c r="BL588" s="108" t="s">
        <v>75</v>
      </c>
      <c r="BO588" s="106">
        <f>BK588/192*127</f>
        <v>5412.7796874999985</v>
      </c>
      <c r="BP588" s="166">
        <f t="shared" si="296"/>
        <v>8097.8593749999982</v>
      </c>
      <c r="BS588" s="165"/>
      <c r="BX588" s="495">
        <f t="shared" si="297"/>
        <v>8097.8593749999982</v>
      </c>
      <c r="BZ588" s="636">
        <f t="shared" si="317"/>
        <v>0</v>
      </c>
      <c r="CA588" s="633">
        <f t="shared" si="318"/>
        <v>5412.7796874999985</v>
      </c>
    </row>
    <row r="589" spans="1:79" x14ac:dyDescent="0.2">
      <c r="A589" s="4">
        <v>1</v>
      </c>
      <c r="B589" s="4">
        <v>1</v>
      </c>
      <c r="C589" s="5">
        <f t="shared" si="319"/>
        <v>41130</v>
      </c>
      <c r="D589" s="6">
        <v>41130</v>
      </c>
      <c r="E589" s="121">
        <v>43012</v>
      </c>
      <c r="F589" s="6" t="s">
        <v>1606</v>
      </c>
      <c r="G589" s="7" t="s">
        <v>75</v>
      </c>
      <c r="H589" s="7"/>
      <c r="I589" s="7" t="s">
        <v>32</v>
      </c>
      <c r="J589" s="7"/>
      <c r="K589" s="29">
        <v>401700</v>
      </c>
      <c r="L589" s="10" t="s">
        <v>1280</v>
      </c>
      <c r="M589" s="10" t="s">
        <v>1021</v>
      </c>
      <c r="N589" s="10" t="s">
        <v>180</v>
      </c>
      <c r="O589" s="11" t="s">
        <v>1281</v>
      </c>
      <c r="P589" s="12">
        <v>40912</v>
      </c>
      <c r="Q589" s="13">
        <f t="shared" ca="1" si="320"/>
        <v>13.716632443531827</v>
      </c>
      <c r="R589" s="14">
        <v>6</v>
      </c>
      <c r="S589" s="15">
        <v>872</v>
      </c>
      <c r="T589" s="8">
        <v>872</v>
      </c>
      <c r="U589" s="16">
        <v>45017</v>
      </c>
      <c r="V589" s="17">
        <v>1</v>
      </c>
      <c r="W589" s="16">
        <v>45128</v>
      </c>
      <c r="X589" s="14">
        <v>63</v>
      </c>
      <c r="Y589" s="18">
        <f t="shared" si="315"/>
        <v>63</v>
      </c>
      <c r="Z589" s="18">
        <f t="shared" si="306"/>
        <v>0.328125</v>
      </c>
      <c r="AA589" s="18" t="s">
        <v>48</v>
      </c>
      <c r="AB589" s="26">
        <v>26</v>
      </c>
      <c r="AC589" s="26"/>
      <c r="AD589" s="26"/>
      <c r="AE589" s="147" t="str">
        <f t="shared" si="298"/>
        <v>0</v>
      </c>
      <c r="AF589" s="147" t="str">
        <f t="shared" si="299"/>
        <v>1</v>
      </c>
      <c r="AG589" s="147" t="str">
        <f t="shared" si="300"/>
        <v>0</v>
      </c>
      <c r="AH589" s="147" t="str">
        <f t="shared" si="292"/>
        <v>NO</v>
      </c>
      <c r="AI589" s="147" t="str">
        <f t="shared" si="293"/>
        <v>NO</v>
      </c>
      <c r="AJ589" s="147" t="str">
        <f t="shared" si="294"/>
        <v>NO</v>
      </c>
      <c r="AK589" s="147" t="str">
        <f t="shared" si="295"/>
        <v>NO</v>
      </c>
      <c r="AL589" s="21"/>
      <c r="AM589" s="21">
        <f t="shared" si="321"/>
        <v>6292.02</v>
      </c>
      <c r="AN589" s="27" t="s">
        <v>37</v>
      </c>
      <c r="AO589" s="21">
        <v>1</v>
      </c>
      <c r="AP589" s="21">
        <f t="shared" si="310"/>
        <v>0.328125</v>
      </c>
      <c r="AQ589" s="149">
        <f t="shared" si="314"/>
        <v>2064.5690625000002</v>
      </c>
      <c r="AR589" s="21">
        <v>2064.5690625000002</v>
      </c>
      <c r="AS589" s="610">
        <v>2064.5690625000002</v>
      </c>
      <c r="AT589" s="112">
        <v>2064.5690625000002</v>
      </c>
      <c r="AU589" s="4"/>
      <c r="AV589" s="4"/>
      <c r="AW589" s="23" t="e">
        <f>VLOOKUP(K589,#REF!,8,FALSE)</f>
        <v>#REF!</v>
      </c>
      <c r="AX589" s="23" t="s">
        <v>2255</v>
      </c>
      <c r="AY589" s="23" t="e">
        <f>VLOOKUP(K589,#REF!,8,FALSE)</f>
        <v>#REF!</v>
      </c>
      <c r="AZ589" s="4"/>
      <c r="BA589" s="272"/>
      <c r="BB589" s="313">
        <f t="shared" si="311"/>
        <v>0</v>
      </c>
      <c r="BC589" s="269">
        <f t="shared" si="312"/>
        <v>2064.5690625000002</v>
      </c>
      <c r="BD589" t="e">
        <f t="shared" si="316"/>
        <v>#REF!</v>
      </c>
      <c r="BE589" t="s">
        <v>2394</v>
      </c>
      <c r="BF589">
        <v>43012</v>
      </c>
      <c r="BH589" t="e">
        <f>VLOOKUP(K589,#REF!,8,FALSE)</f>
        <v>#REF!</v>
      </c>
      <c r="BJ589">
        <f>AB589</f>
        <v>26</v>
      </c>
      <c r="BK589" s="269">
        <f>AM589</f>
        <v>6292.02</v>
      </c>
      <c r="BL589" s="353"/>
      <c r="BM589" s="353" t="s">
        <v>75</v>
      </c>
      <c r="BN589" s="353"/>
      <c r="BO589" s="106">
        <f>BK589/192*127</f>
        <v>4161.9090624999999</v>
      </c>
      <c r="BP589" s="166">
        <f t="shared" si="296"/>
        <v>6226.4781249999996</v>
      </c>
      <c r="BS589" s="165"/>
      <c r="BX589" s="495">
        <f t="shared" si="297"/>
        <v>6226.4781249999996</v>
      </c>
      <c r="BZ589" s="636">
        <f t="shared" si="317"/>
        <v>0</v>
      </c>
      <c r="CA589" s="633">
        <f t="shared" si="318"/>
        <v>4161.909062499999</v>
      </c>
    </row>
    <row r="590" spans="1:79" x14ac:dyDescent="0.2">
      <c r="A590" s="4">
        <v>1</v>
      </c>
      <c r="B590" s="4">
        <v>1</v>
      </c>
      <c r="C590" s="5">
        <f t="shared" si="319"/>
        <v>41130</v>
      </c>
      <c r="D590" s="6">
        <v>41130</v>
      </c>
      <c r="E590" s="121">
        <v>43012</v>
      </c>
      <c r="F590" s="6" t="s">
        <v>1606</v>
      </c>
      <c r="G590" s="7" t="s">
        <v>75</v>
      </c>
      <c r="H590" s="7"/>
      <c r="I590" s="7" t="s">
        <v>32</v>
      </c>
      <c r="J590" s="7"/>
      <c r="K590" s="29">
        <v>403564</v>
      </c>
      <c r="L590" s="10" t="s">
        <v>1280</v>
      </c>
      <c r="M590" s="10" t="s">
        <v>1282</v>
      </c>
      <c r="N590" s="10" t="s">
        <v>410</v>
      </c>
      <c r="O590" s="11" t="s">
        <v>1283</v>
      </c>
      <c r="P590" s="12">
        <v>41011</v>
      </c>
      <c r="Q590" s="13">
        <f t="shared" ca="1" si="320"/>
        <v>13.44558521560575</v>
      </c>
      <c r="R590" s="14">
        <v>6</v>
      </c>
      <c r="S590" s="15">
        <v>872</v>
      </c>
      <c r="T590" s="8">
        <v>872</v>
      </c>
      <c r="U590" s="16">
        <v>45017</v>
      </c>
      <c r="V590" s="17">
        <v>1</v>
      </c>
      <c r="W590" s="16">
        <v>45128</v>
      </c>
      <c r="X590" s="14">
        <v>63</v>
      </c>
      <c r="Y590" s="18">
        <f t="shared" si="315"/>
        <v>63</v>
      </c>
      <c r="Z590" s="18">
        <f t="shared" si="306"/>
        <v>0.328125</v>
      </c>
      <c r="AA590" s="18" t="s">
        <v>48</v>
      </c>
      <c r="AB590" s="66">
        <v>24.666665999999999</v>
      </c>
      <c r="AC590" s="66"/>
      <c r="AD590" s="66"/>
      <c r="AE590" s="147" t="str">
        <f t="shared" si="298"/>
        <v>1</v>
      </c>
      <c r="AF590" s="147" t="str">
        <f t="shared" si="299"/>
        <v>0</v>
      </c>
      <c r="AG590" s="147" t="str">
        <f t="shared" si="300"/>
        <v>0</v>
      </c>
      <c r="AH590" s="147" t="str">
        <f t="shared" si="292"/>
        <v>NO</v>
      </c>
      <c r="AI590" s="147" t="str">
        <f t="shared" si="293"/>
        <v>NO</v>
      </c>
      <c r="AJ590" s="147" t="str">
        <f t="shared" si="294"/>
        <v>NO</v>
      </c>
      <c r="AK590" s="147" t="str">
        <f t="shared" si="295"/>
        <v>NO</v>
      </c>
      <c r="AL590" s="21"/>
      <c r="AM590" s="21">
        <f t="shared" si="321"/>
        <v>5661.6596848199988</v>
      </c>
      <c r="AN590" s="27" t="s">
        <v>66</v>
      </c>
      <c r="AO590" s="21">
        <v>1</v>
      </c>
      <c r="AP590" s="21">
        <f t="shared" si="310"/>
        <v>0.328125</v>
      </c>
      <c r="AQ590" s="149">
        <f t="shared" si="314"/>
        <v>1857.7320840815621</v>
      </c>
      <c r="AR590" s="21">
        <v>1857.7320840815621</v>
      </c>
      <c r="AS590" s="610">
        <v>1857.7320840815621</v>
      </c>
      <c r="AT590" s="112">
        <v>1857.7320840815621</v>
      </c>
      <c r="AU590" s="4"/>
      <c r="AV590" s="4"/>
      <c r="AW590" s="23" t="e">
        <f>VLOOKUP(K590,#REF!,8,FALSE)</f>
        <v>#REF!</v>
      </c>
      <c r="AX590" s="23" t="s">
        <v>2268</v>
      </c>
      <c r="AY590" s="23" t="e">
        <f>VLOOKUP(K590,#REF!,8,FALSE)</f>
        <v>#REF!</v>
      </c>
      <c r="AZ590" s="23" t="s">
        <v>75</v>
      </c>
      <c r="BA590" s="273">
        <f>AM590/3*2</f>
        <v>3774.4397898799994</v>
      </c>
      <c r="BB590" s="313">
        <f t="shared" si="311"/>
        <v>0</v>
      </c>
      <c r="BC590" s="269">
        <f t="shared" si="312"/>
        <v>1857.7320840815621</v>
      </c>
      <c r="BD590" t="e">
        <f t="shared" si="316"/>
        <v>#REF!</v>
      </c>
      <c r="BH590" t="e">
        <f>VLOOKUP(K590,#REF!,8,FALSE)</f>
        <v>#REF!</v>
      </c>
      <c r="BJ590">
        <f>AB590</f>
        <v>24.666665999999999</v>
      </c>
      <c r="BK590" s="269">
        <f>AM590</f>
        <v>5661.6596848199988</v>
      </c>
      <c r="BL590" s="353"/>
      <c r="BM590" s="353" t="s">
        <v>75</v>
      </c>
      <c r="BN590" s="353"/>
      <c r="BO590" s="106">
        <f>BK590/192*127</f>
        <v>3744.9519790215618</v>
      </c>
      <c r="BP590" s="166">
        <f t="shared" si="296"/>
        <v>5602.6840631031237</v>
      </c>
      <c r="BQ590" s="106">
        <v>3744.9519790215618</v>
      </c>
      <c r="BR590" t="s">
        <v>2446</v>
      </c>
      <c r="BS590" s="165"/>
      <c r="BX590" s="495">
        <f t="shared" si="297"/>
        <v>5602.6840631031237</v>
      </c>
      <c r="BZ590" s="636">
        <f t="shared" si="317"/>
        <v>0</v>
      </c>
      <c r="CA590" s="633">
        <f t="shared" si="318"/>
        <v>3744.9519790215618</v>
      </c>
    </row>
    <row r="591" spans="1:79" x14ac:dyDescent="0.2">
      <c r="A591" s="4">
        <v>0</v>
      </c>
      <c r="B591" s="4">
        <v>1</v>
      </c>
      <c r="C591" s="5">
        <f t="shared" si="319"/>
        <v>41130</v>
      </c>
      <c r="D591" s="6">
        <v>41130</v>
      </c>
      <c r="E591" s="121">
        <v>43012</v>
      </c>
      <c r="F591" s="6" t="s">
        <v>1606</v>
      </c>
      <c r="G591" s="7" t="s">
        <v>75</v>
      </c>
      <c r="H591" s="7"/>
      <c r="I591" s="7" t="s">
        <v>32</v>
      </c>
      <c r="J591" s="7" t="s">
        <v>192</v>
      </c>
      <c r="K591" s="29">
        <v>403564</v>
      </c>
      <c r="L591" s="10" t="s">
        <v>1280</v>
      </c>
      <c r="M591" s="10" t="s">
        <v>1282</v>
      </c>
      <c r="N591" s="10" t="s">
        <v>410</v>
      </c>
      <c r="O591" s="11" t="s">
        <v>1283</v>
      </c>
      <c r="P591" s="12">
        <v>41011</v>
      </c>
      <c r="Q591" s="13">
        <f t="shared" ca="1" si="320"/>
        <v>13.44558521560575</v>
      </c>
      <c r="R591" s="14">
        <v>6</v>
      </c>
      <c r="S591" s="15">
        <v>872</v>
      </c>
      <c r="T591" s="8">
        <v>872</v>
      </c>
      <c r="U591" s="16">
        <v>45017</v>
      </c>
      <c r="V591" s="17">
        <v>1</v>
      </c>
      <c r="W591" s="16">
        <v>45128</v>
      </c>
      <c r="X591" s="14">
        <v>63</v>
      </c>
      <c r="Y591" s="18">
        <f t="shared" si="315"/>
        <v>63</v>
      </c>
      <c r="Z591" s="18">
        <f t="shared" si="306"/>
        <v>0.328125</v>
      </c>
      <c r="AA591" s="18" t="s">
        <v>48</v>
      </c>
      <c r="AB591" s="41">
        <v>3300</v>
      </c>
      <c r="AC591" s="41"/>
      <c r="AD591" s="41"/>
      <c r="AE591" s="147" t="str">
        <f t="shared" si="298"/>
        <v>0</v>
      </c>
      <c r="AF591" s="147" t="str">
        <f t="shared" si="299"/>
        <v>0</v>
      </c>
      <c r="AG591" s="147" t="str">
        <f t="shared" si="300"/>
        <v>1</v>
      </c>
      <c r="AH591" s="147" t="str">
        <f t="shared" si="292"/>
        <v>NO</v>
      </c>
      <c r="AI591" s="147" t="str">
        <f t="shared" si="293"/>
        <v>NO</v>
      </c>
      <c r="AJ591" s="147" t="str">
        <f t="shared" si="294"/>
        <v>NO</v>
      </c>
      <c r="AK591" s="147" t="str">
        <f t="shared" si="295"/>
        <v>NO</v>
      </c>
      <c r="AL591" s="21"/>
      <c r="AM591" s="21">
        <f>1860+1440</f>
        <v>3300</v>
      </c>
      <c r="AN591" s="27" t="s">
        <v>66</v>
      </c>
      <c r="AO591" s="21">
        <v>1</v>
      </c>
      <c r="AP591" s="21">
        <f t="shared" si="310"/>
        <v>0.328125</v>
      </c>
      <c r="AQ591" s="149">
        <f t="shared" si="314"/>
        <v>1082.8125</v>
      </c>
      <c r="AR591" s="21">
        <v>1082.8125</v>
      </c>
      <c r="AS591" s="610">
        <v>1082.8125</v>
      </c>
      <c r="AT591" s="112">
        <v>1082.8125</v>
      </c>
      <c r="AU591" s="4"/>
      <c r="AV591" s="4"/>
      <c r="AW591" s="23" t="e">
        <f>VLOOKUP(K591,#REF!,8,FALSE)</f>
        <v>#REF!</v>
      </c>
      <c r="AX591" s="23" t="e">
        <f>VLOOKUP(K591,#REF!,8,FALSE)</f>
        <v>#REF!</v>
      </c>
      <c r="AY591" s="23" t="e">
        <f>VLOOKUP(K591,#REF!,8,FALSE)</f>
        <v>#REF!</v>
      </c>
      <c r="AZ591" s="4"/>
      <c r="BA591" s="272"/>
      <c r="BB591" s="313">
        <f t="shared" si="311"/>
        <v>0</v>
      </c>
      <c r="BC591" s="269">
        <f t="shared" si="312"/>
        <v>1082.8125</v>
      </c>
      <c r="BD591" t="e">
        <f t="shared" si="316"/>
        <v>#REF!</v>
      </c>
      <c r="BH591" t="e">
        <f>VLOOKUP(K591,#REF!,8,FALSE)</f>
        <v>#REF!</v>
      </c>
      <c r="BJ591">
        <f>AB591</f>
        <v>3300</v>
      </c>
      <c r="BK591" s="269">
        <f>AM591</f>
        <v>3300</v>
      </c>
      <c r="BL591" s="353"/>
      <c r="BM591" s="353" t="s">
        <v>75</v>
      </c>
      <c r="BN591" s="353"/>
      <c r="BO591" s="106">
        <f>BK591/192*127</f>
        <v>2182.8125</v>
      </c>
      <c r="BP591" s="166">
        <f t="shared" si="296"/>
        <v>3265.625</v>
      </c>
      <c r="BS591" s="165"/>
      <c r="BX591" s="495">
        <f t="shared" si="297"/>
        <v>3265.625</v>
      </c>
      <c r="BZ591" s="636">
        <f t="shared" si="317"/>
        <v>0</v>
      </c>
      <c r="CA591" s="633">
        <f t="shared" si="318"/>
        <v>2182.8125</v>
      </c>
    </row>
    <row r="592" spans="1:79" x14ac:dyDescent="0.2">
      <c r="A592" s="4">
        <v>1</v>
      </c>
      <c r="B592" s="4">
        <v>1</v>
      </c>
      <c r="C592" s="5">
        <f t="shared" si="319"/>
        <v>41130</v>
      </c>
      <c r="D592" s="6">
        <v>41130</v>
      </c>
      <c r="E592" s="121">
        <v>43012</v>
      </c>
      <c r="F592" s="6" t="s">
        <v>1606</v>
      </c>
      <c r="G592" s="7" t="s">
        <v>75</v>
      </c>
      <c r="H592" s="7"/>
      <c r="I592" s="7" t="s">
        <v>32</v>
      </c>
      <c r="J592" s="7"/>
      <c r="K592" s="29">
        <v>399698</v>
      </c>
      <c r="L592" s="10" t="s">
        <v>1280</v>
      </c>
      <c r="M592" s="10" t="s">
        <v>335</v>
      </c>
      <c r="N592" s="10" t="s">
        <v>1284</v>
      </c>
      <c r="O592" s="11" t="s">
        <v>1285</v>
      </c>
      <c r="P592" s="12">
        <v>40865</v>
      </c>
      <c r="Q592" s="13">
        <f t="shared" ca="1" si="320"/>
        <v>13.845311430527037</v>
      </c>
      <c r="R592" s="14">
        <v>6</v>
      </c>
      <c r="S592" s="15">
        <v>872</v>
      </c>
      <c r="T592" s="8">
        <v>872</v>
      </c>
      <c r="U592" s="16">
        <v>45017</v>
      </c>
      <c r="V592" s="17">
        <v>1</v>
      </c>
      <c r="W592" s="16">
        <v>45128</v>
      </c>
      <c r="X592" s="14">
        <v>63</v>
      </c>
      <c r="Y592" s="18">
        <f t="shared" si="315"/>
        <v>63</v>
      </c>
      <c r="Z592" s="18">
        <f t="shared" si="306"/>
        <v>0.328125</v>
      </c>
      <c r="AA592" s="18" t="s">
        <v>48</v>
      </c>
      <c r="AB592" s="26">
        <v>22</v>
      </c>
      <c r="AC592" s="26"/>
      <c r="AD592" s="26"/>
      <c r="AE592" s="147" t="str">
        <f t="shared" si="298"/>
        <v>1</v>
      </c>
      <c r="AF592" s="147" t="str">
        <f t="shared" si="299"/>
        <v>0</v>
      </c>
      <c r="AG592" s="147" t="str">
        <f t="shared" si="300"/>
        <v>0</v>
      </c>
      <c r="AH592" s="147" t="str">
        <f t="shared" si="292"/>
        <v>NO</v>
      </c>
      <c r="AI592" s="147" t="str">
        <f t="shared" si="293"/>
        <v>NO</v>
      </c>
      <c r="AJ592" s="147" t="str">
        <f t="shared" si="294"/>
        <v>NO</v>
      </c>
      <c r="AK592" s="147" t="str">
        <f t="shared" si="295"/>
        <v>NO</v>
      </c>
      <c r="AL592" s="21"/>
      <c r="AM592" s="21">
        <f t="shared" ref="AM592:AM600" si="322">IF(H592="Y",AL592,((AB592*$O$902)-6000))</f>
        <v>4400.9399999999987</v>
      </c>
      <c r="AN592" s="27" t="s">
        <v>56</v>
      </c>
      <c r="AO592" s="21">
        <v>1</v>
      </c>
      <c r="AP592" s="21">
        <f t="shared" si="310"/>
        <v>0.328125</v>
      </c>
      <c r="AQ592" s="149">
        <f t="shared" si="314"/>
        <v>1444.0584374999996</v>
      </c>
      <c r="AR592" s="21">
        <v>1444.0584374999996</v>
      </c>
      <c r="AS592" s="610">
        <v>1444.0584374999996</v>
      </c>
      <c r="AT592" s="112">
        <v>1444.0584374999996</v>
      </c>
      <c r="AU592" s="4"/>
      <c r="AV592" s="4"/>
      <c r="AW592" s="23" t="e">
        <f>VLOOKUP(K592,#REF!,8,FALSE)</f>
        <v>#REF!</v>
      </c>
      <c r="AX592" s="23" t="s">
        <v>2256</v>
      </c>
      <c r="AY592" s="23" t="e">
        <f>VLOOKUP(K592,#REF!,8,FALSE)</f>
        <v>#REF!</v>
      </c>
      <c r="AZ592" s="4"/>
      <c r="BA592" s="272"/>
      <c r="BB592" s="313">
        <f t="shared" si="311"/>
        <v>0</v>
      </c>
      <c r="BC592" s="269">
        <f t="shared" si="312"/>
        <v>1444.0584374999996</v>
      </c>
      <c r="BD592" t="e">
        <f t="shared" si="316"/>
        <v>#REF!</v>
      </c>
      <c r="BE592" t="s">
        <v>2394</v>
      </c>
      <c r="BF592">
        <v>43012</v>
      </c>
      <c r="BH592" t="e">
        <f>VLOOKUP(K592,#REF!,8,FALSE)</f>
        <v>#REF!</v>
      </c>
      <c r="BJ592">
        <f>AB592</f>
        <v>22</v>
      </c>
      <c r="BK592" s="269">
        <f>AM592</f>
        <v>4400.9399999999987</v>
      </c>
      <c r="BL592" s="353"/>
      <c r="BM592" s="353" t="s">
        <v>75</v>
      </c>
      <c r="BN592" s="353"/>
      <c r="BO592" s="106">
        <f>BK592/192*127</f>
        <v>2911.038437499999</v>
      </c>
      <c r="BP592" s="166">
        <f t="shared" si="296"/>
        <v>4355.0968749999984</v>
      </c>
      <c r="BS592" s="165"/>
      <c r="BX592" s="495">
        <f t="shared" si="297"/>
        <v>4355.0968749999984</v>
      </c>
      <c r="BZ592" s="636">
        <f t="shared" si="317"/>
        <v>0</v>
      </c>
      <c r="CA592" s="633">
        <f t="shared" si="318"/>
        <v>2911.0384374999985</v>
      </c>
    </row>
    <row r="593" spans="1:79" x14ac:dyDescent="0.2">
      <c r="A593" s="4">
        <v>1</v>
      </c>
      <c r="B593" s="4">
        <v>1</v>
      </c>
      <c r="C593" s="5">
        <f t="shared" si="319"/>
        <v>41130</v>
      </c>
      <c r="D593" s="6">
        <v>41130</v>
      </c>
      <c r="E593" s="121">
        <v>43012</v>
      </c>
      <c r="F593" s="6" t="s">
        <v>1606</v>
      </c>
      <c r="G593" s="7" t="s">
        <v>75</v>
      </c>
      <c r="H593" s="7"/>
      <c r="I593" s="7" t="s">
        <v>32</v>
      </c>
      <c r="J593" s="7"/>
      <c r="K593" s="29">
        <v>404089</v>
      </c>
      <c r="L593" s="10" t="s">
        <v>1280</v>
      </c>
      <c r="M593" s="10" t="s">
        <v>2313</v>
      </c>
      <c r="N593" s="10" t="s">
        <v>2314</v>
      </c>
      <c r="O593" s="11" t="s">
        <v>2315</v>
      </c>
      <c r="P593" s="12">
        <v>41355</v>
      </c>
      <c r="Q593" s="13">
        <f t="shared" ca="1" si="320"/>
        <v>12.503764544832306</v>
      </c>
      <c r="R593" s="14">
        <v>5</v>
      </c>
      <c r="S593" s="15">
        <v>872</v>
      </c>
      <c r="T593" s="8">
        <v>872</v>
      </c>
      <c r="U593" s="16">
        <v>45090</v>
      </c>
      <c r="V593" s="17">
        <v>36</v>
      </c>
      <c r="W593" s="16">
        <v>45382</v>
      </c>
      <c r="X593" s="14">
        <v>192</v>
      </c>
      <c r="Y593" s="18">
        <f t="shared" si="315"/>
        <v>157</v>
      </c>
      <c r="Z593" s="18">
        <f t="shared" si="306"/>
        <v>0.81770833333333337</v>
      </c>
      <c r="AA593" s="18" t="s">
        <v>36</v>
      </c>
      <c r="AB593" s="26">
        <v>28</v>
      </c>
      <c r="AC593" s="26"/>
      <c r="AD593" s="26"/>
      <c r="AE593" s="147" t="str">
        <f t="shared" si="298"/>
        <v>0</v>
      </c>
      <c r="AF593" s="147" t="str">
        <f t="shared" si="299"/>
        <v>1</v>
      </c>
      <c r="AG593" s="147" t="str">
        <f t="shared" si="300"/>
        <v>0</v>
      </c>
      <c r="AH593" s="147" t="str">
        <f t="shared" si="292"/>
        <v>NO</v>
      </c>
      <c r="AI593" s="147" t="str">
        <f t="shared" si="293"/>
        <v>NO</v>
      </c>
      <c r="AJ593" s="147" t="str">
        <f t="shared" si="294"/>
        <v>NO</v>
      </c>
      <c r="AK593" s="147" t="str">
        <f t="shared" si="295"/>
        <v>NO</v>
      </c>
      <c r="AL593" s="21"/>
      <c r="AM593" s="21">
        <f t="shared" si="322"/>
        <v>7237.5599999999995</v>
      </c>
      <c r="AN593" s="27" t="s">
        <v>56</v>
      </c>
      <c r="AO593" s="21">
        <v>1</v>
      </c>
      <c r="AP593" s="21">
        <f t="shared" si="310"/>
        <v>0.81770833333333337</v>
      </c>
      <c r="AQ593" s="149">
        <f t="shared" si="314"/>
        <v>5918.2131250000002</v>
      </c>
      <c r="AR593" s="21">
        <v>5918.2131250000002</v>
      </c>
      <c r="AS593" s="610">
        <v>0</v>
      </c>
      <c r="AT593" s="112">
        <v>0</v>
      </c>
      <c r="AU593" s="4"/>
      <c r="AV593" s="4"/>
      <c r="AW593" s="23"/>
      <c r="AX593" s="23"/>
      <c r="AY593" s="23"/>
      <c r="AZ593" s="4"/>
      <c r="BA593" s="272"/>
      <c r="BB593" s="313">
        <f t="shared" si="311"/>
        <v>5918.2131250000002</v>
      </c>
      <c r="BC593" s="269">
        <f t="shared" si="312"/>
        <v>5918.2131250000002</v>
      </c>
      <c r="BD593" t="str">
        <f t="shared" si="316"/>
        <v/>
      </c>
      <c r="BP593" s="166">
        <f t="shared" si="296"/>
        <v>5918.2131250000002</v>
      </c>
      <c r="BS593" s="165"/>
      <c r="BX593" s="495">
        <f t="shared" si="297"/>
        <v>5918.2131250000002</v>
      </c>
      <c r="BZ593" s="636">
        <f t="shared" si="317"/>
        <v>0</v>
      </c>
      <c r="CA593" s="633">
        <f t="shared" si="318"/>
        <v>5918.2131250000002</v>
      </c>
    </row>
    <row r="594" spans="1:79" x14ac:dyDescent="0.2">
      <c r="A594" s="4">
        <v>1</v>
      </c>
      <c r="B594" s="4">
        <v>1</v>
      </c>
      <c r="C594" s="5">
        <f t="shared" si="319"/>
        <v>41130</v>
      </c>
      <c r="D594" s="6">
        <v>41130</v>
      </c>
      <c r="E594" s="121">
        <v>43012</v>
      </c>
      <c r="F594" s="6" t="s">
        <v>1606</v>
      </c>
      <c r="G594" s="7" t="s">
        <v>75</v>
      </c>
      <c r="H594" s="7"/>
      <c r="I594" s="7" t="s">
        <v>32</v>
      </c>
      <c r="J594" s="7"/>
      <c r="K594" s="29">
        <v>400113</v>
      </c>
      <c r="L594" s="10" t="s">
        <v>1280</v>
      </c>
      <c r="M594" s="10" t="s">
        <v>1286</v>
      </c>
      <c r="N594" s="10" t="s">
        <v>1287</v>
      </c>
      <c r="O594" s="11" t="s">
        <v>1288</v>
      </c>
      <c r="P594" s="12">
        <v>41176</v>
      </c>
      <c r="Q594" s="13">
        <f t="shared" ca="1" si="320"/>
        <v>12.993839835728952</v>
      </c>
      <c r="R594" s="14">
        <v>5</v>
      </c>
      <c r="S594" s="15">
        <v>872</v>
      </c>
      <c r="T594" s="8">
        <v>872</v>
      </c>
      <c r="U594" s="16">
        <v>45017</v>
      </c>
      <c r="V594" s="17">
        <v>1</v>
      </c>
      <c r="W594" s="16">
        <v>45382</v>
      </c>
      <c r="X594" s="14">
        <v>192</v>
      </c>
      <c r="Y594" s="18">
        <f t="shared" si="315"/>
        <v>192</v>
      </c>
      <c r="Z594" s="18">
        <f t="shared" si="306"/>
        <v>1</v>
      </c>
      <c r="AA594" s="18" t="s">
        <v>36</v>
      </c>
      <c r="AB594" s="26">
        <v>24</v>
      </c>
      <c r="AC594" s="26"/>
      <c r="AD594" s="26"/>
      <c r="AE594" s="147" t="str">
        <f t="shared" si="298"/>
        <v>1</v>
      </c>
      <c r="AF594" s="147" t="str">
        <f t="shared" si="299"/>
        <v>0</v>
      </c>
      <c r="AG594" s="147" t="str">
        <f t="shared" si="300"/>
        <v>0</v>
      </c>
      <c r="AH594" s="147" t="str">
        <f t="shared" si="292"/>
        <v>NO</v>
      </c>
      <c r="AI594" s="147" t="str">
        <f t="shared" si="293"/>
        <v>NO</v>
      </c>
      <c r="AJ594" s="147" t="str">
        <f t="shared" si="294"/>
        <v>NO</v>
      </c>
      <c r="AK594" s="147" t="str">
        <f t="shared" si="295"/>
        <v>NO</v>
      </c>
      <c r="AL594" s="21"/>
      <c r="AM594" s="21">
        <f t="shared" si="322"/>
        <v>5346.48</v>
      </c>
      <c r="AN594" s="27" t="s">
        <v>56</v>
      </c>
      <c r="AO594" s="21">
        <v>1</v>
      </c>
      <c r="AP594" s="21">
        <f t="shared" si="310"/>
        <v>1</v>
      </c>
      <c r="AQ594" s="149">
        <f t="shared" si="314"/>
        <v>5346.48</v>
      </c>
      <c r="AR594" s="21">
        <v>5346.48</v>
      </c>
      <c r="AS594" s="610">
        <v>5346.48</v>
      </c>
      <c r="AT594" s="112">
        <v>5346.48</v>
      </c>
      <c r="AU594" s="4"/>
      <c r="AV594" s="4"/>
      <c r="AW594" s="23" t="e">
        <f>VLOOKUP(K594,#REF!,8,FALSE)</f>
        <v>#REF!</v>
      </c>
      <c r="AX594" s="23" t="e">
        <f>VLOOKUP(K594,#REF!,8,FALSE)</f>
        <v>#REF!</v>
      </c>
      <c r="AY594" s="23" t="e">
        <f>VLOOKUP(K594,#REF!,8,FALSE)</f>
        <v>#REF!</v>
      </c>
      <c r="AZ594" s="4"/>
      <c r="BA594" s="272"/>
      <c r="BB594" s="313">
        <f t="shared" si="311"/>
        <v>0</v>
      </c>
      <c r="BC594" s="269">
        <f t="shared" si="312"/>
        <v>5346.48</v>
      </c>
      <c r="BD594" t="str">
        <f t="shared" si="316"/>
        <v/>
      </c>
      <c r="BP594" s="166">
        <f t="shared" si="296"/>
        <v>5346.48</v>
      </c>
      <c r="BS594" s="165"/>
      <c r="BX594" s="495">
        <f t="shared" si="297"/>
        <v>5346.48</v>
      </c>
      <c r="BZ594" s="636">
        <f t="shared" si="317"/>
        <v>0</v>
      </c>
      <c r="CA594" s="633">
        <f t="shared" si="318"/>
        <v>0</v>
      </c>
    </row>
    <row r="595" spans="1:79" x14ac:dyDescent="0.2">
      <c r="A595" s="4">
        <v>1</v>
      </c>
      <c r="B595" s="4">
        <v>1</v>
      </c>
      <c r="C595" s="5">
        <f t="shared" si="319"/>
        <v>41130</v>
      </c>
      <c r="D595" s="6">
        <v>41130</v>
      </c>
      <c r="E595" s="121">
        <v>43012</v>
      </c>
      <c r="F595" s="6" t="s">
        <v>1606</v>
      </c>
      <c r="G595" s="7" t="s">
        <v>75</v>
      </c>
      <c r="H595" s="7"/>
      <c r="I595" s="7" t="s">
        <v>32</v>
      </c>
      <c r="J595" s="7"/>
      <c r="K595" s="29">
        <v>409841</v>
      </c>
      <c r="L595" s="10" t="s">
        <v>1280</v>
      </c>
      <c r="M595" s="10" t="s">
        <v>1289</v>
      </c>
      <c r="N595" s="10" t="s">
        <v>180</v>
      </c>
      <c r="O595" s="11" t="s">
        <v>1290</v>
      </c>
      <c r="P595" s="12">
        <v>41383</v>
      </c>
      <c r="Q595" s="13">
        <f t="shared" ca="1" si="320"/>
        <v>12.427104722792608</v>
      </c>
      <c r="R595" s="14">
        <v>5</v>
      </c>
      <c r="S595" s="15">
        <v>872</v>
      </c>
      <c r="T595" s="8">
        <v>872</v>
      </c>
      <c r="U595" s="16">
        <v>45017</v>
      </c>
      <c r="V595" s="17">
        <v>1</v>
      </c>
      <c r="W595" s="16">
        <v>45382</v>
      </c>
      <c r="X595" s="14">
        <v>192</v>
      </c>
      <c r="Y595" s="18">
        <f t="shared" si="315"/>
        <v>192</v>
      </c>
      <c r="Z595" s="18">
        <f t="shared" si="306"/>
        <v>1</v>
      </c>
      <c r="AA595" s="18" t="s">
        <v>36</v>
      </c>
      <c r="AB595" s="26">
        <v>23</v>
      </c>
      <c r="AC595" s="26"/>
      <c r="AD595" s="26"/>
      <c r="AE595" s="147" t="str">
        <f t="shared" si="298"/>
        <v>1</v>
      </c>
      <c r="AF595" s="147" t="str">
        <f t="shared" si="299"/>
        <v>0</v>
      </c>
      <c r="AG595" s="147" t="str">
        <f t="shared" si="300"/>
        <v>0</v>
      </c>
      <c r="AH595" s="147" t="str">
        <f t="shared" ref="AH595:AH658" si="323">IF(AD595="BAND3","YES","NO")</f>
        <v>NO</v>
      </c>
      <c r="AI595" s="147" t="str">
        <f t="shared" ref="AI595:AI658" si="324">IF(AD595="BAND4","YES","NO")</f>
        <v>NO</v>
      </c>
      <c r="AJ595" s="147" t="str">
        <f t="shared" ref="AJ595:AJ658" si="325">IF(AD595="BAND5","YES","NO")</f>
        <v>NO</v>
      </c>
      <c r="AK595" s="147" t="str">
        <f t="shared" ref="AK595:AK658" si="326">IF(AD595="BAND6","YES","NO")</f>
        <v>NO</v>
      </c>
      <c r="AL595" s="21"/>
      <c r="AM595" s="21">
        <f t="shared" si="322"/>
        <v>4873.7099999999991</v>
      </c>
      <c r="AN595" s="27" t="s">
        <v>185</v>
      </c>
      <c r="AO595" s="21">
        <v>1</v>
      </c>
      <c r="AP595" s="21">
        <f t="shared" si="310"/>
        <v>1</v>
      </c>
      <c r="AQ595" s="149">
        <f t="shared" si="314"/>
        <v>4873.7099999999991</v>
      </c>
      <c r="AR595" s="21">
        <v>4873.7099999999991</v>
      </c>
      <c r="AS595" s="610">
        <v>4873.7099999999991</v>
      </c>
      <c r="AT595" s="112">
        <v>4873.7099999999991</v>
      </c>
      <c r="AU595" s="4"/>
      <c r="AV595" s="4"/>
      <c r="AW595" s="23" t="e">
        <f>VLOOKUP(K595,#REF!,8,FALSE)</f>
        <v>#REF!</v>
      </c>
      <c r="AX595" s="23" t="e">
        <f>VLOOKUP(K595,#REF!,8,FALSE)</f>
        <v>#REF!</v>
      </c>
      <c r="AY595" s="23" t="e">
        <f>VLOOKUP(K595,#REF!,8,FALSE)</f>
        <v>#REF!</v>
      </c>
      <c r="AZ595" s="4"/>
      <c r="BA595" s="272"/>
      <c r="BB595" s="313">
        <f t="shared" si="311"/>
        <v>0</v>
      </c>
      <c r="BC595" s="269">
        <f t="shared" si="312"/>
        <v>4873.7099999999991</v>
      </c>
      <c r="BD595" t="str">
        <f t="shared" si="316"/>
        <v/>
      </c>
      <c r="BP595" s="166">
        <f t="shared" ref="BP595:BP637" si="327">BC595+BO595</f>
        <v>4873.7099999999991</v>
      </c>
      <c r="BS595" s="165"/>
      <c r="BX595" s="495">
        <f t="shared" ref="BX595:BX607" si="328">AQ595+BO595+BU595</f>
        <v>4873.7099999999991</v>
      </c>
      <c r="BZ595" s="636">
        <f t="shared" si="317"/>
        <v>0</v>
      </c>
      <c r="CA595" s="633">
        <f t="shared" si="318"/>
        <v>0</v>
      </c>
    </row>
    <row r="596" spans="1:79" x14ac:dyDescent="0.2">
      <c r="A596" s="4">
        <v>1</v>
      </c>
      <c r="B596" s="4">
        <v>1</v>
      </c>
      <c r="C596" s="5">
        <f t="shared" si="319"/>
        <v>41130</v>
      </c>
      <c r="D596" s="6">
        <v>41130</v>
      </c>
      <c r="E596" s="121">
        <v>43012</v>
      </c>
      <c r="F596" s="6" t="s">
        <v>1606</v>
      </c>
      <c r="G596" s="7" t="s">
        <v>75</v>
      </c>
      <c r="H596" s="7"/>
      <c r="I596" s="7" t="s">
        <v>32</v>
      </c>
      <c r="J596" s="7"/>
      <c r="K596" s="29">
        <v>421632</v>
      </c>
      <c r="L596" s="10" t="s">
        <v>1280</v>
      </c>
      <c r="M596" s="10" t="s">
        <v>506</v>
      </c>
      <c r="N596" s="10" t="s">
        <v>1291</v>
      </c>
      <c r="O596" s="11" t="s">
        <v>1292</v>
      </c>
      <c r="P596" s="12">
        <v>42239</v>
      </c>
      <c r="Q596" s="13">
        <f t="shared" ca="1" si="320"/>
        <v>10.083504449007529</v>
      </c>
      <c r="R596" s="14">
        <v>3</v>
      </c>
      <c r="S596" s="15">
        <v>872</v>
      </c>
      <c r="T596" s="8">
        <v>872</v>
      </c>
      <c r="U596" s="16">
        <v>45049</v>
      </c>
      <c r="V596" s="17">
        <v>12</v>
      </c>
      <c r="W596" s="16">
        <v>45382</v>
      </c>
      <c r="X596" s="14">
        <v>192</v>
      </c>
      <c r="Y596" s="18">
        <f t="shared" si="315"/>
        <v>181</v>
      </c>
      <c r="Z596" s="18">
        <f t="shared" si="306"/>
        <v>0.94270833333333337</v>
      </c>
      <c r="AA596" s="18" t="s">
        <v>36</v>
      </c>
      <c r="AB596" s="26">
        <v>28</v>
      </c>
      <c r="AC596" s="26"/>
      <c r="AD596" s="26"/>
      <c r="AE596" s="147" t="str">
        <f t="shared" si="298"/>
        <v>0</v>
      </c>
      <c r="AF596" s="147" t="str">
        <f t="shared" si="299"/>
        <v>1</v>
      </c>
      <c r="AG596" s="147" t="str">
        <f t="shared" si="300"/>
        <v>0</v>
      </c>
      <c r="AH596" s="147" t="str">
        <f t="shared" si="323"/>
        <v>NO</v>
      </c>
      <c r="AI596" s="147" t="str">
        <f t="shared" si="324"/>
        <v>NO</v>
      </c>
      <c r="AJ596" s="147" t="str">
        <f t="shared" si="325"/>
        <v>NO</v>
      </c>
      <c r="AK596" s="147" t="str">
        <f t="shared" si="326"/>
        <v>NO</v>
      </c>
      <c r="AL596" s="21"/>
      <c r="AM596" s="21">
        <f t="shared" si="322"/>
        <v>7237.5599999999995</v>
      </c>
      <c r="AN596" s="27" t="s">
        <v>43</v>
      </c>
      <c r="AO596" s="21">
        <v>1</v>
      </c>
      <c r="AP596" s="21">
        <f t="shared" si="310"/>
        <v>0.94270833333333337</v>
      </c>
      <c r="AQ596" s="149">
        <f t="shared" si="314"/>
        <v>6822.9081249999999</v>
      </c>
      <c r="AR596" s="21">
        <v>6822.9081249999999</v>
      </c>
      <c r="AS596" s="610">
        <v>0</v>
      </c>
      <c r="AT596" s="112">
        <v>6822.9081249999999</v>
      </c>
      <c r="AU596" s="4"/>
      <c r="AV596" s="4"/>
      <c r="AW596" s="23" t="e">
        <f>VLOOKUP(K596,#REF!,8,FALSE)</f>
        <v>#REF!</v>
      </c>
      <c r="AX596" s="23" t="e">
        <f>VLOOKUP(K596,#REF!,8,FALSE)</f>
        <v>#REF!</v>
      </c>
      <c r="AY596" s="23" t="e">
        <f>VLOOKUP(K596,#REF!,8,FALSE)</f>
        <v>#REF!</v>
      </c>
      <c r="AZ596" s="4"/>
      <c r="BA596" s="272"/>
      <c r="BB596" s="313">
        <f t="shared" si="311"/>
        <v>0</v>
      </c>
      <c r="BC596" s="269">
        <f t="shared" si="312"/>
        <v>6822.9081249999999</v>
      </c>
      <c r="BD596" t="str">
        <f t="shared" si="316"/>
        <v/>
      </c>
      <c r="BP596" s="166">
        <f t="shared" si="327"/>
        <v>6822.9081249999999</v>
      </c>
      <c r="BS596" s="165"/>
      <c r="BX596" s="495">
        <f t="shared" si="328"/>
        <v>6822.9081249999999</v>
      </c>
      <c r="BZ596" s="636">
        <f t="shared" si="317"/>
        <v>0</v>
      </c>
      <c r="CA596" s="633">
        <f t="shared" si="318"/>
        <v>6822.9081249999999</v>
      </c>
    </row>
    <row r="597" spans="1:79" x14ac:dyDescent="0.2">
      <c r="A597" s="4">
        <v>1</v>
      </c>
      <c r="B597" s="4">
        <v>1</v>
      </c>
      <c r="C597" s="5">
        <f t="shared" si="319"/>
        <v>41130</v>
      </c>
      <c r="D597" s="6">
        <v>41130</v>
      </c>
      <c r="E597" s="121">
        <v>43012</v>
      </c>
      <c r="F597" s="6" t="s">
        <v>1606</v>
      </c>
      <c r="G597" s="7" t="s">
        <v>75</v>
      </c>
      <c r="H597" s="7"/>
      <c r="I597" s="7" t="s">
        <v>32</v>
      </c>
      <c r="J597" s="7"/>
      <c r="K597" s="29">
        <v>412167</v>
      </c>
      <c r="L597" s="10" t="s">
        <v>1280</v>
      </c>
      <c r="M597" s="10" t="s">
        <v>1293</v>
      </c>
      <c r="N597" s="10" t="s">
        <v>1294</v>
      </c>
      <c r="O597" s="11" t="s">
        <v>1295</v>
      </c>
      <c r="P597" s="12">
        <v>41775</v>
      </c>
      <c r="Q597" s="13">
        <f t="shared" ca="1" si="320"/>
        <v>11.353867214236825</v>
      </c>
      <c r="R597" s="14">
        <v>4</v>
      </c>
      <c r="S597" s="15">
        <v>872</v>
      </c>
      <c r="T597" s="8">
        <v>872</v>
      </c>
      <c r="U597" s="16">
        <v>45017</v>
      </c>
      <c r="V597" s="17">
        <v>1</v>
      </c>
      <c r="W597" s="16">
        <v>45382</v>
      </c>
      <c r="X597" s="14">
        <v>192</v>
      </c>
      <c r="Y597" s="18">
        <f t="shared" si="315"/>
        <v>192</v>
      </c>
      <c r="Z597" s="18">
        <f t="shared" si="306"/>
        <v>1</v>
      </c>
      <c r="AA597" s="18" t="s">
        <v>36</v>
      </c>
      <c r="AB597" s="26">
        <v>25</v>
      </c>
      <c r="AC597" s="26"/>
      <c r="AD597" s="26"/>
      <c r="AE597" s="147" t="str">
        <f t="shared" si="298"/>
        <v>1</v>
      </c>
      <c r="AF597" s="147" t="str">
        <f t="shared" si="299"/>
        <v>0</v>
      </c>
      <c r="AG597" s="147" t="str">
        <f t="shared" si="300"/>
        <v>0</v>
      </c>
      <c r="AH597" s="147" t="str">
        <f t="shared" si="323"/>
        <v>NO</v>
      </c>
      <c r="AI597" s="147" t="str">
        <f t="shared" si="324"/>
        <v>NO</v>
      </c>
      <c r="AJ597" s="147" t="str">
        <f t="shared" si="325"/>
        <v>NO</v>
      </c>
      <c r="AK597" s="147" t="str">
        <f t="shared" si="326"/>
        <v>NO</v>
      </c>
      <c r="AL597" s="21"/>
      <c r="AM597" s="21">
        <f t="shared" si="322"/>
        <v>5819.25</v>
      </c>
      <c r="AN597" s="27" t="s">
        <v>37</v>
      </c>
      <c r="AO597" s="21">
        <v>1</v>
      </c>
      <c r="AP597" s="21">
        <f t="shared" si="310"/>
        <v>1</v>
      </c>
      <c r="AQ597" s="149">
        <f t="shared" si="314"/>
        <v>5819.25</v>
      </c>
      <c r="AR597" s="21">
        <v>5819.25</v>
      </c>
      <c r="AS597" s="610">
        <v>5819.25</v>
      </c>
      <c r="AT597" s="112">
        <v>5819.25</v>
      </c>
      <c r="AU597" s="4"/>
      <c r="AV597" s="4"/>
      <c r="AW597" s="23" t="e">
        <f>VLOOKUP(K597,#REF!,8,FALSE)</f>
        <v>#REF!</v>
      </c>
      <c r="AX597" s="23" t="e">
        <f>VLOOKUP(K597,#REF!,8,FALSE)</f>
        <v>#REF!</v>
      </c>
      <c r="AY597" s="23" t="e">
        <f>VLOOKUP(K597,#REF!,8,FALSE)</f>
        <v>#REF!</v>
      </c>
      <c r="AZ597" s="4"/>
      <c r="BA597" s="272"/>
      <c r="BB597" s="313">
        <f t="shared" si="311"/>
        <v>0</v>
      </c>
      <c r="BC597" s="269">
        <f t="shared" si="312"/>
        <v>5819.25</v>
      </c>
      <c r="BD597" t="str">
        <f t="shared" si="316"/>
        <v/>
      </c>
      <c r="BP597" s="166">
        <f t="shared" si="327"/>
        <v>5819.25</v>
      </c>
      <c r="BS597" s="165"/>
      <c r="BX597" s="495">
        <f t="shared" si="328"/>
        <v>5819.25</v>
      </c>
      <c r="BZ597" s="636">
        <f t="shared" si="317"/>
        <v>0</v>
      </c>
      <c r="CA597" s="633">
        <f t="shared" si="318"/>
        <v>0</v>
      </c>
    </row>
    <row r="598" spans="1:79" x14ac:dyDescent="0.2">
      <c r="A598" s="4">
        <v>1</v>
      </c>
      <c r="B598" s="4">
        <v>1</v>
      </c>
      <c r="C598" s="5">
        <f t="shared" si="319"/>
        <v>41130</v>
      </c>
      <c r="D598" s="6">
        <v>41130</v>
      </c>
      <c r="E598" s="121">
        <v>43012</v>
      </c>
      <c r="F598" s="6" t="s">
        <v>1606</v>
      </c>
      <c r="G598" s="7" t="s">
        <v>75</v>
      </c>
      <c r="H598" s="7"/>
      <c r="I598" s="7" t="s">
        <v>32</v>
      </c>
      <c r="J598" s="7"/>
      <c r="K598" s="29">
        <v>401957</v>
      </c>
      <c r="L598" s="10" t="s">
        <v>1280</v>
      </c>
      <c r="M598" s="10" t="s">
        <v>1296</v>
      </c>
      <c r="N598" s="10" t="s">
        <v>1297</v>
      </c>
      <c r="O598" s="11" t="s">
        <v>1298</v>
      </c>
      <c r="P598" s="12">
        <v>40935</v>
      </c>
      <c r="Q598" s="13">
        <f t="shared" ca="1" si="320"/>
        <v>13.653661875427789</v>
      </c>
      <c r="R598" s="14">
        <v>6</v>
      </c>
      <c r="S598" s="15">
        <v>872</v>
      </c>
      <c r="T598" s="8">
        <v>872</v>
      </c>
      <c r="U598" s="16">
        <v>45017</v>
      </c>
      <c r="V598" s="17">
        <v>1</v>
      </c>
      <c r="W598" s="16">
        <v>45128</v>
      </c>
      <c r="X598" s="14">
        <v>63</v>
      </c>
      <c r="Y598" s="18">
        <f t="shared" si="315"/>
        <v>63</v>
      </c>
      <c r="Z598" s="18">
        <f t="shared" si="306"/>
        <v>0.328125</v>
      </c>
      <c r="AA598" s="18" t="s">
        <v>48</v>
      </c>
      <c r="AB598" s="26">
        <v>25</v>
      </c>
      <c r="AC598" s="26"/>
      <c r="AD598" s="26"/>
      <c r="AE598" s="147" t="str">
        <f t="shared" si="298"/>
        <v>1</v>
      </c>
      <c r="AF598" s="147" t="str">
        <f t="shared" si="299"/>
        <v>0</v>
      </c>
      <c r="AG598" s="147" t="str">
        <f t="shared" si="300"/>
        <v>0</v>
      </c>
      <c r="AH598" s="147" t="str">
        <f t="shared" si="323"/>
        <v>NO</v>
      </c>
      <c r="AI598" s="147" t="str">
        <f t="shared" si="324"/>
        <v>NO</v>
      </c>
      <c r="AJ598" s="147" t="str">
        <f t="shared" si="325"/>
        <v>NO</v>
      </c>
      <c r="AK598" s="147" t="str">
        <f t="shared" si="326"/>
        <v>NO</v>
      </c>
      <c r="AL598" s="21"/>
      <c r="AM598" s="21">
        <f t="shared" si="322"/>
        <v>5819.25</v>
      </c>
      <c r="AN598" s="27" t="s">
        <v>66</v>
      </c>
      <c r="AO598" s="21">
        <v>1</v>
      </c>
      <c r="AP598" s="21">
        <f t="shared" si="310"/>
        <v>0.328125</v>
      </c>
      <c r="AQ598" s="149">
        <f t="shared" si="314"/>
        <v>1909.44140625</v>
      </c>
      <c r="AR598" s="21">
        <v>1909.44140625</v>
      </c>
      <c r="AS598" s="610">
        <v>1909.44140625</v>
      </c>
      <c r="AT598" s="112">
        <v>1909.44140625</v>
      </c>
      <c r="AU598" s="4"/>
      <c r="AV598" s="4"/>
      <c r="AW598" s="23" t="e">
        <f>VLOOKUP(K598,#REF!,8,FALSE)</f>
        <v>#REF!</v>
      </c>
      <c r="AX598" s="23" t="s">
        <v>2193</v>
      </c>
      <c r="AY598" s="23" t="e">
        <f>VLOOKUP(K598,#REF!,8,FALSE)</f>
        <v>#REF!</v>
      </c>
      <c r="AZ598" s="4"/>
      <c r="BA598" s="272"/>
      <c r="BB598" s="313">
        <f t="shared" si="311"/>
        <v>0</v>
      </c>
      <c r="BC598" s="269">
        <f t="shared" si="312"/>
        <v>1909.44140625</v>
      </c>
      <c r="BD598" t="e">
        <f t="shared" si="316"/>
        <v>#REF!</v>
      </c>
      <c r="BE598" t="s">
        <v>2394</v>
      </c>
      <c r="BF598">
        <v>43012</v>
      </c>
      <c r="BH598" t="e">
        <f>VLOOKUP(K598,#REF!,8,FALSE)</f>
        <v>#REF!</v>
      </c>
      <c r="BJ598">
        <f>AB598</f>
        <v>25</v>
      </c>
      <c r="BK598" s="269">
        <f>AM598</f>
        <v>5819.25</v>
      </c>
      <c r="BL598" s="353"/>
      <c r="BM598" s="353" t="s">
        <v>75</v>
      </c>
      <c r="BN598" s="353"/>
      <c r="BO598" s="106">
        <f>BK598/192*127</f>
        <v>3849.19140625</v>
      </c>
      <c r="BP598" s="166">
        <f t="shared" si="327"/>
        <v>5758.6328125</v>
      </c>
      <c r="BS598" s="165"/>
      <c r="BX598" s="495">
        <f t="shared" si="328"/>
        <v>5758.6328125</v>
      </c>
      <c r="BZ598" s="636">
        <f t="shared" si="317"/>
        <v>0</v>
      </c>
      <c r="CA598" s="633">
        <f t="shared" si="318"/>
        <v>3849.19140625</v>
      </c>
    </row>
    <row r="599" spans="1:79" x14ac:dyDescent="0.2">
      <c r="A599" s="4">
        <v>1</v>
      </c>
      <c r="B599" s="4">
        <v>1</v>
      </c>
      <c r="C599" s="5">
        <f t="shared" si="319"/>
        <v>41130</v>
      </c>
      <c r="D599" s="6">
        <v>41130</v>
      </c>
      <c r="E599" s="121">
        <v>43012</v>
      </c>
      <c r="F599" s="6" t="s">
        <v>1606</v>
      </c>
      <c r="G599" s="7" t="s">
        <v>75</v>
      </c>
      <c r="H599" s="7"/>
      <c r="I599" s="7" t="s">
        <v>32</v>
      </c>
      <c r="J599" s="7"/>
      <c r="K599" s="29">
        <v>417971</v>
      </c>
      <c r="L599" s="10" t="s">
        <v>1280</v>
      </c>
      <c r="M599" s="10" t="s">
        <v>443</v>
      </c>
      <c r="N599" s="10" t="s">
        <v>1299</v>
      </c>
      <c r="O599" s="11" t="s">
        <v>1300</v>
      </c>
      <c r="P599" s="12">
        <v>41784</v>
      </c>
      <c r="Q599" s="13">
        <f t="shared" ca="1" si="320"/>
        <v>11.329226557152635</v>
      </c>
      <c r="R599" s="14">
        <v>4</v>
      </c>
      <c r="S599" s="15">
        <v>872</v>
      </c>
      <c r="T599" s="8">
        <v>872</v>
      </c>
      <c r="U599" s="16">
        <v>45017</v>
      </c>
      <c r="V599" s="17">
        <v>1</v>
      </c>
      <c r="W599" s="16">
        <v>45382</v>
      </c>
      <c r="X599" s="14">
        <v>192</v>
      </c>
      <c r="Y599" s="18">
        <f t="shared" si="315"/>
        <v>192</v>
      </c>
      <c r="Z599" s="18">
        <f t="shared" si="306"/>
        <v>1</v>
      </c>
      <c r="AA599" s="18" t="s">
        <v>36</v>
      </c>
      <c r="AB599" s="26">
        <v>30</v>
      </c>
      <c r="AC599" s="26"/>
      <c r="AD599" s="26"/>
      <c r="AE599" s="147" t="str">
        <f t="shared" si="298"/>
        <v>0</v>
      </c>
      <c r="AF599" s="147" t="str">
        <f t="shared" si="299"/>
        <v>1</v>
      </c>
      <c r="AG599" s="147" t="str">
        <f t="shared" si="300"/>
        <v>0</v>
      </c>
      <c r="AH599" s="147" t="str">
        <f t="shared" si="323"/>
        <v>NO</v>
      </c>
      <c r="AI599" s="147" t="str">
        <f t="shared" si="324"/>
        <v>NO</v>
      </c>
      <c r="AJ599" s="147" t="str">
        <f t="shared" si="325"/>
        <v>NO</v>
      </c>
      <c r="AK599" s="147" t="str">
        <f t="shared" si="326"/>
        <v>NO</v>
      </c>
      <c r="AL599" s="21"/>
      <c r="AM599" s="21">
        <f t="shared" si="322"/>
        <v>8183.0999999999985</v>
      </c>
      <c r="AN599" s="27"/>
      <c r="AO599" s="21">
        <v>1</v>
      </c>
      <c r="AP599" s="21">
        <f t="shared" si="310"/>
        <v>1</v>
      </c>
      <c r="AQ599" s="149">
        <f t="shared" si="314"/>
        <v>8183.0999999999985</v>
      </c>
      <c r="AR599" s="21">
        <v>8183.0999999999985</v>
      </c>
      <c r="AS599" s="610">
        <v>8183.0999999999985</v>
      </c>
      <c r="AT599" s="112">
        <v>8183.0999999999985</v>
      </c>
      <c r="AU599" s="4"/>
      <c r="AV599" s="4"/>
      <c r="AW599" s="23" t="e">
        <f>VLOOKUP(K599,#REF!,8,FALSE)</f>
        <v>#REF!</v>
      </c>
      <c r="AX599" s="23" t="e">
        <f>VLOOKUP(K599,#REF!,8,FALSE)</f>
        <v>#REF!</v>
      </c>
      <c r="AY599" s="23" t="e">
        <f>VLOOKUP(K599,#REF!,8,FALSE)</f>
        <v>#REF!</v>
      </c>
      <c r="AZ599" s="4"/>
      <c r="BA599" s="272"/>
      <c r="BB599" s="313">
        <f t="shared" si="311"/>
        <v>0</v>
      </c>
      <c r="BC599" s="269">
        <f t="shared" si="312"/>
        <v>8183.0999999999985</v>
      </c>
      <c r="BD599" t="str">
        <f t="shared" si="316"/>
        <v/>
      </c>
      <c r="BP599" s="166">
        <f t="shared" si="327"/>
        <v>8183.0999999999985</v>
      </c>
      <c r="BS599" s="165"/>
      <c r="BX599" s="495">
        <f t="shared" si="328"/>
        <v>8183.0999999999985</v>
      </c>
      <c r="BZ599" s="636">
        <f t="shared" si="317"/>
        <v>0</v>
      </c>
      <c r="CA599" s="633">
        <f t="shared" si="318"/>
        <v>0</v>
      </c>
    </row>
    <row r="600" spans="1:79" x14ac:dyDescent="0.2">
      <c r="A600" s="4">
        <v>1</v>
      </c>
      <c r="B600" s="4">
        <v>1</v>
      </c>
      <c r="C600" s="5">
        <f t="shared" si="319"/>
        <v>41130</v>
      </c>
      <c r="D600" s="6">
        <v>41130</v>
      </c>
      <c r="E600" s="121">
        <v>43012</v>
      </c>
      <c r="F600" s="6" t="s">
        <v>1606</v>
      </c>
      <c r="G600" s="7" t="s">
        <v>75</v>
      </c>
      <c r="H600" s="7"/>
      <c r="I600" s="7" t="s">
        <v>32</v>
      </c>
      <c r="J600" s="7"/>
      <c r="K600" s="29">
        <v>400942</v>
      </c>
      <c r="L600" s="10" t="s">
        <v>1280</v>
      </c>
      <c r="M600" s="10" t="s">
        <v>381</v>
      </c>
      <c r="N600" s="10" t="s">
        <v>1301</v>
      </c>
      <c r="O600" s="11" t="s">
        <v>1302</v>
      </c>
      <c r="P600" s="12">
        <v>40813</v>
      </c>
      <c r="Q600" s="13">
        <f t="shared" ca="1" si="320"/>
        <v>13.987679671457906</v>
      </c>
      <c r="R600" s="14">
        <v>6</v>
      </c>
      <c r="S600" s="15">
        <v>872</v>
      </c>
      <c r="T600" s="8">
        <v>872</v>
      </c>
      <c r="U600" s="16">
        <v>45017</v>
      </c>
      <c r="V600" s="17">
        <v>1</v>
      </c>
      <c r="W600" s="16">
        <v>45128</v>
      </c>
      <c r="X600" s="14">
        <v>63</v>
      </c>
      <c r="Y600" s="18">
        <f t="shared" si="315"/>
        <v>63</v>
      </c>
      <c r="Z600" s="18">
        <f t="shared" si="306"/>
        <v>0.328125</v>
      </c>
      <c r="AA600" s="18" t="s">
        <v>48</v>
      </c>
      <c r="AB600" s="26">
        <v>25</v>
      </c>
      <c r="AC600" s="26"/>
      <c r="AD600" s="26"/>
      <c r="AE600" s="147" t="str">
        <f t="shared" ref="AE600:AE663" si="329">IF(AND(AB600&lt;=25,AB600&gt;=20),"1","0")</f>
        <v>1</v>
      </c>
      <c r="AF600" s="147" t="str">
        <f t="shared" ref="AF600:AF663" si="330">IF(AND(AB600&lt;=30,AB600&gt;=26),"1","0")</f>
        <v>0</v>
      </c>
      <c r="AG600" s="147" t="str">
        <f t="shared" ref="AG600:AG663" si="331">IF(AB600&gt;=31,"1","0")</f>
        <v>0</v>
      </c>
      <c r="AH600" s="147" t="str">
        <f t="shared" si="323"/>
        <v>NO</v>
      </c>
      <c r="AI600" s="147" t="str">
        <f t="shared" si="324"/>
        <v>NO</v>
      </c>
      <c r="AJ600" s="147" t="str">
        <f t="shared" si="325"/>
        <v>NO</v>
      </c>
      <c r="AK600" s="147" t="str">
        <f t="shared" si="326"/>
        <v>NO</v>
      </c>
      <c r="AL600" s="21"/>
      <c r="AM600" s="21">
        <f t="shared" si="322"/>
        <v>5819.25</v>
      </c>
      <c r="AN600" s="27" t="s">
        <v>56</v>
      </c>
      <c r="AO600" s="21">
        <v>1</v>
      </c>
      <c r="AP600" s="21">
        <f t="shared" ref="AP600:AP631" si="332">AO600*Z600</f>
        <v>0.328125</v>
      </c>
      <c r="AQ600" s="149">
        <f t="shared" si="314"/>
        <v>1909.44140625</v>
      </c>
      <c r="AR600" s="21">
        <v>1909.44140625</v>
      </c>
      <c r="AS600" s="610">
        <v>1909.44140625</v>
      </c>
      <c r="AT600" s="112">
        <v>1909.44140625</v>
      </c>
      <c r="AU600" s="4"/>
      <c r="AV600" s="4"/>
      <c r="AW600" s="23" t="e">
        <f>VLOOKUP(K600,#REF!,8,FALSE)</f>
        <v>#REF!</v>
      </c>
      <c r="AX600" s="23" t="s">
        <v>2193</v>
      </c>
      <c r="AY600" s="23" t="e">
        <f>VLOOKUP(K600,#REF!,8,FALSE)</f>
        <v>#REF!</v>
      </c>
      <c r="AZ600" s="4"/>
      <c r="BA600" s="272"/>
      <c r="BB600" s="313">
        <f t="shared" si="311"/>
        <v>0</v>
      </c>
      <c r="BC600" s="269">
        <f t="shared" si="312"/>
        <v>1909.44140625</v>
      </c>
      <c r="BD600" t="e">
        <f t="shared" si="316"/>
        <v>#REF!</v>
      </c>
      <c r="BE600" t="s">
        <v>2394</v>
      </c>
      <c r="BF600">
        <v>43012</v>
      </c>
      <c r="BH600" t="e">
        <f>VLOOKUP(K600,#REF!,8,FALSE)</f>
        <v>#REF!</v>
      </c>
      <c r="BJ600">
        <f>AB600</f>
        <v>25</v>
      </c>
      <c r="BK600" s="269">
        <f>AM600</f>
        <v>5819.25</v>
      </c>
      <c r="BL600" s="353"/>
      <c r="BM600" s="353" t="s">
        <v>75</v>
      </c>
      <c r="BN600" s="353"/>
      <c r="BO600" s="106">
        <f>BK600/192*127</f>
        <v>3849.19140625</v>
      </c>
      <c r="BP600" s="166">
        <f t="shared" si="327"/>
        <v>5758.6328125</v>
      </c>
      <c r="BS600" s="165"/>
      <c r="BX600" s="495">
        <f t="shared" si="328"/>
        <v>5758.6328125</v>
      </c>
      <c r="BZ600" s="636">
        <f t="shared" si="317"/>
        <v>0</v>
      </c>
      <c r="CA600" s="633">
        <f t="shared" si="318"/>
        <v>3849.19140625</v>
      </c>
    </row>
    <row r="601" spans="1:79" x14ac:dyDescent="0.2">
      <c r="A601" s="4">
        <v>1</v>
      </c>
      <c r="B601" s="4">
        <v>1</v>
      </c>
      <c r="C601" s="5">
        <f t="shared" si="319"/>
        <v>41131</v>
      </c>
      <c r="D601" s="6">
        <v>41131</v>
      </c>
      <c r="E601" s="6">
        <v>43011</v>
      </c>
      <c r="F601" s="6" t="s">
        <v>1606</v>
      </c>
      <c r="G601" s="7"/>
      <c r="H601" s="7"/>
      <c r="I601" s="7" t="s">
        <v>32</v>
      </c>
      <c r="J601" s="7"/>
      <c r="K601" s="29">
        <v>411483</v>
      </c>
      <c r="L601" s="10" t="s">
        <v>1303</v>
      </c>
      <c r="M601" s="10" t="s">
        <v>1304</v>
      </c>
      <c r="N601" s="10" t="s">
        <v>1305</v>
      </c>
      <c r="O601" s="25" t="s">
        <v>1306</v>
      </c>
      <c r="P601" s="12">
        <v>41219</v>
      </c>
      <c r="Q601" s="13">
        <f t="shared" ca="1" si="320"/>
        <v>12.876112251882272</v>
      </c>
      <c r="R601" s="14">
        <v>5</v>
      </c>
      <c r="S601" s="15">
        <v>872</v>
      </c>
      <c r="T601" s="8">
        <v>872</v>
      </c>
      <c r="U601" s="16">
        <v>45017</v>
      </c>
      <c r="V601" s="17">
        <v>1</v>
      </c>
      <c r="W601" s="16">
        <v>45382</v>
      </c>
      <c r="X601" s="14">
        <v>192</v>
      </c>
      <c r="Y601" s="18">
        <f t="shared" si="315"/>
        <v>192</v>
      </c>
      <c r="Z601" s="18">
        <f t="shared" si="306"/>
        <v>1</v>
      </c>
      <c r="AA601" s="18" t="s">
        <v>36</v>
      </c>
      <c r="AB601" s="26">
        <v>11841.45</v>
      </c>
      <c r="AC601" s="26"/>
      <c r="AD601" s="26"/>
      <c r="AE601" s="147" t="str">
        <f t="shared" si="329"/>
        <v>0</v>
      </c>
      <c r="AF601" s="147" t="str">
        <f t="shared" si="330"/>
        <v>0</v>
      </c>
      <c r="AG601" s="147" t="str">
        <f t="shared" si="331"/>
        <v>1</v>
      </c>
      <c r="AH601" s="147" t="str">
        <f t="shared" si="323"/>
        <v>NO</v>
      </c>
      <c r="AI601" s="147" t="str">
        <f t="shared" si="324"/>
        <v>NO</v>
      </c>
      <c r="AJ601" s="147" t="str">
        <f t="shared" si="325"/>
        <v>NO</v>
      </c>
      <c r="AK601" s="147" t="str">
        <f t="shared" si="326"/>
        <v>NO</v>
      </c>
      <c r="AL601" s="21"/>
      <c r="AM601" s="21">
        <v>11841.45</v>
      </c>
      <c r="AN601" s="27" t="s">
        <v>56</v>
      </c>
      <c r="AO601" s="21">
        <v>1</v>
      </c>
      <c r="AP601" s="21">
        <f t="shared" si="332"/>
        <v>1</v>
      </c>
      <c r="AQ601" s="149">
        <f t="shared" si="314"/>
        <v>11841.45</v>
      </c>
      <c r="AR601" s="21">
        <v>11841.45</v>
      </c>
      <c r="AS601" s="610">
        <v>11841.45</v>
      </c>
      <c r="AT601" s="112">
        <v>11841.45</v>
      </c>
      <c r="AU601" s="4"/>
      <c r="AV601" s="4"/>
      <c r="AW601" s="23" t="e">
        <f>VLOOKUP(K601,#REF!,8,FALSE)</f>
        <v>#REF!</v>
      </c>
      <c r="AX601" s="23" t="e">
        <f>VLOOKUP(K601,#REF!,8,FALSE)</f>
        <v>#REF!</v>
      </c>
      <c r="AY601" s="23" t="e">
        <f>VLOOKUP(K601,#REF!,8,FALSE)</f>
        <v>#REF!</v>
      </c>
      <c r="AZ601" s="4"/>
      <c r="BA601" s="272"/>
      <c r="BB601" s="313">
        <f t="shared" si="311"/>
        <v>0</v>
      </c>
      <c r="BC601" s="269">
        <f t="shared" si="312"/>
        <v>11841.45</v>
      </c>
      <c r="BD601" t="str">
        <f t="shared" si="316"/>
        <v/>
      </c>
      <c r="BP601" s="166">
        <f t="shared" si="327"/>
        <v>11841.45</v>
      </c>
      <c r="BS601" s="165"/>
      <c r="BX601" s="495">
        <f t="shared" si="328"/>
        <v>11841.45</v>
      </c>
      <c r="BZ601" s="636">
        <f t="shared" si="317"/>
        <v>0</v>
      </c>
      <c r="CA601" s="633">
        <f t="shared" si="318"/>
        <v>0</v>
      </c>
    </row>
    <row r="602" spans="1:79" x14ac:dyDescent="0.2">
      <c r="A602" s="4">
        <v>1</v>
      </c>
      <c r="B602" s="4">
        <v>1</v>
      </c>
      <c r="C602" s="5">
        <f t="shared" si="319"/>
        <v>41131</v>
      </c>
      <c r="D602" s="6">
        <v>41131</v>
      </c>
      <c r="E602" s="6">
        <v>43011</v>
      </c>
      <c r="F602" s="6" t="s">
        <v>1606</v>
      </c>
      <c r="G602" s="7"/>
      <c r="H602" s="7"/>
      <c r="I602" s="7" t="s">
        <v>32</v>
      </c>
      <c r="J602" s="7"/>
      <c r="K602" s="29">
        <v>415633</v>
      </c>
      <c r="L602" s="10" t="s">
        <v>1303</v>
      </c>
      <c r="M602" s="10" t="s">
        <v>1307</v>
      </c>
      <c r="N602" s="10" t="s">
        <v>1308</v>
      </c>
      <c r="O602" s="25" t="s">
        <v>1309</v>
      </c>
      <c r="P602" s="12">
        <v>41810</v>
      </c>
      <c r="Q602" s="13">
        <f t="shared" ca="1" si="320"/>
        <v>11.2580424366872</v>
      </c>
      <c r="R602" s="14">
        <v>4</v>
      </c>
      <c r="S602" s="15">
        <v>872</v>
      </c>
      <c r="T602" s="8">
        <v>872</v>
      </c>
      <c r="U602" s="16">
        <v>45017</v>
      </c>
      <c r="V602" s="17">
        <v>1</v>
      </c>
      <c r="W602" s="16">
        <v>45382</v>
      </c>
      <c r="X602" s="14">
        <v>192</v>
      </c>
      <c r="Y602" s="18">
        <f t="shared" si="315"/>
        <v>192</v>
      </c>
      <c r="Z602" s="18">
        <f t="shared" si="306"/>
        <v>1</v>
      </c>
      <c r="AA602" s="18" t="s">
        <v>36</v>
      </c>
      <c r="AB602" s="26">
        <v>30</v>
      </c>
      <c r="AC602" s="26"/>
      <c r="AD602" s="26"/>
      <c r="AE602" s="147" t="str">
        <f t="shared" si="329"/>
        <v>0</v>
      </c>
      <c r="AF602" s="147" t="str">
        <f t="shared" si="330"/>
        <v>1</v>
      </c>
      <c r="AG602" s="147" t="str">
        <f t="shared" si="331"/>
        <v>0</v>
      </c>
      <c r="AH602" s="147" t="str">
        <f t="shared" si="323"/>
        <v>NO</v>
      </c>
      <c r="AI602" s="147" t="str">
        <f t="shared" si="324"/>
        <v>NO</v>
      </c>
      <c r="AJ602" s="147" t="str">
        <f t="shared" si="325"/>
        <v>NO</v>
      </c>
      <c r="AK602" s="147" t="str">
        <f t="shared" si="326"/>
        <v>NO</v>
      </c>
      <c r="AL602" s="21"/>
      <c r="AM602" s="21">
        <f>IF(H602="Y",AL602,((AB602*$O$902)-6000))</f>
        <v>8183.0999999999985</v>
      </c>
      <c r="AN602" s="27" t="s">
        <v>37</v>
      </c>
      <c r="AO602" s="21">
        <v>1</v>
      </c>
      <c r="AP602" s="21">
        <f t="shared" si="332"/>
        <v>1</v>
      </c>
      <c r="AQ602" s="149">
        <f t="shared" si="314"/>
        <v>8183.0999999999985</v>
      </c>
      <c r="AR602" s="21">
        <v>8183.0999999999985</v>
      </c>
      <c r="AS602" s="610">
        <v>8183.0999999999985</v>
      </c>
      <c r="AT602" s="112">
        <v>8183.0999999999985</v>
      </c>
      <c r="AU602" s="4"/>
      <c r="AV602" s="4"/>
      <c r="AW602" s="23" t="e">
        <f>VLOOKUP(K602,#REF!,8,FALSE)</f>
        <v>#REF!</v>
      </c>
      <c r="AX602" s="23" t="e">
        <f>VLOOKUP(K602,#REF!,8,FALSE)</f>
        <v>#REF!</v>
      </c>
      <c r="AY602" s="23" t="e">
        <f>VLOOKUP(K602,#REF!,8,FALSE)</f>
        <v>#REF!</v>
      </c>
      <c r="AZ602" s="4"/>
      <c r="BA602" s="272"/>
      <c r="BB602" s="313">
        <f t="shared" ref="BB602:BB607" si="333">BC602-AT602</f>
        <v>0</v>
      </c>
      <c r="BC602" s="269">
        <f t="shared" ref="BC602:BC607" si="334">AR602</f>
        <v>8183.0999999999985</v>
      </c>
      <c r="BD602" t="str">
        <f t="shared" si="316"/>
        <v/>
      </c>
      <c r="BP602" s="166">
        <f t="shared" si="327"/>
        <v>8183.0999999999985</v>
      </c>
      <c r="BS602" s="165"/>
      <c r="BX602" s="495">
        <f t="shared" si="328"/>
        <v>8183.0999999999985</v>
      </c>
      <c r="BZ602" s="636">
        <f t="shared" si="317"/>
        <v>0</v>
      </c>
      <c r="CA602" s="633">
        <f t="shared" si="318"/>
        <v>0</v>
      </c>
    </row>
    <row r="603" spans="1:79" x14ac:dyDescent="0.2">
      <c r="A603" s="4">
        <v>1</v>
      </c>
      <c r="B603" s="4">
        <v>1</v>
      </c>
      <c r="C603" s="5">
        <f t="shared" si="319"/>
        <v>41131</v>
      </c>
      <c r="D603" s="6">
        <v>41131</v>
      </c>
      <c r="E603" s="6">
        <v>43011</v>
      </c>
      <c r="F603" s="6" t="s">
        <v>1606</v>
      </c>
      <c r="G603" s="7"/>
      <c r="H603" s="7"/>
      <c r="I603" s="7" t="s">
        <v>32</v>
      </c>
      <c r="J603" s="7"/>
      <c r="K603" s="29">
        <v>431819</v>
      </c>
      <c r="L603" s="10" t="s">
        <v>1303</v>
      </c>
      <c r="M603" s="10" t="s">
        <v>1310</v>
      </c>
      <c r="N603" s="10" t="s">
        <v>1311</v>
      </c>
      <c r="O603" s="25" t="s">
        <v>1312</v>
      </c>
      <c r="P603" s="12">
        <v>42639</v>
      </c>
      <c r="Q603" s="13">
        <f t="shared" ca="1" si="320"/>
        <v>8.988364134154688</v>
      </c>
      <c r="R603" s="14">
        <v>1</v>
      </c>
      <c r="S603" s="15">
        <v>872</v>
      </c>
      <c r="T603" s="8">
        <v>872</v>
      </c>
      <c r="U603" s="16">
        <v>45017</v>
      </c>
      <c r="V603" s="17">
        <v>1</v>
      </c>
      <c r="W603" s="16">
        <v>45382</v>
      </c>
      <c r="X603" s="14">
        <v>192</v>
      </c>
      <c r="Y603" s="18">
        <f t="shared" si="315"/>
        <v>192</v>
      </c>
      <c r="Z603" s="18">
        <f t="shared" si="306"/>
        <v>1</v>
      </c>
      <c r="AA603" s="18" t="s">
        <v>36</v>
      </c>
      <c r="AB603" s="26">
        <v>8901.0400000000009</v>
      </c>
      <c r="AC603" s="26"/>
      <c r="AD603" s="26"/>
      <c r="AE603" s="147" t="str">
        <f t="shared" si="329"/>
        <v>0</v>
      </c>
      <c r="AF603" s="147" t="str">
        <f t="shared" si="330"/>
        <v>0</v>
      </c>
      <c r="AG603" s="147" t="str">
        <f t="shared" si="331"/>
        <v>1</v>
      </c>
      <c r="AH603" s="147" t="str">
        <f t="shared" si="323"/>
        <v>NO</v>
      </c>
      <c r="AI603" s="147" t="str">
        <f t="shared" si="324"/>
        <v>NO</v>
      </c>
      <c r="AJ603" s="147" t="str">
        <f t="shared" si="325"/>
        <v>NO</v>
      </c>
      <c r="AK603" s="147" t="str">
        <f t="shared" si="326"/>
        <v>NO</v>
      </c>
      <c r="AL603" s="21"/>
      <c r="AM603" s="21">
        <v>8901.0400000000009</v>
      </c>
      <c r="AN603" s="27" t="s">
        <v>56</v>
      </c>
      <c r="AO603" s="21">
        <v>1</v>
      </c>
      <c r="AP603" s="21">
        <f t="shared" si="332"/>
        <v>1</v>
      </c>
      <c r="AQ603" s="149">
        <f t="shared" si="314"/>
        <v>8901.0400000000009</v>
      </c>
      <c r="AR603" s="21">
        <v>8901.0400000000009</v>
      </c>
      <c r="AS603" s="610">
        <v>8901.0400000000009</v>
      </c>
      <c r="AT603" s="112">
        <v>8901.0400000000009</v>
      </c>
      <c r="AU603" s="4"/>
      <c r="AV603" s="4"/>
      <c r="AW603" s="23" t="e">
        <f>VLOOKUP(K603,#REF!,8,FALSE)</f>
        <v>#REF!</v>
      </c>
      <c r="AX603" s="23" t="e">
        <f>VLOOKUP(K603,#REF!,8,FALSE)</f>
        <v>#REF!</v>
      </c>
      <c r="AY603" s="23" t="e">
        <f>VLOOKUP(K603,#REF!,8,FALSE)</f>
        <v>#REF!</v>
      </c>
      <c r="AZ603" s="4"/>
      <c r="BA603" s="272"/>
      <c r="BB603" s="313">
        <f t="shared" si="333"/>
        <v>0</v>
      </c>
      <c r="BC603" s="269">
        <f t="shared" si="334"/>
        <v>8901.0400000000009</v>
      </c>
      <c r="BD603" t="str">
        <f t="shared" si="316"/>
        <v/>
      </c>
      <c r="BP603" s="166">
        <f t="shared" si="327"/>
        <v>8901.0400000000009</v>
      </c>
      <c r="BS603" s="165"/>
      <c r="BX603" s="495">
        <f t="shared" si="328"/>
        <v>8901.0400000000009</v>
      </c>
      <c r="BZ603" s="636">
        <f t="shared" si="317"/>
        <v>0</v>
      </c>
      <c r="CA603" s="633">
        <f t="shared" si="318"/>
        <v>0</v>
      </c>
    </row>
    <row r="604" spans="1:79" x14ac:dyDescent="0.2">
      <c r="A604" s="4">
        <v>1</v>
      </c>
      <c r="B604" s="4">
        <v>1</v>
      </c>
      <c r="C604" s="5">
        <f t="shared" si="319"/>
        <v>41131</v>
      </c>
      <c r="D604" s="6">
        <v>41131</v>
      </c>
      <c r="E604" s="6">
        <v>43011</v>
      </c>
      <c r="F604" s="6" t="s">
        <v>1606</v>
      </c>
      <c r="G604" s="7"/>
      <c r="H604" s="7"/>
      <c r="I604" s="7" t="s">
        <v>32</v>
      </c>
      <c r="J604" s="7"/>
      <c r="K604" s="29">
        <v>434883</v>
      </c>
      <c r="L604" s="10" t="s">
        <v>1303</v>
      </c>
      <c r="M604" s="10" t="s">
        <v>1313</v>
      </c>
      <c r="N604" s="10" t="s">
        <v>1314</v>
      </c>
      <c r="O604" s="25" t="str">
        <f>M604&amp;N604</f>
        <v>BradleyNorriss</v>
      </c>
      <c r="P604" s="12">
        <v>42717</v>
      </c>
      <c r="Q604" s="13">
        <f t="shared" ca="1" si="320"/>
        <v>8.774811772758385</v>
      </c>
      <c r="R604" s="14">
        <v>1</v>
      </c>
      <c r="S604" s="15">
        <v>872</v>
      </c>
      <c r="T604" s="8">
        <v>872</v>
      </c>
      <c r="U604" s="16">
        <v>45017</v>
      </c>
      <c r="V604" s="17">
        <v>1</v>
      </c>
      <c r="W604" s="16">
        <v>45382</v>
      </c>
      <c r="X604" s="14">
        <v>192</v>
      </c>
      <c r="Y604" s="18">
        <f t="shared" si="315"/>
        <v>192</v>
      </c>
      <c r="Z604" s="18">
        <f t="shared" si="306"/>
        <v>1</v>
      </c>
      <c r="AA604" s="18" t="s">
        <v>36</v>
      </c>
      <c r="AB604" s="26">
        <v>28</v>
      </c>
      <c r="AC604" s="26"/>
      <c r="AD604" s="26"/>
      <c r="AE604" s="147" t="str">
        <f t="shared" si="329"/>
        <v>0</v>
      </c>
      <c r="AF604" s="147" t="str">
        <f t="shared" si="330"/>
        <v>1</v>
      </c>
      <c r="AG604" s="147" t="str">
        <f t="shared" si="331"/>
        <v>0</v>
      </c>
      <c r="AH604" s="147" t="str">
        <f t="shared" si="323"/>
        <v>NO</v>
      </c>
      <c r="AI604" s="147" t="str">
        <f t="shared" si="324"/>
        <v>NO</v>
      </c>
      <c r="AJ604" s="147" t="str">
        <f t="shared" si="325"/>
        <v>NO</v>
      </c>
      <c r="AK604" s="147" t="str">
        <f t="shared" si="326"/>
        <v>NO</v>
      </c>
      <c r="AL604" s="21"/>
      <c r="AM604" s="21">
        <f>IF(H604="Y",AL604,((AB604*$O$902)-6000))</f>
        <v>7237.5599999999995</v>
      </c>
      <c r="AN604" s="27" t="s">
        <v>43</v>
      </c>
      <c r="AO604" s="21">
        <v>1</v>
      </c>
      <c r="AP604" s="21">
        <f t="shared" si="332"/>
        <v>1</v>
      </c>
      <c r="AQ604" s="149">
        <f t="shared" si="314"/>
        <v>7237.5599999999995</v>
      </c>
      <c r="AR604" s="21">
        <v>7237.5599999999995</v>
      </c>
      <c r="AS604" s="610">
        <v>7237.5599999999995</v>
      </c>
      <c r="AT604" s="112">
        <v>7237.5599999999995</v>
      </c>
      <c r="AU604" s="4"/>
      <c r="AV604" s="4"/>
      <c r="AW604" s="23" t="e">
        <f>VLOOKUP(K604,#REF!,8,FALSE)</f>
        <v>#REF!</v>
      </c>
      <c r="AX604" s="23" t="e">
        <f>VLOOKUP(K604,#REF!,8,FALSE)</f>
        <v>#REF!</v>
      </c>
      <c r="AY604" s="23" t="e">
        <f>VLOOKUP(K604,#REF!,8,FALSE)</f>
        <v>#REF!</v>
      </c>
      <c r="AZ604" s="4"/>
      <c r="BA604" s="272"/>
      <c r="BB604" s="313">
        <f t="shared" si="333"/>
        <v>0</v>
      </c>
      <c r="BC604" s="269">
        <f t="shared" si="334"/>
        <v>7237.5599999999995</v>
      </c>
      <c r="BD604" t="str">
        <f t="shared" si="316"/>
        <v/>
      </c>
      <c r="BP604" s="166">
        <f t="shared" si="327"/>
        <v>7237.5599999999995</v>
      </c>
      <c r="BS604" s="165"/>
      <c r="BX604" s="495">
        <f t="shared" si="328"/>
        <v>7237.5599999999995</v>
      </c>
      <c r="BZ604" s="636">
        <f t="shared" si="317"/>
        <v>0</v>
      </c>
      <c r="CA604" s="633">
        <f t="shared" si="318"/>
        <v>0</v>
      </c>
    </row>
    <row r="605" spans="1:79" x14ac:dyDescent="0.2">
      <c r="A605" s="4">
        <v>0</v>
      </c>
      <c r="B605" s="4">
        <v>1</v>
      </c>
      <c r="C605" s="5">
        <f t="shared" si="319"/>
        <v>41131</v>
      </c>
      <c r="D605" s="6">
        <v>41131</v>
      </c>
      <c r="E605" s="6">
        <v>43011</v>
      </c>
      <c r="F605" s="6" t="s">
        <v>1606</v>
      </c>
      <c r="G605" s="7"/>
      <c r="H605" s="7"/>
      <c r="I605" s="7" t="s">
        <v>32</v>
      </c>
      <c r="J605" s="7" t="s">
        <v>192</v>
      </c>
      <c r="K605" s="29">
        <v>434883</v>
      </c>
      <c r="L605" s="10" t="s">
        <v>1303</v>
      </c>
      <c r="M605" s="10" t="s">
        <v>1313</v>
      </c>
      <c r="N605" s="10" t="s">
        <v>1314</v>
      </c>
      <c r="O605" s="25" t="str">
        <f>M605&amp;N605</f>
        <v>BradleyNorriss</v>
      </c>
      <c r="P605" s="12">
        <v>42717</v>
      </c>
      <c r="Q605" s="13">
        <f t="shared" ca="1" si="320"/>
        <v>8.774811772758385</v>
      </c>
      <c r="R605" s="14">
        <v>1</v>
      </c>
      <c r="S605" s="15">
        <v>872</v>
      </c>
      <c r="T605" s="8">
        <v>872</v>
      </c>
      <c r="U605" s="16">
        <v>45017</v>
      </c>
      <c r="V605" s="17">
        <v>1</v>
      </c>
      <c r="W605" s="16">
        <v>45017</v>
      </c>
      <c r="X605" s="14">
        <v>0</v>
      </c>
      <c r="Y605" s="18">
        <f t="shared" si="315"/>
        <v>0</v>
      </c>
      <c r="Z605" s="18">
        <v>1</v>
      </c>
      <c r="AA605" s="16">
        <v>45017</v>
      </c>
      <c r="AB605" s="26">
        <v>12315</v>
      </c>
      <c r="AC605" s="26"/>
      <c r="AD605" s="26"/>
      <c r="AE605" s="147" t="str">
        <f t="shared" si="329"/>
        <v>0</v>
      </c>
      <c r="AF605" s="147" t="str">
        <f t="shared" si="330"/>
        <v>0</v>
      </c>
      <c r="AG605" s="147" t="str">
        <f t="shared" si="331"/>
        <v>1</v>
      </c>
      <c r="AH605" s="147" t="str">
        <f t="shared" si="323"/>
        <v>NO</v>
      </c>
      <c r="AI605" s="147" t="str">
        <f t="shared" si="324"/>
        <v>NO</v>
      </c>
      <c r="AJ605" s="147" t="str">
        <f t="shared" si="325"/>
        <v>NO</v>
      </c>
      <c r="AK605" s="147" t="str">
        <f t="shared" si="326"/>
        <v>NO</v>
      </c>
      <c r="AL605" s="21"/>
      <c r="AM605" s="21">
        <v>12315</v>
      </c>
      <c r="AN605" s="27" t="s">
        <v>43</v>
      </c>
      <c r="AO605" s="21">
        <v>1</v>
      </c>
      <c r="AP605" s="21">
        <f t="shared" si="332"/>
        <v>1</v>
      </c>
      <c r="AQ605" s="149">
        <f t="shared" si="314"/>
        <v>12315</v>
      </c>
      <c r="AR605" s="21">
        <v>12315</v>
      </c>
      <c r="AS605" s="610">
        <v>0</v>
      </c>
      <c r="AT605" s="112">
        <v>12315</v>
      </c>
      <c r="AU605" s="4"/>
      <c r="AV605" s="4"/>
      <c r="AW605" s="23" t="e">
        <f>VLOOKUP(K605,#REF!,8,FALSE)</f>
        <v>#REF!</v>
      </c>
      <c r="AX605" s="23" t="e">
        <f>VLOOKUP(K605,#REF!,8,FALSE)</f>
        <v>#REF!</v>
      </c>
      <c r="AY605" s="23" t="e">
        <f>VLOOKUP(K605,#REF!,8,FALSE)</f>
        <v>#REF!</v>
      </c>
      <c r="AZ605" s="4"/>
      <c r="BA605" s="272"/>
      <c r="BB605" s="313">
        <f t="shared" si="333"/>
        <v>0</v>
      </c>
      <c r="BC605" s="269">
        <f t="shared" si="334"/>
        <v>12315</v>
      </c>
      <c r="BD605" t="str">
        <f t="shared" si="316"/>
        <v/>
      </c>
      <c r="BP605" s="166">
        <f t="shared" si="327"/>
        <v>12315</v>
      </c>
      <c r="BS605" s="165"/>
      <c r="BX605" s="495">
        <f t="shared" si="328"/>
        <v>12315</v>
      </c>
      <c r="BZ605" s="636">
        <f t="shared" si="317"/>
        <v>0</v>
      </c>
      <c r="CA605" s="633">
        <f t="shared" si="318"/>
        <v>12315</v>
      </c>
    </row>
    <row r="606" spans="1:79" x14ac:dyDescent="0.2">
      <c r="A606" s="4">
        <v>0</v>
      </c>
      <c r="B606" s="4">
        <v>1</v>
      </c>
      <c r="C606" s="5">
        <f t="shared" si="319"/>
        <v>41131</v>
      </c>
      <c r="D606" s="6">
        <v>41131</v>
      </c>
      <c r="E606" s="6">
        <v>43011</v>
      </c>
      <c r="F606" s="6" t="s">
        <v>1606</v>
      </c>
      <c r="G606" s="7"/>
      <c r="H606" s="7"/>
      <c r="I606" s="7" t="s">
        <v>32</v>
      </c>
      <c r="J606" s="7" t="s">
        <v>142</v>
      </c>
      <c r="K606" s="29">
        <v>434883</v>
      </c>
      <c r="L606" s="10" t="s">
        <v>1303</v>
      </c>
      <c r="M606" s="10" t="s">
        <v>1313</v>
      </c>
      <c r="N606" s="10" t="s">
        <v>1314</v>
      </c>
      <c r="O606" s="25" t="str">
        <f>M606&amp;N606</f>
        <v>BradleyNorriss</v>
      </c>
      <c r="P606" s="12">
        <v>42717</v>
      </c>
      <c r="Q606" s="13">
        <f t="shared" ca="1" si="320"/>
        <v>8.774811772758385</v>
      </c>
      <c r="R606" s="14">
        <v>1</v>
      </c>
      <c r="S606" s="15">
        <v>872</v>
      </c>
      <c r="T606" s="8">
        <v>872</v>
      </c>
      <c r="U606" s="16">
        <v>45017</v>
      </c>
      <c r="V606" s="17">
        <v>1</v>
      </c>
      <c r="W606" s="16">
        <v>45128</v>
      </c>
      <c r="X606" s="14">
        <v>63</v>
      </c>
      <c r="Y606" s="18">
        <f t="shared" si="315"/>
        <v>63</v>
      </c>
      <c r="Z606" s="18">
        <v>1</v>
      </c>
      <c r="AA606" s="16">
        <v>45128</v>
      </c>
      <c r="AB606" s="26">
        <v>9674.7999999999993</v>
      </c>
      <c r="AC606" s="26"/>
      <c r="AD606" s="26"/>
      <c r="AE606" s="147" t="str">
        <f t="shared" si="329"/>
        <v>0</v>
      </c>
      <c r="AF606" s="147" t="str">
        <f t="shared" si="330"/>
        <v>0</v>
      </c>
      <c r="AG606" s="147" t="str">
        <f t="shared" si="331"/>
        <v>1</v>
      </c>
      <c r="AH606" s="147" t="str">
        <f t="shared" si="323"/>
        <v>NO</v>
      </c>
      <c r="AI606" s="147" t="str">
        <f t="shared" si="324"/>
        <v>NO</v>
      </c>
      <c r="AJ606" s="147" t="str">
        <f t="shared" si="325"/>
        <v>NO</v>
      </c>
      <c r="AK606" s="147" t="str">
        <f t="shared" si="326"/>
        <v>NO</v>
      </c>
      <c r="AL606" s="21"/>
      <c r="AM606" s="21">
        <v>9674.7999999999993</v>
      </c>
      <c r="AN606" s="27" t="s">
        <v>43</v>
      </c>
      <c r="AO606" s="21">
        <v>1</v>
      </c>
      <c r="AP606" s="21">
        <f t="shared" si="332"/>
        <v>1</v>
      </c>
      <c r="AQ606" s="149">
        <f t="shared" si="314"/>
        <v>9674.7999999999993</v>
      </c>
      <c r="AR606" s="21">
        <v>9674.7999999999993</v>
      </c>
      <c r="AS606" s="610">
        <v>0</v>
      </c>
      <c r="AT606" s="112">
        <v>9674.7999999999993</v>
      </c>
      <c r="AU606" s="4"/>
      <c r="AV606" s="4"/>
      <c r="AW606" s="23" t="e">
        <f>VLOOKUP(K606,#REF!,8,FALSE)</f>
        <v>#REF!</v>
      </c>
      <c r="AX606" s="23" t="e">
        <f>VLOOKUP(K606,#REF!,8,FALSE)</f>
        <v>#REF!</v>
      </c>
      <c r="AY606" s="23" t="e">
        <f>VLOOKUP(K606,#REF!,8,FALSE)</f>
        <v>#REF!</v>
      </c>
      <c r="AZ606" s="4"/>
      <c r="BA606" s="272"/>
      <c r="BB606" s="313">
        <f t="shared" si="333"/>
        <v>0</v>
      </c>
      <c r="BC606" s="269">
        <f t="shared" si="334"/>
        <v>9674.7999999999993</v>
      </c>
      <c r="BD606" t="str">
        <f t="shared" si="316"/>
        <v/>
      </c>
      <c r="BJ606">
        <f>AB606</f>
        <v>9674.7999999999993</v>
      </c>
      <c r="BK606" s="269">
        <f>AM606</f>
        <v>9674.7999999999993</v>
      </c>
      <c r="BO606" s="106">
        <f>BK606/192*127</f>
        <v>6399.4770833333323</v>
      </c>
      <c r="BP606" s="166">
        <f t="shared" si="327"/>
        <v>16074.277083333331</v>
      </c>
      <c r="BS606" s="165"/>
      <c r="BX606" s="495">
        <f t="shared" si="328"/>
        <v>16074.277083333331</v>
      </c>
      <c r="BZ606" s="636">
        <f t="shared" si="317"/>
        <v>0</v>
      </c>
      <c r="CA606" s="633">
        <f t="shared" si="318"/>
        <v>16074.277083333331</v>
      </c>
    </row>
    <row r="607" spans="1:79" x14ac:dyDescent="0.2">
      <c r="A607" s="4">
        <v>1</v>
      </c>
      <c r="B607" s="4">
        <v>1</v>
      </c>
      <c r="C607" s="5">
        <f t="shared" si="319"/>
        <v>41131</v>
      </c>
      <c r="D607" s="6">
        <v>41131</v>
      </c>
      <c r="E607" s="6">
        <v>43011</v>
      </c>
      <c r="F607" s="6" t="s">
        <v>1606</v>
      </c>
      <c r="G607" s="7"/>
      <c r="H607" s="7"/>
      <c r="I607" s="7" t="s">
        <v>32</v>
      </c>
      <c r="J607" s="7"/>
      <c r="K607" s="29">
        <v>422967</v>
      </c>
      <c r="L607" s="10" t="s">
        <v>1303</v>
      </c>
      <c r="M607" s="10" t="s">
        <v>122</v>
      </c>
      <c r="N607" s="10" t="s">
        <v>347</v>
      </c>
      <c r="O607" s="25" t="s">
        <v>1315</v>
      </c>
      <c r="P607" s="12">
        <v>42146</v>
      </c>
      <c r="Q607" s="13">
        <f t="shared" ca="1" si="320"/>
        <v>10.338124572210814</v>
      </c>
      <c r="R607" s="14">
        <v>3</v>
      </c>
      <c r="S607" s="15">
        <v>872</v>
      </c>
      <c r="T607" s="8">
        <v>872</v>
      </c>
      <c r="U607" s="16">
        <v>45017</v>
      </c>
      <c r="V607" s="17">
        <v>1</v>
      </c>
      <c r="W607" s="16">
        <v>45382</v>
      </c>
      <c r="X607" s="14">
        <v>192</v>
      </c>
      <c r="Y607" s="18">
        <f t="shared" si="315"/>
        <v>192</v>
      </c>
      <c r="Z607" s="18">
        <f t="shared" ref="Z607:Z638" si="335">Y607/192</f>
        <v>1</v>
      </c>
      <c r="AA607" s="18" t="s">
        <v>36</v>
      </c>
      <c r="AB607" s="26">
        <v>28</v>
      </c>
      <c r="AC607" s="26"/>
      <c r="AD607" s="26"/>
      <c r="AE607" s="147" t="str">
        <f t="shared" si="329"/>
        <v>0</v>
      </c>
      <c r="AF607" s="147" t="str">
        <f t="shared" si="330"/>
        <v>1</v>
      </c>
      <c r="AG607" s="147" t="str">
        <f t="shared" si="331"/>
        <v>0</v>
      </c>
      <c r="AH607" s="147" t="str">
        <f t="shared" si="323"/>
        <v>NO</v>
      </c>
      <c r="AI607" s="147" t="str">
        <f t="shared" si="324"/>
        <v>NO</v>
      </c>
      <c r="AJ607" s="147" t="str">
        <f t="shared" si="325"/>
        <v>NO</v>
      </c>
      <c r="AK607" s="147" t="str">
        <f t="shared" si="326"/>
        <v>NO</v>
      </c>
      <c r="AL607" s="21"/>
      <c r="AM607" s="21">
        <f t="shared" ref="AM607:AM636" si="336">IF(H607="Y",AL607,((AB607*$O$902)-6000))</f>
        <v>7237.5599999999995</v>
      </c>
      <c r="AN607" s="27" t="s">
        <v>1316</v>
      </c>
      <c r="AO607" s="21">
        <v>1</v>
      </c>
      <c r="AP607" s="21">
        <f t="shared" si="332"/>
        <v>1</v>
      </c>
      <c r="AQ607" s="149">
        <f t="shared" si="314"/>
        <v>7237.5599999999995</v>
      </c>
      <c r="AR607" s="21">
        <v>7237.5599999999995</v>
      </c>
      <c r="AS607" s="610">
        <v>7237.5599999999995</v>
      </c>
      <c r="AT607" s="112">
        <v>7237.5599999999995</v>
      </c>
      <c r="AU607" s="4"/>
      <c r="AV607" s="4"/>
      <c r="AW607" s="23" t="e">
        <f>VLOOKUP(K607,#REF!,8,FALSE)</f>
        <v>#REF!</v>
      </c>
      <c r="AX607" s="23" t="e">
        <f>VLOOKUP(K607,#REF!,8,FALSE)</f>
        <v>#REF!</v>
      </c>
      <c r="AY607" s="23" t="e">
        <f>VLOOKUP(K607,#REF!,8,FALSE)</f>
        <v>#REF!</v>
      </c>
      <c r="AZ607" s="4"/>
      <c r="BA607" s="272"/>
      <c r="BB607" s="313">
        <f t="shared" si="333"/>
        <v>0</v>
      </c>
      <c r="BC607" s="269">
        <f t="shared" si="334"/>
        <v>7237.5599999999995</v>
      </c>
      <c r="BD607" t="str">
        <f t="shared" si="316"/>
        <v/>
      </c>
      <c r="BP607" s="166">
        <f t="shared" si="327"/>
        <v>7237.5599999999995</v>
      </c>
      <c r="BS607" s="165"/>
      <c r="BX607" s="495">
        <f t="shared" si="328"/>
        <v>7237.5599999999995</v>
      </c>
      <c r="BZ607" s="636">
        <f t="shared" si="317"/>
        <v>0</v>
      </c>
      <c r="CA607" s="633">
        <f t="shared" si="318"/>
        <v>0</v>
      </c>
    </row>
    <row r="608" spans="1:79" x14ac:dyDescent="0.2">
      <c r="A608" s="4">
        <v>1</v>
      </c>
      <c r="B608" s="4">
        <v>1</v>
      </c>
      <c r="C608" s="5">
        <f t="shared" si="319"/>
        <v>41131</v>
      </c>
      <c r="D608" s="6">
        <v>41131</v>
      </c>
      <c r="E608" s="6">
        <v>43011</v>
      </c>
      <c r="F608" s="6" t="s">
        <v>1606</v>
      </c>
      <c r="G608" s="7"/>
      <c r="H608" s="7"/>
      <c r="I608" s="7" t="s">
        <v>32</v>
      </c>
      <c r="J608" s="7"/>
      <c r="K608" s="29">
        <v>446933</v>
      </c>
      <c r="L608" s="10" t="s">
        <v>1303</v>
      </c>
      <c r="M608" s="10" t="s">
        <v>1317</v>
      </c>
      <c r="N608" s="10" t="s">
        <v>1318</v>
      </c>
      <c r="O608" s="25" t="str">
        <f>M608&amp;N608</f>
        <v>HweeAu-Yeung</v>
      </c>
      <c r="P608" s="12">
        <v>43499</v>
      </c>
      <c r="Q608" s="13">
        <f t="shared" ca="1" si="320"/>
        <v>6.6338124572210813</v>
      </c>
      <c r="R608" s="14">
        <v>-1</v>
      </c>
      <c r="S608" s="15">
        <v>872</v>
      </c>
      <c r="T608" s="8">
        <v>872</v>
      </c>
      <c r="U608" s="16">
        <v>45017</v>
      </c>
      <c r="V608" s="17">
        <v>1</v>
      </c>
      <c r="W608" s="16">
        <v>45017</v>
      </c>
      <c r="X608" s="14">
        <v>0</v>
      </c>
      <c r="Y608" s="18">
        <f t="shared" si="315"/>
        <v>0</v>
      </c>
      <c r="Z608" s="18">
        <f t="shared" si="335"/>
        <v>0</v>
      </c>
      <c r="AA608" s="18" t="s">
        <v>36</v>
      </c>
      <c r="AB608" s="26">
        <v>30</v>
      </c>
      <c r="AC608" s="26"/>
      <c r="AD608" s="26"/>
      <c r="AE608" s="147" t="str">
        <f t="shared" si="329"/>
        <v>0</v>
      </c>
      <c r="AF608" s="147" t="str">
        <f t="shared" si="330"/>
        <v>1</v>
      </c>
      <c r="AG608" s="147" t="str">
        <f t="shared" si="331"/>
        <v>0</v>
      </c>
      <c r="AH608" s="147" t="str">
        <f t="shared" si="323"/>
        <v>NO</v>
      </c>
      <c r="AI608" s="147" t="str">
        <f t="shared" si="324"/>
        <v>NO</v>
      </c>
      <c r="AJ608" s="147" t="str">
        <f t="shared" si="325"/>
        <v>NO</v>
      </c>
      <c r="AK608" s="147" t="str">
        <f t="shared" si="326"/>
        <v>NO</v>
      </c>
      <c r="AL608" s="21"/>
      <c r="AM608" s="21">
        <f t="shared" si="336"/>
        <v>8183.0999999999985</v>
      </c>
      <c r="AN608" s="27"/>
      <c r="AO608" s="21">
        <v>1</v>
      </c>
      <c r="AP608" s="21">
        <f t="shared" si="332"/>
        <v>0</v>
      </c>
      <c r="AQ608" s="149">
        <f t="shared" si="314"/>
        <v>0</v>
      </c>
      <c r="AR608" s="21">
        <v>8183.0999999999985</v>
      </c>
      <c r="AS608" s="610">
        <v>8183.0999999999985</v>
      </c>
      <c r="AT608" s="112">
        <v>8183.0999999999985</v>
      </c>
      <c r="AU608" s="4"/>
      <c r="AV608" s="4"/>
      <c r="AW608" s="23" t="e">
        <f>VLOOKUP(K608,#REF!,8,FALSE)</f>
        <v>#REF!</v>
      </c>
      <c r="AX608" s="23" t="e">
        <f>VLOOKUP(K608,#REF!,8,FALSE)</f>
        <v>#REF!</v>
      </c>
      <c r="AY608" s="23" t="e">
        <f>VLOOKUP(K608,#REF!,8,FALSE)</f>
        <v>#REF!</v>
      </c>
      <c r="AZ608" s="4"/>
      <c r="BA608" s="272"/>
      <c r="BB608" s="313">
        <f>BC608</f>
        <v>-8183.0999999999985</v>
      </c>
      <c r="BC608" s="269">
        <f>-AR608</f>
        <v>-8183.0999999999985</v>
      </c>
      <c r="BD608" t="s">
        <v>2447</v>
      </c>
      <c r="BP608" s="166">
        <f t="shared" si="327"/>
        <v>-8183.0999999999985</v>
      </c>
      <c r="BQ608" t="s">
        <v>2502</v>
      </c>
      <c r="BS608" s="165"/>
      <c r="BX608" s="495">
        <f>(AQ608+BO608+BU608)*-1</f>
        <v>0</v>
      </c>
      <c r="BZ608" s="636">
        <f t="shared" si="317"/>
        <v>8183.0999999999985</v>
      </c>
      <c r="CA608" s="633">
        <f t="shared" si="318"/>
        <v>-8183.0999999999985</v>
      </c>
    </row>
    <row r="609" spans="1:79" x14ac:dyDescent="0.2">
      <c r="A609" s="4">
        <v>1</v>
      </c>
      <c r="B609" s="4">
        <v>1</v>
      </c>
      <c r="C609" s="5">
        <f t="shared" si="319"/>
        <v>41131</v>
      </c>
      <c r="D609" s="6">
        <v>41131</v>
      </c>
      <c r="E609" s="6">
        <v>43011</v>
      </c>
      <c r="F609" s="6" t="s">
        <v>1606</v>
      </c>
      <c r="G609" s="7"/>
      <c r="H609" s="7"/>
      <c r="I609" s="7" t="s">
        <v>32</v>
      </c>
      <c r="J609" s="7"/>
      <c r="K609" s="29">
        <v>432652</v>
      </c>
      <c r="L609" s="10" t="s">
        <v>1303</v>
      </c>
      <c r="M609" s="10" t="s">
        <v>427</v>
      </c>
      <c r="N609" s="10" t="s">
        <v>1319</v>
      </c>
      <c r="O609" s="25" t="s">
        <v>1320</v>
      </c>
      <c r="P609" s="12">
        <v>42861</v>
      </c>
      <c r="Q609" s="13">
        <f t="shared" ca="1" si="320"/>
        <v>8.3805612594113619</v>
      </c>
      <c r="R609" s="14">
        <v>1</v>
      </c>
      <c r="S609" s="15">
        <v>872</v>
      </c>
      <c r="T609" s="8">
        <v>872</v>
      </c>
      <c r="U609" s="16">
        <v>45017</v>
      </c>
      <c r="V609" s="17">
        <v>1</v>
      </c>
      <c r="W609" s="16">
        <v>45382</v>
      </c>
      <c r="X609" s="14">
        <v>192</v>
      </c>
      <c r="Y609" s="18">
        <f t="shared" si="315"/>
        <v>192</v>
      </c>
      <c r="Z609" s="18">
        <f t="shared" si="335"/>
        <v>1</v>
      </c>
      <c r="AA609" s="18" t="s">
        <v>36</v>
      </c>
      <c r="AB609" s="26">
        <v>30</v>
      </c>
      <c r="AC609" s="26"/>
      <c r="AD609" s="26"/>
      <c r="AE609" s="147" t="str">
        <f t="shared" si="329"/>
        <v>0</v>
      </c>
      <c r="AF609" s="147" t="str">
        <f t="shared" si="330"/>
        <v>1</v>
      </c>
      <c r="AG609" s="147" t="str">
        <f t="shared" si="331"/>
        <v>0</v>
      </c>
      <c r="AH609" s="147" t="str">
        <f t="shared" si="323"/>
        <v>NO</v>
      </c>
      <c r="AI609" s="147" t="str">
        <f t="shared" si="324"/>
        <v>NO</v>
      </c>
      <c r="AJ609" s="147" t="str">
        <f t="shared" si="325"/>
        <v>NO</v>
      </c>
      <c r="AK609" s="147" t="str">
        <f t="shared" si="326"/>
        <v>NO</v>
      </c>
      <c r="AL609" s="21"/>
      <c r="AM609" s="21">
        <f t="shared" si="336"/>
        <v>8183.0999999999985</v>
      </c>
      <c r="AN609" s="27"/>
      <c r="AO609" s="21">
        <v>1</v>
      </c>
      <c r="AP609" s="21">
        <f t="shared" si="332"/>
        <v>1</v>
      </c>
      <c r="AQ609" s="149">
        <f t="shared" si="314"/>
        <v>8183.0999999999985</v>
      </c>
      <c r="AR609" s="21">
        <v>8183.0999999999985</v>
      </c>
      <c r="AS609" s="610">
        <v>8183.0999999999985</v>
      </c>
      <c r="AT609" s="112">
        <v>8183.0999999999985</v>
      </c>
      <c r="AU609" s="4"/>
      <c r="AV609" s="4"/>
      <c r="AW609" s="23" t="e">
        <f>VLOOKUP(K609,#REF!,8,FALSE)</f>
        <v>#REF!</v>
      </c>
      <c r="AX609" s="23" t="e">
        <f>VLOOKUP(K609,#REF!,8,FALSE)</f>
        <v>#REF!</v>
      </c>
      <c r="AY609" s="23" t="e">
        <f>VLOOKUP(K609,#REF!,8,FALSE)</f>
        <v>#REF!</v>
      </c>
      <c r="AZ609" s="4"/>
      <c r="BA609" s="272"/>
      <c r="BB609" s="313">
        <f t="shared" ref="BB609:BB639" si="337">BC609-AT609</f>
        <v>0</v>
      </c>
      <c r="BC609" s="269">
        <f t="shared" ref="BC609:BC639" si="338">AR609</f>
        <v>8183.0999999999985</v>
      </c>
      <c r="BD609" t="str">
        <f t="shared" ref="BD609:BD630" si="339">BG609&amp;BH609&amp;BI609</f>
        <v/>
      </c>
      <c r="BP609" s="166">
        <f t="shared" si="327"/>
        <v>8183.0999999999985</v>
      </c>
      <c r="BS609" s="165"/>
      <c r="BX609" s="495">
        <f t="shared" ref="BX609:BX639" si="340">AQ609+BO609+BU609</f>
        <v>8183.0999999999985</v>
      </c>
      <c r="BZ609" s="636">
        <f t="shared" si="317"/>
        <v>0</v>
      </c>
      <c r="CA609" s="633">
        <f t="shared" si="318"/>
        <v>0</v>
      </c>
    </row>
    <row r="610" spans="1:79" x14ac:dyDescent="0.2">
      <c r="A610" s="4">
        <v>1</v>
      </c>
      <c r="B610" s="4">
        <v>1</v>
      </c>
      <c r="C610" s="5">
        <f t="shared" si="319"/>
        <v>41131</v>
      </c>
      <c r="D610" s="6">
        <v>41131</v>
      </c>
      <c r="E610" s="6">
        <v>43011</v>
      </c>
      <c r="F610" s="6" t="s">
        <v>1606</v>
      </c>
      <c r="G610" s="7"/>
      <c r="H610" s="7"/>
      <c r="I610" s="7" t="s">
        <v>32</v>
      </c>
      <c r="J610" s="7"/>
      <c r="K610" s="29">
        <v>402012</v>
      </c>
      <c r="L610" s="10" t="s">
        <v>1303</v>
      </c>
      <c r="M610" s="10" t="s">
        <v>322</v>
      </c>
      <c r="N610" s="10" t="s">
        <v>1321</v>
      </c>
      <c r="O610" s="25" t="s">
        <v>1322</v>
      </c>
      <c r="P610" s="12">
        <v>40849</v>
      </c>
      <c r="Q610" s="13">
        <f t="shared" ca="1" si="320"/>
        <v>13.88911704312115</v>
      </c>
      <c r="R610" s="14">
        <v>6</v>
      </c>
      <c r="S610" s="15">
        <v>872</v>
      </c>
      <c r="T610" s="8">
        <v>872</v>
      </c>
      <c r="U610" s="16">
        <v>45017</v>
      </c>
      <c r="V610" s="17">
        <v>1</v>
      </c>
      <c r="W610" s="16">
        <v>45128</v>
      </c>
      <c r="X610" s="14">
        <v>63</v>
      </c>
      <c r="Y610" s="18">
        <f t="shared" si="315"/>
        <v>63</v>
      </c>
      <c r="Z610" s="18">
        <f t="shared" si="335"/>
        <v>0.328125</v>
      </c>
      <c r="AA610" s="18" t="s">
        <v>48</v>
      </c>
      <c r="AB610" s="26">
        <v>30</v>
      </c>
      <c r="AC610" s="26"/>
      <c r="AD610" s="26"/>
      <c r="AE610" s="147" t="str">
        <f t="shared" si="329"/>
        <v>0</v>
      </c>
      <c r="AF610" s="147" t="str">
        <f t="shared" si="330"/>
        <v>1</v>
      </c>
      <c r="AG610" s="147" t="str">
        <f t="shared" si="331"/>
        <v>0</v>
      </c>
      <c r="AH610" s="147" t="str">
        <f t="shared" si="323"/>
        <v>NO</v>
      </c>
      <c r="AI610" s="147" t="str">
        <f t="shared" si="324"/>
        <v>NO</v>
      </c>
      <c r="AJ610" s="147" t="str">
        <f t="shared" si="325"/>
        <v>NO</v>
      </c>
      <c r="AK610" s="147" t="str">
        <f t="shared" si="326"/>
        <v>NO</v>
      </c>
      <c r="AL610" s="21"/>
      <c r="AM610" s="21">
        <f t="shared" si="336"/>
        <v>8183.0999999999985</v>
      </c>
      <c r="AN610" s="27" t="s">
        <v>43</v>
      </c>
      <c r="AO610" s="21">
        <v>1</v>
      </c>
      <c r="AP610" s="21">
        <f t="shared" si="332"/>
        <v>0.328125</v>
      </c>
      <c r="AQ610" s="149">
        <f t="shared" si="314"/>
        <v>2685.0796874999996</v>
      </c>
      <c r="AR610" s="21">
        <v>2685.0796874999996</v>
      </c>
      <c r="AS610" s="610">
        <v>2685.0796874999996</v>
      </c>
      <c r="AT610" s="112">
        <v>2685.0796874999996</v>
      </c>
      <c r="AU610" s="4"/>
      <c r="AV610" s="4"/>
      <c r="AW610" s="23" t="e">
        <f>VLOOKUP(K610,#REF!,8,FALSE)</f>
        <v>#REF!</v>
      </c>
      <c r="AX610" s="264" t="s">
        <v>2208</v>
      </c>
      <c r="AY610" s="23" t="e">
        <f>VLOOKUP(K610,#REF!,8,FALSE)</f>
        <v>#REF!</v>
      </c>
      <c r="AZ610" s="23" t="s">
        <v>75</v>
      </c>
      <c r="BA610" s="273">
        <f>AM610/3*2</f>
        <v>5455.3999999999987</v>
      </c>
      <c r="BB610" s="313">
        <f t="shared" si="337"/>
        <v>0</v>
      </c>
      <c r="BC610" s="269">
        <f t="shared" si="338"/>
        <v>2685.0796874999996</v>
      </c>
      <c r="BD610" t="e">
        <f t="shared" si="339"/>
        <v>#REF!</v>
      </c>
      <c r="BE610" t="s">
        <v>2396</v>
      </c>
      <c r="BH610" t="e">
        <f>VLOOKUP(K610,#REF!,8,FALSE)</f>
        <v>#REF!</v>
      </c>
      <c r="BJ610">
        <f>AB610</f>
        <v>30</v>
      </c>
      <c r="BK610" s="269">
        <f>AM610</f>
        <v>8183.0999999999985</v>
      </c>
      <c r="BL610" s="353"/>
      <c r="BM610" s="353" t="s">
        <v>75</v>
      </c>
      <c r="BN610" s="353"/>
      <c r="BO610" s="106">
        <f>BK610/192*127</f>
        <v>5412.7796874999985</v>
      </c>
      <c r="BP610" s="166">
        <f t="shared" si="327"/>
        <v>8097.8593749999982</v>
      </c>
      <c r="BQ610" s="106">
        <v>5412.7796874999985</v>
      </c>
      <c r="BR610" t="s">
        <v>2446</v>
      </c>
      <c r="BS610" s="165"/>
      <c r="BX610" s="495">
        <f t="shared" si="340"/>
        <v>8097.8593749999982</v>
      </c>
      <c r="BZ610" s="636">
        <f t="shared" si="317"/>
        <v>0</v>
      </c>
      <c r="CA610" s="633">
        <f t="shared" si="318"/>
        <v>5412.7796874999985</v>
      </c>
    </row>
    <row r="611" spans="1:79" x14ac:dyDescent="0.2">
      <c r="A611" s="4">
        <v>1</v>
      </c>
      <c r="B611" s="4">
        <v>1</v>
      </c>
      <c r="C611" s="5">
        <f t="shared" si="319"/>
        <v>41131</v>
      </c>
      <c r="D611" s="6">
        <v>41131</v>
      </c>
      <c r="E611" s="6">
        <v>43011</v>
      </c>
      <c r="F611" s="6" t="s">
        <v>1606</v>
      </c>
      <c r="G611" s="7"/>
      <c r="H611" s="7"/>
      <c r="I611" s="7" t="s">
        <v>32</v>
      </c>
      <c r="J611" s="7"/>
      <c r="K611" s="29">
        <v>400961</v>
      </c>
      <c r="L611" s="10" t="s">
        <v>1303</v>
      </c>
      <c r="M611" s="10" t="s">
        <v>1323</v>
      </c>
      <c r="N611" s="10" t="s">
        <v>1324</v>
      </c>
      <c r="O611" s="25" t="s">
        <v>1325</v>
      </c>
      <c r="P611" s="12">
        <v>40969</v>
      </c>
      <c r="Q611" s="13">
        <f t="shared" ca="1" si="320"/>
        <v>13.560574948665298</v>
      </c>
      <c r="R611" s="14">
        <v>6</v>
      </c>
      <c r="S611" s="15">
        <v>872</v>
      </c>
      <c r="T611" s="8">
        <v>872</v>
      </c>
      <c r="U611" s="16">
        <v>45017</v>
      </c>
      <c r="V611" s="17">
        <v>1</v>
      </c>
      <c r="W611" s="16">
        <v>45128</v>
      </c>
      <c r="X611" s="14">
        <v>63</v>
      </c>
      <c r="Y611" s="18">
        <f t="shared" si="315"/>
        <v>63</v>
      </c>
      <c r="Z611" s="18">
        <f t="shared" si="335"/>
        <v>0.328125</v>
      </c>
      <c r="AA611" s="18" t="s">
        <v>48</v>
      </c>
      <c r="AB611" s="26">
        <v>30</v>
      </c>
      <c r="AC611" s="26"/>
      <c r="AD611" s="26"/>
      <c r="AE611" s="147" t="str">
        <f t="shared" si="329"/>
        <v>0</v>
      </c>
      <c r="AF611" s="147" t="str">
        <f t="shared" si="330"/>
        <v>1</v>
      </c>
      <c r="AG611" s="147" t="str">
        <f t="shared" si="331"/>
        <v>0</v>
      </c>
      <c r="AH611" s="147" t="str">
        <f t="shared" si="323"/>
        <v>NO</v>
      </c>
      <c r="AI611" s="147" t="str">
        <f t="shared" si="324"/>
        <v>NO</v>
      </c>
      <c r="AJ611" s="147" t="str">
        <f t="shared" si="325"/>
        <v>NO</v>
      </c>
      <c r="AK611" s="147" t="str">
        <f t="shared" si="326"/>
        <v>NO</v>
      </c>
      <c r="AL611" s="21"/>
      <c r="AM611" s="21">
        <f t="shared" si="336"/>
        <v>8183.0999999999985</v>
      </c>
      <c r="AN611" s="27" t="s">
        <v>56</v>
      </c>
      <c r="AO611" s="21">
        <v>1</v>
      </c>
      <c r="AP611" s="21">
        <f t="shared" si="332"/>
        <v>0.328125</v>
      </c>
      <c r="AQ611" s="149">
        <f t="shared" si="314"/>
        <v>2685.0796874999996</v>
      </c>
      <c r="AR611" s="21">
        <v>2685.0796874999996</v>
      </c>
      <c r="AS611" s="610">
        <v>2685.0796874999996</v>
      </c>
      <c r="AT611" s="112">
        <v>2685.0796874999996</v>
      </c>
      <c r="AU611" s="4"/>
      <c r="AV611" s="4"/>
      <c r="AW611" s="23" t="e">
        <f>VLOOKUP(K611,#REF!,8,FALSE)</f>
        <v>#REF!</v>
      </c>
      <c r="AX611" s="23" t="s">
        <v>2237</v>
      </c>
      <c r="AY611" s="23" t="e">
        <f>VLOOKUP(K611,#REF!,8,FALSE)</f>
        <v>#REF!</v>
      </c>
      <c r="AZ611" s="4"/>
      <c r="BA611" s="272"/>
      <c r="BB611" s="313">
        <f t="shared" si="337"/>
        <v>0</v>
      </c>
      <c r="BC611" s="269">
        <f t="shared" si="338"/>
        <v>2685.0796874999996</v>
      </c>
      <c r="BD611" t="e">
        <f t="shared" si="339"/>
        <v>#REF!</v>
      </c>
      <c r="BE611" t="s">
        <v>2394</v>
      </c>
      <c r="BF611">
        <v>43012</v>
      </c>
      <c r="BH611" t="e">
        <f>VLOOKUP(K611,#REF!,8,FALSE)</f>
        <v>#REF!</v>
      </c>
      <c r="BJ611">
        <f>AB611</f>
        <v>30</v>
      </c>
      <c r="BK611" s="269">
        <f>AM611</f>
        <v>8183.0999999999985</v>
      </c>
      <c r="BL611" s="353"/>
      <c r="BM611" s="353" t="s">
        <v>75</v>
      </c>
      <c r="BN611" s="353"/>
      <c r="BO611" s="106">
        <f>BK611/192*127</f>
        <v>5412.7796874999985</v>
      </c>
      <c r="BP611" s="166">
        <f t="shared" si="327"/>
        <v>8097.8593749999982</v>
      </c>
      <c r="BS611" s="165"/>
      <c r="BX611" s="495">
        <f t="shared" si="340"/>
        <v>8097.8593749999982</v>
      </c>
      <c r="BZ611" s="636">
        <f t="shared" si="317"/>
        <v>0</v>
      </c>
      <c r="CA611" s="633">
        <f t="shared" si="318"/>
        <v>5412.7796874999985</v>
      </c>
    </row>
    <row r="612" spans="1:79" x14ac:dyDescent="0.2">
      <c r="A612" s="4">
        <v>1</v>
      </c>
      <c r="B612" s="4">
        <v>1</v>
      </c>
      <c r="C612" s="5">
        <f t="shared" si="319"/>
        <v>41131</v>
      </c>
      <c r="D612" s="6">
        <v>41131</v>
      </c>
      <c r="E612" s="6">
        <v>43011</v>
      </c>
      <c r="F612" s="6" t="s">
        <v>1606</v>
      </c>
      <c r="G612" s="7"/>
      <c r="H612" s="7"/>
      <c r="I612" s="7" t="s">
        <v>32</v>
      </c>
      <c r="J612" s="7"/>
      <c r="K612" s="29">
        <v>409732</v>
      </c>
      <c r="L612" s="10" t="s">
        <v>1303</v>
      </c>
      <c r="M612" s="10" t="s">
        <v>285</v>
      </c>
      <c r="N612" s="10" t="s">
        <v>1326</v>
      </c>
      <c r="O612" s="11" t="s">
        <v>1327</v>
      </c>
      <c r="P612" s="12">
        <v>41397</v>
      </c>
      <c r="Q612" s="13">
        <f t="shared" ca="1" si="320"/>
        <v>12.388774811772759</v>
      </c>
      <c r="R612" s="14">
        <v>5</v>
      </c>
      <c r="S612" s="15">
        <v>872</v>
      </c>
      <c r="T612" s="8">
        <v>872</v>
      </c>
      <c r="U612" s="16">
        <v>45017</v>
      </c>
      <c r="V612" s="17">
        <v>1</v>
      </c>
      <c r="W612" s="16">
        <v>45382</v>
      </c>
      <c r="X612" s="14">
        <v>192</v>
      </c>
      <c r="Y612" s="18">
        <f t="shared" si="315"/>
        <v>192</v>
      </c>
      <c r="Z612" s="18">
        <f t="shared" si="335"/>
        <v>1</v>
      </c>
      <c r="AA612" s="18" t="s">
        <v>36</v>
      </c>
      <c r="AB612" s="26">
        <v>25</v>
      </c>
      <c r="AC612" s="26"/>
      <c r="AD612" s="26"/>
      <c r="AE612" s="147" t="str">
        <f t="shared" si="329"/>
        <v>1</v>
      </c>
      <c r="AF612" s="147" t="str">
        <f t="shared" si="330"/>
        <v>0</v>
      </c>
      <c r="AG612" s="147" t="str">
        <f t="shared" si="331"/>
        <v>0</v>
      </c>
      <c r="AH612" s="147" t="str">
        <f t="shared" si="323"/>
        <v>NO</v>
      </c>
      <c r="AI612" s="147" t="str">
        <f t="shared" si="324"/>
        <v>NO</v>
      </c>
      <c r="AJ612" s="147" t="str">
        <f t="shared" si="325"/>
        <v>NO</v>
      </c>
      <c r="AK612" s="147" t="str">
        <f t="shared" si="326"/>
        <v>NO</v>
      </c>
      <c r="AL612" s="21"/>
      <c r="AM612" s="21">
        <f t="shared" si="336"/>
        <v>5819.25</v>
      </c>
      <c r="AN612" s="27" t="s">
        <v>56</v>
      </c>
      <c r="AO612" s="21">
        <v>1</v>
      </c>
      <c r="AP612" s="21">
        <f t="shared" si="332"/>
        <v>1</v>
      </c>
      <c r="AQ612" s="149">
        <f t="shared" si="314"/>
        <v>5819.25</v>
      </c>
      <c r="AR612" s="21">
        <v>5819.25</v>
      </c>
      <c r="AS612" s="610">
        <v>5819.25</v>
      </c>
      <c r="AT612" s="112">
        <v>5819.25</v>
      </c>
      <c r="AU612" s="4"/>
      <c r="AV612" s="4"/>
      <c r="AW612" s="23" t="e">
        <f>VLOOKUP(K612,#REF!,8,FALSE)</f>
        <v>#REF!</v>
      </c>
      <c r="AX612" s="23" t="e">
        <f>VLOOKUP(K612,#REF!,8,FALSE)</f>
        <v>#REF!</v>
      </c>
      <c r="AY612" s="23" t="e">
        <f>VLOOKUP(K612,#REF!,8,FALSE)</f>
        <v>#REF!</v>
      </c>
      <c r="AZ612" s="4"/>
      <c r="BA612" s="272"/>
      <c r="BB612" s="313">
        <f t="shared" si="337"/>
        <v>0</v>
      </c>
      <c r="BC612" s="269">
        <f t="shared" si="338"/>
        <v>5819.25</v>
      </c>
      <c r="BD612" t="str">
        <f t="shared" si="339"/>
        <v/>
      </c>
      <c r="BP612" s="166">
        <f t="shared" si="327"/>
        <v>5819.25</v>
      </c>
      <c r="BS612" s="165"/>
      <c r="BX612" s="495">
        <f t="shared" si="340"/>
        <v>5819.25</v>
      </c>
      <c r="BZ612" s="636">
        <f t="shared" si="317"/>
        <v>0</v>
      </c>
      <c r="CA612" s="633">
        <f t="shared" si="318"/>
        <v>0</v>
      </c>
    </row>
    <row r="613" spans="1:79" x14ac:dyDescent="0.2">
      <c r="A613" s="4">
        <v>1</v>
      </c>
      <c r="B613" s="4">
        <v>1</v>
      </c>
      <c r="C613" s="5">
        <f t="shared" si="319"/>
        <v>41131</v>
      </c>
      <c r="D613" s="6">
        <v>41131</v>
      </c>
      <c r="E613" s="6">
        <v>43011</v>
      </c>
      <c r="F613" s="6" t="s">
        <v>1606</v>
      </c>
      <c r="G613" s="7"/>
      <c r="H613" s="7"/>
      <c r="I613" s="7" t="s">
        <v>32</v>
      </c>
      <c r="J613" s="7"/>
      <c r="K613" s="29">
        <v>420047</v>
      </c>
      <c r="L613" s="10" t="s">
        <v>1303</v>
      </c>
      <c r="M613" s="10" t="s">
        <v>1328</v>
      </c>
      <c r="N613" s="10" t="s">
        <v>1329</v>
      </c>
      <c r="O613" s="11" t="s">
        <v>1330</v>
      </c>
      <c r="P613" s="12">
        <v>42030</v>
      </c>
      <c r="Q613" s="13">
        <f t="shared" ca="1" si="320"/>
        <v>10.655715263518138</v>
      </c>
      <c r="R613" s="14">
        <v>3</v>
      </c>
      <c r="S613" s="15">
        <v>872</v>
      </c>
      <c r="T613" s="8">
        <v>872</v>
      </c>
      <c r="U613" s="16">
        <v>45017</v>
      </c>
      <c r="V613" s="17">
        <v>1</v>
      </c>
      <c r="W613" s="16">
        <v>45382</v>
      </c>
      <c r="X613" s="14">
        <v>192</v>
      </c>
      <c r="Y613" s="18">
        <f t="shared" si="315"/>
        <v>192</v>
      </c>
      <c r="Z613" s="18">
        <f t="shared" si="335"/>
        <v>1</v>
      </c>
      <c r="AA613" s="18" t="s">
        <v>36</v>
      </c>
      <c r="AB613" s="26">
        <v>27</v>
      </c>
      <c r="AC613" s="26"/>
      <c r="AD613" s="26"/>
      <c r="AE613" s="147" t="str">
        <f t="shared" si="329"/>
        <v>0</v>
      </c>
      <c r="AF613" s="147" t="str">
        <f t="shared" si="330"/>
        <v>1</v>
      </c>
      <c r="AG613" s="147" t="str">
        <f t="shared" si="331"/>
        <v>0</v>
      </c>
      <c r="AH613" s="147" t="str">
        <f t="shared" si="323"/>
        <v>NO</v>
      </c>
      <c r="AI613" s="147" t="str">
        <f t="shared" si="324"/>
        <v>NO</v>
      </c>
      <c r="AJ613" s="147" t="str">
        <f t="shared" si="325"/>
        <v>NO</v>
      </c>
      <c r="AK613" s="147" t="str">
        <f t="shared" si="326"/>
        <v>NO</v>
      </c>
      <c r="AL613" s="21"/>
      <c r="AM613" s="21">
        <f t="shared" si="336"/>
        <v>6764.7899999999991</v>
      </c>
      <c r="AN613" s="27" t="s">
        <v>138</v>
      </c>
      <c r="AO613" s="21">
        <v>1</v>
      </c>
      <c r="AP613" s="21">
        <f t="shared" si="332"/>
        <v>1</v>
      </c>
      <c r="AQ613" s="149">
        <f t="shared" si="314"/>
        <v>6764.7899999999991</v>
      </c>
      <c r="AR613" s="21">
        <v>6764.7899999999991</v>
      </c>
      <c r="AS613" s="610">
        <v>6764.7899999999991</v>
      </c>
      <c r="AT613" s="112">
        <v>6764.7899999999991</v>
      </c>
      <c r="AU613" s="4"/>
      <c r="AV613" s="4"/>
      <c r="AW613" s="23" t="e">
        <f>VLOOKUP(K613,#REF!,8,FALSE)</f>
        <v>#REF!</v>
      </c>
      <c r="AX613" s="23" t="e">
        <f>VLOOKUP(K613,#REF!,8,FALSE)</f>
        <v>#REF!</v>
      </c>
      <c r="AY613" s="23" t="e">
        <f>VLOOKUP(K613,#REF!,8,FALSE)</f>
        <v>#REF!</v>
      </c>
      <c r="AZ613" s="4"/>
      <c r="BA613" s="272"/>
      <c r="BB613" s="313">
        <f t="shared" si="337"/>
        <v>0</v>
      </c>
      <c r="BC613" s="269">
        <f t="shared" si="338"/>
        <v>6764.7899999999991</v>
      </c>
      <c r="BD613" t="str">
        <f t="shared" si="339"/>
        <v/>
      </c>
      <c r="BP613" s="166">
        <f t="shared" si="327"/>
        <v>6764.7899999999991</v>
      </c>
      <c r="BS613" s="165"/>
      <c r="BX613" s="495">
        <f t="shared" si="340"/>
        <v>6764.7899999999991</v>
      </c>
      <c r="BZ613" s="636">
        <f t="shared" si="317"/>
        <v>0</v>
      </c>
      <c r="CA613" s="633">
        <f t="shared" si="318"/>
        <v>0</v>
      </c>
    </row>
    <row r="614" spans="1:79" x14ac:dyDescent="0.2">
      <c r="A614" s="4">
        <v>1</v>
      </c>
      <c r="B614" s="4">
        <v>1</v>
      </c>
      <c r="C614" s="5">
        <f t="shared" si="319"/>
        <v>41131</v>
      </c>
      <c r="D614" s="6">
        <v>41131</v>
      </c>
      <c r="E614" s="6">
        <v>43011</v>
      </c>
      <c r="F614" s="6" t="s">
        <v>1606</v>
      </c>
      <c r="G614" s="7"/>
      <c r="H614" s="7"/>
      <c r="I614" s="7" t="s">
        <v>32</v>
      </c>
      <c r="J614" s="7"/>
      <c r="K614" s="29">
        <v>410221</v>
      </c>
      <c r="L614" s="10" t="s">
        <v>1303</v>
      </c>
      <c r="M614" s="10" t="s">
        <v>1331</v>
      </c>
      <c r="N614" s="10" t="s">
        <v>1332</v>
      </c>
      <c r="O614" s="11" t="s">
        <v>1333</v>
      </c>
      <c r="P614" s="12">
        <v>41811</v>
      </c>
      <c r="Q614" s="13">
        <f t="shared" ca="1" si="320"/>
        <v>11.255304585900069</v>
      </c>
      <c r="R614" s="14">
        <v>4</v>
      </c>
      <c r="S614" s="15">
        <v>872</v>
      </c>
      <c r="T614" s="8">
        <v>872</v>
      </c>
      <c r="U614" s="16">
        <v>45017</v>
      </c>
      <c r="V614" s="17">
        <v>1</v>
      </c>
      <c r="W614" s="16">
        <v>45382</v>
      </c>
      <c r="X614" s="14">
        <v>192</v>
      </c>
      <c r="Y614" s="18">
        <f t="shared" si="315"/>
        <v>192</v>
      </c>
      <c r="Z614" s="18">
        <f t="shared" si="335"/>
        <v>1</v>
      </c>
      <c r="AA614" s="18" t="s">
        <v>36</v>
      </c>
      <c r="AB614" s="26">
        <v>30</v>
      </c>
      <c r="AC614" s="26"/>
      <c r="AD614" s="26"/>
      <c r="AE614" s="147" t="str">
        <f t="shared" si="329"/>
        <v>0</v>
      </c>
      <c r="AF614" s="147" t="str">
        <f t="shared" si="330"/>
        <v>1</v>
      </c>
      <c r="AG614" s="147" t="str">
        <f t="shared" si="331"/>
        <v>0</v>
      </c>
      <c r="AH614" s="147" t="str">
        <f t="shared" si="323"/>
        <v>NO</v>
      </c>
      <c r="AI614" s="147" t="str">
        <f t="shared" si="324"/>
        <v>NO</v>
      </c>
      <c r="AJ614" s="147" t="str">
        <f t="shared" si="325"/>
        <v>NO</v>
      </c>
      <c r="AK614" s="147" t="str">
        <f t="shared" si="326"/>
        <v>NO</v>
      </c>
      <c r="AL614" s="21"/>
      <c r="AM614" s="21">
        <f t="shared" si="336"/>
        <v>8183.0999999999985</v>
      </c>
      <c r="AN614" s="27" t="s">
        <v>66</v>
      </c>
      <c r="AO614" s="21">
        <v>1</v>
      </c>
      <c r="AP614" s="21">
        <f t="shared" si="332"/>
        <v>1</v>
      </c>
      <c r="AQ614" s="149">
        <f t="shared" si="314"/>
        <v>8183.0999999999985</v>
      </c>
      <c r="AR614" s="21">
        <v>8183.0999999999985</v>
      </c>
      <c r="AS614" s="610">
        <v>8183.0999999999985</v>
      </c>
      <c r="AT614" s="112">
        <v>8183.0999999999985</v>
      </c>
      <c r="AU614" s="4"/>
      <c r="AV614" s="4"/>
      <c r="AW614" s="23" t="e">
        <f>VLOOKUP(K614,#REF!,8,FALSE)</f>
        <v>#REF!</v>
      </c>
      <c r="AX614" s="23" t="e">
        <f>VLOOKUP(K614,#REF!,8,FALSE)</f>
        <v>#REF!</v>
      </c>
      <c r="AY614" s="23" t="e">
        <f>VLOOKUP(K614,#REF!,8,FALSE)</f>
        <v>#REF!</v>
      </c>
      <c r="AZ614" s="4"/>
      <c r="BA614" s="272"/>
      <c r="BB614" s="313">
        <f t="shared" si="337"/>
        <v>0</v>
      </c>
      <c r="BC614" s="269">
        <f t="shared" si="338"/>
        <v>8183.0999999999985</v>
      </c>
      <c r="BD614" t="str">
        <f t="shared" si="339"/>
        <v/>
      </c>
      <c r="BP614" s="166">
        <f t="shared" si="327"/>
        <v>8183.0999999999985</v>
      </c>
      <c r="BS614" s="165"/>
      <c r="BX614" s="495">
        <f t="shared" si="340"/>
        <v>8183.0999999999985</v>
      </c>
      <c r="BZ614" s="636">
        <f t="shared" si="317"/>
        <v>0</v>
      </c>
      <c r="CA614" s="633">
        <f t="shared" si="318"/>
        <v>0</v>
      </c>
    </row>
    <row r="615" spans="1:79" x14ac:dyDescent="0.2">
      <c r="A615" s="4">
        <v>1</v>
      </c>
      <c r="B615" s="4">
        <v>1</v>
      </c>
      <c r="C615" s="5">
        <f t="shared" si="319"/>
        <v>41131</v>
      </c>
      <c r="D615" s="6">
        <v>41131</v>
      </c>
      <c r="E615" s="6">
        <v>43011</v>
      </c>
      <c r="F615" s="6" t="s">
        <v>1606</v>
      </c>
      <c r="G615" s="7"/>
      <c r="H615" s="7"/>
      <c r="I615" s="7" t="s">
        <v>32</v>
      </c>
      <c r="J615" s="7"/>
      <c r="K615" s="29">
        <v>432653</v>
      </c>
      <c r="L615" s="10" t="s">
        <v>1303</v>
      </c>
      <c r="M615" s="10" t="s">
        <v>217</v>
      </c>
      <c r="N615" s="10" t="s">
        <v>1319</v>
      </c>
      <c r="O615" s="11" t="s">
        <v>1334</v>
      </c>
      <c r="P615" s="12">
        <v>42861</v>
      </c>
      <c r="Q615" s="13">
        <f t="shared" ca="1" si="320"/>
        <v>8.3805612594113619</v>
      </c>
      <c r="R615" s="14">
        <v>1</v>
      </c>
      <c r="S615" s="15" t="s">
        <v>98</v>
      </c>
      <c r="T615" s="8" t="s">
        <v>98</v>
      </c>
      <c r="U615" s="16">
        <v>45017</v>
      </c>
      <c r="V615" s="17">
        <v>1</v>
      </c>
      <c r="W615" s="16">
        <v>45382</v>
      </c>
      <c r="X615" s="14">
        <v>192</v>
      </c>
      <c r="Y615" s="18">
        <f t="shared" si="315"/>
        <v>192</v>
      </c>
      <c r="Z615" s="18">
        <f t="shared" si="335"/>
        <v>1</v>
      </c>
      <c r="AA615" s="18" t="s">
        <v>36</v>
      </c>
      <c r="AB615" s="26">
        <v>30</v>
      </c>
      <c r="AC615" s="26"/>
      <c r="AD615" s="26"/>
      <c r="AE615" s="147" t="str">
        <f t="shared" si="329"/>
        <v>0</v>
      </c>
      <c r="AF615" s="147" t="str">
        <f t="shared" si="330"/>
        <v>1</v>
      </c>
      <c r="AG615" s="147" t="str">
        <f t="shared" si="331"/>
        <v>0</v>
      </c>
      <c r="AH615" s="147" t="str">
        <f t="shared" si="323"/>
        <v>NO</v>
      </c>
      <c r="AI615" s="147" t="str">
        <f t="shared" si="324"/>
        <v>NO</v>
      </c>
      <c r="AJ615" s="147" t="str">
        <f t="shared" si="325"/>
        <v>NO</v>
      </c>
      <c r="AK615" s="147" t="str">
        <f t="shared" si="326"/>
        <v>NO</v>
      </c>
      <c r="AL615" s="21"/>
      <c r="AM615" s="21">
        <f t="shared" si="336"/>
        <v>8183.0999999999985</v>
      </c>
      <c r="AN615" s="27"/>
      <c r="AO615" s="21">
        <v>1</v>
      </c>
      <c r="AP615" s="21">
        <f t="shared" si="332"/>
        <v>1</v>
      </c>
      <c r="AQ615" s="149">
        <f t="shared" si="314"/>
        <v>8183.0999999999985</v>
      </c>
      <c r="AR615" s="21">
        <v>8183.0999999999985</v>
      </c>
      <c r="AS615" s="610">
        <v>8183.0999999999985</v>
      </c>
      <c r="AT615" s="112">
        <v>8183.0999999999985</v>
      </c>
      <c r="AU615" s="4"/>
      <c r="AV615" s="4"/>
      <c r="AW615" s="23" t="e">
        <f>VLOOKUP(K615,#REF!,8,FALSE)</f>
        <v>#REF!</v>
      </c>
      <c r="AX615" s="23" t="e">
        <f>VLOOKUP(K615,#REF!,8,FALSE)</f>
        <v>#REF!</v>
      </c>
      <c r="AY615" s="23" t="e">
        <f>VLOOKUP(K615,#REF!,8,FALSE)</f>
        <v>#REF!</v>
      </c>
      <c r="AZ615" s="4"/>
      <c r="BA615" s="272"/>
      <c r="BB615" s="313">
        <f t="shared" si="337"/>
        <v>0</v>
      </c>
      <c r="BC615" s="269">
        <f t="shared" si="338"/>
        <v>8183.0999999999985</v>
      </c>
      <c r="BD615" t="str">
        <f t="shared" si="339"/>
        <v/>
      </c>
      <c r="BP615" s="166">
        <f t="shared" si="327"/>
        <v>8183.0999999999985</v>
      </c>
      <c r="BS615" s="165"/>
      <c r="BX615" s="495">
        <f t="shared" si="340"/>
        <v>8183.0999999999985</v>
      </c>
      <c r="BZ615" s="636">
        <f t="shared" si="317"/>
        <v>0</v>
      </c>
      <c r="CA615" s="633">
        <f t="shared" si="318"/>
        <v>0</v>
      </c>
    </row>
    <row r="616" spans="1:79" x14ac:dyDescent="0.2">
      <c r="A616" s="4">
        <v>1</v>
      </c>
      <c r="B616" s="4">
        <v>1</v>
      </c>
      <c r="C616" s="5">
        <f t="shared" si="319"/>
        <v>41131</v>
      </c>
      <c r="D616" s="6">
        <v>41131</v>
      </c>
      <c r="E616" s="6">
        <v>43011</v>
      </c>
      <c r="F616" s="6" t="s">
        <v>1606</v>
      </c>
      <c r="G616" s="7"/>
      <c r="H616" s="7"/>
      <c r="I616" s="7" t="s">
        <v>32</v>
      </c>
      <c r="J616" s="7"/>
      <c r="K616" s="29">
        <v>432379</v>
      </c>
      <c r="L616" s="10" t="s">
        <v>1303</v>
      </c>
      <c r="M616" s="10" t="s">
        <v>1335</v>
      </c>
      <c r="N616" s="10" t="s">
        <v>1336</v>
      </c>
      <c r="O616" s="11" t="s">
        <v>1337</v>
      </c>
      <c r="P616" s="12">
        <v>42212</v>
      </c>
      <c r="Q616" s="13">
        <f t="shared" ca="1" si="320"/>
        <v>10.157426420260096</v>
      </c>
      <c r="R616" s="14">
        <v>2</v>
      </c>
      <c r="S616" s="15" t="s">
        <v>98</v>
      </c>
      <c r="T616" s="8" t="s">
        <v>98</v>
      </c>
      <c r="U616" s="16">
        <v>45017</v>
      </c>
      <c r="V616" s="17">
        <v>1</v>
      </c>
      <c r="W616" s="16">
        <v>45382</v>
      </c>
      <c r="X616" s="14">
        <v>192</v>
      </c>
      <c r="Y616" s="18">
        <f t="shared" si="315"/>
        <v>192</v>
      </c>
      <c r="Z616" s="18">
        <f t="shared" si="335"/>
        <v>1</v>
      </c>
      <c r="AA616" s="18" t="s">
        <v>36</v>
      </c>
      <c r="AB616" s="26">
        <v>30</v>
      </c>
      <c r="AC616" s="26"/>
      <c r="AD616" s="26"/>
      <c r="AE616" s="147" t="str">
        <f t="shared" si="329"/>
        <v>0</v>
      </c>
      <c r="AF616" s="147" t="str">
        <f t="shared" si="330"/>
        <v>1</v>
      </c>
      <c r="AG616" s="147" t="str">
        <f t="shared" si="331"/>
        <v>0</v>
      </c>
      <c r="AH616" s="147" t="str">
        <f t="shared" si="323"/>
        <v>NO</v>
      </c>
      <c r="AI616" s="147" t="str">
        <f t="shared" si="324"/>
        <v>NO</v>
      </c>
      <c r="AJ616" s="147" t="str">
        <f t="shared" si="325"/>
        <v>NO</v>
      </c>
      <c r="AK616" s="147" t="str">
        <f t="shared" si="326"/>
        <v>NO</v>
      </c>
      <c r="AL616" s="21"/>
      <c r="AM616" s="21">
        <f t="shared" si="336"/>
        <v>8183.0999999999985</v>
      </c>
      <c r="AN616" s="27" t="s">
        <v>66</v>
      </c>
      <c r="AO616" s="21">
        <v>1</v>
      </c>
      <c r="AP616" s="21">
        <f t="shared" si="332"/>
        <v>1</v>
      </c>
      <c r="AQ616" s="149">
        <f t="shared" si="314"/>
        <v>8183.0999999999985</v>
      </c>
      <c r="AR616" s="21">
        <v>8183.0999999999985</v>
      </c>
      <c r="AS616" s="610">
        <v>8183.0999999999985</v>
      </c>
      <c r="AT616" s="112">
        <v>8183.0999999999985</v>
      </c>
      <c r="AU616" s="4"/>
      <c r="AV616" s="4"/>
      <c r="AW616" s="23" t="e">
        <f>VLOOKUP(K616,#REF!,8,FALSE)</f>
        <v>#REF!</v>
      </c>
      <c r="AX616" s="23" t="e">
        <f>VLOOKUP(K616,#REF!,8,FALSE)</f>
        <v>#REF!</v>
      </c>
      <c r="AY616" s="23" t="e">
        <f>VLOOKUP(K616,#REF!,8,FALSE)</f>
        <v>#REF!</v>
      </c>
      <c r="AZ616" s="4"/>
      <c r="BA616" s="272"/>
      <c r="BB616" s="313">
        <f t="shared" si="337"/>
        <v>0</v>
      </c>
      <c r="BC616" s="269">
        <f t="shared" si="338"/>
        <v>8183.0999999999985</v>
      </c>
      <c r="BD616" t="str">
        <f t="shared" si="339"/>
        <v/>
      </c>
      <c r="BP616" s="166">
        <f t="shared" si="327"/>
        <v>8183.0999999999985</v>
      </c>
      <c r="BS616" s="165"/>
      <c r="BX616" s="495">
        <f t="shared" si="340"/>
        <v>8183.0999999999985</v>
      </c>
      <c r="BZ616" s="636">
        <f t="shared" si="317"/>
        <v>0</v>
      </c>
      <c r="CA616" s="633">
        <f t="shared" si="318"/>
        <v>0</v>
      </c>
    </row>
    <row r="617" spans="1:79" x14ac:dyDescent="0.2">
      <c r="A617" s="4">
        <v>1</v>
      </c>
      <c r="B617" s="4">
        <v>1</v>
      </c>
      <c r="C617" s="5">
        <f t="shared" si="319"/>
        <v>41131</v>
      </c>
      <c r="D617" s="6">
        <v>41131</v>
      </c>
      <c r="E617" s="6">
        <v>43011</v>
      </c>
      <c r="F617" s="6" t="s">
        <v>1606</v>
      </c>
      <c r="G617" s="7"/>
      <c r="H617" s="7"/>
      <c r="I617" s="7" t="s">
        <v>32</v>
      </c>
      <c r="J617" s="7"/>
      <c r="K617" s="29">
        <v>401538</v>
      </c>
      <c r="L617" s="10" t="s">
        <v>1303</v>
      </c>
      <c r="M617" s="10" t="s">
        <v>1338</v>
      </c>
      <c r="N617" s="10" t="s">
        <v>1339</v>
      </c>
      <c r="O617" s="11" t="s">
        <v>1340</v>
      </c>
      <c r="P617" s="12">
        <v>40847</v>
      </c>
      <c r="Q617" s="13">
        <f t="shared" ca="1" si="320"/>
        <v>13.894592744695414</v>
      </c>
      <c r="R617" s="14">
        <v>6</v>
      </c>
      <c r="S617" s="15">
        <v>872</v>
      </c>
      <c r="T617" s="8">
        <v>872</v>
      </c>
      <c r="U617" s="16">
        <v>45017</v>
      </c>
      <c r="V617" s="17">
        <v>1</v>
      </c>
      <c r="W617" s="16">
        <v>45128</v>
      </c>
      <c r="X617" s="14">
        <v>63</v>
      </c>
      <c r="Y617" s="18">
        <f t="shared" si="315"/>
        <v>63</v>
      </c>
      <c r="Z617" s="18">
        <f t="shared" si="335"/>
        <v>0.328125</v>
      </c>
      <c r="AA617" s="18" t="s">
        <v>48</v>
      </c>
      <c r="AB617" s="26">
        <v>26</v>
      </c>
      <c r="AC617" s="26"/>
      <c r="AD617" s="26"/>
      <c r="AE617" s="147" t="str">
        <f t="shared" si="329"/>
        <v>0</v>
      </c>
      <c r="AF617" s="147" t="str">
        <f t="shared" si="330"/>
        <v>1</v>
      </c>
      <c r="AG617" s="147" t="str">
        <f t="shared" si="331"/>
        <v>0</v>
      </c>
      <c r="AH617" s="147" t="str">
        <f t="shared" si="323"/>
        <v>NO</v>
      </c>
      <c r="AI617" s="147" t="str">
        <f t="shared" si="324"/>
        <v>NO</v>
      </c>
      <c r="AJ617" s="147" t="str">
        <f t="shared" si="325"/>
        <v>NO</v>
      </c>
      <c r="AK617" s="147" t="str">
        <f t="shared" si="326"/>
        <v>NO</v>
      </c>
      <c r="AL617" s="21"/>
      <c r="AM617" s="21">
        <f t="shared" si="336"/>
        <v>6292.02</v>
      </c>
      <c r="AN617" s="27" t="s">
        <v>56</v>
      </c>
      <c r="AO617" s="21">
        <v>1</v>
      </c>
      <c r="AP617" s="21">
        <f t="shared" si="332"/>
        <v>0.328125</v>
      </c>
      <c r="AQ617" s="149">
        <f t="shared" si="314"/>
        <v>2064.5690625000002</v>
      </c>
      <c r="AR617" s="21">
        <v>2064.5690625000002</v>
      </c>
      <c r="AS617" s="610">
        <v>2064.5690625000002</v>
      </c>
      <c r="AT617" s="112">
        <v>2064.5690625000002</v>
      </c>
      <c r="AU617" s="4"/>
      <c r="AV617" s="4"/>
      <c r="AW617" s="23" t="e">
        <f>VLOOKUP(K617,#REF!,8,FALSE)</f>
        <v>#REF!</v>
      </c>
      <c r="AX617" s="23" t="s">
        <v>2257</v>
      </c>
      <c r="AY617" s="23" t="e">
        <f>VLOOKUP(K617,#REF!,8,FALSE)</f>
        <v>#REF!</v>
      </c>
      <c r="AZ617" s="4"/>
      <c r="BA617" s="272"/>
      <c r="BB617" s="313">
        <f t="shared" si="337"/>
        <v>0</v>
      </c>
      <c r="BC617" s="269">
        <f t="shared" si="338"/>
        <v>2064.5690625000002</v>
      </c>
      <c r="BD617" t="e">
        <f t="shared" si="339"/>
        <v>#REF!</v>
      </c>
      <c r="BE617" t="s">
        <v>2394</v>
      </c>
      <c r="BF617">
        <v>43012</v>
      </c>
      <c r="BH617" t="e">
        <f>VLOOKUP(K617,#REF!,8,FALSE)</f>
        <v>#REF!</v>
      </c>
      <c r="BJ617">
        <f>AB617</f>
        <v>26</v>
      </c>
      <c r="BK617" s="269">
        <f>AM617</f>
        <v>6292.02</v>
      </c>
      <c r="BL617" s="353"/>
      <c r="BM617" s="353" t="s">
        <v>75</v>
      </c>
      <c r="BN617" s="353"/>
      <c r="BO617" s="106">
        <f>BK617/192*127</f>
        <v>4161.9090624999999</v>
      </c>
      <c r="BP617" s="166">
        <f t="shared" si="327"/>
        <v>6226.4781249999996</v>
      </c>
      <c r="BS617" s="165"/>
      <c r="BX617" s="495">
        <f t="shared" si="340"/>
        <v>6226.4781249999996</v>
      </c>
      <c r="BZ617" s="636">
        <f t="shared" si="317"/>
        <v>0</v>
      </c>
      <c r="CA617" s="633">
        <f t="shared" si="318"/>
        <v>4161.909062499999</v>
      </c>
    </row>
    <row r="618" spans="1:79" x14ac:dyDescent="0.2">
      <c r="A618" s="4">
        <v>1</v>
      </c>
      <c r="B618" s="4">
        <v>1</v>
      </c>
      <c r="C618" s="5">
        <f t="shared" si="319"/>
        <v>41131</v>
      </c>
      <c r="D618" s="6">
        <v>41131</v>
      </c>
      <c r="E618" s="6">
        <v>43011</v>
      </c>
      <c r="F618" s="6" t="s">
        <v>1606</v>
      </c>
      <c r="G618" s="7"/>
      <c r="H618" s="7"/>
      <c r="I618" s="7" t="s">
        <v>32</v>
      </c>
      <c r="J618" s="7"/>
      <c r="K618" s="29">
        <v>446163</v>
      </c>
      <c r="L618" s="10" t="s">
        <v>1303</v>
      </c>
      <c r="M618" s="10" t="s">
        <v>1341</v>
      </c>
      <c r="N618" s="10" t="s">
        <v>168</v>
      </c>
      <c r="O618" s="11" t="str">
        <f>M618&amp;N618</f>
        <v>RomellRobertson</v>
      </c>
      <c r="P618" s="12">
        <v>41666</v>
      </c>
      <c r="Q618" s="13">
        <f t="shared" ca="1" si="320"/>
        <v>11.652292950034223</v>
      </c>
      <c r="R618" s="14">
        <v>4</v>
      </c>
      <c r="S618" s="15">
        <v>872</v>
      </c>
      <c r="T618" s="8">
        <v>872</v>
      </c>
      <c r="U618" s="16">
        <v>45017</v>
      </c>
      <c r="V618" s="17">
        <v>1</v>
      </c>
      <c r="W618" s="16">
        <v>45382</v>
      </c>
      <c r="X618" s="14">
        <v>192</v>
      </c>
      <c r="Y618" s="18">
        <f t="shared" si="315"/>
        <v>192</v>
      </c>
      <c r="Z618" s="18">
        <f t="shared" si="335"/>
        <v>1</v>
      </c>
      <c r="AA618" s="18" t="s">
        <v>36</v>
      </c>
      <c r="AB618" s="26">
        <v>30</v>
      </c>
      <c r="AC618" s="26"/>
      <c r="AD618" s="26"/>
      <c r="AE618" s="147" t="str">
        <f t="shared" si="329"/>
        <v>0</v>
      </c>
      <c r="AF618" s="147" t="str">
        <f t="shared" si="330"/>
        <v>1</v>
      </c>
      <c r="AG618" s="147" t="str">
        <f t="shared" si="331"/>
        <v>0</v>
      </c>
      <c r="AH618" s="147" t="str">
        <f t="shared" si="323"/>
        <v>NO</v>
      </c>
      <c r="AI618" s="147" t="str">
        <f t="shared" si="324"/>
        <v>NO</v>
      </c>
      <c r="AJ618" s="147" t="str">
        <f t="shared" si="325"/>
        <v>NO</v>
      </c>
      <c r="AK618" s="147" t="str">
        <f t="shared" si="326"/>
        <v>NO</v>
      </c>
      <c r="AL618" s="21"/>
      <c r="AM618" s="21">
        <f t="shared" si="336"/>
        <v>8183.0999999999985</v>
      </c>
      <c r="AN618" s="27"/>
      <c r="AO618" s="21">
        <v>1</v>
      </c>
      <c r="AP618" s="21">
        <f t="shared" si="332"/>
        <v>1</v>
      </c>
      <c r="AQ618" s="149">
        <f t="shared" si="314"/>
        <v>8183.0999999999985</v>
      </c>
      <c r="AR618" s="21">
        <v>8183.0999999999985</v>
      </c>
      <c r="AS618" s="610">
        <v>8183.0999999999985</v>
      </c>
      <c r="AT618" s="112">
        <v>8183.0999999999985</v>
      </c>
      <c r="AU618" s="4"/>
      <c r="AV618" s="4"/>
      <c r="AW618" s="23" t="e">
        <f>VLOOKUP(K618,#REF!,8,FALSE)</f>
        <v>#REF!</v>
      </c>
      <c r="AX618" s="23" t="e">
        <f>VLOOKUP(K618,#REF!,8,FALSE)</f>
        <v>#REF!</v>
      </c>
      <c r="AY618" s="23" t="e">
        <f>VLOOKUP(K618,#REF!,8,FALSE)</f>
        <v>#REF!</v>
      </c>
      <c r="AZ618" s="4"/>
      <c r="BA618" s="272"/>
      <c r="BB618" s="313">
        <f t="shared" si="337"/>
        <v>0</v>
      </c>
      <c r="BC618" s="269">
        <f t="shared" si="338"/>
        <v>8183.0999999999985</v>
      </c>
      <c r="BD618" t="str">
        <f t="shared" si="339"/>
        <v/>
      </c>
      <c r="BP618" s="166">
        <f t="shared" si="327"/>
        <v>8183.0999999999985</v>
      </c>
      <c r="BS618" s="165"/>
      <c r="BX618" s="495">
        <f t="shared" si="340"/>
        <v>8183.0999999999985</v>
      </c>
      <c r="BZ618" s="636">
        <f t="shared" si="317"/>
        <v>0</v>
      </c>
      <c r="CA618" s="633">
        <f t="shared" si="318"/>
        <v>0</v>
      </c>
    </row>
    <row r="619" spans="1:79" x14ac:dyDescent="0.2">
      <c r="A619" s="4">
        <v>1</v>
      </c>
      <c r="B619" s="4">
        <v>1</v>
      </c>
      <c r="C619" s="5">
        <f t="shared" si="319"/>
        <v>41132</v>
      </c>
      <c r="D619" s="6">
        <v>41132</v>
      </c>
      <c r="E619" s="121">
        <v>43012</v>
      </c>
      <c r="F619" s="6" t="s">
        <v>1606</v>
      </c>
      <c r="G619" s="101" t="s">
        <v>75</v>
      </c>
      <c r="H619" s="7"/>
      <c r="I619" s="7" t="s">
        <v>32</v>
      </c>
      <c r="J619" s="7"/>
      <c r="K619" s="29">
        <v>424685</v>
      </c>
      <c r="L619" s="47" t="s">
        <v>1342</v>
      </c>
      <c r="M619" s="10" t="s">
        <v>1343</v>
      </c>
      <c r="N619" s="10" t="s">
        <v>1344</v>
      </c>
      <c r="O619" s="11" t="s">
        <v>1345</v>
      </c>
      <c r="P619" s="12">
        <v>42349</v>
      </c>
      <c r="Q619" s="13">
        <f t="shared" ca="1" si="320"/>
        <v>9.7823408624229984</v>
      </c>
      <c r="R619" s="14">
        <v>2</v>
      </c>
      <c r="S619" s="15">
        <v>872</v>
      </c>
      <c r="T619" s="8">
        <v>872</v>
      </c>
      <c r="U619" s="16">
        <v>45017</v>
      </c>
      <c r="V619" s="17">
        <v>1</v>
      </c>
      <c r="W619" s="16">
        <v>45382</v>
      </c>
      <c r="X619" s="14">
        <v>192</v>
      </c>
      <c r="Y619" s="18">
        <f t="shared" si="315"/>
        <v>192</v>
      </c>
      <c r="Z619" s="18">
        <f t="shared" si="335"/>
        <v>1</v>
      </c>
      <c r="AA619" s="18" t="s">
        <v>36</v>
      </c>
      <c r="AB619" s="26">
        <v>25</v>
      </c>
      <c r="AC619" s="26"/>
      <c r="AD619" s="26"/>
      <c r="AE619" s="147" t="str">
        <f t="shared" si="329"/>
        <v>1</v>
      </c>
      <c r="AF619" s="147" t="str">
        <f t="shared" si="330"/>
        <v>0</v>
      </c>
      <c r="AG619" s="147" t="str">
        <f t="shared" si="331"/>
        <v>0</v>
      </c>
      <c r="AH619" s="147" t="str">
        <f t="shared" si="323"/>
        <v>NO</v>
      </c>
      <c r="AI619" s="147" t="str">
        <f t="shared" si="324"/>
        <v>NO</v>
      </c>
      <c r="AJ619" s="147" t="str">
        <f t="shared" si="325"/>
        <v>NO</v>
      </c>
      <c r="AK619" s="147" t="str">
        <f t="shared" si="326"/>
        <v>NO</v>
      </c>
      <c r="AL619" s="21"/>
      <c r="AM619" s="21">
        <f t="shared" si="336"/>
        <v>5819.25</v>
      </c>
      <c r="AN619" s="27" t="s">
        <v>37</v>
      </c>
      <c r="AO619" s="21">
        <v>1</v>
      </c>
      <c r="AP619" s="21">
        <f t="shared" si="332"/>
        <v>1</v>
      </c>
      <c r="AQ619" s="149">
        <f t="shared" si="314"/>
        <v>5819.25</v>
      </c>
      <c r="AR619" s="21">
        <v>5819.25</v>
      </c>
      <c r="AS619" s="610">
        <v>5819.25</v>
      </c>
      <c r="AT619" s="112">
        <v>5819.25</v>
      </c>
      <c r="AU619" s="4"/>
      <c r="AV619" s="4"/>
      <c r="AW619" s="23" t="e">
        <f>VLOOKUP(K619,#REF!,8,FALSE)</f>
        <v>#REF!</v>
      </c>
      <c r="AX619" s="23" t="e">
        <f>VLOOKUP(K619,#REF!,8,FALSE)</f>
        <v>#REF!</v>
      </c>
      <c r="AY619" s="23" t="e">
        <f>VLOOKUP(K619,#REF!,8,FALSE)</f>
        <v>#REF!</v>
      </c>
      <c r="AZ619" s="4"/>
      <c r="BA619" s="272"/>
      <c r="BB619" s="313">
        <f t="shared" si="337"/>
        <v>0</v>
      </c>
      <c r="BC619" s="269">
        <f t="shared" si="338"/>
        <v>5819.25</v>
      </c>
      <c r="BD619" t="str">
        <f t="shared" si="339"/>
        <v/>
      </c>
      <c r="BP619" s="166">
        <f t="shared" si="327"/>
        <v>5819.25</v>
      </c>
      <c r="BS619" s="165"/>
      <c r="BX619" s="495">
        <f t="shared" si="340"/>
        <v>5819.25</v>
      </c>
      <c r="BZ619" s="636">
        <f t="shared" si="317"/>
        <v>0</v>
      </c>
      <c r="CA619" s="633">
        <f t="shared" si="318"/>
        <v>0</v>
      </c>
    </row>
    <row r="620" spans="1:79" x14ac:dyDescent="0.2">
      <c r="A620" s="4">
        <v>1</v>
      </c>
      <c r="B620" s="4">
        <v>1</v>
      </c>
      <c r="C620" s="5">
        <f t="shared" si="319"/>
        <v>41132</v>
      </c>
      <c r="D620" s="6">
        <v>41132</v>
      </c>
      <c r="E620" s="121">
        <v>43012</v>
      </c>
      <c r="F620" s="6" t="s">
        <v>1606</v>
      </c>
      <c r="G620" s="101" t="s">
        <v>75</v>
      </c>
      <c r="H620" s="7"/>
      <c r="I620" s="7" t="s">
        <v>32</v>
      </c>
      <c r="J620" s="7"/>
      <c r="K620" s="29">
        <v>433198</v>
      </c>
      <c r="L620" s="47" t="s">
        <v>1342</v>
      </c>
      <c r="M620" s="10" t="s">
        <v>950</v>
      </c>
      <c r="N620" s="10" t="s">
        <v>339</v>
      </c>
      <c r="O620" s="11" t="s">
        <v>1346</v>
      </c>
      <c r="P620" s="12">
        <v>42763</v>
      </c>
      <c r="Q620" s="13">
        <f t="shared" ca="1" si="320"/>
        <v>8.6488706365503081</v>
      </c>
      <c r="R620" s="14">
        <v>1</v>
      </c>
      <c r="S620" s="15">
        <v>872</v>
      </c>
      <c r="T620" s="8">
        <v>872</v>
      </c>
      <c r="U620" s="16">
        <v>45017</v>
      </c>
      <c r="V620" s="17">
        <v>1</v>
      </c>
      <c r="W620" s="16">
        <v>45382</v>
      </c>
      <c r="X620" s="14">
        <v>192</v>
      </c>
      <c r="Y620" s="18">
        <f t="shared" si="315"/>
        <v>192</v>
      </c>
      <c r="Z620" s="18">
        <f t="shared" si="335"/>
        <v>1</v>
      </c>
      <c r="AA620" s="18" t="s">
        <v>36</v>
      </c>
      <c r="AB620" s="26">
        <v>25</v>
      </c>
      <c r="AC620" s="26"/>
      <c r="AD620" s="26"/>
      <c r="AE620" s="147" t="str">
        <f t="shared" si="329"/>
        <v>1</v>
      </c>
      <c r="AF620" s="147" t="str">
        <f t="shared" si="330"/>
        <v>0</v>
      </c>
      <c r="AG620" s="147" t="str">
        <f t="shared" si="331"/>
        <v>0</v>
      </c>
      <c r="AH620" s="147" t="str">
        <f t="shared" si="323"/>
        <v>NO</v>
      </c>
      <c r="AI620" s="147" t="str">
        <f t="shared" si="324"/>
        <v>NO</v>
      </c>
      <c r="AJ620" s="147" t="str">
        <f t="shared" si="325"/>
        <v>NO</v>
      </c>
      <c r="AK620" s="147" t="str">
        <f t="shared" si="326"/>
        <v>NO</v>
      </c>
      <c r="AL620" s="21"/>
      <c r="AM620" s="21">
        <f t="shared" si="336"/>
        <v>5819.25</v>
      </c>
      <c r="AN620" s="27" t="s">
        <v>37</v>
      </c>
      <c r="AO620" s="21">
        <v>1</v>
      </c>
      <c r="AP620" s="21">
        <f t="shared" si="332"/>
        <v>1</v>
      </c>
      <c r="AQ620" s="149">
        <f t="shared" si="314"/>
        <v>5819.25</v>
      </c>
      <c r="AR620" s="21">
        <v>5819.25</v>
      </c>
      <c r="AS620" s="610">
        <v>5819.25</v>
      </c>
      <c r="AT620" s="112">
        <v>5819.25</v>
      </c>
      <c r="AU620" s="4"/>
      <c r="AV620" s="4"/>
      <c r="AW620" s="23" t="e">
        <f>VLOOKUP(K620,#REF!,8,FALSE)</f>
        <v>#REF!</v>
      </c>
      <c r="AX620" s="23" t="e">
        <f>VLOOKUP(K620,#REF!,8,FALSE)</f>
        <v>#REF!</v>
      </c>
      <c r="AY620" s="23" t="e">
        <f>VLOOKUP(K620,#REF!,8,FALSE)</f>
        <v>#REF!</v>
      </c>
      <c r="AZ620" s="4"/>
      <c r="BA620" s="272"/>
      <c r="BB620" s="313">
        <f t="shared" si="337"/>
        <v>0</v>
      </c>
      <c r="BC620" s="269">
        <f t="shared" si="338"/>
        <v>5819.25</v>
      </c>
      <c r="BD620" t="str">
        <f t="shared" si="339"/>
        <v/>
      </c>
      <c r="BP620" s="166">
        <f t="shared" si="327"/>
        <v>5819.25</v>
      </c>
      <c r="BS620" s="165"/>
      <c r="BX620" s="495">
        <f t="shared" si="340"/>
        <v>5819.25</v>
      </c>
      <c r="BZ620" s="636">
        <f t="shared" si="317"/>
        <v>0</v>
      </c>
      <c r="CA620" s="633">
        <f t="shared" si="318"/>
        <v>0</v>
      </c>
    </row>
    <row r="621" spans="1:79" x14ac:dyDescent="0.2">
      <c r="A621" s="4">
        <v>1</v>
      </c>
      <c r="B621" s="4">
        <v>1</v>
      </c>
      <c r="C621" s="5">
        <f t="shared" si="319"/>
        <v>41132</v>
      </c>
      <c r="D621" s="6">
        <v>41132</v>
      </c>
      <c r="E621" s="121">
        <v>43012</v>
      </c>
      <c r="F621" s="6" t="s">
        <v>1606</v>
      </c>
      <c r="G621" s="101" t="s">
        <v>75</v>
      </c>
      <c r="H621" s="7"/>
      <c r="I621" s="7" t="s">
        <v>32</v>
      </c>
      <c r="J621" s="7"/>
      <c r="K621" s="29">
        <v>403089</v>
      </c>
      <c r="L621" s="47" t="s">
        <v>1342</v>
      </c>
      <c r="M621" s="10" t="s">
        <v>1347</v>
      </c>
      <c r="N621" s="10" t="s">
        <v>1348</v>
      </c>
      <c r="O621" s="11" t="s">
        <v>1349</v>
      </c>
      <c r="P621" s="12">
        <v>41122</v>
      </c>
      <c r="Q621" s="13">
        <f t="shared" ca="1" si="320"/>
        <v>13.141683778234086</v>
      </c>
      <c r="R621" s="14">
        <v>6</v>
      </c>
      <c r="S621" s="15">
        <v>872</v>
      </c>
      <c r="T621" s="8">
        <v>872</v>
      </c>
      <c r="U621" s="16">
        <v>45017</v>
      </c>
      <c r="V621" s="17">
        <v>1</v>
      </c>
      <c r="W621" s="16">
        <v>45128</v>
      </c>
      <c r="X621" s="14">
        <v>63</v>
      </c>
      <c r="Y621" s="18">
        <f t="shared" si="315"/>
        <v>63</v>
      </c>
      <c r="Z621" s="18">
        <f t="shared" si="335"/>
        <v>0.328125</v>
      </c>
      <c r="AA621" s="18" t="s">
        <v>48</v>
      </c>
      <c r="AB621" s="26">
        <v>27</v>
      </c>
      <c r="AC621" s="26"/>
      <c r="AD621" s="26"/>
      <c r="AE621" s="147" t="str">
        <f t="shared" si="329"/>
        <v>0</v>
      </c>
      <c r="AF621" s="147" t="str">
        <f t="shared" si="330"/>
        <v>1</v>
      </c>
      <c r="AG621" s="147" t="str">
        <f t="shared" si="331"/>
        <v>0</v>
      </c>
      <c r="AH621" s="147" t="str">
        <f t="shared" si="323"/>
        <v>NO</v>
      </c>
      <c r="AI621" s="147" t="str">
        <f t="shared" si="324"/>
        <v>NO</v>
      </c>
      <c r="AJ621" s="147" t="str">
        <f t="shared" si="325"/>
        <v>NO</v>
      </c>
      <c r="AK621" s="147" t="str">
        <f t="shared" si="326"/>
        <v>NO</v>
      </c>
      <c r="AL621" s="21"/>
      <c r="AM621" s="21">
        <f t="shared" si="336"/>
        <v>6764.7899999999991</v>
      </c>
      <c r="AN621" s="27" t="s">
        <v>66</v>
      </c>
      <c r="AO621" s="21">
        <v>1</v>
      </c>
      <c r="AP621" s="21">
        <f t="shared" si="332"/>
        <v>0.328125</v>
      </c>
      <c r="AQ621" s="149">
        <f t="shared" si="314"/>
        <v>2219.6967187499995</v>
      </c>
      <c r="AR621" s="21">
        <v>2219.6967187499995</v>
      </c>
      <c r="AS621" s="610">
        <v>2219.6967187499995</v>
      </c>
      <c r="AT621" s="112">
        <v>2219.6967187499995</v>
      </c>
      <c r="AU621" s="4"/>
      <c r="AV621" s="4"/>
      <c r="AW621" s="23" t="e">
        <f>VLOOKUP(K621,#REF!,8,FALSE)</f>
        <v>#REF!</v>
      </c>
      <c r="AX621" s="23" t="s">
        <v>2257</v>
      </c>
      <c r="AY621" s="23" t="e">
        <f>VLOOKUP(K621,#REF!,8,FALSE)</f>
        <v>#REF!</v>
      </c>
      <c r="AZ621" s="4"/>
      <c r="BA621" s="272"/>
      <c r="BB621" s="313">
        <f t="shared" si="337"/>
        <v>0</v>
      </c>
      <c r="BC621" s="269">
        <f t="shared" si="338"/>
        <v>2219.6967187499995</v>
      </c>
      <c r="BD621" t="e">
        <f t="shared" si="339"/>
        <v>#REF!</v>
      </c>
      <c r="BE621" t="s">
        <v>2394</v>
      </c>
      <c r="BF621">
        <v>43012</v>
      </c>
      <c r="BH621" t="e">
        <f>VLOOKUP(K621,#REF!,8,FALSE)</f>
        <v>#REF!</v>
      </c>
      <c r="BJ621">
        <f>AB621</f>
        <v>27</v>
      </c>
      <c r="BK621" s="269">
        <f>AM621</f>
        <v>6764.7899999999991</v>
      </c>
      <c r="BL621" s="353"/>
      <c r="BM621" s="353" t="s">
        <v>75</v>
      </c>
      <c r="BN621" s="353"/>
      <c r="BO621" s="106">
        <f>BK621/192*127</f>
        <v>4474.6267187499998</v>
      </c>
      <c r="BP621" s="166">
        <f t="shared" si="327"/>
        <v>6694.3234374999993</v>
      </c>
      <c r="BS621" s="165"/>
      <c r="BX621" s="495">
        <f t="shared" si="340"/>
        <v>6694.3234374999993</v>
      </c>
      <c r="BZ621" s="636">
        <f t="shared" si="317"/>
        <v>0</v>
      </c>
      <c r="CA621" s="633">
        <f t="shared" si="318"/>
        <v>4474.6267187499998</v>
      </c>
    </row>
    <row r="622" spans="1:79" x14ac:dyDescent="0.2">
      <c r="A622" s="4">
        <v>1</v>
      </c>
      <c r="B622" s="4">
        <v>1</v>
      </c>
      <c r="C622" s="5">
        <f t="shared" si="319"/>
        <v>41132</v>
      </c>
      <c r="D622" s="6">
        <v>41132</v>
      </c>
      <c r="E622" s="121">
        <v>43012</v>
      </c>
      <c r="F622" s="6" t="s">
        <v>1606</v>
      </c>
      <c r="G622" s="101" t="s">
        <v>75</v>
      </c>
      <c r="H622" s="7"/>
      <c r="I622" s="7" t="s">
        <v>32</v>
      </c>
      <c r="J622" s="7"/>
      <c r="K622" s="29">
        <v>429329</v>
      </c>
      <c r="L622" s="47" t="s">
        <v>1342</v>
      </c>
      <c r="M622" s="10" t="s">
        <v>1350</v>
      </c>
      <c r="N622" s="10" t="s">
        <v>1351</v>
      </c>
      <c r="O622" s="11" t="s">
        <v>1352</v>
      </c>
      <c r="P622" s="12">
        <v>42850</v>
      </c>
      <c r="Q622" s="13">
        <f t="shared" ca="1" si="320"/>
        <v>8.4106776180698155</v>
      </c>
      <c r="R622" s="14">
        <v>1</v>
      </c>
      <c r="S622" s="15">
        <v>872</v>
      </c>
      <c r="T622" s="8">
        <v>872</v>
      </c>
      <c r="U622" s="16">
        <v>45017</v>
      </c>
      <c r="V622" s="17">
        <v>1</v>
      </c>
      <c r="W622" s="16">
        <v>45382</v>
      </c>
      <c r="X622" s="14">
        <v>192</v>
      </c>
      <c r="Y622" s="18">
        <f t="shared" si="315"/>
        <v>192</v>
      </c>
      <c r="Z622" s="18">
        <f t="shared" si="335"/>
        <v>1</v>
      </c>
      <c r="AA622" s="18" t="s">
        <v>36</v>
      </c>
      <c r="AB622" s="26">
        <v>25</v>
      </c>
      <c r="AC622" s="26"/>
      <c r="AD622" s="26"/>
      <c r="AE622" s="147" t="str">
        <f t="shared" si="329"/>
        <v>1</v>
      </c>
      <c r="AF622" s="147" t="str">
        <f t="shared" si="330"/>
        <v>0</v>
      </c>
      <c r="AG622" s="147" t="str">
        <f t="shared" si="331"/>
        <v>0</v>
      </c>
      <c r="AH622" s="147" t="str">
        <f t="shared" si="323"/>
        <v>NO</v>
      </c>
      <c r="AI622" s="147" t="str">
        <f t="shared" si="324"/>
        <v>NO</v>
      </c>
      <c r="AJ622" s="147" t="str">
        <f t="shared" si="325"/>
        <v>NO</v>
      </c>
      <c r="AK622" s="147" t="str">
        <f t="shared" si="326"/>
        <v>NO</v>
      </c>
      <c r="AL622" s="21"/>
      <c r="AM622" s="21">
        <f t="shared" si="336"/>
        <v>5819.25</v>
      </c>
      <c r="AN622" s="27" t="s">
        <v>173</v>
      </c>
      <c r="AO622" s="21">
        <v>1</v>
      </c>
      <c r="AP622" s="21">
        <f t="shared" si="332"/>
        <v>1</v>
      </c>
      <c r="AQ622" s="149">
        <f t="shared" si="314"/>
        <v>5819.25</v>
      </c>
      <c r="AR622" s="21">
        <v>5819.25</v>
      </c>
      <c r="AS622" s="610">
        <v>5819.25</v>
      </c>
      <c r="AT622" s="112">
        <v>5819.25</v>
      </c>
      <c r="AU622" s="4"/>
      <c r="AV622" s="4"/>
      <c r="AW622" s="23" t="e">
        <f>VLOOKUP(K622,#REF!,8,FALSE)</f>
        <v>#REF!</v>
      </c>
      <c r="AX622" s="23" t="e">
        <f>VLOOKUP(K622,#REF!,8,FALSE)</f>
        <v>#REF!</v>
      </c>
      <c r="AY622" s="23" t="e">
        <f>VLOOKUP(K622,#REF!,8,FALSE)</f>
        <v>#REF!</v>
      </c>
      <c r="AZ622" s="4"/>
      <c r="BA622" s="272"/>
      <c r="BB622" s="313">
        <f t="shared" si="337"/>
        <v>0</v>
      </c>
      <c r="BC622" s="269">
        <f t="shared" si="338"/>
        <v>5819.25</v>
      </c>
      <c r="BD622" t="str">
        <f t="shared" si="339"/>
        <v/>
      </c>
      <c r="BP622" s="166">
        <f t="shared" si="327"/>
        <v>5819.25</v>
      </c>
      <c r="BS622" s="165"/>
      <c r="BX622" s="495">
        <f t="shared" si="340"/>
        <v>5819.25</v>
      </c>
      <c r="BZ622" s="636">
        <f t="shared" si="317"/>
        <v>0</v>
      </c>
      <c r="CA622" s="633">
        <f t="shared" si="318"/>
        <v>0</v>
      </c>
    </row>
    <row r="623" spans="1:79" x14ac:dyDescent="0.2">
      <c r="A623" s="4">
        <v>1</v>
      </c>
      <c r="B623" s="4">
        <v>1</v>
      </c>
      <c r="C623" s="5">
        <f t="shared" si="319"/>
        <v>41132</v>
      </c>
      <c r="D623" s="6">
        <v>41132</v>
      </c>
      <c r="E623" s="121">
        <v>43012</v>
      </c>
      <c r="F623" s="6" t="s">
        <v>1606</v>
      </c>
      <c r="G623" s="101" t="s">
        <v>75</v>
      </c>
      <c r="H623" s="7"/>
      <c r="I623" s="7" t="s">
        <v>32</v>
      </c>
      <c r="J623" s="7"/>
      <c r="K623" s="29">
        <v>419657</v>
      </c>
      <c r="L623" s="47" t="s">
        <v>1342</v>
      </c>
      <c r="M623" s="10" t="s">
        <v>1353</v>
      </c>
      <c r="N623" s="10" t="s">
        <v>1354</v>
      </c>
      <c r="O623" s="11" t="s">
        <v>1355</v>
      </c>
      <c r="P623" s="12">
        <v>42033</v>
      </c>
      <c r="Q623" s="13">
        <f t="shared" ca="1" si="320"/>
        <v>10.647501711156742</v>
      </c>
      <c r="R623" s="14">
        <v>3</v>
      </c>
      <c r="S623" s="15">
        <v>872</v>
      </c>
      <c r="T623" s="8">
        <v>872</v>
      </c>
      <c r="U623" s="16">
        <v>45017</v>
      </c>
      <c r="V623" s="17">
        <v>1</v>
      </c>
      <c r="W623" s="16">
        <v>45382</v>
      </c>
      <c r="X623" s="14">
        <v>192</v>
      </c>
      <c r="Y623" s="18">
        <f>X623-V624+1</f>
        <v>192</v>
      </c>
      <c r="Z623" s="18">
        <f t="shared" si="335"/>
        <v>1</v>
      </c>
      <c r="AA623" s="18" t="s">
        <v>36</v>
      </c>
      <c r="AB623" s="26">
        <v>30</v>
      </c>
      <c r="AC623" s="26"/>
      <c r="AD623" s="26"/>
      <c r="AE623" s="147" t="str">
        <f t="shared" si="329"/>
        <v>0</v>
      </c>
      <c r="AF623" s="147" t="str">
        <f t="shared" si="330"/>
        <v>1</v>
      </c>
      <c r="AG623" s="147" t="str">
        <f t="shared" si="331"/>
        <v>0</v>
      </c>
      <c r="AH623" s="147" t="str">
        <f t="shared" si="323"/>
        <v>NO</v>
      </c>
      <c r="AI623" s="147" t="str">
        <f t="shared" si="324"/>
        <v>NO</v>
      </c>
      <c r="AJ623" s="147" t="str">
        <f t="shared" si="325"/>
        <v>NO</v>
      </c>
      <c r="AK623" s="147" t="str">
        <f t="shared" si="326"/>
        <v>NO</v>
      </c>
      <c r="AL623" s="21"/>
      <c r="AM623" s="21">
        <f t="shared" si="336"/>
        <v>8183.0999999999985</v>
      </c>
      <c r="AN623" s="27" t="s">
        <v>56</v>
      </c>
      <c r="AO623" s="21">
        <v>1</v>
      </c>
      <c r="AP623" s="21">
        <f t="shared" si="332"/>
        <v>1</v>
      </c>
      <c r="AQ623" s="149">
        <f t="shared" si="314"/>
        <v>8183.0999999999985</v>
      </c>
      <c r="AR623" s="21">
        <v>8183.0999999999985</v>
      </c>
      <c r="AS623" s="610">
        <v>8183.0999999999985</v>
      </c>
      <c r="AT623" s="112">
        <v>8183.0999999999985</v>
      </c>
      <c r="AU623" s="4"/>
      <c r="AV623" s="4"/>
      <c r="AW623" s="23" t="e">
        <f>VLOOKUP(K623,#REF!,8,FALSE)</f>
        <v>#REF!</v>
      </c>
      <c r="AX623" s="23" t="e">
        <f>VLOOKUP(K623,#REF!,8,FALSE)</f>
        <v>#REF!</v>
      </c>
      <c r="AY623" s="23" t="e">
        <f>VLOOKUP(K623,#REF!,8,FALSE)</f>
        <v>#REF!</v>
      </c>
      <c r="AZ623" s="4"/>
      <c r="BA623" s="272"/>
      <c r="BB623" s="313">
        <f t="shared" si="337"/>
        <v>0</v>
      </c>
      <c r="BC623" s="269">
        <f t="shared" si="338"/>
        <v>8183.0999999999985</v>
      </c>
      <c r="BD623" t="str">
        <f t="shared" si="339"/>
        <v/>
      </c>
      <c r="BP623" s="166">
        <f t="shared" si="327"/>
        <v>8183.0999999999985</v>
      </c>
      <c r="BS623" s="165"/>
      <c r="BX623" s="495">
        <f t="shared" si="340"/>
        <v>8183.0999999999985</v>
      </c>
      <c r="BZ623" s="636">
        <f t="shared" si="317"/>
        <v>0</v>
      </c>
      <c r="CA623" s="633">
        <f t="shared" si="318"/>
        <v>0</v>
      </c>
    </row>
    <row r="624" spans="1:79" x14ac:dyDescent="0.2">
      <c r="A624" s="4">
        <v>0</v>
      </c>
      <c r="B624" s="4">
        <v>1</v>
      </c>
      <c r="C624" s="5">
        <f t="shared" si="319"/>
        <v>41132</v>
      </c>
      <c r="D624" s="6">
        <v>41132</v>
      </c>
      <c r="E624" s="121">
        <v>43012</v>
      </c>
      <c r="F624" s="6" t="s">
        <v>1606</v>
      </c>
      <c r="G624" s="101" t="s">
        <v>75</v>
      </c>
      <c r="H624" s="7"/>
      <c r="I624" s="7" t="s">
        <v>32</v>
      </c>
      <c r="J624" s="7"/>
      <c r="K624" s="29">
        <v>442051</v>
      </c>
      <c r="L624" s="47" t="s">
        <v>1342</v>
      </c>
      <c r="M624" s="10" t="s">
        <v>1927</v>
      </c>
      <c r="N624" s="10" t="s">
        <v>1929</v>
      </c>
      <c r="O624" s="11" t="s">
        <v>2345</v>
      </c>
      <c r="P624" s="12">
        <v>43566</v>
      </c>
      <c r="Q624" s="13">
        <f t="shared" ca="1" si="320"/>
        <v>6.4503764544832309</v>
      </c>
      <c r="R624" s="14">
        <v>0</v>
      </c>
      <c r="S624" s="15">
        <v>872</v>
      </c>
      <c r="T624" s="8">
        <v>872</v>
      </c>
      <c r="U624" s="16">
        <v>45173</v>
      </c>
      <c r="V624" s="17">
        <v>1</v>
      </c>
      <c r="W624" s="16">
        <v>45382</v>
      </c>
      <c r="X624" s="14">
        <v>192</v>
      </c>
      <c r="Y624" s="18">
        <f>X624-V625+1</f>
        <v>192</v>
      </c>
      <c r="Z624" s="18">
        <f t="shared" si="335"/>
        <v>1</v>
      </c>
      <c r="AA624" s="18"/>
      <c r="AB624" s="26">
        <v>25</v>
      </c>
      <c r="AC624" s="26"/>
      <c r="AD624" s="26"/>
      <c r="AE624" s="147" t="str">
        <f t="shared" si="329"/>
        <v>1</v>
      </c>
      <c r="AF624" s="147" t="str">
        <f t="shared" si="330"/>
        <v>0</v>
      </c>
      <c r="AG624" s="147" t="str">
        <f t="shared" si="331"/>
        <v>0</v>
      </c>
      <c r="AH624" s="147" t="str">
        <f t="shared" si="323"/>
        <v>NO</v>
      </c>
      <c r="AI624" s="147" t="str">
        <f t="shared" si="324"/>
        <v>NO</v>
      </c>
      <c r="AJ624" s="147" t="str">
        <f t="shared" si="325"/>
        <v>NO</v>
      </c>
      <c r="AK624" s="147" t="str">
        <f t="shared" si="326"/>
        <v>NO</v>
      </c>
      <c r="AL624" s="21"/>
      <c r="AM624" s="21">
        <f t="shared" si="336"/>
        <v>5819.25</v>
      </c>
      <c r="AN624" s="27"/>
      <c r="AO624" s="21">
        <v>1</v>
      </c>
      <c r="AP624" s="21">
        <f t="shared" si="332"/>
        <v>1</v>
      </c>
      <c r="AQ624" s="149">
        <f t="shared" si="314"/>
        <v>5819.25</v>
      </c>
      <c r="AR624" s="21">
        <v>5819.25</v>
      </c>
      <c r="AS624" s="610">
        <v>0</v>
      </c>
      <c r="AT624" s="112">
        <v>0</v>
      </c>
      <c r="AU624" s="4"/>
      <c r="AV624" s="4"/>
      <c r="AW624" s="23"/>
      <c r="AX624" s="23"/>
      <c r="AY624" s="23"/>
      <c r="AZ624" s="4"/>
      <c r="BA624" s="272"/>
      <c r="BB624" s="313">
        <f t="shared" si="337"/>
        <v>5819.25</v>
      </c>
      <c r="BC624" s="269">
        <f t="shared" si="338"/>
        <v>5819.25</v>
      </c>
      <c r="BD624" t="str">
        <f t="shared" si="339"/>
        <v/>
      </c>
      <c r="BJ624" t="s">
        <v>2344</v>
      </c>
      <c r="BP624" s="166">
        <f t="shared" si="327"/>
        <v>5819.25</v>
      </c>
      <c r="BS624" s="165"/>
      <c r="BX624" s="495">
        <f t="shared" si="340"/>
        <v>5819.25</v>
      </c>
      <c r="BZ624" s="636">
        <f t="shared" si="317"/>
        <v>0</v>
      </c>
      <c r="CA624" s="633">
        <f t="shared" si="318"/>
        <v>5819.25</v>
      </c>
    </row>
    <row r="625" spans="1:79" x14ac:dyDescent="0.2">
      <c r="A625" s="4">
        <v>1</v>
      </c>
      <c r="B625" s="4">
        <v>1</v>
      </c>
      <c r="C625" s="5">
        <f t="shared" si="319"/>
        <v>41132</v>
      </c>
      <c r="D625" s="6">
        <v>41132</v>
      </c>
      <c r="E625" s="121">
        <v>43012</v>
      </c>
      <c r="F625" s="6" t="s">
        <v>1606</v>
      </c>
      <c r="G625" s="101" t="s">
        <v>75</v>
      </c>
      <c r="H625" s="7"/>
      <c r="I625" s="7" t="s">
        <v>32</v>
      </c>
      <c r="J625" s="7"/>
      <c r="K625" s="29">
        <v>437273</v>
      </c>
      <c r="L625" s="47" t="s">
        <v>1342</v>
      </c>
      <c r="M625" s="10" t="s">
        <v>1356</v>
      </c>
      <c r="N625" s="10" t="s">
        <v>1357</v>
      </c>
      <c r="O625" s="11" t="s">
        <v>1358</v>
      </c>
      <c r="P625" s="12">
        <v>43045</v>
      </c>
      <c r="Q625" s="13">
        <f t="shared" ca="1" si="320"/>
        <v>7.8767967145790552</v>
      </c>
      <c r="R625" s="14">
        <v>0</v>
      </c>
      <c r="S625" s="15">
        <v>872</v>
      </c>
      <c r="T625" s="8">
        <v>872</v>
      </c>
      <c r="U625" s="16">
        <v>45017</v>
      </c>
      <c r="V625" s="17">
        <v>1</v>
      </c>
      <c r="W625" s="16">
        <v>45382</v>
      </c>
      <c r="X625" s="14">
        <v>192</v>
      </c>
      <c r="Y625" s="18">
        <f t="shared" ref="Y625:Y688" si="341">X625-V625+1</f>
        <v>192</v>
      </c>
      <c r="Z625" s="18">
        <f t="shared" si="335"/>
        <v>1</v>
      </c>
      <c r="AA625" s="18" t="s">
        <v>36</v>
      </c>
      <c r="AB625" s="26">
        <v>30</v>
      </c>
      <c r="AC625" s="26"/>
      <c r="AD625" s="26"/>
      <c r="AE625" s="147" t="str">
        <f t="shared" si="329"/>
        <v>0</v>
      </c>
      <c r="AF625" s="147" t="str">
        <f t="shared" si="330"/>
        <v>1</v>
      </c>
      <c r="AG625" s="147" t="str">
        <f t="shared" si="331"/>
        <v>0</v>
      </c>
      <c r="AH625" s="147" t="str">
        <f t="shared" si="323"/>
        <v>NO</v>
      </c>
      <c r="AI625" s="147" t="str">
        <f t="shared" si="324"/>
        <v>NO</v>
      </c>
      <c r="AJ625" s="147" t="str">
        <f t="shared" si="325"/>
        <v>NO</v>
      </c>
      <c r="AK625" s="147" t="str">
        <f t="shared" si="326"/>
        <v>NO</v>
      </c>
      <c r="AL625" s="21"/>
      <c r="AM625" s="21">
        <f t="shared" si="336"/>
        <v>8183.0999999999985</v>
      </c>
      <c r="AN625" s="27" t="s">
        <v>37</v>
      </c>
      <c r="AO625" s="21">
        <v>1</v>
      </c>
      <c r="AP625" s="21">
        <f t="shared" si="332"/>
        <v>1</v>
      </c>
      <c r="AQ625" s="149">
        <f t="shared" si="314"/>
        <v>8183.0999999999985</v>
      </c>
      <c r="AR625" s="21">
        <v>8183.0999999999985</v>
      </c>
      <c r="AS625" s="610">
        <v>8183.0999999999985</v>
      </c>
      <c r="AT625" s="112">
        <v>8183.0999999999985</v>
      </c>
      <c r="AU625" s="4"/>
      <c r="AV625" s="4"/>
      <c r="AW625" s="23" t="e">
        <f>VLOOKUP(K625,#REF!,8,FALSE)</f>
        <v>#REF!</v>
      </c>
      <c r="AX625" s="23" t="e">
        <f>VLOOKUP(K625,#REF!,8,FALSE)</f>
        <v>#REF!</v>
      </c>
      <c r="AY625" s="23" t="e">
        <f>VLOOKUP(K625,#REF!,8,FALSE)</f>
        <v>#REF!</v>
      </c>
      <c r="AZ625" s="4"/>
      <c r="BA625" s="272"/>
      <c r="BB625" s="313">
        <f t="shared" si="337"/>
        <v>0</v>
      </c>
      <c r="BC625" s="269">
        <f t="shared" si="338"/>
        <v>8183.0999999999985</v>
      </c>
      <c r="BD625" t="str">
        <f t="shared" si="339"/>
        <v/>
      </c>
      <c r="BP625" s="166">
        <f t="shared" si="327"/>
        <v>8183.0999999999985</v>
      </c>
      <c r="BS625" s="165"/>
      <c r="BX625" s="495">
        <f t="shared" si="340"/>
        <v>8183.0999999999985</v>
      </c>
      <c r="BZ625" s="636">
        <f t="shared" si="317"/>
        <v>0</v>
      </c>
      <c r="CA625" s="633">
        <f t="shared" si="318"/>
        <v>0</v>
      </c>
    </row>
    <row r="626" spans="1:79" x14ac:dyDescent="0.2">
      <c r="A626" s="4">
        <v>1</v>
      </c>
      <c r="B626" s="4">
        <v>1</v>
      </c>
      <c r="C626" s="5">
        <f t="shared" si="319"/>
        <v>41133</v>
      </c>
      <c r="D626" s="6">
        <v>41133</v>
      </c>
      <c r="E626" s="6">
        <v>43011</v>
      </c>
      <c r="F626" s="6" t="s">
        <v>1876</v>
      </c>
      <c r="G626" s="7"/>
      <c r="H626" s="7"/>
      <c r="I626" s="7" t="s">
        <v>32</v>
      </c>
      <c r="J626" s="7"/>
      <c r="K626" s="29">
        <v>435901</v>
      </c>
      <c r="L626" s="10" t="s">
        <v>1359</v>
      </c>
      <c r="M626" s="10" t="s">
        <v>40</v>
      </c>
      <c r="N626" s="10" t="s">
        <v>1360</v>
      </c>
      <c r="O626" s="11" t="s">
        <v>1361</v>
      </c>
      <c r="P626" s="12">
        <v>42947</v>
      </c>
      <c r="Q626" s="13">
        <f t="shared" ca="1" si="320"/>
        <v>8.1451060917180005</v>
      </c>
      <c r="R626" s="14">
        <v>0</v>
      </c>
      <c r="S626" s="15">
        <v>872</v>
      </c>
      <c r="T626" s="8">
        <v>872</v>
      </c>
      <c r="U626" s="16">
        <v>45017</v>
      </c>
      <c r="V626" s="17">
        <v>1</v>
      </c>
      <c r="W626" s="16">
        <v>45382</v>
      </c>
      <c r="X626" s="14">
        <v>192</v>
      </c>
      <c r="Y626" s="18">
        <f t="shared" si="341"/>
        <v>192</v>
      </c>
      <c r="Z626" s="18">
        <f t="shared" si="335"/>
        <v>1</v>
      </c>
      <c r="AA626" s="18" t="s">
        <v>36</v>
      </c>
      <c r="AB626" s="26">
        <v>28</v>
      </c>
      <c r="AC626" s="26"/>
      <c r="AD626" s="26"/>
      <c r="AE626" s="147" t="str">
        <f t="shared" si="329"/>
        <v>0</v>
      </c>
      <c r="AF626" s="147" t="str">
        <f t="shared" si="330"/>
        <v>1</v>
      </c>
      <c r="AG626" s="147" t="str">
        <f t="shared" si="331"/>
        <v>0</v>
      </c>
      <c r="AH626" s="147" t="str">
        <f t="shared" si="323"/>
        <v>NO</v>
      </c>
      <c r="AI626" s="147" t="str">
        <f t="shared" si="324"/>
        <v>NO</v>
      </c>
      <c r="AJ626" s="147" t="str">
        <f t="shared" si="325"/>
        <v>NO</v>
      </c>
      <c r="AK626" s="147" t="str">
        <f t="shared" si="326"/>
        <v>NO</v>
      </c>
      <c r="AL626" s="21"/>
      <c r="AM626" s="21">
        <f t="shared" si="336"/>
        <v>7237.5599999999995</v>
      </c>
      <c r="AN626" s="27" t="s">
        <v>37</v>
      </c>
      <c r="AO626" s="21">
        <v>1</v>
      </c>
      <c r="AP626" s="21">
        <f t="shared" si="332"/>
        <v>1</v>
      </c>
      <c r="AQ626" s="149">
        <f t="shared" si="314"/>
        <v>7237.5599999999995</v>
      </c>
      <c r="AR626" s="21">
        <v>7237.5599999999995</v>
      </c>
      <c r="AS626" s="610">
        <v>7237.5599999999995</v>
      </c>
      <c r="AT626" s="112">
        <v>7237.5599999999995</v>
      </c>
      <c r="AU626" s="4"/>
      <c r="AV626" s="4"/>
      <c r="AW626" s="23" t="e">
        <f>VLOOKUP(K626,#REF!,8,FALSE)</f>
        <v>#REF!</v>
      </c>
      <c r="AX626" s="23" t="e">
        <f>VLOOKUP(K626,#REF!,8,FALSE)</f>
        <v>#REF!</v>
      </c>
      <c r="AY626" s="23" t="e">
        <f>VLOOKUP(K626,#REF!,8,FALSE)</f>
        <v>#REF!</v>
      </c>
      <c r="AZ626" s="4"/>
      <c r="BA626" s="272"/>
      <c r="BB626" s="313">
        <f t="shared" si="337"/>
        <v>0</v>
      </c>
      <c r="BC626" s="269">
        <f t="shared" si="338"/>
        <v>7237.5599999999995</v>
      </c>
      <c r="BD626" t="str">
        <f t="shared" si="339"/>
        <v/>
      </c>
      <c r="BP626" s="166">
        <f t="shared" si="327"/>
        <v>7237.5599999999995</v>
      </c>
      <c r="BS626" s="165"/>
      <c r="BX626" s="495">
        <f t="shared" si="340"/>
        <v>7237.5599999999995</v>
      </c>
      <c r="BZ626" s="636">
        <f t="shared" si="317"/>
        <v>0</v>
      </c>
      <c r="CA626" s="633">
        <f t="shared" si="318"/>
        <v>0</v>
      </c>
    </row>
    <row r="627" spans="1:79" x14ac:dyDescent="0.2">
      <c r="A627" s="4">
        <v>1</v>
      </c>
      <c r="B627" s="4">
        <v>1</v>
      </c>
      <c r="C627" s="5">
        <f t="shared" si="319"/>
        <v>41133</v>
      </c>
      <c r="D627" s="6">
        <v>41133</v>
      </c>
      <c r="E627" s="6">
        <v>43011</v>
      </c>
      <c r="F627" s="6" t="s">
        <v>1876</v>
      </c>
      <c r="G627" s="7"/>
      <c r="H627" s="7"/>
      <c r="I627" s="7" t="s">
        <v>32</v>
      </c>
      <c r="J627" s="7"/>
      <c r="K627" s="29">
        <v>435902</v>
      </c>
      <c r="L627" s="10" t="s">
        <v>1359</v>
      </c>
      <c r="M627" s="10" t="s">
        <v>174</v>
      </c>
      <c r="N627" s="10" t="s">
        <v>1360</v>
      </c>
      <c r="O627" s="11" t="s">
        <v>1362</v>
      </c>
      <c r="P627" s="12">
        <v>42947</v>
      </c>
      <c r="Q627" s="13">
        <f t="shared" ca="1" si="320"/>
        <v>8.1451060917180005</v>
      </c>
      <c r="R627" s="14">
        <v>0</v>
      </c>
      <c r="S627" s="15">
        <v>872</v>
      </c>
      <c r="T627" s="8">
        <v>872</v>
      </c>
      <c r="U627" s="16">
        <v>45017</v>
      </c>
      <c r="V627" s="17">
        <v>1</v>
      </c>
      <c r="W627" s="16">
        <v>45382</v>
      </c>
      <c r="X627" s="14">
        <v>192</v>
      </c>
      <c r="Y627" s="18">
        <f t="shared" si="341"/>
        <v>192</v>
      </c>
      <c r="Z627" s="18">
        <f t="shared" si="335"/>
        <v>1</v>
      </c>
      <c r="AA627" s="18" t="s">
        <v>36</v>
      </c>
      <c r="AB627" s="26">
        <v>28</v>
      </c>
      <c r="AC627" s="26"/>
      <c r="AD627" s="26"/>
      <c r="AE627" s="147" t="str">
        <f t="shared" si="329"/>
        <v>0</v>
      </c>
      <c r="AF627" s="147" t="str">
        <f t="shared" si="330"/>
        <v>1</v>
      </c>
      <c r="AG627" s="147" t="str">
        <f t="shared" si="331"/>
        <v>0</v>
      </c>
      <c r="AH627" s="147" t="str">
        <f t="shared" si="323"/>
        <v>NO</v>
      </c>
      <c r="AI627" s="147" t="str">
        <f t="shared" si="324"/>
        <v>NO</v>
      </c>
      <c r="AJ627" s="147" t="str">
        <f t="shared" si="325"/>
        <v>NO</v>
      </c>
      <c r="AK627" s="147" t="str">
        <f t="shared" si="326"/>
        <v>NO</v>
      </c>
      <c r="AL627" s="21"/>
      <c r="AM627" s="21">
        <f t="shared" si="336"/>
        <v>7237.5599999999995</v>
      </c>
      <c r="AN627" s="27" t="s">
        <v>37</v>
      </c>
      <c r="AO627" s="21">
        <v>1</v>
      </c>
      <c r="AP627" s="21">
        <f t="shared" si="332"/>
        <v>1</v>
      </c>
      <c r="AQ627" s="149">
        <f t="shared" si="314"/>
        <v>7237.5599999999995</v>
      </c>
      <c r="AR627" s="21">
        <v>7237.5599999999995</v>
      </c>
      <c r="AS627" s="610">
        <v>7237.5599999999995</v>
      </c>
      <c r="AT627" s="112">
        <v>7237.5599999999995</v>
      </c>
      <c r="AU627" s="4"/>
      <c r="AV627" s="4"/>
      <c r="AW627" s="23" t="e">
        <f>VLOOKUP(K627,#REF!,8,FALSE)</f>
        <v>#REF!</v>
      </c>
      <c r="AX627" s="23" t="e">
        <f>VLOOKUP(K627,#REF!,8,FALSE)</f>
        <v>#REF!</v>
      </c>
      <c r="AY627" s="23" t="e">
        <f>VLOOKUP(K627,#REF!,8,FALSE)</f>
        <v>#REF!</v>
      </c>
      <c r="AZ627" s="4"/>
      <c r="BA627" s="272"/>
      <c r="BB627" s="313">
        <f t="shared" si="337"/>
        <v>0</v>
      </c>
      <c r="BC627" s="269">
        <f t="shared" si="338"/>
        <v>7237.5599999999995</v>
      </c>
      <c r="BD627" t="str">
        <f t="shared" si="339"/>
        <v/>
      </c>
      <c r="BP627" s="166">
        <f t="shared" si="327"/>
        <v>7237.5599999999995</v>
      </c>
      <c r="BS627" s="165"/>
      <c r="BX627" s="495">
        <f t="shared" si="340"/>
        <v>7237.5599999999995</v>
      </c>
      <c r="BZ627" s="636">
        <f t="shared" si="317"/>
        <v>0</v>
      </c>
      <c r="CA627" s="633">
        <f t="shared" si="318"/>
        <v>0</v>
      </c>
    </row>
    <row r="628" spans="1:79" x14ac:dyDescent="0.2">
      <c r="A628" s="4">
        <v>1</v>
      </c>
      <c r="B628" s="4">
        <v>1</v>
      </c>
      <c r="C628" s="5">
        <f t="shared" si="319"/>
        <v>41133</v>
      </c>
      <c r="D628" s="6">
        <v>41133</v>
      </c>
      <c r="E628" s="6">
        <v>43011</v>
      </c>
      <c r="F628" s="6" t="s">
        <v>1876</v>
      </c>
      <c r="G628" s="7"/>
      <c r="H628" s="7"/>
      <c r="I628" s="7" t="s">
        <v>32</v>
      </c>
      <c r="J628" s="7"/>
      <c r="K628" s="28">
        <v>426001</v>
      </c>
      <c r="L628" s="10" t="s">
        <v>1359</v>
      </c>
      <c r="M628" s="10" t="s">
        <v>1232</v>
      </c>
      <c r="N628" s="10" t="s">
        <v>1363</v>
      </c>
      <c r="O628" s="11" t="s">
        <v>1364</v>
      </c>
      <c r="P628" s="12">
        <v>42427</v>
      </c>
      <c r="Q628" s="13">
        <f t="shared" ca="1" si="320"/>
        <v>9.5687885010266935</v>
      </c>
      <c r="R628" s="14">
        <v>2</v>
      </c>
      <c r="S628" s="15">
        <v>872</v>
      </c>
      <c r="T628" s="8">
        <v>872</v>
      </c>
      <c r="U628" s="39">
        <v>45017</v>
      </c>
      <c r="V628" s="17">
        <v>1</v>
      </c>
      <c r="W628" s="16">
        <v>45128</v>
      </c>
      <c r="X628" s="14">
        <v>63</v>
      </c>
      <c r="Y628" s="18">
        <f t="shared" si="341"/>
        <v>63</v>
      </c>
      <c r="Z628" s="18">
        <f t="shared" si="335"/>
        <v>0.328125</v>
      </c>
      <c r="AA628" s="16" t="s">
        <v>405</v>
      </c>
      <c r="AB628" s="26">
        <v>27</v>
      </c>
      <c r="AC628" s="26"/>
      <c r="AD628" s="26"/>
      <c r="AE628" s="147" t="str">
        <f t="shared" si="329"/>
        <v>0</v>
      </c>
      <c r="AF628" s="147" t="str">
        <f t="shared" si="330"/>
        <v>1</v>
      </c>
      <c r="AG628" s="147" t="str">
        <f t="shared" si="331"/>
        <v>0</v>
      </c>
      <c r="AH628" s="147" t="str">
        <f t="shared" si="323"/>
        <v>NO</v>
      </c>
      <c r="AI628" s="147" t="str">
        <f t="shared" si="324"/>
        <v>NO</v>
      </c>
      <c r="AJ628" s="147" t="str">
        <f t="shared" si="325"/>
        <v>NO</v>
      </c>
      <c r="AK628" s="147" t="str">
        <f t="shared" si="326"/>
        <v>NO</v>
      </c>
      <c r="AL628" s="21"/>
      <c r="AM628" s="21">
        <f t="shared" si="336"/>
        <v>6764.7899999999991</v>
      </c>
      <c r="AN628" s="27"/>
      <c r="AO628" s="21">
        <v>1</v>
      </c>
      <c r="AP628" s="21">
        <f t="shared" si="332"/>
        <v>0.328125</v>
      </c>
      <c r="AQ628" s="149">
        <f t="shared" si="314"/>
        <v>2219.6967187499995</v>
      </c>
      <c r="AR628" s="21">
        <v>2219.6967187499995</v>
      </c>
      <c r="AS628" s="610">
        <v>2219.6967187499995</v>
      </c>
      <c r="AT628" s="112">
        <v>2219.6967187499995</v>
      </c>
      <c r="AU628" s="4"/>
      <c r="AV628" s="4"/>
      <c r="AW628" s="23" t="s">
        <v>2227</v>
      </c>
      <c r="AX628" s="23" t="e">
        <f>VLOOKUP(K628,#REF!,8,FALSE)</f>
        <v>#REF!</v>
      </c>
      <c r="AY628" s="23" t="e">
        <f>VLOOKUP(K628,#REF!,8,FALSE)</f>
        <v>#REF!</v>
      </c>
      <c r="AZ628" s="4"/>
      <c r="BA628" s="272"/>
      <c r="BB628" s="313">
        <f t="shared" si="337"/>
        <v>0</v>
      </c>
      <c r="BC628" s="269">
        <f t="shared" si="338"/>
        <v>2219.6967187499995</v>
      </c>
      <c r="BD628" t="e">
        <f t="shared" si="339"/>
        <v>#REF!</v>
      </c>
      <c r="BE628" t="s">
        <v>2397</v>
      </c>
      <c r="BF628">
        <v>43011</v>
      </c>
      <c r="BG628" t="e">
        <f>VLOOKUP(K628,#REF!,9,FALSE)</f>
        <v>#REF!</v>
      </c>
      <c r="BJ628">
        <f>AB628</f>
        <v>27</v>
      </c>
      <c r="BK628" s="269">
        <f>AM628</f>
        <v>6764.7899999999991</v>
      </c>
      <c r="BL628" s="108" t="s">
        <v>75</v>
      </c>
      <c r="BM628" s="353" t="s">
        <v>75</v>
      </c>
      <c r="BN628" s="353"/>
      <c r="BO628" s="106">
        <f>BK628/192*127</f>
        <v>4474.6267187499998</v>
      </c>
      <c r="BP628" s="166">
        <f t="shared" si="327"/>
        <v>6694.3234374999993</v>
      </c>
      <c r="BS628" s="165"/>
      <c r="BX628" s="495">
        <f t="shared" si="340"/>
        <v>6694.3234374999993</v>
      </c>
      <c r="BZ628" s="636">
        <f t="shared" si="317"/>
        <v>0</v>
      </c>
      <c r="CA628" s="633">
        <f t="shared" si="318"/>
        <v>4474.6267187499998</v>
      </c>
    </row>
    <row r="629" spans="1:79" x14ac:dyDescent="0.2">
      <c r="A629" s="4">
        <v>0</v>
      </c>
      <c r="B629" s="4">
        <v>1</v>
      </c>
      <c r="C629" s="5">
        <f t="shared" si="319"/>
        <v>41134</v>
      </c>
      <c r="D629" s="6">
        <v>41134</v>
      </c>
      <c r="E629" s="6">
        <v>43011</v>
      </c>
      <c r="F629" s="6" t="s">
        <v>1606</v>
      </c>
      <c r="G629" s="7"/>
      <c r="H629" s="7"/>
      <c r="I629" s="7" t="s">
        <v>32</v>
      </c>
      <c r="J629" s="7"/>
      <c r="K629" s="29">
        <v>426001</v>
      </c>
      <c r="L629" s="10" t="s">
        <v>1359</v>
      </c>
      <c r="M629" s="10" t="s">
        <v>1232</v>
      </c>
      <c r="N629" s="10" t="s">
        <v>1363</v>
      </c>
      <c r="O629" s="11" t="s">
        <v>1364</v>
      </c>
      <c r="P629" s="12">
        <v>42427</v>
      </c>
      <c r="Q629" s="13">
        <f t="shared" ca="1" si="320"/>
        <v>9.5687885010266935</v>
      </c>
      <c r="R629" s="14">
        <v>3</v>
      </c>
      <c r="S629" s="15">
        <v>872</v>
      </c>
      <c r="T629" s="8">
        <v>872</v>
      </c>
      <c r="U629" s="102">
        <v>45173</v>
      </c>
      <c r="V629" s="17">
        <v>66</v>
      </c>
      <c r="W629" s="16">
        <v>45382</v>
      </c>
      <c r="X629" s="14">
        <v>192</v>
      </c>
      <c r="Y629" s="18">
        <f t="shared" si="341"/>
        <v>127</v>
      </c>
      <c r="Z629" s="18">
        <f t="shared" si="335"/>
        <v>0.66145833333333337</v>
      </c>
      <c r="AA629" s="16" t="s">
        <v>36</v>
      </c>
      <c r="AB629" s="26">
        <v>27</v>
      </c>
      <c r="AC629" s="26"/>
      <c r="AD629" s="26"/>
      <c r="AE629" s="147" t="str">
        <f t="shared" si="329"/>
        <v>0</v>
      </c>
      <c r="AF629" s="147" t="str">
        <f t="shared" si="330"/>
        <v>1</v>
      </c>
      <c r="AG629" s="147" t="str">
        <f t="shared" si="331"/>
        <v>0</v>
      </c>
      <c r="AH629" s="147" t="str">
        <f t="shared" si="323"/>
        <v>NO</v>
      </c>
      <c r="AI629" s="147" t="str">
        <f t="shared" si="324"/>
        <v>NO</v>
      </c>
      <c r="AJ629" s="147" t="str">
        <f t="shared" si="325"/>
        <v>NO</v>
      </c>
      <c r="AK629" s="147" t="str">
        <f t="shared" si="326"/>
        <v>NO</v>
      </c>
      <c r="AL629" s="21"/>
      <c r="AM629" s="21">
        <f t="shared" si="336"/>
        <v>6764.7899999999991</v>
      </c>
      <c r="AN629" s="27"/>
      <c r="AO629" s="21">
        <v>1</v>
      </c>
      <c r="AP629" s="21">
        <f t="shared" si="332"/>
        <v>0.66145833333333337</v>
      </c>
      <c r="AQ629" s="149">
        <f t="shared" si="314"/>
        <v>4474.6267187499998</v>
      </c>
      <c r="AR629" s="21">
        <v>4474.6267187499998</v>
      </c>
      <c r="AS629" s="610">
        <v>0</v>
      </c>
      <c r="AT629" s="112">
        <v>0</v>
      </c>
      <c r="AU629" s="4"/>
      <c r="AV629" s="4"/>
      <c r="AW629" s="23"/>
      <c r="AX629" s="23"/>
      <c r="AY629" s="23"/>
      <c r="AZ629" s="4"/>
      <c r="BA629" s="272"/>
      <c r="BB629" s="313">
        <f t="shared" si="337"/>
        <v>4474.6267187499998</v>
      </c>
      <c r="BC629" s="269">
        <f t="shared" si="338"/>
        <v>4474.6267187499998</v>
      </c>
      <c r="BD629" t="e">
        <f t="shared" si="339"/>
        <v>#REF!</v>
      </c>
      <c r="BE629" t="s">
        <v>2397</v>
      </c>
      <c r="BF629">
        <v>43011</v>
      </c>
      <c r="BG629" t="e">
        <f>VLOOKUP(K629,#REF!,9,FALSE)</f>
        <v>#REF!</v>
      </c>
      <c r="BJ629" t="s">
        <v>2344</v>
      </c>
      <c r="BL629" s="108" t="s">
        <v>75</v>
      </c>
      <c r="BO629">
        <v>0</v>
      </c>
      <c r="BP629" s="166">
        <f t="shared" si="327"/>
        <v>4474.6267187499998</v>
      </c>
      <c r="BS629" s="165"/>
      <c r="BX629" s="495">
        <f t="shared" si="340"/>
        <v>4474.6267187499998</v>
      </c>
      <c r="BZ629" s="636">
        <f t="shared" si="317"/>
        <v>0</v>
      </c>
      <c r="CA629" s="633">
        <f t="shared" si="318"/>
        <v>4474.6267187499998</v>
      </c>
    </row>
    <row r="630" spans="1:79" x14ac:dyDescent="0.2">
      <c r="A630" s="4">
        <v>1</v>
      </c>
      <c r="B630" s="4">
        <v>1</v>
      </c>
      <c r="C630" s="5">
        <f t="shared" si="319"/>
        <v>41133</v>
      </c>
      <c r="D630" s="6">
        <v>41133</v>
      </c>
      <c r="E630" s="6">
        <v>43011</v>
      </c>
      <c r="F630" s="6" t="s">
        <v>1876</v>
      </c>
      <c r="G630" s="7"/>
      <c r="H630" s="7"/>
      <c r="I630" s="7" t="s">
        <v>32</v>
      </c>
      <c r="J630" s="7"/>
      <c r="K630" s="28">
        <v>433681</v>
      </c>
      <c r="L630" s="10" t="s">
        <v>1359</v>
      </c>
      <c r="M630" s="10" t="s">
        <v>1365</v>
      </c>
      <c r="N630" s="10" t="s">
        <v>190</v>
      </c>
      <c r="O630" s="11" t="s">
        <v>1366</v>
      </c>
      <c r="P630" s="12">
        <v>42345</v>
      </c>
      <c r="Q630" s="13">
        <f t="shared" ca="1" si="320"/>
        <v>9.7932922655715267</v>
      </c>
      <c r="R630" s="14">
        <v>2</v>
      </c>
      <c r="S630" s="15">
        <v>872</v>
      </c>
      <c r="T630" s="8">
        <v>872</v>
      </c>
      <c r="U630" s="16">
        <v>45017</v>
      </c>
      <c r="V630" s="17">
        <v>1</v>
      </c>
      <c r="W630" s="16">
        <v>45128</v>
      </c>
      <c r="X630" s="14">
        <v>63</v>
      </c>
      <c r="Y630" s="18">
        <f t="shared" si="341"/>
        <v>63</v>
      </c>
      <c r="Z630" s="18">
        <f t="shared" si="335"/>
        <v>0.328125</v>
      </c>
      <c r="AA630" s="16" t="s">
        <v>405</v>
      </c>
      <c r="AB630" s="26">
        <v>24</v>
      </c>
      <c r="AC630" s="26"/>
      <c r="AD630" s="26"/>
      <c r="AE630" s="147" t="str">
        <f t="shared" si="329"/>
        <v>1</v>
      </c>
      <c r="AF630" s="147" t="str">
        <f t="shared" si="330"/>
        <v>0</v>
      </c>
      <c r="AG630" s="147" t="str">
        <f t="shared" si="331"/>
        <v>0</v>
      </c>
      <c r="AH630" s="147" t="str">
        <f t="shared" si="323"/>
        <v>NO</v>
      </c>
      <c r="AI630" s="147" t="str">
        <f t="shared" si="324"/>
        <v>NO</v>
      </c>
      <c r="AJ630" s="147" t="str">
        <f t="shared" si="325"/>
        <v>NO</v>
      </c>
      <c r="AK630" s="147" t="str">
        <f t="shared" si="326"/>
        <v>NO</v>
      </c>
      <c r="AL630" s="21"/>
      <c r="AM630" s="21">
        <f t="shared" si="336"/>
        <v>5346.48</v>
      </c>
      <c r="AN630" s="27"/>
      <c r="AO630" s="21">
        <v>1</v>
      </c>
      <c r="AP630" s="21">
        <f t="shared" si="332"/>
        <v>0.328125</v>
      </c>
      <c r="AQ630" s="149">
        <f t="shared" si="314"/>
        <v>1754.3137499999998</v>
      </c>
      <c r="AR630" s="21">
        <v>1754.3137499999998</v>
      </c>
      <c r="AS630" s="610">
        <v>1754.3137499999998</v>
      </c>
      <c r="AT630" s="112">
        <v>1754.3137499999998</v>
      </c>
      <c r="AU630" s="4"/>
      <c r="AV630" s="4"/>
      <c r="AW630" s="23" t="s">
        <v>2227</v>
      </c>
      <c r="AX630" s="23" t="e">
        <f>VLOOKUP(K630,#REF!,8,FALSE)</f>
        <v>#REF!</v>
      </c>
      <c r="AY630" s="23" t="e">
        <f>VLOOKUP(K630,#REF!,8,FALSE)</f>
        <v>#REF!</v>
      </c>
      <c r="AZ630" s="4"/>
      <c r="BA630" s="272"/>
      <c r="BB630" s="313">
        <f t="shared" si="337"/>
        <v>0</v>
      </c>
      <c r="BC630" s="269">
        <f t="shared" si="338"/>
        <v>1754.3137499999998</v>
      </c>
      <c r="BD630" t="e">
        <f t="shared" si="339"/>
        <v>#REF!</v>
      </c>
      <c r="BE630" t="s">
        <v>2397</v>
      </c>
      <c r="BF630">
        <v>43011</v>
      </c>
      <c r="BG630" t="e">
        <f>VLOOKUP(K630,#REF!,9,FALSE)</f>
        <v>#REF!</v>
      </c>
      <c r="BJ630">
        <f>AB630</f>
        <v>24</v>
      </c>
      <c r="BK630" s="269">
        <f>AM630</f>
        <v>5346.48</v>
      </c>
      <c r="BL630" s="108" t="s">
        <v>75</v>
      </c>
      <c r="BO630" s="106">
        <f>BK630/192*127</f>
        <v>3536.4737499999997</v>
      </c>
      <c r="BP630" s="166">
        <f t="shared" si="327"/>
        <v>5290.7874999999995</v>
      </c>
      <c r="BS630" s="165"/>
      <c r="BX630" s="495">
        <f t="shared" si="340"/>
        <v>5290.7874999999995</v>
      </c>
      <c r="BZ630" s="636">
        <f t="shared" si="317"/>
        <v>0</v>
      </c>
      <c r="CA630" s="633">
        <f t="shared" si="318"/>
        <v>3536.4737499999997</v>
      </c>
    </row>
    <row r="631" spans="1:79" x14ac:dyDescent="0.2">
      <c r="A631" s="4">
        <v>1</v>
      </c>
      <c r="B631" s="4">
        <v>1</v>
      </c>
      <c r="C631" s="5">
        <f t="shared" si="319"/>
        <v>41133</v>
      </c>
      <c r="D631" s="6">
        <v>41133</v>
      </c>
      <c r="E631" s="6">
        <v>43011</v>
      </c>
      <c r="F631" s="6" t="s">
        <v>1876</v>
      </c>
      <c r="G631" s="7"/>
      <c r="H631" s="7"/>
      <c r="I631" s="7" t="s">
        <v>32</v>
      </c>
      <c r="J631" s="7"/>
      <c r="K631" s="28">
        <v>430079</v>
      </c>
      <c r="L631" s="10" t="s">
        <v>1359</v>
      </c>
      <c r="M631" s="10" t="s">
        <v>427</v>
      </c>
      <c r="N631" s="10" t="s">
        <v>1367</v>
      </c>
      <c r="O631" s="11" t="s">
        <v>1368</v>
      </c>
      <c r="P631" s="12">
        <v>42348</v>
      </c>
      <c r="Q631" s="13">
        <f t="shared" ca="1" si="320"/>
        <v>9.7850787132101296</v>
      </c>
      <c r="R631" s="14">
        <v>2</v>
      </c>
      <c r="S631" s="15">
        <v>872</v>
      </c>
      <c r="T631" s="8">
        <v>872</v>
      </c>
      <c r="U631" s="16">
        <v>45017</v>
      </c>
      <c r="V631" s="17">
        <v>1</v>
      </c>
      <c r="W631" s="16">
        <v>45128</v>
      </c>
      <c r="X631" s="14">
        <v>63</v>
      </c>
      <c r="Y631" s="18">
        <f t="shared" si="341"/>
        <v>63</v>
      </c>
      <c r="Z631" s="18">
        <f t="shared" si="335"/>
        <v>0.328125</v>
      </c>
      <c r="AA631" s="16" t="s">
        <v>405</v>
      </c>
      <c r="AB631" s="26">
        <v>23</v>
      </c>
      <c r="AC631" s="26"/>
      <c r="AD631" s="26"/>
      <c r="AE631" s="147" t="str">
        <f t="shared" si="329"/>
        <v>1</v>
      </c>
      <c r="AF631" s="147" t="str">
        <f t="shared" si="330"/>
        <v>0</v>
      </c>
      <c r="AG631" s="147" t="str">
        <f t="shared" si="331"/>
        <v>0</v>
      </c>
      <c r="AH631" s="147" t="str">
        <f t="shared" si="323"/>
        <v>NO</v>
      </c>
      <c r="AI631" s="147" t="str">
        <f t="shared" si="324"/>
        <v>NO</v>
      </c>
      <c r="AJ631" s="147" t="str">
        <f t="shared" si="325"/>
        <v>NO</v>
      </c>
      <c r="AK631" s="147" t="str">
        <f t="shared" si="326"/>
        <v>NO</v>
      </c>
      <c r="AL631" s="21"/>
      <c r="AM631" s="21">
        <f t="shared" si="336"/>
        <v>4873.7099999999991</v>
      </c>
      <c r="AN631" s="27" t="s">
        <v>37</v>
      </c>
      <c r="AO631" s="21">
        <v>1</v>
      </c>
      <c r="AP631" s="21">
        <f t="shared" si="332"/>
        <v>0.328125</v>
      </c>
      <c r="AQ631" s="149">
        <f t="shared" si="314"/>
        <v>1599.1860937499996</v>
      </c>
      <c r="AR631" s="21">
        <v>1599.1860937499996</v>
      </c>
      <c r="AS631" s="610">
        <v>1599.1860937499996</v>
      </c>
      <c r="AT631" s="112">
        <v>1599.1860937499996</v>
      </c>
      <c r="AU631" s="4"/>
      <c r="AV631" s="4"/>
      <c r="AW631" s="23" t="e">
        <f>VLOOKUP(K631,#REF!,8,FALSE)</f>
        <v>#REF!</v>
      </c>
      <c r="AX631" s="23" t="e">
        <f>VLOOKUP(K631,#REF!,8,FALSE)</f>
        <v>#REF!</v>
      </c>
      <c r="AY631" s="23" t="e">
        <f>VLOOKUP(K631,#REF!,8,FALSE)</f>
        <v>#REF!</v>
      </c>
      <c r="AZ631" s="4"/>
      <c r="BA631" s="272"/>
      <c r="BB631" s="313">
        <f t="shared" si="337"/>
        <v>0</v>
      </c>
      <c r="BC631" s="269">
        <f t="shared" si="338"/>
        <v>1599.1860937499996</v>
      </c>
      <c r="BD631" s="110" t="s">
        <v>2405</v>
      </c>
      <c r="BJ631">
        <f>AB631</f>
        <v>23</v>
      </c>
      <c r="BK631" s="269">
        <f>AM631</f>
        <v>4873.7099999999991</v>
      </c>
      <c r="BO631" s="106">
        <f>BK631/192*127</f>
        <v>3223.7560937499993</v>
      </c>
      <c r="BP631" s="166">
        <f t="shared" si="327"/>
        <v>4822.9421874999989</v>
      </c>
      <c r="BS631" s="165" t="s">
        <v>1495</v>
      </c>
      <c r="BT631" t="s">
        <v>1495</v>
      </c>
      <c r="BX631" s="495">
        <f t="shared" si="340"/>
        <v>4822.9421874999989</v>
      </c>
      <c r="BZ631" s="636">
        <f t="shared" si="317"/>
        <v>0</v>
      </c>
      <c r="CA631" s="633">
        <f t="shared" si="318"/>
        <v>3223.7560937499993</v>
      </c>
    </row>
    <row r="632" spans="1:79" x14ac:dyDescent="0.2">
      <c r="A632" s="4">
        <v>1</v>
      </c>
      <c r="B632" s="4">
        <v>1</v>
      </c>
      <c r="C632" s="5">
        <f t="shared" si="319"/>
        <v>41133</v>
      </c>
      <c r="D632" s="6">
        <v>41133</v>
      </c>
      <c r="E632" s="6">
        <v>43011</v>
      </c>
      <c r="F632" s="6" t="s">
        <v>1876</v>
      </c>
      <c r="G632" s="7"/>
      <c r="H632" s="7"/>
      <c r="I632" s="7" t="s">
        <v>32</v>
      </c>
      <c r="J632" s="7"/>
      <c r="K632" s="28">
        <v>443914</v>
      </c>
      <c r="L632" s="10" t="s">
        <v>1359</v>
      </c>
      <c r="M632" s="10" t="s">
        <v>578</v>
      </c>
      <c r="N632" s="10" t="s">
        <v>1369</v>
      </c>
      <c r="O632" s="11" t="s">
        <v>1370</v>
      </c>
      <c r="P632" s="12">
        <v>43039</v>
      </c>
      <c r="Q632" s="13">
        <f t="shared" ca="1" si="320"/>
        <v>7.8932238193018485</v>
      </c>
      <c r="R632" s="14">
        <v>0</v>
      </c>
      <c r="S632" s="15">
        <v>872</v>
      </c>
      <c r="T632" s="8">
        <v>872</v>
      </c>
      <c r="U632" s="16">
        <v>45017</v>
      </c>
      <c r="V632" s="17">
        <v>1</v>
      </c>
      <c r="W632" s="16">
        <v>45382</v>
      </c>
      <c r="X632" s="14">
        <v>192</v>
      </c>
      <c r="Y632" s="18">
        <f t="shared" si="341"/>
        <v>192</v>
      </c>
      <c r="Z632" s="18">
        <f t="shared" si="335"/>
        <v>1</v>
      </c>
      <c r="AA632" s="18" t="s">
        <v>36</v>
      </c>
      <c r="AB632" s="26">
        <v>30</v>
      </c>
      <c r="AC632" s="26"/>
      <c r="AD632" s="26"/>
      <c r="AE632" s="147" t="str">
        <f t="shared" si="329"/>
        <v>0</v>
      </c>
      <c r="AF632" s="147" t="str">
        <f t="shared" si="330"/>
        <v>1</v>
      </c>
      <c r="AG632" s="147" t="str">
        <f t="shared" si="331"/>
        <v>0</v>
      </c>
      <c r="AH632" s="147" t="str">
        <f t="shared" si="323"/>
        <v>NO</v>
      </c>
      <c r="AI632" s="147" t="str">
        <f t="shared" si="324"/>
        <v>NO</v>
      </c>
      <c r="AJ632" s="147" t="str">
        <f t="shared" si="325"/>
        <v>NO</v>
      </c>
      <c r="AK632" s="147" t="str">
        <f t="shared" si="326"/>
        <v>NO</v>
      </c>
      <c r="AL632" s="21"/>
      <c r="AM632" s="21">
        <f t="shared" si="336"/>
        <v>8183.0999999999985</v>
      </c>
      <c r="AN632" s="27"/>
      <c r="AO632" s="21">
        <v>1</v>
      </c>
      <c r="AP632" s="21">
        <f t="shared" ref="AP632:AP636" si="342">AO632*Z632</f>
        <v>1</v>
      </c>
      <c r="AQ632" s="149">
        <f t="shared" si="314"/>
        <v>8183.0999999999985</v>
      </c>
      <c r="AR632" s="21">
        <v>8183.0999999999985</v>
      </c>
      <c r="AS632" s="610">
        <v>8183.0999999999985</v>
      </c>
      <c r="AT632" s="112">
        <v>8183.0999999999985</v>
      </c>
      <c r="AU632" s="4"/>
      <c r="AV632" s="4"/>
      <c r="AW632" s="23" t="e">
        <f>VLOOKUP(K632,#REF!,8,FALSE)</f>
        <v>#REF!</v>
      </c>
      <c r="AX632" s="23" t="e">
        <f>VLOOKUP(K632,#REF!,8,FALSE)</f>
        <v>#REF!</v>
      </c>
      <c r="AY632" s="23" t="e">
        <f>VLOOKUP(K632,#REF!,8,FALSE)</f>
        <v>#REF!</v>
      </c>
      <c r="AZ632" s="4"/>
      <c r="BA632" s="272"/>
      <c r="BB632" s="313">
        <f t="shared" si="337"/>
        <v>0</v>
      </c>
      <c r="BC632" s="269">
        <f t="shared" si="338"/>
        <v>8183.0999999999985</v>
      </c>
      <c r="BD632" t="str">
        <f>BG632&amp;BH632&amp;BI632</f>
        <v/>
      </c>
      <c r="BP632" s="166">
        <f t="shared" si="327"/>
        <v>8183.0999999999985</v>
      </c>
      <c r="BS632" s="165"/>
      <c r="BX632" s="495">
        <f t="shared" si="340"/>
        <v>8183.0999999999985</v>
      </c>
      <c r="BZ632" s="636">
        <f t="shared" si="317"/>
        <v>0</v>
      </c>
      <c r="CA632" s="633">
        <f t="shared" si="318"/>
        <v>0</v>
      </c>
    </row>
    <row r="633" spans="1:79" x14ac:dyDescent="0.2">
      <c r="A633" s="4">
        <v>1</v>
      </c>
      <c r="B633" s="4">
        <v>1</v>
      </c>
      <c r="C633" s="5">
        <f t="shared" si="319"/>
        <v>41133</v>
      </c>
      <c r="D633" s="6">
        <v>41133</v>
      </c>
      <c r="E633" s="6">
        <v>43011</v>
      </c>
      <c r="F633" s="6" t="s">
        <v>1876</v>
      </c>
      <c r="G633" s="7"/>
      <c r="H633" s="7"/>
      <c r="I633" s="7" t="s">
        <v>32</v>
      </c>
      <c r="J633" s="7"/>
      <c r="K633" s="28">
        <v>430433</v>
      </c>
      <c r="L633" s="10" t="s">
        <v>1359</v>
      </c>
      <c r="M633" s="10" t="s">
        <v>293</v>
      </c>
      <c r="N633" s="10" t="s">
        <v>1367</v>
      </c>
      <c r="O633" s="11" t="s">
        <v>1371</v>
      </c>
      <c r="P633" s="12">
        <v>42348</v>
      </c>
      <c r="Q633" s="13">
        <f t="shared" ca="1" si="320"/>
        <v>9.7850787132101296</v>
      </c>
      <c r="R633" s="14">
        <v>2</v>
      </c>
      <c r="S633" s="15">
        <v>872</v>
      </c>
      <c r="T633" s="8">
        <v>872</v>
      </c>
      <c r="U633" s="16">
        <v>45017</v>
      </c>
      <c r="V633" s="17">
        <v>1</v>
      </c>
      <c r="W633" s="16">
        <v>45128</v>
      </c>
      <c r="X633" s="14">
        <v>63</v>
      </c>
      <c r="Y633" s="18">
        <f t="shared" si="341"/>
        <v>63</v>
      </c>
      <c r="Z633" s="18">
        <f t="shared" si="335"/>
        <v>0.328125</v>
      </c>
      <c r="AA633" s="16" t="s">
        <v>405</v>
      </c>
      <c r="AB633" s="26">
        <v>23</v>
      </c>
      <c r="AC633" s="26"/>
      <c r="AD633" s="26"/>
      <c r="AE633" s="147" t="str">
        <f t="shared" si="329"/>
        <v>1</v>
      </c>
      <c r="AF633" s="147" t="str">
        <f t="shared" si="330"/>
        <v>0</v>
      </c>
      <c r="AG633" s="147" t="str">
        <f t="shared" si="331"/>
        <v>0</v>
      </c>
      <c r="AH633" s="147" t="str">
        <f t="shared" si="323"/>
        <v>NO</v>
      </c>
      <c r="AI633" s="147" t="str">
        <f t="shared" si="324"/>
        <v>NO</v>
      </c>
      <c r="AJ633" s="147" t="str">
        <f t="shared" si="325"/>
        <v>NO</v>
      </c>
      <c r="AK633" s="147" t="str">
        <f t="shared" si="326"/>
        <v>NO</v>
      </c>
      <c r="AL633" s="21"/>
      <c r="AM633" s="21">
        <f t="shared" si="336"/>
        <v>4873.7099999999991</v>
      </c>
      <c r="AN633" s="27" t="s">
        <v>37</v>
      </c>
      <c r="AO633" s="21">
        <v>1</v>
      </c>
      <c r="AP633" s="21">
        <f t="shared" si="342"/>
        <v>0.328125</v>
      </c>
      <c r="AQ633" s="149">
        <f t="shared" si="314"/>
        <v>1599.1860937499996</v>
      </c>
      <c r="AR633" s="21">
        <v>1599.1860937499996</v>
      </c>
      <c r="AS633" s="610">
        <v>1599.1860937499996</v>
      </c>
      <c r="AT633" s="112">
        <v>1599.1860937499996</v>
      </c>
      <c r="AU633" s="4"/>
      <c r="AV633" s="4"/>
      <c r="AW633" s="23" t="e">
        <f>VLOOKUP(K633,#REF!,8,FALSE)</f>
        <v>#REF!</v>
      </c>
      <c r="AX633" s="23" t="e">
        <f>VLOOKUP(K633,#REF!,8,FALSE)</f>
        <v>#REF!</v>
      </c>
      <c r="AY633" s="23" t="e">
        <f>VLOOKUP(K633,#REF!,8,FALSE)</f>
        <v>#REF!</v>
      </c>
      <c r="AZ633" s="4"/>
      <c r="BA633" s="272"/>
      <c r="BB633" s="313">
        <f t="shared" si="337"/>
        <v>0</v>
      </c>
      <c r="BC633" s="269">
        <f t="shared" si="338"/>
        <v>1599.1860937499996</v>
      </c>
      <c r="BD633" s="110" t="s">
        <v>2405</v>
      </c>
      <c r="BJ633">
        <f>AB633</f>
        <v>23</v>
      </c>
      <c r="BK633" s="269">
        <f>AM633</f>
        <v>4873.7099999999991</v>
      </c>
      <c r="BO633" s="106">
        <f>BK633/192*127</f>
        <v>3223.7560937499993</v>
      </c>
      <c r="BP633" s="166">
        <f t="shared" si="327"/>
        <v>4822.9421874999989</v>
      </c>
      <c r="BS633" s="165" t="s">
        <v>1495</v>
      </c>
      <c r="BT633" t="s">
        <v>1495</v>
      </c>
      <c r="BX633" s="495">
        <f t="shared" si="340"/>
        <v>4822.9421874999989</v>
      </c>
      <c r="BZ633" s="636">
        <f t="shared" si="317"/>
        <v>0</v>
      </c>
      <c r="CA633" s="633">
        <f t="shared" si="318"/>
        <v>3223.7560937499993</v>
      </c>
    </row>
    <row r="634" spans="1:79" x14ac:dyDescent="0.2">
      <c r="A634" s="4">
        <v>1</v>
      </c>
      <c r="B634" s="4">
        <v>1</v>
      </c>
      <c r="C634" s="5">
        <f t="shared" si="319"/>
        <v>41134</v>
      </c>
      <c r="D634" s="6">
        <v>41134</v>
      </c>
      <c r="E634" s="6">
        <v>43011</v>
      </c>
      <c r="F634" s="6" t="s">
        <v>1606</v>
      </c>
      <c r="G634" s="7"/>
      <c r="H634" s="7"/>
      <c r="I634" s="7" t="s">
        <v>32</v>
      </c>
      <c r="J634" s="7"/>
      <c r="K634" s="29">
        <v>439711</v>
      </c>
      <c r="L634" s="10" t="s">
        <v>1372</v>
      </c>
      <c r="M634" s="10" t="s">
        <v>167</v>
      </c>
      <c r="N634" s="10" t="s">
        <v>1373</v>
      </c>
      <c r="O634" s="11" t="s">
        <v>1374</v>
      </c>
      <c r="P634" s="12">
        <v>41471</v>
      </c>
      <c r="Q634" s="13">
        <f t="shared" ca="1" si="320"/>
        <v>12.186173853524982</v>
      </c>
      <c r="R634" s="14">
        <v>4</v>
      </c>
      <c r="S634" s="15">
        <v>872</v>
      </c>
      <c r="T634" s="8">
        <v>872</v>
      </c>
      <c r="U634" s="16">
        <v>45017</v>
      </c>
      <c r="V634" s="17">
        <v>1</v>
      </c>
      <c r="W634" s="16">
        <v>45382</v>
      </c>
      <c r="X634" s="14">
        <v>192</v>
      </c>
      <c r="Y634" s="18">
        <f t="shared" si="341"/>
        <v>192</v>
      </c>
      <c r="Z634" s="18">
        <f t="shared" si="335"/>
        <v>1</v>
      </c>
      <c r="AA634" s="18" t="s">
        <v>36</v>
      </c>
      <c r="AB634" s="26">
        <v>30</v>
      </c>
      <c r="AC634" s="26"/>
      <c r="AD634" s="26"/>
      <c r="AE634" s="147" t="str">
        <f t="shared" si="329"/>
        <v>0</v>
      </c>
      <c r="AF634" s="147" t="str">
        <f t="shared" si="330"/>
        <v>1</v>
      </c>
      <c r="AG634" s="147" t="str">
        <f t="shared" si="331"/>
        <v>0</v>
      </c>
      <c r="AH634" s="147" t="str">
        <f t="shared" si="323"/>
        <v>NO</v>
      </c>
      <c r="AI634" s="147" t="str">
        <f t="shared" si="324"/>
        <v>NO</v>
      </c>
      <c r="AJ634" s="147" t="str">
        <f t="shared" si="325"/>
        <v>NO</v>
      </c>
      <c r="AK634" s="147" t="str">
        <f t="shared" si="326"/>
        <v>NO</v>
      </c>
      <c r="AL634" s="21"/>
      <c r="AM634" s="21">
        <f t="shared" si="336"/>
        <v>8183.0999999999985</v>
      </c>
      <c r="AN634" s="27" t="s">
        <v>128</v>
      </c>
      <c r="AO634" s="21">
        <v>1</v>
      </c>
      <c r="AP634" s="21">
        <f t="shared" si="342"/>
        <v>1</v>
      </c>
      <c r="AQ634" s="149">
        <f t="shared" si="314"/>
        <v>8183.0999999999985</v>
      </c>
      <c r="AR634" s="21">
        <v>8183.0999999999985</v>
      </c>
      <c r="AS634" s="610">
        <v>0</v>
      </c>
      <c r="AT634" s="112">
        <v>8183.0999999999985</v>
      </c>
      <c r="AU634" s="4"/>
      <c r="AV634" s="4"/>
      <c r="AW634" s="23" t="e">
        <f>VLOOKUP(K634,#REF!,8,FALSE)</f>
        <v>#REF!</v>
      </c>
      <c r="AX634" s="23" t="e">
        <f>VLOOKUP(K634,#REF!,8,FALSE)</f>
        <v>#REF!</v>
      </c>
      <c r="AY634" s="23" t="e">
        <f>VLOOKUP(K634,#REF!,8,FALSE)</f>
        <v>#REF!</v>
      </c>
      <c r="AZ634" s="4"/>
      <c r="BA634" s="272"/>
      <c r="BB634" s="313">
        <f t="shared" si="337"/>
        <v>0</v>
      </c>
      <c r="BC634" s="269">
        <f t="shared" si="338"/>
        <v>8183.0999999999985</v>
      </c>
      <c r="BD634" t="str">
        <f>BG634&amp;BH634&amp;BI634</f>
        <v/>
      </c>
      <c r="BP634" s="166">
        <f t="shared" si="327"/>
        <v>8183.0999999999985</v>
      </c>
      <c r="BS634" s="165"/>
      <c r="BX634" s="495">
        <f t="shared" si="340"/>
        <v>8183.0999999999985</v>
      </c>
      <c r="BZ634" s="636">
        <f t="shared" si="317"/>
        <v>0</v>
      </c>
      <c r="CA634" s="633">
        <f t="shared" si="318"/>
        <v>8183.0999999999985</v>
      </c>
    </row>
    <row r="635" spans="1:79" x14ac:dyDescent="0.2">
      <c r="A635" s="4">
        <v>1</v>
      </c>
      <c r="B635" s="4">
        <v>1</v>
      </c>
      <c r="C635" s="5">
        <f t="shared" si="319"/>
        <v>41134</v>
      </c>
      <c r="D635" s="6">
        <v>41134</v>
      </c>
      <c r="E635" s="6">
        <v>43011</v>
      </c>
      <c r="F635" s="6" t="s">
        <v>1606</v>
      </c>
      <c r="G635" s="7"/>
      <c r="H635" s="7"/>
      <c r="I635" s="7" t="s">
        <v>32</v>
      </c>
      <c r="J635" s="7"/>
      <c r="K635" s="29">
        <v>407785</v>
      </c>
      <c r="L635" s="10" t="s">
        <v>1372</v>
      </c>
      <c r="M635" s="10" t="s">
        <v>1375</v>
      </c>
      <c r="N635" s="10" t="s">
        <v>180</v>
      </c>
      <c r="O635" s="11" t="s">
        <v>1376</v>
      </c>
      <c r="P635" s="12">
        <v>41360</v>
      </c>
      <c r="Q635" s="13">
        <f t="shared" ca="1" si="320"/>
        <v>12.490075290896646</v>
      </c>
      <c r="R635" s="14">
        <v>5</v>
      </c>
      <c r="S635" s="15">
        <v>872</v>
      </c>
      <c r="T635" s="8">
        <v>872</v>
      </c>
      <c r="U635" s="16">
        <v>45017</v>
      </c>
      <c r="V635" s="17">
        <v>1</v>
      </c>
      <c r="W635" s="16">
        <v>45382</v>
      </c>
      <c r="X635" s="14">
        <v>192</v>
      </c>
      <c r="Y635" s="18">
        <f t="shared" si="341"/>
        <v>192</v>
      </c>
      <c r="Z635" s="18">
        <f t="shared" si="335"/>
        <v>1</v>
      </c>
      <c r="AA635" s="18" t="s">
        <v>36</v>
      </c>
      <c r="AB635" s="26">
        <v>25</v>
      </c>
      <c r="AC635" s="26"/>
      <c r="AD635" s="26"/>
      <c r="AE635" s="147" t="str">
        <f t="shared" si="329"/>
        <v>1</v>
      </c>
      <c r="AF635" s="147" t="str">
        <f t="shared" si="330"/>
        <v>0</v>
      </c>
      <c r="AG635" s="147" t="str">
        <f t="shared" si="331"/>
        <v>0</v>
      </c>
      <c r="AH635" s="147" t="str">
        <f t="shared" si="323"/>
        <v>NO</v>
      </c>
      <c r="AI635" s="147" t="str">
        <f t="shared" si="324"/>
        <v>NO</v>
      </c>
      <c r="AJ635" s="147" t="str">
        <f t="shared" si="325"/>
        <v>NO</v>
      </c>
      <c r="AK635" s="147" t="str">
        <f t="shared" si="326"/>
        <v>NO</v>
      </c>
      <c r="AL635" s="21"/>
      <c r="AM635" s="21">
        <f t="shared" si="336"/>
        <v>5819.25</v>
      </c>
      <c r="AN635" s="27" t="s">
        <v>43</v>
      </c>
      <c r="AO635" s="21">
        <v>1</v>
      </c>
      <c r="AP635" s="21">
        <f t="shared" si="342"/>
        <v>1</v>
      </c>
      <c r="AQ635" s="149">
        <f t="shared" si="314"/>
        <v>5819.25</v>
      </c>
      <c r="AR635" s="21">
        <v>5819.25</v>
      </c>
      <c r="AS635" s="610">
        <v>5819.25</v>
      </c>
      <c r="AT635" s="112">
        <v>5819.25</v>
      </c>
      <c r="AU635" s="4"/>
      <c r="AV635" s="4"/>
      <c r="AW635" s="23" t="e">
        <f>VLOOKUP(K635,#REF!,8,FALSE)</f>
        <v>#REF!</v>
      </c>
      <c r="AX635" s="23" t="e">
        <f>VLOOKUP(K635,#REF!,8,FALSE)</f>
        <v>#REF!</v>
      </c>
      <c r="AY635" s="23" t="e">
        <f>VLOOKUP(K635,#REF!,8,FALSE)</f>
        <v>#REF!</v>
      </c>
      <c r="AZ635" s="4"/>
      <c r="BA635" s="272"/>
      <c r="BB635" s="313">
        <f t="shared" si="337"/>
        <v>0</v>
      </c>
      <c r="BC635" s="269">
        <f t="shared" si="338"/>
        <v>5819.25</v>
      </c>
      <c r="BD635" t="str">
        <f>BG635&amp;BH635&amp;BI635</f>
        <v/>
      </c>
      <c r="BP635" s="166">
        <f t="shared" si="327"/>
        <v>5819.25</v>
      </c>
      <c r="BS635" s="165"/>
      <c r="BX635" s="495">
        <f t="shared" si="340"/>
        <v>5819.25</v>
      </c>
      <c r="BZ635" s="636">
        <f t="shared" si="317"/>
        <v>0</v>
      </c>
      <c r="CA635" s="633">
        <f t="shared" si="318"/>
        <v>0</v>
      </c>
    </row>
    <row r="636" spans="1:79" x14ac:dyDescent="0.2">
      <c r="A636" s="4">
        <v>1</v>
      </c>
      <c r="B636" s="4">
        <v>1</v>
      </c>
      <c r="C636" s="5">
        <f t="shared" si="319"/>
        <v>41134</v>
      </c>
      <c r="D636" s="6">
        <v>41134</v>
      </c>
      <c r="E636" s="6">
        <v>43011</v>
      </c>
      <c r="F636" s="6" t="s">
        <v>1606</v>
      </c>
      <c r="G636" s="7"/>
      <c r="H636" s="7"/>
      <c r="I636" s="7" t="s">
        <v>32</v>
      </c>
      <c r="J636" s="7"/>
      <c r="K636" s="29">
        <v>419093</v>
      </c>
      <c r="L636" s="10" t="s">
        <v>1372</v>
      </c>
      <c r="M636" s="10" t="s">
        <v>1377</v>
      </c>
      <c r="N636" s="10" t="s">
        <v>339</v>
      </c>
      <c r="O636" s="11" t="s">
        <v>1378</v>
      </c>
      <c r="P636" s="12">
        <v>41385</v>
      </c>
      <c r="Q636" s="13">
        <f t="shared" ca="1" si="320"/>
        <v>12.421629021218344</v>
      </c>
      <c r="R636" s="14">
        <v>5</v>
      </c>
      <c r="S636" s="15">
        <v>872</v>
      </c>
      <c r="T636" s="8">
        <v>872</v>
      </c>
      <c r="U636" s="16">
        <v>45017</v>
      </c>
      <c r="V636" s="17">
        <v>1</v>
      </c>
      <c r="W636" s="16">
        <v>45382</v>
      </c>
      <c r="X636" s="14">
        <v>192</v>
      </c>
      <c r="Y636" s="18">
        <f t="shared" si="341"/>
        <v>192</v>
      </c>
      <c r="Z636" s="18">
        <f t="shared" si="335"/>
        <v>1</v>
      </c>
      <c r="AA636" s="18" t="s">
        <v>36</v>
      </c>
      <c r="AB636" s="26">
        <v>28</v>
      </c>
      <c r="AC636" s="26"/>
      <c r="AD636" s="26"/>
      <c r="AE636" s="147" t="str">
        <f t="shared" si="329"/>
        <v>0</v>
      </c>
      <c r="AF636" s="147" t="str">
        <f t="shared" si="330"/>
        <v>1</v>
      </c>
      <c r="AG636" s="147" t="str">
        <f t="shared" si="331"/>
        <v>0</v>
      </c>
      <c r="AH636" s="147" t="str">
        <f t="shared" si="323"/>
        <v>NO</v>
      </c>
      <c r="AI636" s="147" t="str">
        <f t="shared" si="324"/>
        <v>NO</v>
      </c>
      <c r="AJ636" s="147" t="str">
        <f t="shared" si="325"/>
        <v>NO</v>
      </c>
      <c r="AK636" s="147" t="str">
        <f t="shared" si="326"/>
        <v>NO</v>
      </c>
      <c r="AL636" s="21"/>
      <c r="AM636" s="21">
        <f t="shared" si="336"/>
        <v>7237.5599999999995</v>
      </c>
      <c r="AN636" s="27" t="s">
        <v>43</v>
      </c>
      <c r="AO636" s="21">
        <v>1</v>
      </c>
      <c r="AP636" s="21">
        <f t="shared" si="342"/>
        <v>1</v>
      </c>
      <c r="AQ636" s="149">
        <f t="shared" si="314"/>
        <v>7237.5599999999995</v>
      </c>
      <c r="AR636" s="21">
        <v>7237.5599999999995</v>
      </c>
      <c r="AS636" s="610">
        <v>7237.5599999999995</v>
      </c>
      <c r="AT636" s="112">
        <v>7237.5599999999995</v>
      </c>
      <c r="AU636" s="4"/>
      <c r="AV636" s="4"/>
      <c r="AW636" s="23" t="e">
        <f>VLOOKUP(K636,#REF!,8,FALSE)</f>
        <v>#REF!</v>
      </c>
      <c r="AX636" s="23" t="e">
        <f>VLOOKUP(K636,#REF!,8,FALSE)</f>
        <v>#REF!</v>
      </c>
      <c r="AY636" s="23" t="e">
        <f>VLOOKUP(K636,#REF!,8,FALSE)</f>
        <v>#REF!</v>
      </c>
      <c r="AZ636" s="4"/>
      <c r="BA636" s="272"/>
      <c r="BB636" s="313">
        <f t="shared" si="337"/>
        <v>0</v>
      </c>
      <c r="BC636" s="269">
        <f t="shared" si="338"/>
        <v>7237.5599999999995</v>
      </c>
      <c r="BD636" t="str">
        <f>BG636&amp;BH636&amp;BI636</f>
        <v/>
      </c>
      <c r="BP636" s="166">
        <f t="shared" si="327"/>
        <v>7237.5599999999995</v>
      </c>
      <c r="BS636" s="165"/>
      <c r="BX636" s="495">
        <f t="shared" si="340"/>
        <v>7237.5599999999995</v>
      </c>
      <c r="BZ636" s="636">
        <f t="shared" si="317"/>
        <v>0</v>
      </c>
      <c r="CA636" s="633">
        <f t="shared" si="318"/>
        <v>0</v>
      </c>
    </row>
    <row r="637" spans="1:79" x14ac:dyDescent="0.2">
      <c r="A637" s="4">
        <v>0</v>
      </c>
      <c r="B637" s="4">
        <v>1</v>
      </c>
      <c r="C637" s="5">
        <f t="shared" si="319"/>
        <v>41134</v>
      </c>
      <c r="D637" s="6">
        <v>41134</v>
      </c>
      <c r="E637" s="6">
        <v>43011</v>
      </c>
      <c r="F637" s="6" t="s">
        <v>1606</v>
      </c>
      <c r="G637" s="7"/>
      <c r="H637" s="7"/>
      <c r="I637" s="7" t="s">
        <v>32</v>
      </c>
      <c r="J637" s="7"/>
      <c r="K637" s="29">
        <v>419093</v>
      </c>
      <c r="L637" s="10" t="s">
        <v>1372</v>
      </c>
      <c r="M637" s="10" t="s">
        <v>1377</v>
      </c>
      <c r="N637" s="10" t="s">
        <v>339</v>
      </c>
      <c r="O637" s="11" t="s">
        <v>1378</v>
      </c>
      <c r="P637" s="12">
        <v>41385</v>
      </c>
      <c r="Q637" s="13">
        <f t="shared" ca="1" si="320"/>
        <v>12.421629021218344</v>
      </c>
      <c r="R637" s="14">
        <v>5</v>
      </c>
      <c r="S637" s="15">
        <v>872</v>
      </c>
      <c r="T637" s="8">
        <v>872</v>
      </c>
      <c r="U637" s="16">
        <v>45033</v>
      </c>
      <c r="V637" s="17">
        <v>2</v>
      </c>
      <c r="W637" s="16">
        <v>45128</v>
      </c>
      <c r="X637" s="14">
        <v>63</v>
      </c>
      <c r="Y637" s="18">
        <f t="shared" si="341"/>
        <v>62</v>
      </c>
      <c r="Z637" s="18">
        <f t="shared" si="335"/>
        <v>0.32291666666666669</v>
      </c>
      <c r="AA637" s="16">
        <v>45128</v>
      </c>
      <c r="AB637" s="26">
        <v>7800</v>
      </c>
      <c r="AC637" s="26"/>
      <c r="AD637" s="26"/>
      <c r="AE637" s="147" t="str">
        <f t="shared" si="329"/>
        <v>0</v>
      </c>
      <c r="AF637" s="147" t="str">
        <f t="shared" si="330"/>
        <v>0</v>
      </c>
      <c r="AG637" s="147" t="str">
        <f t="shared" si="331"/>
        <v>1</v>
      </c>
      <c r="AH637" s="147" t="str">
        <f t="shared" si="323"/>
        <v>NO</v>
      </c>
      <c r="AI637" s="147" t="str">
        <f t="shared" si="324"/>
        <v>NO</v>
      </c>
      <c r="AJ637" s="147" t="str">
        <f t="shared" si="325"/>
        <v>NO</v>
      </c>
      <c r="AK637" s="147" t="str">
        <f t="shared" si="326"/>
        <v>NO</v>
      </c>
      <c r="AL637" s="21"/>
      <c r="AM637" s="21">
        <f>AB637</f>
        <v>7800</v>
      </c>
      <c r="AN637" s="27" t="s">
        <v>43</v>
      </c>
      <c r="AO637" s="21">
        <v>1</v>
      </c>
      <c r="AP637" s="21">
        <v>1</v>
      </c>
      <c r="AQ637" s="149">
        <f t="shared" si="314"/>
        <v>7800</v>
      </c>
      <c r="AR637" s="21">
        <v>7800</v>
      </c>
      <c r="AS637" s="610">
        <v>0</v>
      </c>
      <c r="AT637" s="112">
        <v>0</v>
      </c>
      <c r="AU637" s="4"/>
      <c r="AV637" s="4"/>
      <c r="AW637" s="23"/>
      <c r="AX637" s="23"/>
      <c r="AY637" s="23"/>
      <c r="AZ637" s="4"/>
      <c r="BA637" s="272"/>
      <c r="BB637" s="313">
        <f t="shared" si="337"/>
        <v>7800</v>
      </c>
      <c r="BC637" s="269">
        <f t="shared" si="338"/>
        <v>7800</v>
      </c>
      <c r="BD637" t="str">
        <f>BG637&amp;BH637&amp;BI637</f>
        <v/>
      </c>
      <c r="BJ637">
        <f>AB637</f>
        <v>7800</v>
      </c>
      <c r="BK637" s="269">
        <f>AM637</f>
        <v>7800</v>
      </c>
      <c r="BO637" s="106">
        <f>BK637/192*127</f>
        <v>5159.375</v>
      </c>
      <c r="BP637" s="166">
        <f t="shared" si="327"/>
        <v>12959.375</v>
      </c>
      <c r="BS637" s="165"/>
      <c r="BX637" s="495">
        <f t="shared" si="340"/>
        <v>12959.375</v>
      </c>
      <c r="BZ637" s="636">
        <f t="shared" si="317"/>
        <v>0</v>
      </c>
      <c r="CA637" s="633">
        <f t="shared" si="318"/>
        <v>12959.375</v>
      </c>
    </row>
    <row r="638" spans="1:79" x14ac:dyDescent="0.2">
      <c r="A638" s="4">
        <v>1</v>
      </c>
      <c r="B638" s="4">
        <v>1</v>
      </c>
      <c r="C638" s="5">
        <f t="shared" si="319"/>
        <v>41134</v>
      </c>
      <c r="D638" s="6">
        <v>41134</v>
      </c>
      <c r="E638" s="6">
        <v>43011</v>
      </c>
      <c r="F638" s="6" t="s">
        <v>1606</v>
      </c>
      <c r="G638" s="7"/>
      <c r="H638" s="7"/>
      <c r="I638" s="7" t="s">
        <v>32</v>
      </c>
      <c r="J638" s="7"/>
      <c r="K638" s="29">
        <v>397428</v>
      </c>
      <c r="L638" s="10" t="s">
        <v>1372</v>
      </c>
      <c r="M638" s="10" t="s">
        <v>1379</v>
      </c>
      <c r="N638" s="10" t="s">
        <v>1270</v>
      </c>
      <c r="O638" s="11" t="s">
        <v>1380</v>
      </c>
      <c r="P638" s="12">
        <v>41100</v>
      </c>
      <c r="Q638" s="13">
        <f t="shared" ca="1" si="320"/>
        <v>13.201916495550993</v>
      </c>
      <c r="R638" s="14">
        <v>6</v>
      </c>
      <c r="S638" s="15">
        <v>872</v>
      </c>
      <c r="T638" s="8">
        <v>872</v>
      </c>
      <c r="U638" s="16">
        <v>45017</v>
      </c>
      <c r="V638" s="17">
        <v>1</v>
      </c>
      <c r="W638" s="16">
        <v>45128</v>
      </c>
      <c r="X638" s="14">
        <v>63</v>
      </c>
      <c r="Y638" s="18">
        <f t="shared" si="341"/>
        <v>63</v>
      </c>
      <c r="Z638" s="18">
        <f t="shared" si="335"/>
        <v>0.328125</v>
      </c>
      <c r="AA638" s="18" t="s">
        <v>48</v>
      </c>
      <c r="AB638" s="26">
        <v>23</v>
      </c>
      <c r="AC638" s="26"/>
      <c r="AD638" s="26"/>
      <c r="AE638" s="147" t="str">
        <f t="shared" si="329"/>
        <v>1</v>
      </c>
      <c r="AF638" s="147" t="str">
        <f t="shared" si="330"/>
        <v>0</v>
      </c>
      <c r="AG638" s="147" t="str">
        <f t="shared" si="331"/>
        <v>0</v>
      </c>
      <c r="AH638" s="147" t="str">
        <f t="shared" si="323"/>
        <v>NO</v>
      </c>
      <c r="AI638" s="147" t="str">
        <f t="shared" si="324"/>
        <v>NO</v>
      </c>
      <c r="AJ638" s="147" t="str">
        <f t="shared" si="325"/>
        <v>NO</v>
      </c>
      <c r="AK638" s="147" t="str">
        <f t="shared" si="326"/>
        <v>NO</v>
      </c>
      <c r="AL638" s="21"/>
      <c r="AM638" s="21">
        <f t="shared" ref="AM638:AM645" si="343">IF(H638="Y",AL638,((AB638*$O$902)-6000))</f>
        <v>4873.7099999999991</v>
      </c>
      <c r="AN638" s="27" t="s">
        <v>43</v>
      </c>
      <c r="AO638" s="21">
        <v>1</v>
      </c>
      <c r="AP638" s="21">
        <f t="shared" ref="AP638:AP669" si="344">AO638*Z638</f>
        <v>0.328125</v>
      </c>
      <c r="AQ638" s="149">
        <f t="shared" si="314"/>
        <v>1599.1860937499996</v>
      </c>
      <c r="AR638" s="21">
        <v>1599.1860937499996</v>
      </c>
      <c r="AS638" s="610">
        <v>1599.1860937499996</v>
      </c>
      <c r="AT638" s="112">
        <v>1599.1860937499996</v>
      </c>
      <c r="AU638" s="4"/>
      <c r="AV638" s="4"/>
      <c r="AW638" s="23" t="e">
        <v>#N/A</v>
      </c>
      <c r="AX638" s="264" t="s">
        <v>2146</v>
      </c>
      <c r="AY638" s="23" t="e">
        <v>#N/A</v>
      </c>
      <c r="AZ638" s="4"/>
      <c r="BB638" s="313">
        <f t="shared" si="337"/>
        <v>0</v>
      </c>
      <c r="BC638" s="269">
        <f t="shared" si="338"/>
        <v>1599.1860937499996</v>
      </c>
      <c r="BD638" t="s">
        <v>2454</v>
      </c>
      <c r="BS638" s="165"/>
      <c r="BX638" s="495">
        <f t="shared" si="340"/>
        <v>1599.1860937499996</v>
      </c>
      <c r="BZ638" s="636">
        <f t="shared" si="317"/>
        <v>1599.1860937499996</v>
      </c>
      <c r="CA638" s="633">
        <f t="shared" si="318"/>
        <v>0</v>
      </c>
    </row>
    <row r="639" spans="1:79" x14ac:dyDescent="0.2">
      <c r="A639" s="4">
        <v>1</v>
      </c>
      <c r="B639" s="4">
        <v>1</v>
      </c>
      <c r="C639" s="5">
        <f t="shared" si="319"/>
        <v>41134</v>
      </c>
      <c r="D639" s="6">
        <v>41134</v>
      </c>
      <c r="E639" s="6">
        <v>43011</v>
      </c>
      <c r="F639" s="6" t="s">
        <v>1606</v>
      </c>
      <c r="G639" s="7"/>
      <c r="H639" s="7"/>
      <c r="I639" s="7" t="s">
        <v>32</v>
      </c>
      <c r="J639" s="7"/>
      <c r="K639" s="29">
        <v>409491</v>
      </c>
      <c r="L639" s="10" t="s">
        <v>1372</v>
      </c>
      <c r="M639" s="10" t="s">
        <v>819</v>
      </c>
      <c r="N639" s="10" t="s">
        <v>1363</v>
      </c>
      <c r="O639" s="11" t="s">
        <v>1381</v>
      </c>
      <c r="P639" s="12">
        <v>41263</v>
      </c>
      <c r="Q639" s="13">
        <f t="shared" ca="1" si="320"/>
        <v>12.75564681724846</v>
      </c>
      <c r="R639" s="14">
        <v>5</v>
      </c>
      <c r="S639" s="15">
        <v>872</v>
      </c>
      <c r="T639" s="8">
        <v>872</v>
      </c>
      <c r="U639" s="16">
        <v>45017</v>
      </c>
      <c r="V639" s="17">
        <v>1</v>
      </c>
      <c r="W639" s="16">
        <v>45382</v>
      </c>
      <c r="X639" s="14">
        <v>192</v>
      </c>
      <c r="Y639" s="18">
        <f t="shared" si="341"/>
        <v>192</v>
      </c>
      <c r="Z639" s="18">
        <f t="shared" ref="Z639:Z670" si="345">Y639/192</f>
        <v>1</v>
      </c>
      <c r="AA639" s="18" t="s">
        <v>36</v>
      </c>
      <c r="AB639" s="26">
        <v>23</v>
      </c>
      <c r="AC639" s="26"/>
      <c r="AD639" s="26"/>
      <c r="AE639" s="147" t="str">
        <f t="shared" si="329"/>
        <v>1</v>
      </c>
      <c r="AF639" s="147" t="str">
        <f t="shared" si="330"/>
        <v>0</v>
      </c>
      <c r="AG639" s="147" t="str">
        <f t="shared" si="331"/>
        <v>0</v>
      </c>
      <c r="AH639" s="147" t="str">
        <f t="shared" si="323"/>
        <v>NO</v>
      </c>
      <c r="AI639" s="147" t="str">
        <f t="shared" si="324"/>
        <v>NO</v>
      </c>
      <c r="AJ639" s="147" t="str">
        <f t="shared" si="325"/>
        <v>NO</v>
      </c>
      <c r="AK639" s="147" t="str">
        <f t="shared" si="326"/>
        <v>NO</v>
      </c>
      <c r="AL639" s="21"/>
      <c r="AM639" s="21">
        <f t="shared" si="343"/>
        <v>4873.7099999999991</v>
      </c>
      <c r="AN639" s="42" t="s">
        <v>128</v>
      </c>
      <c r="AO639" s="21">
        <v>1</v>
      </c>
      <c r="AP639" s="21">
        <f t="shared" si="344"/>
        <v>1</v>
      </c>
      <c r="AQ639" s="149">
        <f t="shared" si="314"/>
        <v>4873.7099999999991</v>
      </c>
      <c r="AR639" s="21">
        <v>4873.7099999999991</v>
      </c>
      <c r="AS639" s="610">
        <v>4873.7099999999991</v>
      </c>
      <c r="AT639" s="112">
        <v>4873.7099999999991</v>
      </c>
      <c r="AU639" s="4"/>
      <c r="AV639" s="4"/>
      <c r="AW639" s="23" t="e">
        <f>VLOOKUP(K639,#REF!,8,FALSE)</f>
        <v>#REF!</v>
      </c>
      <c r="AX639" s="23" t="e">
        <f>VLOOKUP(K639,#REF!,8,FALSE)</f>
        <v>#REF!</v>
      </c>
      <c r="AY639" s="23" t="e">
        <f>VLOOKUP(K639,#REF!,8,FALSE)</f>
        <v>#REF!</v>
      </c>
      <c r="AZ639" s="4"/>
      <c r="BA639" s="272"/>
      <c r="BB639" s="313">
        <f t="shared" si="337"/>
        <v>0</v>
      </c>
      <c r="BC639" s="269">
        <f t="shared" si="338"/>
        <v>4873.7099999999991</v>
      </c>
      <c r="BD639" t="str">
        <f>BG639&amp;BH639&amp;BI639</f>
        <v/>
      </c>
      <c r="BP639" s="166">
        <f t="shared" ref="BP639:BP649" si="346">BC639+BO639</f>
        <v>4873.7099999999991</v>
      </c>
      <c r="BS639" s="165"/>
      <c r="BX639" s="495">
        <f t="shared" si="340"/>
        <v>4873.7099999999991</v>
      </c>
      <c r="BZ639" s="636">
        <f t="shared" si="317"/>
        <v>0</v>
      </c>
      <c r="CA639" s="633">
        <f t="shared" si="318"/>
        <v>0</v>
      </c>
    </row>
    <row r="640" spans="1:79" x14ac:dyDescent="0.2">
      <c r="A640" s="4">
        <v>1</v>
      </c>
      <c r="B640" s="4">
        <v>1</v>
      </c>
      <c r="C640" s="5">
        <f t="shared" si="319"/>
        <v>41135</v>
      </c>
      <c r="D640" s="6">
        <v>41135</v>
      </c>
      <c r="E640" s="121">
        <v>43012</v>
      </c>
      <c r="F640" s="6" t="s">
        <v>1876</v>
      </c>
      <c r="G640" s="7" t="s">
        <v>75</v>
      </c>
      <c r="H640" s="7"/>
      <c r="I640" s="7" t="s">
        <v>32</v>
      </c>
      <c r="J640" s="7"/>
      <c r="K640" s="29">
        <v>451071</v>
      </c>
      <c r="L640" s="10" t="s">
        <v>1382</v>
      </c>
      <c r="M640" s="10" t="s">
        <v>1023</v>
      </c>
      <c r="N640" s="10" t="s">
        <v>1383</v>
      </c>
      <c r="O640" s="11" t="s">
        <v>1384</v>
      </c>
      <c r="P640" s="12">
        <v>43513</v>
      </c>
      <c r="Q640" s="13">
        <f t="shared" ca="1" si="320"/>
        <v>6.5954825462012323</v>
      </c>
      <c r="R640" s="14">
        <v>-1</v>
      </c>
      <c r="S640" s="15">
        <v>872</v>
      </c>
      <c r="T640" s="8">
        <v>872</v>
      </c>
      <c r="U640" s="16">
        <v>45017</v>
      </c>
      <c r="V640" s="17">
        <v>1</v>
      </c>
      <c r="W640" s="16">
        <v>45017</v>
      </c>
      <c r="X640" s="14">
        <v>0</v>
      </c>
      <c r="Y640" s="18">
        <f t="shared" si="341"/>
        <v>0</v>
      </c>
      <c r="Z640" s="18">
        <f t="shared" si="345"/>
        <v>0</v>
      </c>
      <c r="AA640" s="18" t="s">
        <v>36</v>
      </c>
      <c r="AB640" s="26">
        <v>25</v>
      </c>
      <c r="AC640" s="26"/>
      <c r="AD640" s="26"/>
      <c r="AE640" s="147" t="str">
        <f t="shared" si="329"/>
        <v>1</v>
      </c>
      <c r="AF640" s="147" t="str">
        <f t="shared" si="330"/>
        <v>0</v>
      </c>
      <c r="AG640" s="147" t="str">
        <f t="shared" si="331"/>
        <v>0</v>
      </c>
      <c r="AH640" s="147" t="str">
        <f t="shared" si="323"/>
        <v>NO</v>
      </c>
      <c r="AI640" s="147" t="str">
        <f t="shared" si="324"/>
        <v>NO</v>
      </c>
      <c r="AJ640" s="147" t="str">
        <f t="shared" si="325"/>
        <v>NO</v>
      </c>
      <c r="AK640" s="147" t="str">
        <f t="shared" si="326"/>
        <v>NO</v>
      </c>
      <c r="AL640" s="21"/>
      <c r="AM640" s="21">
        <f t="shared" si="343"/>
        <v>5819.25</v>
      </c>
      <c r="AN640" s="27"/>
      <c r="AO640" s="21">
        <v>1</v>
      </c>
      <c r="AP640" s="21">
        <f t="shared" si="344"/>
        <v>0</v>
      </c>
      <c r="AQ640" s="149">
        <f t="shared" ref="AQ640:AQ703" si="347">AP640*AM640</f>
        <v>0</v>
      </c>
      <c r="AR640" s="21">
        <v>5819.25</v>
      </c>
      <c r="AS640" s="610">
        <v>0</v>
      </c>
      <c r="AT640" s="112">
        <v>5819.25</v>
      </c>
      <c r="AU640" s="4"/>
      <c r="AV640" s="4"/>
      <c r="AW640" s="23" t="e">
        <f>VLOOKUP(K640,#REF!,8,FALSE)</f>
        <v>#REF!</v>
      </c>
      <c r="AX640" s="23" t="e">
        <f>VLOOKUP(K640,#REF!,8,FALSE)</f>
        <v>#REF!</v>
      </c>
      <c r="AY640" s="23" t="e">
        <f>VLOOKUP(K640,#REF!,8,FALSE)</f>
        <v>#REF!</v>
      </c>
      <c r="AZ640" s="4"/>
      <c r="BA640" s="272"/>
      <c r="BB640" s="313">
        <v>-5819.25</v>
      </c>
      <c r="BC640" s="269">
        <f>BB640</f>
        <v>-5819.25</v>
      </c>
      <c r="BD640" t="s">
        <v>2447</v>
      </c>
      <c r="BP640" s="166">
        <f t="shared" si="346"/>
        <v>-5819.25</v>
      </c>
      <c r="BS640" s="165" t="s">
        <v>2449</v>
      </c>
      <c r="BX640" s="495">
        <f>(AQ640+BO640+BU640)*-1</f>
        <v>0</v>
      </c>
      <c r="BZ640" s="636">
        <f t="shared" si="317"/>
        <v>5819.25</v>
      </c>
      <c r="CA640" s="633">
        <f t="shared" si="318"/>
        <v>0</v>
      </c>
    </row>
    <row r="641" spans="1:79" x14ac:dyDescent="0.2">
      <c r="A641" s="4">
        <v>1</v>
      </c>
      <c r="B641" s="4">
        <v>1</v>
      </c>
      <c r="C641" s="5">
        <f t="shared" si="319"/>
        <v>41135</v>
      </c>
      <c r="D641" s="6">
        <v>41135</v>
      </c>
      <c r="E641" s="121">
        <v>43012</v>
      </c>
      <c r="F641" s="6" t="s">
        <v>1876</v>
      </c>
      <c r="G641" s="7" t="s">
        <v>75</v>
      </c>
      <c r="H641" s="7"/>
      <c r="I641" s="7" t="s">
        <v>32</v>
      </c>
      <c r="J641" s="7"/>
      <c r="K641" s="29">
        <v>431775</v>
      </c>
      <c r="L641" s="10" t="s">
        <v>1382</v>
      </c>
      <c r="M641" s="10" t="s">
        <v>1385</v>
      </c>
      <c r="N641" s="10" t="s">
        <v>1386</v>
      </c>
      <c r="O641" s="11" t="s">
        <v>1387</v>
      </c>
      <c r="P641" s="12">
        <v>42668</v>
      </c>
      <c r="Q641" s="13">
        <f t="shared" ca="1" si="320"/>
        <v>8.9089664613278572</v>
      </c>
      <c r="R641" s="14">
        <v>1</v>
      </c>
      <c r="S641" s="15">
        <v>872</v>
      </c>
      <c r="T641" s="8">
        <v>872</v>
      </c>
      <c r="U641" s="16">
        <v>45017</v>
      </c>
      <c r="V641" s="17">
        <v>1</v>
      </c>
      <c r="W641" s="16">
        <v>45382</v>
      </c>
      <c r="X641" s="14">
        <v>192</v>
      </c>
      <c r="Y641" s="18">
        <f t="shared" si="341"/>
        <v>192</v>
      </c>
      <c r="Z641" s="18">
        <f t="shared" si="345"/>
        <v>1</v>
      </c>
      <c r="AA641" s="18" t="s">
        <v>36</v>
      </c>
      <c r="AB641" s="26">
        <v>30</v>
      </c>
      <c r="AC641" s="26"/>
      <c r="AD641" s="26"/>
      <c r="AE641" s="147" t="str">
        <f t="shared" si="329"/>
        <v>0</v>
      </c>
      <c r="AF641" s="147" t="str">
        <f t="shared" si="330"/>
        <v>1</v>
      </c>
      <c r="AG641" s="147" t="str">
        <f t="shared" si="331"/>
        <v>0</v>
      </c>
      <c r="AH641" s="147" t="str">
        <f t="shared" si="323"/>
        <v>NO</v>
      </c>
      <c r="AI641" s="147" t="str">
        <f t="shared" si="324"/>
        <v>NO</v>
      </c>
      <c r="AJ641" s="147" t="str">
        <f t="shared" si="325"/>
        <v>NO</v>
      </c>
      <c r="AK641" s="147" t="str">
        <f t="shared" si="326"/>
        <v>NO</v>
      </c>
      <c r="AL641" s="21"/>
      <c r="AM641" s="21">
        <f t="shared" si="343"/>
        <v>8183.0999999999985</v>
      </c>
      <c r="AN641" s="27"/>
      <c r="AO641" s="21">
        <v>1</v>
      </c>
      <c r="AP641" s="21">
        <f t="shared" si="344"/>
        <v>1</v>
      </c>
      <c r="AQ641" s="149">
        <f t="shared" si="347"/>
        <v>8183.0999999999985</v>
      </c>
      <c r="AR641" s="21">
        <v>8183.0999999999985</v>
      </c>
      <c r="AS641" s="610">
        <v>8183.0999999999985</v>
      </c>
      <c r="AT641" s="112">
        <v>8183.0999999999985</v>
      </c>
      <c r="AU641" s="4"/>
      <c r="AV641" s="4"/>
      <c r="AW641" s="23" t="e">
        <f>VLOOKUP(K641,#REF!,8,FALSE)</f>
        <v>#REF!</v>
      </c>
      <c r="AX641" s="23" t="e">
        <f>VLOOKUP(K641,#REF!,8,FALSE)</f>
        <v>#REF!</v>
      </c>
      <c r="AY641" s="23" t="e">
        <f>VLOOKUP(K641,#REF!,8,FALSE)</f>
        <v>#REF!</v>
      </c>
      <c r="AZ641" s="4"/>
      <c r="BA641" s="272"/>
      <c r="BB641" s="313">
        <f t="shared" ref="BB641:BB670" si="348">BC641-AT641</f>
        <v>0</v>
      </c>
      <c r="BC641" s="269">
        <f t="shared" ref="BC641:BC670" si="349">AR641</f>
        <v>8183.0999999999985</v>
      </c>
      <c r="BD641" t="str">
        <f>BG641&amp;BH641&amp;BI641</f>
        <v/>
      </c>
      <c r="BP641" s="166">
        <f t="shared" si="346"/>
        <v>8183.0999999999985</v>
      </c>
      <c r="BS641" s="165"/>
      <c r="BX641" s="495">
        <f t="shared" ref="BX641:BX704" si="350">AQ641+BO641+BU641</f>
        <v>8183.0999999999985</v>
      </c>
      <c r="BZ641" s="636">
        <f t="shared" si="317"/>
        <v>0</v>
      </c>
      <c r="CA641" s="633">
        <f t="shared" si="318"/>
        <v>0</v>
      </c>
    </row>
    <row r="642" spans="1:79" x14ac:dyDescent="0.2">
      <c r="A642" s="4">
        <v>1</v>
      </c>
      <c r="B642" s="4">
        <v>1</v>
      </c>
      <c r="C642" s="5">
        <f t="shared" si="319"/>
        <v>41135</v>
      </c>
      <c r="D642" s="6">
        <v>41135</v>
      </c>
      <c r="E642" s="121">
        <v>43012</v>
      </c>
      <c r="F642" s="6" t="s">
        <v>1876</v>
      </c>
      <c r="G642" s="7" t="s">
        <v>75</v>
      </c>
      <c r="H642" s="7"/>
      <c r="I642" s="7" t="s">
        <v>32</v>
      </c>
      <c r="J642" s="7"/>
      <c r="K642" s="29">
        <v>445714</v>
      </c>
      <c r="L642" s="10" t="s">
        <v>1382</v>
      </c>
      <c r="M642" s="10" t="s">
        <v>1388</v>
      </c>
      <c r="N642" s="10" t="s">
        <v>1389</v>
      </c>
      <c r="O642" s="11" t="s">
        <v>1390</v>
      </c>
      <c r="P642" s="12">
        <v>43068</v>
      </c>
      <c r="Q642" s="13">
        <f t="shared" ca="1" si="320"/>
        <v>7.8138261464750167</v>
      </c>
      <c r="R642" s="14">
        <v>0</v>
      </c>
      <c r="S642" s="15">
        <v>872</v>
      </c>
      <c r="T642" s="8">
        <v>872</v>
      </c>
      <c r="U642" s="16">
        <v>45017</v>
      </c>
      <c r="V642" s="17">
        <v>1</v>
      </c>
      <c r="W642" s="16">
        <v>45382</v>
      </c>
      <c r="X642" s="14">
        <v>192</v>
      </c>
      <c r="Y642" s="18">
        <f t="shared" si="341"/>
        <v>192</v>
      </c>
      <c r="Z642" s="18">
        <f t="shared" si="345"/>
        <v>1</v>
      </c>
      <c r="AA642" s="18" t="s">
        <v>36</v>
      </c>
      <c r="AB642" s="26">
        <v>30</v>
      </c>
      <c r="AC642" s="26"/>
      <c r="AD642" s="26"/>
      <c r="AE642" s="147" t="str">
        <f t="shared" si="329"/>
        <v>0</v>
      </c>
      <c r="AF642" s="147" t="str">
        <f t="shared" si="330"/>
        <v>1</v>
      </c>
      <c r="AG642" s="147" t="str">
        <f t="shared" si="331"/>
        <v>0</v>
      </c>
      <c r="AH642" s="147" t="str">
        <f t="shared" si="323"/>
        <v>NO</v>
      </c>
      <c r="AI642" s="147" t="str">
        <f t="shared" si="324"/>
        <v>NO</v>
      </c>
      <c r="AJ642" s="147" t="str">
        <f t="shared" si="325"/>
        <v>NO</v>
      </c>
      <c r="AK642" s="147" t="str">
        <f t="shared" si="326"/>
        <v>NO</v>
      </c>
      <c r="AL642" s="21"/>
      <c r="AM642" s="21">
        <f t="shared" si="343"/>
        <v>8183.0999999999985</v>
      </c>
      <c r="AN642" s="27"/>
      <c r="AO642" s="21">
        <v>1</v>
      </c>
      <c r="AP642" s="21">
        <f t="shared" si="344"/>
        <v>1</v>
      </c>
      <c r="AQ642" s="149">
        <f t="shared" si="347"/>
        <v>8183.0999999999985</v>
      </c>
      <c r="AR642" s="21">
        <v>8183.0999999999985</v>
      </c>
      <c r="AS642" s="610">
        <v>8183.0999999999985</v>
      </c>
      <c r="AT642" s="112">
        <v>8183.0999999999985</v>
      </c>
      <c r="AU642" s="4"/>
      <c r="AV642" s="4"/>
      <c r="AW642" s="23" t="e">
        <f>VLOOKUP(K642,#REF!,8,FALSE)</f>
        <v>#REF!</v>
      </c>
      <c r="AX642" s="23" t="e">
        <f>VLOOKUP(K642,#REF!,8,FALSE)</f>
        <v>#REF!</v>
      </c>
      <c r="AY642" s="23" t="e">
        <f>VLOOKUP(K642,#REF!,8,FALSE)</f>
        <v>#REF!</v>
      </c>
      <c r="AZ642" s="4"/>
      <c r="BA642" s="272"/>
      <c r="BB642" s="313">
        <f t="shared" si="348"/>
        <v>0</v>
      </c>
      <c r="BC642" s="269">
        <f t="shared" si="349"/>
        <v>8183.0999999999985</v>
      </c>
      <c r="BD642" t="str">
        <f>BG642&amp;BH642&amp;BI642</f>
        <v/>
      </c>
      <c r="BP642" s="166">
        <f t="shared" si="346"/>
        <v>8183.0999999999985</v>
      </c>
      <c r="BS642" s="165"/>
      <c r="BX642" s="495">
        <f t="shared" si="350"/>
        <v>8183.0999999999985</v>
      </c>
      <c r="BZ642" s="636">
        <f t="shared" si="317"/>
        <v>0</v>
      </c>
      <c r="CA642" s="633">
        <f t="shared" si="318"/>
        <v>0</v>
      </c>
    </row>
    <row r="643" spans="1:79" x14ac:dyDescent="0.2">
      <c r="A643" s="4">
        <v>1</v>
      </c>
      <c r="B643" s="4">
        <v>1</v>
      </c>
      <c r="C643" s="5">
        <f t="shared" si="319"/>
        <v>41135</v>
      </c>
      <c r="D643" s="6">
        <v>41135</v>
      </c>
      <c r="E643" s="121">
        <v>43012</v>
      </c>
      <c r="F643" s="6" t="s">
        <v>1876</v>
      </c>
      <c r="G643" s="7" t="s">
        <v>75</v>
      </c>
      <c r="H643" s="7"/>
      <c r="I643" s="7" t="s">
        <v>32</v>
      </c>
      <c r="J643" s="7"/>
      <c r="K643" s="29">
        <v>438489</v>
      </c>
      <c r="L643" s="10" t="s">
        <v>1382</v>
      </c>
      <c r="M643" s="10" t="s">
        <v>1391</v>
      </c>
      <c r="N643" s="10" t="s">
        <v>1392</v>
      </c>
      <c r="O643" s="11" t="s">
        <v>1393</v>
      </c>
      <c r="P643" s="12">
        <v>42795</v>
      </c>
      <c r="Q643" s="13">
        <f t="shared" ca="1" si="320"/>
        <v>8.5612594113620801</v>
      </c>
      <c r="R643" s="14">
        <v>1</v>
      </c>
      <c r="S643" s="15">
        <v>872</v>
      </c>
      <c r="T643" s="8">
        <v>872</v>
      </c>
      <c r="U643" s="16">
        <v>45017</v>
      </c>
      <c r="V643" s="17">
        <v>1</v>
      </c>
      <c r="W643" s="16">
        <v>45382</v>
      </c>
      <c r="X643" s="14">
        <v>192</v>
      </c>
      <c r="Y643" s="18">
        <f t="shared" si="341"/>
        <v>192</v>
      </c>
      <c r="Z643" s="18">
        <f t="shared" si="345"/>
        <v>1</v>
      </c>
      <c r="AA643" s="18" t="s">
        <v>36</v>
      </c>
      <c r="AB643" s="26">
        <v>30</v>
      </c>
      <c r="AC643" s="26"/>
      <c r="AD643" s="26"/>
      <c r="AE643" s="147" t="str">
        <f t="shared" si="329"/>
        <v>0</v>
      </c>
      <c r="AF643" s="147" t="str">
        <f t="shared" si="330"/>
        <v>1</v>
      </c>
      <c r="AG643" s="147" t="str">
        <f t="shared" si="331"/>
        <v>0</v>
      </c>
      <c r="AH643" s="147" t="str">
        <f t="shared" si="323"/>
        <v>NO</v>
      </c>
      <c r="AI643" s="147" t="str">
        <f t="shared" si="324"/>
        <v>NO</v>
      </c>
      <c r="AJ643" s="147" t="str">
        <f t="shared" si="325"/>
        <v>NO</v>
      </c>
      <c r="AK643" s="147" t="str">
        <f t="shared" si="326"/>
        <v>NO</v>
      </c>
      <c r="AL643" s="21"/>
      <c r="AM643" s="21">
        <f t="shared" si="343"/>
        <v>8183.0999999999985</v>
      </c>
      <c r="AN643" s="27"/>
      <c r="AO643" s="21">
        <v>1</v>
      </c>
      <c r="AP643" s="21">
        <f t="shared" si="344"/>
        <v>1</v>
      </c>
      <c r="AQ643" s="149">
        <f t="shared" si="347"/>
        <v>8183.0999999999985</v>
      </c>
      <c r="AR643" s="21">
        <v>8183.0999999999985</v>
      </c>
      <c r="AS643" s="610">
        <v>8183.0999999999985</v>
      </c>
      <c r="AT643" s="112">
        <v>8183.0999999999985</v>
      </c>
      <c r="AU643" s="4"/>
      <c r="AV643" s="4"/>
      <c r="AW643" s="23" t="e">
        <f>VLOOKUP(K643,#REF!,8,FALSE)</f>
        <v>#REF!</v>
      </c>
      <c r="AX643" s="23" t="e">
        <f>VLOOKUP(K643,#REF!,8,FALSE)</f>
        <v>#REF!</v>
      </c>
      <c r="AY643" s="23" t="e">
        <f>VLOOKUP(K643,#REF!,8,FALSE)</f>
        <v>#REF!</v>
      </c>
      <c r="AZ643" s="4"/>
      <c r="BA643" s="272"/>
      <c r="BB643" s="313">
        <f t="shared" si="348"/>
        <v>0</v>
      </c>
      <c r="BC643" s="269">
        <f t="shared" si="349"/>
        <v>8183.0999999999985</v>
      </c>
      <c r="BD643" t="str">
        <f>BG643&amp;BH643&amp;BI643</f>
        <v/>
      </c>
      <c r="BP643" s="166">
        <f t="shared" si="346"/>
        <v>8183.0999999999985</v>
      </c>
      <c r="BS643" s="165"/>
      <c r="BX643" s="495">
        <f t="shared" si="350"/>
        <v>8183.0999999999985</v>
      </c>
      <c r="BZ643" s="636">
        <f t="shared" ref="BZ643:BZ706" si="351">BX643-BP643</f>
        <v>0</v>
      </c>
      <c r="CA643" s="633">
        <f t="shared" ref="CA643:CA706" si="352">BX643-AS643</f>
        <v>0</v>
      </c>
    </row>
    <row r="644" spans="1:79" x14ac:dyDescent="0.2">
      <c r="A644" s="4">
        <v>1</v>
      </c>
      <c r="B644" s="4">
        <v>1</v>
      </c>
      <c r="C644" s="5">
        <f t="shared" si="319"/>
        <v>41135</v>
      </c>
      <c r="D644" s="6">
        <v>41135</v>
      </c>
      <c r="E644" s="121">
        <v>43012</v>
      </c>
      <c r="F644" s="6" t="s">
        <v>1876</v>
      </c>
      <c r="G644" s="7" t="s">
        <v>75</v>
      </c>
      <c r="H644" s="7"/>
      <c r="I644" s="7" t="s">
        <v>32</v>
      </c>
      <c r="J644" s="7"/>
      <c r="K644" s="29">
        <v>428576</v>
      </c>
      <c r="L644" s="10" t="s">
        <v>1382</v>
      </c>
      <c r="M644" s="10" t="s">
        <v>1394</v>
      </c>
      <c r="N644" s="10" t="s">
        <v>1395</v>
      </c>
      <c r="O644" s="11" t="s">
        <v>1396</v>
      </c>
      <c r="P644" s="12">
        <v>42295</v>
      </c>
      <c r="Q644" s="13">
        <f t="shared" ca="1" si="320"/>
        <v>9.9301848049281318</v>
      </c>
      <c r="R644" s="14">
        <v>2</v>
      </c>
      <c r="S644" s="15">
        <v>872</v>
      </c>
      <c r="T644" s="8">
        <v>872</v>
      </c>
      <c r="U644" s="16">
        <v>45017</v>
      </c>
      <c r="V644" s="17">
        <v>1</v>
      </c>
      <c r="W644" s="16">
        <v>45128</v>
      </c>
      <c r="X644" s="14">
        <v>63</v>
      </c>
      <c r="Y644" s="18">
        <f t="shared" si="341"/>
        <v>63</v>
      </c>
      <c r="Z644" s="18">
        <f t="shared" si="345"/>
        <v>0.328125</v>
      </c>
      <c r="AA644" s="16" t="s">
        <v>405</v>
      </c>
      <c r="AB644" s="26">
        <v>30</v>
      </c>
      <c r="AC644" s="26"/>
      <c r="AD644" s="26"/>
      <c r="AE644" s="147" t="str">
        <f t="shared" si="329"/>
        <v>0</v>
      </c>
      <c r="AF644" s="147" t="str">
        <f t="shared" si="330"/>
        <v>1</v>
      </c>
      <c r="AG644" s="147" t="str">
        <f t="shared" si="331"/>
        <v>0</v>
      </c>
      <c r="AH644" s="147" t="str">
        <f t="shared" si="323"/>
        <v>NO</v>
      </c>
      <c r="AI644" s="147" t="str">
        <f t="shared" si="324"/>
        <v>NO</v>
      </c>
      <c r="AJ644" s="147" t="str">
        <f t="shared" si="325"/>
        <v>NO</v>
      </c>
      <c r="AK644" s="147" t="str">
        <f t="shared" si="326"/>
        <v>NO</v>
      </c>
      <c r="AL644" s="21"/>
      <c r="AM644" s="21">
        <f t="shared" si="343"/>
        <v>8183.0999999999985</v>
      </c>
      <c r="AN644" s="27" t="s">
        <v>37</v>
      </c>
      <c r="AO644" s="21">
        <v>1</v>
      </c>
      <c r="AP644" s="21">
        <f t="shared" si="344"/>
        <v>0.328125</v>
      </c>
      <c r="AQ644" s="149">
        <f t="shared" si="347"/>
        <v>2685.0796874999996</v>
      </c>
      <c r="AR644" s="21">
        <v>2685.0796874999996</v>
      </c>
      <c r="AS644" s="610">
        <v>2685.0796874999996</v>
      </c>
      <c r="AT644" s="112">
        <v>2685.0796874999996</v>
      </c>
      <c r="AU644" s="4"/>
      <c r="AV644" s="4"/>
      <c r="AW644" s="23" t="e">
        <f>VLOOKUP(K644,#REF!,8,FALSE)</f>
        <v>#REF!</v>
      </c>
      <c r="AX644" s="23" t="e">
        <f>VLOOKUP(K644,#REF!,8,FALSE)</f>
        <v>#REF!</v>
      </c>
      <c r="AY644" s="23" t="e">
        <f>VLOOKUP(K644,#REF!,8,FALSE)</f>
        <v>#REF!</v>
      </c>
      <c r="AZ644" s="4"/>
      <c r="BA644" s="272"/>
      <c r="BB644" s="313">
        <f t="shared" si="348"/>
        <v>0</v>
      </c>
      <c r="BC644" s="269">
        <f t="shared" si="349"/>
        <v>2685.0796874999996</v>
      </c>
      <c r="BD644" s="110" t="s">
        <v>2405</v>
      </c>
      <c r="BJ644">
        <f>AB644</f>
        <v>30</v>
      </c>
      <c r="BK644" s="269">
        <f>AM644</f>
        <v>8183.0999999999985</v>
      </c>
      <c r="BO644" s="106">
        <f>BK644/192*127</f>
        <v>5412.7796874999985</v>
      </c>
      <c r="BP644" s="166">
        <f t="shared" si="346"/>
        <v>8097.8593749999982</v>
      </c>
      <c r="BS644" s="165" t="s">
        <v>1495</v>
      </c>
      <c r="BT644" t="s">
        <v>1495</v>
      </c>
      <c r="BX644" s="495">
        <f t="shared" si="350"/>
        <v>8097.8593749999982</v>
      </c>
      <c r="BZ644" s="636">
        <f t="shared" si="351"/>
        <v>0</v>
      </c>
      <c r="CA644" s="633">
        <f t="shared" si="352"/>
        <v>5412.7796874999985</v>
      </c>
    </row>
    <row r="645" spans="1:79" x14ac:dyDescent="0.2">
      <c r="A645" s="4">
        <v>1</v>
      </c>
      <c r="B645" s="4">
        <v>1</v>
      </c>
      <c r="C645" s="5">
        <f t="shared" ref="C645:C708" si="353">D645*1</f>
        <v>41135</v>
      </c>
      <c r="D645" s="6">
        <v>41135</v>
      </c>
      <c r="E645" s="121">
        <v>43012</v>
      </c>
      <c r="F645" s="6" t="s">
        <v>1876</v>
      </c>
      <c r="G645" s="7" t="s">
        <v>75</v>
      </c>
      <c r="H645" s="7"/>
      <c r="I645" s="7" t="s">
        <v>32</v>
      </c>
      <c r="J645" s="7"/>
      <c r="K645" s="29">
        <v>429041</v>
      </c>
      <c r="L645" s="10" t="s">
        <v>1382</v>
      </c>
      <c r="M645" s="10" t="s">
        <v>341</v>
      </c>
      <c r="N645" s="10" t="s">
        <v>1397</v>
      </c>
      <c r="O645" s="11" t="s">
        <v>1398</v>
      </c>
      <c r="P645" s="12">
        <v>42495</v>
      </c>
      <c r="Q645" s="13">
        <f t="shared" ca="1" si="320"/>
        <v>9.3826146475017111</v>
      </c>
      <c r="R645" s="14">
        <v>2</v>
      </c>
      <c r="S645" s="15">
        <v>872</v>
      </c>
      <c r="T645" s="8">
        <v>872</v>
      </c>
      <c r="U645" s="16">
        <v>45017</v>
      </c>
      <c r="V645" s="17">
        <v>1</v>
      </c>
      <c r="W645" s="16">
        <v>45128</v>
      </c>
      <c r="X645" s="14">
        <v>63</v>
      </c>
      <c r="Y645" s="18">
        <f t="shared" si="341"/>
        <v>63</v>
      </c>
      <c r="Z645" s="18">
        <f t="shared" si="345"/>
        <v>0.328125</v>
      </c>
      <c r="AA645" s="16" t="s">
        <v>405</v>
      </c>
      <c r="AB645" s="26">
        <v>30</v>
      </c>
      <c r="AC645" s="26"/>
      <c r="AD645" s="26"/>
      <c r="AE645" s="147" t="str">
        <f t="shared" si="329"/>
        <v>0</v>
      </c>
      <c r="AF645" s="147" t="str">
        <f t="shared" si="330"/>
        <v>1</v>
      </c>
      <c r="AG645" s="147" t="str">
        <f t="shared" si="331"/>
        <v>0</v>
      </c>
      <c r="AH645" s="147" t="str">
        <f t="shared" si="323"/>
        <v>NO</v>
      </c>
      <c r="AI645" s="147" t="str">
        <f t="shared" si="324"/>
        <v>NO</v>
      </c>
      <c r="AJ645" s="147" t="str">
        <f t="shared" si="325"/>
        <v>NO</v>
      </c>
      <c r="AK645" s="147" t="str">
        <f t="shared" si="326"/>
        <v>NO</v>
      </c>
      <c r="AL645" s="21"/>
      <c r="AM645" s="21">
        <f t="shared" si="343"/>
        <v>8183.0999999999985</v>
      </c>
      <c r="AN645" s="27"/>
      <c r="AO645" s="21">
        <v>1</v>
      </c>
      <c r="AP645" s="21">
        <f t="shared" si="344"/>
        <v>0.328125</v>
      </c>
      <c r="AQ645" s="149">
        <f t="shared" si="347"/>
        <v>2685.0796874999996</v>
      </c>
      <c r="AR645" s="21">
        <v>2685.0796874999996</v>
      </c>
      <c r="AS645" s="610">
        <v>2685.0796874999996</v>
      </c>
      <c r="AT645" s="112">
        <v>2685.0796874999996</v>
      </c>
      <c r="AU645" s="4"/>
      <c r="AV645" s="4"/>
      <c r="AW645" s="23" t="s">
        <v>2229</v>
      </c>
      <c r="AX645" s="23" t="e">
        <f>VLOOKUP(K645,#REF!,8,FALSE)</f>
        <v>#REF!</v>
      </c>
      <c r="AY645" s="23" t="e">
        <f>VLOOKUP(K645,#REF!,8,FALSE)</f>
        <v>#REF!</v>
      </c>
      <c r="AZ645" s="4"/>
      <c r="BA645" s="272"/>
      <c r="BB645" s="313">
        <f t="shared" si="348"/>
        <v>0</v>
      </c>
      <c r="BC645" s="269">
        <f t="shared" si="349"/>
        <v>2685.0796874999996</v>
      </c>
      <c r="BD645" t="e">
        <f>BG645&amp;BH645&amp;BI645</f>
        <v>#REF!</v>
      </c>
      <c r="BE645" t="s">
        <v>2397</v>
      </c>
      <c r="BF645">
        <v>43011</v>
      </c>
      <c r="BG645" t="e">
        <f>VLOOKUP(K645,#REF!,9,FALSE)</f>
        <v>#REF!</v>
      </c>
      <c r="BJ645">
        <f>AB645</f>
        <v>30</v>
      </c>
      <c r="BK645" s="269">
        <f>AM645</f>
        <v>8183.0999999999985</v>
      </c>
      <c r="BL645" s="108" t="s">
        <v>75</v>
      </c>
      <c r="BO645" s="106">
        <f>BK645/192*127</f>
        <v>5412.7796874999985</v>
      </c>
      <c r="BP645" s="166">
        <f t="shared" si="346"/>
        <v>8097.8593749999982</v>
      </c>
      <c r="BS645" s="165"/>
      <c r="BX645" s="495">
        <f t="shared" si="350"/>
        <v>8097.8593749999982</v>
      </c>
      <c r="BZ645" s="636">
        <f t="shared" si="351"/>
        <v>0</v>
      </c>
      <c r="CA645" s="633">
        <f t="shared" si="352"/>
        <v>5412.7796874999985</v>
      </c>
    </row>
    <row r="646" spans="1:79" x14ac:dyDescent="0.2">
      <c r="A646" s="4">
        <v>0</v>
      </c>
      <c r="B646" s="4">
        <v>1</v>
      </c>
      <c r="C646" s="5">
        <f t="shared" si="353"/>
        <v>41135</v>
      </c>
      <c r="D646" s="6">
        <v>41135</v>
      </c>
      <c r="E646" s="121">
        <v>43012</v>
      </c>
      <c r="F646" s="6" t="s">
        <v>1876</v>
      </c>
      <c r="G646" s="7" t="s">
        <v>75</v>
      </c>
      <c r="H646" s="7"/>
      <c r="I646" s="7" t="s">
        <v>32</v>
      </c>
      <c r="J646" s="7"/>
      <c r="K646" s="29">
        <v>444271</v>
      </c>
      <c r="L646" s="10" t="s">
        <v>1382</v>
      </c>
      <c r="M646" s="10" t="s">
        <v>2413</v>
      </c>
      <c r="N646" s="10" t="s">
        <v>177</v>
      </c>
      <c r="O646" s="11" t="s">
        <v>2414</v>
      </c>
      <c r="P646" s="12">
        <v>43365</v>
      </c>
      <c r="Q646" s="13">
        <f t="shared" ca="1" si="320"/>
        <v>7.0006844626967828</v>
      </c>
      <c r="R646" s="14">
        <v>0</v>
      </c>
      <c r="S646" s="15">
        <v>872</v>
      </c>
      <c r="T646" s="8">
        <v>872</v>
      </c>
      <c r="U646" s="16">
        <v>45170</v>
      </c>
      <c r="V646" s="17">
        <v>65</v>
      </c>
      <c r="W646" s="16">
        <v>45382</v>
      </c>
      <c r="X646" s="14">
        <v>192</v>
      </c>
      <c r="Y646" s="18">
        <f t="shared" si="341"/>
        <v>128</v>
      </c>
      <c r="Z646" s="18">
        <f t="shared" si="345"/>
        <v>0.66666666666666663</v>
      </c>
      <c r="AA646" s="16"/>
      <c r="AB646" s="357">
        <v>12142.75</v>
      </c>
      <c r="AC646" s="26"/>
      <c r="AD646" s="26"/>
      <c r="AE646" s="147" t="str">
        <f t="shared" si="329"/>
        <v>0</v>
      </c>
      <c r="AF646" s="147" t="str">
        <f t="shared" si="330"/>
        <v>0</v>
      </c>
      <c r="AG646" s="147" t="str">
        <f t="shared" si="331"/>
        <v>1</v>
      </c>
      <c r="AH646" s="147" t="str">
        <f t="shared" si="323"/>
        <v>NO</v>
      </c>
      <c r="AI646" s="147" t="str">
        <f t="shared" si="324"/>
        <v>NO</v>
      </c>
      <c r="AJ646" s="147" t="str">
        <f t="shared" si="325"/>
        <v>NO</v>
      </c>
      <c r="AK646" s="147" t="str">
        <f t="shared" si="326"/>
        <v>NO</v>
      </c>
      <c r="AL646" s="21"/>
      <c r="AM646" s="21">
        <f>AB646</f>
        <v>12142.75</v>
      </c>
      <c r="AN646" s="27"/>
      <c r="AO646" s="21">
        <v>1</v>
      </c>
      <c r="AP646" s="21">
        <f t="shared" si="344"/>
        <v>0.66666666666666663</v>
      </c>
      <c r="AQ646" s="149">
        <f t="shared" si="347"/>
        <v>8095.1666666666661</v>
      </c>
      <c r="AR646" s="21">
        <v>8095.1666666666661</v>
      </c>
      <c r="AS646" s="610">
        <v>0</v>
      </c>
      <c r="AT646" s="112"/>
      <c r="AU646" s="4"/>
      <c r="AV646" s="4"/>
      <c r="AW646" s="23"/>
      <c r="AX646" s="23"/>
      <c r="AY646" s="23"/>
      <c r="AZ646" s="4"/>
      <c r="BA646" s="272"/>
      <c r="BB646" s="313">
        <f t="shared" si="348"/>
        <v>8095.1666666666661</v>
      </c>
      <c r="BC646" s="269">
        <f t="shared" si="349"/>
        <v>8095.1666666666661</v>
      </c>
      <c r="BD646" t="s">
        <v>2427</v>
      </c>
      <c r="BK646" s="269"/>
      <c r="BO646" s="106"/>
      <c r="BP646" s="166">
        <f t="shared" si="346"/>
        <v>8095.1666666666661</v>
      </c>
      <c r="BS646" s="165" t="s">
        <v>2428</v>
      </c>
      <c r="BX646" s="495">
        <f t="shared" si="350"/>
        <v>8095.1666666666661</v>
      </c>
      <c r="BZ646" s="636">
        <f t="shared" si="351"/>
        <v>0</v>
      </c>
      <c r="CA646" s="633">
        <f t="shared" si="352"/>
        <v>8095.1666666666661</v>
      </c>
    </row>
    <row r="647" spans="1:79" x14ac:dyDescent="0.2">
      <c r="A647" s="4">
        <v>1</v>
      </c>
      <c r="B647" s="4">
        <v>1</v>
      </c>
      <c r="C647" s="5">
        <f t="shared" si="353"/>
        <v>41135</v>
      </c>
      <c r="D647" s="6">
        <v>41135</v>
      </c>
      <c r="E647" s="121">
        <v>43012</v>
      </c>
      <c r="F647" s="6" t="s">
        <v>1876</v>
      </c>
      <c r="G647" s="7" t="s">
        <v>75</v>
      </c>
      <c r="H647" s="7"/>
      <c r="I647" s="7" t="s">
        <v>32</v>
      </c>
      <c r="J647" s="7"/>
      <c r="K647" s="29">
        <v>430383</v>
      </c>
      <c r="L647" s="10" t="s">
        <v>1382</v>
      </c>
      <c r="M647" s="10" t="s">
        <v>518</v>
      </c>
      <c r="N647" s="10" t="s">
        <v>1399</v>
      </c>
      <c r="O647" s="11" t="s">
        <v>1400</v>
      </c>
      <c r="P647" s="12">
        <v>42446</v>
      </c>
      <c r="Q647" s="13">
        <f t="shared" ca="1" si="320"/>
        <v>9.5167693360711834</v>
      </c>
      <c r="R647" s="14">
        <v>2</v>
      </c>
      <c r="S647" s="15">
        <v>872</v>
      </c>
      <c r="T647" s="8">
        <v>872</v>
      </c>
      <c r="U647" s="16">
        <v>45017</v>
      </c>
      <c r="V647" s="17">
        <v>1</v>
      </c>
      <c r="W647" s="16">
        <v>45128</v>
      </c>
      <c r="X647" s="14">
        <v>63</v>
      </c>
      <c r="Y647" s="18">
        <f t="shared" si="341"/>
        <v>63</v>
      </c>
      <c r="Z647" s="18">
        <f t="shared" si="345"/>
        <v>0.328125</v>
      </c>
      <c r="AA647" s="16" t="s">
        <v>405</v>
      </c>
      <c r="AB647" s="26">
        <v>28</v>
      </c>
      <c r="AC647" s="26"/>
      <c r="AD647" s="26"/>
      <c r="AE647" s="147" t="str">
        <f t="shared" si="329"/>
        <v>0</v>
      </c>
      <c r="AF647" s="147" t="str">
        <f t="shared" si="330"/>
        <v>1</v>
      </c>
      <c r="AG647" s="147" t="str">
        <f t="shared" si="331"/>
        <v>0</v>
      </c>
      <c r="AH647" s="147" t="str">
        <f t="shared" si="323"/>
        <v>NO</v>
      </c>
      <c r="AI647" s="147" t="str">
        <f t="shared" si="324"/>
        <v>NO</v>
      </c>
      <c r="AJ647" s="147" t="str">
        <f t="shared" si="325"/>
        <v>NO</v>
      </c>
      <c r="AK647" s="147" t="str">
        <f t="shared" si="326"/>
        <v>NO</v>
      </c>
      <c r="AL647" s="21"/>
      <c r="AM647" s="21">
        <f t="shared" ref="AM647:AM659" si="354">IF(H647="Y",AL647,((AB647*$O$902)-6000))</f>
        <v>7237.5599999999995</v>
      </c>
      <c r="AN647" s="27"/>
      <c r="AO647" s="21">
        <v>1</v>
      </c>
      <c r="AP647" s="21">
        <f t="shared" si="344"/>
        <v>0.328125</v>
      </c>
      <c r="AQ647" s="149">
        <f t="shared" si="347"/>
        <v>2374.8243749999997</v>
      </c>
      <c r="AR647" s="21">
        <v>2374.8243749999997</v>
      </c>
      <c r="AS647" s="610">
        <v>2374.8243749999997</v>
      </c>
      <c r="AT647" s="112">
        <v>2374.8243749999997</v>
      </c>
      <c r="AU647" s="4"/>
      <c r="AV647" s="4"/>
      <c r="AW647" s="23" t="s">
        <v>2229</v>
      </c>
      <c r="AX647" s="23" t="e">
        <f>VLOOKUP(K647,#REF!,8,FALSE)</f>
        <v>#REF!</v>
      </c>
      <c r="AY647" s="23" t="e">
        <f>VLOOKUP(K647,#REF!,8,FALSE)</f>
        <v>#REF!</v>
      </c>
      <c r="AZ647" s="4"/>
      <c r="BA647" s="272"/>
      <c r="BB647" s="313">
        <f t="shared" si="348"/>
        <v>0</v>
      </c>
      <c r="BC647" s="269">
        <f t="shared" si="349"/>
        <v>2374.8243749999997</v>
      </c>
      <c r="BD647" t="e">
        <f>BG647&amp;BH647&amp;BI647</f>
        <v>#REF!</v>
      </c>
      <c r="BE647" t="s">
        <v>2397</v>
      </c>
      <c r="BF647">
        <v>43011</v>
      </c>
      <c r="BG647" t="e">
        <f>VLOOKUP(K647,#REF!,9,FALSE)</f>
        <v>#REF!</v>
      </c>
      <c r="BJ647">
        <f>AB647</f>
        <v>28</v>
      </c>
      <c r="BK647" s="269">
        <f>AM647</f>
        <v>7237.5599999999995</v>
      </c>
      <c r="BL647" s="108" t="s">
        <v>75</v>
      </c>
      <c r="BO647" s="106">
        <f>BK647/192*127</f>
        <v>4787.3443749999997</v>
      </c>
      <c r="BP647" s="166">
        <f t="shared" si="346"/>
        <v>7162.1687499999989</v>
      </c>
      <c r="BS647" s="165"/>
      <c r="BX647" s="495">
        <f t="shared" si="350"/>
        <v>7162.1687499999989</v>
      </c>
      <c r="BZ647" s="636">
        <f t="shared" si="351"/>
        <v>0</v>
      </c>
      <c r="CA647" s="633">
        <f t="shared" si="352"/>
        <v>4787.3443749999988</v>
      </c>
    </row>
    <row r="648" spans="1:79" x14ac:dyDescent="0.2">
      <c r="A648" s="4">
        <v>1</v>
      </c>
      <c r="B648" s="4">
        <v>1</v>
      </c>
      <c r="C648" s="5">
        <f t="shared" si="353"/>
        <v>41135</v>
      </c>
      <c r="D648" s="6">
        <v>41135</v>
      </c>
      <c r="E648" s="121">
        <v>43012</v>
      </c>
      <c r="F648" s="6" t="s">
        <v>1876</v>
      </c>
      <c r="G648" s="7" t="s">
        <v>75</v>
      </c>
      <c r="H648" s="7"/>
      <c r="I648" s="7" t="s">
        <v>32</v>
      </c>
      <c r="J648" s="7"/>
      <c r="K648" s="29">
        <v>434519</v>
      </c>
      <c r="L648" s="10" t="s">
        <v>1382</v>
      </c>
      <c r="M648" s="10" t="s">
        <v>938</v>
      </c>
      <c r="N648" s="10" t="s">
        <v>1401</v>
      </c>
      <c r="O648" s="11" t="s">
        <v>1402</v>
      </c>
      <c r="P648" s="12">
        <v>42842</v>
      </c>
      <c r="Q648" s="13">
        <f t="shared" ca="1" si="320"/>
        <v>8.4325804243668721</v>
      </c>
      <c r="R648" s="14">
        <v>1</v>
      </c>
      <c r="S648" s="15">
        <v>872</v>
      </c>
      <c r="T648" s="8">
        <v>872</v>
      </c>
      <c r="U648" s="16">
        <v>45017</v>
      </c>
      <c r="V648" s="17">
        <v>1</v>
      </c>
      <c r="W648" s="16">
        <v>45382</v>
      </c>
      <c r="X648" s="14">
        <v>192</v>
      </c>
      <c r="Y648" s="18">
        <f t="shared" si="341"/>
        <v>192</v>
      </c>
      <c r="Z648" s="18">
        <f t="shared" si="345"/>
        <v>1</v>
      </c>
      <c r="AA648" s="18" t="s">
        <v>36</v>
      </c>
      <c r="AB648" s="26">
        <v>25</v>
      </c>
      <c r="AC648" s="26"/>
      <c r="AD648" s="26"/>
      <c r="AE648" s="147" t="str">
        <f t="shared" si="329"/>
        <v>1</v>
      </c>
      <c r="AF648" s="147" t="str">
        <f t="shared" si="330"/>
        <v>0</v>
      </c>
      <c r="AG648" s="147" t="str">
        <f t="shared" si="331"/>
        <v>0</v>
      </c>
      <c r="AH648" s="147" t="str">
        <f t="shared" si="323"/>
        <v>NO</v>
      </c>
      <c r="AI648" s="147" t="str">
        <f t="shared" si="324"/>
        <v>NO</v>
      </c>
      <c r="AJ648" s="147" t="str">
        <f t="shared" si="325"/>
        <v>NO</v>
      </c>
      <c r="AK648" s="147" t="str">
        <f t="shared" si="326"/>
        <v>NO</v>
      </c>
      <c r="AL648" s="21"/>
      <c r="AM648" s="21">
        <f t="shared" si="354"/>
        <v>5819.25</v>
      </c>
      <c r="AN648" s="27"/>
      <c r="AO648" s="21">
        <v>1</v>
      </c>
      <c r="AP648" s="21">
        <f t="shared" si="344"/>
        <v>1</v>
      </c>
      <c r="AQ648" s="149">
        <f t="shared" si="347"/>
        <v>5819.25</v>
      </c>
      <c r="AR648" s="21">
        <v>5819.25</v>
      </c>
      <c r="AS648" s="610">
        <v>5819.25</v>
      </c>
      <c r="AT648" s="112">
        <v>5819.25</v>
      </c>
      <c r="AU648" s="4"/>
      <c r="AV648" s="4"/>
      <c r="AW648" s="23" t="e">
        <f>VLOOKUP(K648,#REF!,8,FALSE)</f>
        <v>#REF!</v>
      </c>
      <c r="AX648" s="23" t="e">
        <f>VLOOKUP(K648,#REF!,8,FALSE)</f>
        <v>#REF!</v>
      </c>
      <c r="AY648" s="23" t="e">
        <f>VLOOKUP(K648,#REF!,8,FALSE)</f>
        <v>#REF!</v>
      </c>
      <c r="AZ648" s="4"/>
      <c r="BA648" s="272"/>
      <c r="BB648" s="313">
        <f t="shared" si="348"/>
        <v>0</v>
      </c>
      <c r="BC648" s="269">
        <f t="shared" si="349"/>
        <v>5819.25</v>
      </c>
      <c r="BD648" t="str">
        <f>BG648&amp;BH648&amp;BI648</f>
        <v/>
      </c>
      <c r="BP648" s="166">
        <f t="shared" si="346"/>
        <v>5819.25</v>
      </c>
      <c r="BS648" s="165"/>
      <c r="BX648" s="495">
        <f t="shared" si="350"/>
        <v>5819.25</v>
      </c>
      <c r="BZ648" s="636">
        <f t="shared" si="351"/>
        <v>0</v>
      </c>
      <c r="CA648" s="633">
        <f t="shared" si="352"/>
        <v>0</v>
      </c>
    </row>
    <row r="649" spans="1:79" x14ac:dyDescent="0.2">
      <c r="A649" s="4">
        <v>1</v>
      </c>
      <c r="B649" s="4">
        <v>1</v>
      </c>
      <c r="C649" s="5">
        <f t="shared" si="353"/>
        <v>41135</v>
      </c>
      <c r="D649" s="6">
        <v>41135</v>
      </c>
      <c r="E649" s="121">
        <v>43012</v>
      </c>
      <c r="F649" s="6" t="s">
        <v>1876</v>
      </c>
      <c r="G649" s="7" t="s">
        <v>75</v>
      </c>
      <c r="H649" s="37"/>
      <c r="I649" s="7" t="s">
        <v>32</v>
      </c>
      <c r="J649" s="7"/>
      <c r="K649" s="29">
        <v>428575</v>
      </c>
      <c r="L649" s="10" t="s">
        <v>1382</v>
      </c>
      <c r="M649" s="10" t="s">
        <v>1403</v>
      </c>
      <c r="N649" s="10" t="s">
        <v>1404</v>
      </c>
      <c r="O649" s="11" t="s">
        <v>1405</v>
      </c>
      <c r="P649" s="12">
        <v>42377</v>
      </c>
      <c r="Q649" s="13">
        <f t="shared" ref="Q649:Q712" ca="1" si="355">(TODAY()-P649)/365.25</f>
        <v>9.7056810403832987</v>
      </c>
      <c r="R649" s="14">
        <v>2</v>
      </c>
      <c r="S649" s="15">
        <v>872</v>
      </c>
      <c r="T649" s="8">
        <v>872</v>
      </c>
      <c r="U649" s="16">
        <v>45017</v>
      </c>
      <c r="V649" s="17">
        <v>1</v>
      </c>
      <c r="W649" s="16">
        <v>45128</v>
      </c>
      <c r="X649" s="14">
        <v>63</v>
      </c>
      <c r="Y649" s="18">
        <f t="shared" si="341"/>
        <v>63</v>
      </c>
      <c r="Z649" s="18">
        <f t="shared" si="345"/>
        <v>0.328125</v>
      </c>
      <c r="AA649" s="16" t="s">
        <v>405</v>
      </c>
      <c r="AB649" s="26">
        <v>30</v>
      </c>
      <c r="AC649" s="26"/>
      <c r="AD649" s="26"/>
      <c r="AE649" s="147" t="str">
        <f t="shared" si="329"/>
        <v>0</v>
      </c>
      <c r="AF649" s="147" t="str">
        <f t="shared" si="330"/>
        <v>1</v>
      </c>
      <c r="AG649" s="147" t="str">
        <f t="shared" si="331"/>
        <v>0</v>
      </c>
      <c r="AH649" s="147" t="str">
        <f t="shared" si="323"/>
        <v>NO</v>
      </c>
      <c r="AI649" s="147" t="str">
        <f t="shared" si="324"/>
        <v>NO</v>
      </c>
      <c r="AJ649" s="147" t="str">
        <f t="shared" si="325"/>
        <v>NO</v>
      </c>
      <c r="AK649" s="147" t="str">
        <f t="shared" si="326"/>
        <v>NO</v>
      </c>
      <c r="AL649" s="21"/>
      <c r="AM649" s="21">
        <f t="shared" si="354"/>
        <v>8183.0999999999985</v>
      </c>
      <c r="AN649" s="27" t="s">
        <v>56</v>
      </c>
      <c r="AO649" s="21">
        <v>1</v>
      </c>
      <c r="AP649" s="21">
        <f t="shared" si="344"/>
        <v>0.328125</v>
      </c>
      <c r="AQ649" s="149">
        <f t="shared" si="347"/>
        <v>2685.0796874999996</v>
      </c>
      <c r="AR649" s="21">
        <v>2685.0796874999996</v>
      </c>
      <c r="AS649" s="610">
        <v>2685.0796874999996</v>
      </c>
      <c r="AT649" s="112">
        <v>2685.0796874999996</v>
      </c>
      <c r="AU649" s="4"/>
      <c r="AV649" s="4"/>
      <c r="AW649" s="23" t="s">
        <v>2229</v>
      </c>
      <c r="AX649" s="23" t="e">
        <f>VLOOKUP(K649,#REF!,8,FALSE)</f>
        <v>#REF!</v>
      </c>
      <c r="AY649" s="23" t="e">
        <f>VLOOKUP(K649,#REF!,8,FALSE)</f>
        <v>#REF!</v>
      </c>
      <c r="AZ649" s="4"/>
      <c r="BA649" s="272"/>
      <c r="BB649" s="313">
        <f t="shared" si="348"/>
        <v>0</v>
      </c>
      <c r="BC649" s="269">
        <f t="shared" si="349"/>
        <v>2685.0796874999996</v>
      </c>
      <c r="BD649" t="e">
        <f>BG649&amp;BH649&amp;BI649</f>
        <v>#REF!</v>
      </c>
      <c r="BE649" t="s">
        <v>2397</v>
      </c>
      <c r="BF649">
        <v>43011</v>
      </c>
      <c r="BG649" t="e">
        <f>VLOOKUP(K649,#REF!,9,FALSE)</f>
        <v>#REF!</v>
      </c>
      <c r="BJ649">
        <f>AB649</f>
        <v>30</v>
      </c>
      <c r="BK649" s="269">
        <f>AM649</f>
        <v>8183.0999999999985</v>
      </c>
      <c r="BL649" s="108" t="s">
        <v>75</v>
      </c>
      <c r="BO649" s="106">
        <f>BK649/192*127</f>
        <v>5412.7796874999985</v>
      </c>
      <c r="BP649" s="166">
        <f t="shared" si="346"/>
        <v>8097.8593749999982</v>
      </c>
      <c r="BS649" s="165"/>
      <c r="BX649" s="495">
        <f t="shared" si="350"/>
        <v>8097.8593749999982</v>
      </c>
      <c r="BZ649" s="636">
        <f t="shared" si="351"/>
        <v>0</v>
      </c>
      <c r="CA649" s="633">
        <f t="shared" si="352"/>
        <v>5412.7796874999985</v>
      </c>
    </row>
    <row r="650" spans="1:79" x14ac:dyDescent="0.2">
      <c r="A650" s="4">
        <v>1</v>
      </c>
      <c r="B650" s="4">
        <v>1</v>
      </c>
      <c r="C650" s="5">
        <f t="shared" si="353"/>
        <v>41135</v>
      </c>
      <c r="D650" s="6">
        <v>41135</v>
      </c>
      <c r="E650" s="121">
        <v>43012</v>
      </c>
      <c r="F650" s="6" t="s">
        <v>1876</v>
      </c>
      <c r="G650" s="7" t="s">
        <v>75</v>
      </c>
      <c r="H650" s="37"/>
      <c r="I650" s="7" t="s">
        <v>32</v>
      </c>
      <c r="J650" s="7"/>
      <c r="K650" s="29">
        <v>442460</v>
      </c>
      <c r="L650" s="10" t="s">
        <v>1382</v>
      </c>
      <c r="M650" s="10" t="s">
        <v>217</v>
      </c>
      <c r="N650" s="10" t="s">
        <v>245</v>
      </c>
      <c r="O650" s="11" t="s">
        <v>2503</v>
      </c>
      <c r="P650" s="12">
        <v>43159</v>
      </c>
      <c r="Q650" s="13">
        <f t="shared" ca="1" si="355"/>
        <v>7.5646817248459959</v>
      </c>
      <c r="R650" s="14">
        <v>0</v>
      </c>
      <c r="S650" s="15">
        <v>872</v>
      </c>
      <c r="T650" s="8">
        <v>872</v>
      </c>
      <c r="U650" s="16">
        <v>45097</v>
      </c>
      <c r="V650" s="17">
        <v>41</v>
      </c>
      <c r="W650" s="16">
        <v>45382</v>
      </c>
      <c r="X650" s="14">
        <v>192</v>
      </c>
      <c r="Y650" s="18">
        <f t="shared" si="341"/>
        <v>152</v>
      </c>
      <c r="Z650" s="18">
        <f t="shared" si="345"/>
        <v>0.79166666666666663</v>
      </c>
      <c r="AA650" s="16" t="s">
        <v>36</v>
      </c>
      <c r="AB650" s="26">
        <v>28</v>
      </c>
      <c r="AC650" s="26"/>
      <c r="AD650" s="26"/>
      <c r="AE650" s="147" t="str">
        <f t="shared" si="329"/>
        <v>0</v>
      </c>
      <c r="AF650" s="147" t="str">
        <f t="shared" si="330"/>
        <v>1</v>
      </c>
      <c r="AG650" s="147" t="str">
        <f t="shared" si="331"/>
        <v>0</v>
      </c>
      <c r="AH650" s="147" t="str">
        <f t="shared" si="323"/>
        <v>NO</v>
      </c>
      <c r="AI650" s="147" t="str">
        <f t="shared" si="324"/>
        <v>NO</v>
      </c>
      <c r="AJ650" s="147" t="str">
        <f t="shared" si="325"/>
        <v>NO</v>
      </c>
      <c r="AK650" s="147" t="str">
        <f t="shared" si="326"/>
        <v>NO</v>
      </c>
      <c r="AL650" s="21"/>
      <c r="AM650" s="21">
        <f t="shared" si="354"/>
        <v>7237.5599999999995</v>
      </c>
      <c r="AN650" s="27"/>
      <c r="AO650" s="21">
        <v>1</v>
      </c>
      <c r="AP650" s="21">
        <f t="shared" si="344"/>
        <v>0.79166666666666663</v>
      </c>
      <c r="AQ650" s="149">
        <f t="shared" si="347"/>
        <v>5729.7349999999997</v>
      </c>
      <c r="AR650" s="21">
        <v>0</v>
      </c>
      <c r="AS650" s="610">
        <v>0</v>
      </c>
      <c r="AT650" s="112">
        <v>0</v>
      </c>
      <c r="AU650" s="4"/>
      <c r="AV650" s="4"/>
      <c r="AW650" s="23"/>
      <c r="AX650" s="23"/>
      <c r="AY650" s="23"/>
      <c r="AZ650" s="4"/>
      <c r="BA650" s="272"/>
      <c r="BB650" s="313">
        <f t="shared" si="348"/>
        <v>0</v>
      </c>
      <c r="BC650" s="269">
        <f t="shared" si="349"/>
        <v>0</v>
      </c>
      <c r="BK650" s="269"/>
      <c r="BO650" s="106"/>
      <c r="BP650" s="166">
        <v>0</v>
      </c>
      <c r="BS650" s="165"/>
      <c r="BX650" s="495">
        <f t="shared" si="350"/>
        <v>5729.7349999999997</v>
      </c>
      <c r="BZ650" s="636">
        <f t="shared" si="351"/>
        <v>5729.7349999999997</v>
      </c>
      <c r="CA650" s="633">
        <f t="shared" si="352"/>
        <v>5729.7349999999997</v>
      </c>
    </row>
    <row r="651" spans="1:79" s="385" customFormat="1" x14ac:dyDescent="0.2">
      <c r="A651" s="362">
        <v>1</v>
      </c>
      <c r="B651" s="362">
        <v>1</v>
      </c>
      <c r="C651" s="363">
        <f t="shared" si="353"/>
        <v>41135</v>
      </c>
      <c r="D651" s="364">
        <v>41135</v>
      </c>
      <c r="E651" s="365">
        <v>43012</v>
      </c>
      <c r="F651" s="364" t="s">
        <v>1876</v>
      </c>
      <c r="G651" s="366" t="s">
        <v>75</v>
      </c>
      <c r="H651" s="388"/>
      <c r="I651" s="366" t="s">
        <v>32</v>
      </c>
      <c r="J651" s="366"/>
      <c r="K651" s="367">
        <v>449681</v>
      </c>
      <c r="L651" s="389" t="s">
        <v>1382</v>
      </c>
      <c r="M651" s="389" t="s">
        <v>325</v>
      </c>
      <c r="N651" s="389" t="s">
        <v>329</v>
      </c>
      <c r="O651" s="368" t="s">
        <v>1406</v>
      </c>
      <c r="P651" s="369">
        <v>43359</v>
      </c>
      <c r="Q651" s="370">
        <f t="shared" ca="1" si="355"/>
        <v>7.0171115674195752</v>
      </c>
      <c r="R651" s="371">
        <v>1</v>
      </c>
      <c r="S651" s="372">
        <v>872</v>
      </c>
      <c r="T651" s="373">
        <v>872</v>
      </c>
      <c r="U651" s="390">
        <v>45170</v>
      </c>
      <c r="V651" s="375">
        <v>65</v>
      </c>
      <c r="W651" s="374">
        <v>45382</v>
      </c>
      <c r="X651" s="371">
        <v>192</v>
      </c>
      <c r="Y651" s="376">
        <f t="shared" si="341"/>
        <v>128</v>
      </c>
      <c r="Z651" s="376">
        <f t="shared" si="345"/>
        <v>0.66666666666666663</v>
      </c>
      <c r="AA651" s="374" t="s">
        <v>36</v>
      </c>
      <c r="AB651" s="377">
        <v>30</v>
      </c>
      <c r="AC651" s="377"/>
      <c r="AD651" s="377"/>
      <c r="AE651" s="378" t="str">
        <f t="shared" si="329"/>
        <v>0</v>
      </c>
      <c r="AF651" s="378" t="str">
        <f t="shared" si="330"/>
        <v>1</v>
      </c>
      <c r="AG651" s="378" t="str">
        <f t="shared" si="331"/>
        <v>0</v>
      </c>
      <c r="AH651" s="378" t="str">
        <f t="shared" si="323"/>
        <v>NO</v>
      </c>
      <c r="AI651" s="378" t="str">
        <f t="shared" si="324"/>
        <v>NO</v>
      </c>
      <c r="AJ651" s="378" t="str">
        <f t="shared" si="325"/>
        <v>NO</v>
      </c>
      <c r="AK651" s="378" t="str">
        <f t="shared" si="326"/>
        <v>NO</v>
      </c>
      <c r="AL651" s="379"/>
      <c r="AM651" s="379">
        <f t="shared" si="354"/>
        <v>8183.0999999999985</v>
      </c>
      <c r="AN651" s="380"/>
      <c r="AO651" s="379">
        <v>1</v>
      </c>
      <c r="AP651" s="379">
        <f t="shared" si="344"/>
        <v>0.66666666666666663</v>
      </c>
      <c r="AQ651" s="149">
        <f t="shared" si="347"/>
        <v>5455.3999999999987</v>
      </c>
      <c r="AR651" s="379">
        <v>5455.3999999999987</v>
      </c>
      <c r="AS651" s="610">
        <v>0</v>
      </c>
      <c r="AT651" s="381">
        <v>8183.0999999999985</v>
      </c>
      <c r="AU651" s="362"/>
      <c r="AV651" s="362"/>
      <c r="AW651" s="382" t="e">
        <v>#N/A</v>
      </c>
      <c r="AX651" s="382" t="e">
        <v>#N/A</v>
      </c>
      <c r="AY651" s="382" t="e">
        <v>#N/A</v>
      </c>
      <c r="AZ651" s="362"/>
      <c r="BB651" s="383">
        <f t="shared" si="348"/>
        <v>-2727.7</v>
      </c>
      <c r="BC651" s="384">
        <f t="shared" si="349"/>
        <v>5455.3999999999987</v>
      </c>
      <c r="BD651" s="385" t="s">
        <v>2419</v>
      </c>
      <c r="BI651"/>
      <c r="BL651" s="386"/>
      <c r="BM651" s="386"/>
      <c r="BN651" s="386"/>
      <c r="BP651" s="387">
        <f t="shared" ref="BP651:BP670" si="356">BC651+BO651</f>
        <v>5455.3999999999987</v>
      </c>
      <c r="BS651" s="524" t="s">
        <v>2432</v>
      </c>
      <c r="BX651" s="495">
        <f t="shared" si="350"/>
        <v>5455.3999999999987</v>
      </c>
      <c r="BZ651" s="636">
        <f t="shared" si="351"/>
        <v>0</v>
      </c>
      <c r="CA651" s="633">
        <f t="shared" si="352"/>
        <v>5455.3999999999987</v>
      </c>
    </row>
    <row r="652" spans="1:79" x14ac:dyDescent="0.2">
      <c r="A652" s="4">
        <v>1</v>
      </c>
      <c r="B652" s="4">
        <v>1</v>
      </c>
      <c r="C652" s="5">
        <f t="shared" si="353"/>
        <v>41136</v>
      </c>
      <c r="D652" s="6">
        <v>41136</v>
      </c>
      <c r="E652" s="6">
        <v>43011</v>
      </c>
      <c r="F652" s="6" t="s">
        <v>1606</v>
      </c>
      <c r="G652" s="7"/>
      <c r="H652" s="37"/>
      <c r="I652" s="7" t="s">
        <v>32</v>
      </c>
      <c r="J652" s="7"/>
      <c r="K652" s="29">
        <v>413652</v>
      </c>
      <c r="L652" s="10" t="s">
        <v>1407</v>
      </c>
      <c r="M652" s="10" t="s">
        <v>1408</v>
      </c>
      <c r="N652" s="10" t="s">
        <v>1409</v>
      </c>
      <c r="O652" s="11" t="s">
        <v>1410</v>
      </c>
      <c r="P652" s="12">
        <v>41751</v>
      </c>
      <c r="Q652" s="13">
        <f t="shared" ca="1" si="355"/>
        <v>11.419575633127995</v>
      </c>
      <c r="R652" s="14">
        <v>4</v>
      </c>
      <c r="S652" s="15">
        <v>872</v>
      </c>
      <c r="T652" s="8">
        <v>872</v>
      </c>
      <c r="U652" s="16">
        <v>45017</v>
      </c>
      <c r="V652" s="17">
        <v>1</v>
      </c>
      <c r="W652" s="16">
        <v>45382</v>
      </c>
      <c r="X652" s="14">
        <v>192</v>
      </c>
      <c r="Y652" s="18">
        <f t="shared" si="341"/>
        <v>192</v>
      </c>
      <c r="Z652" s="18">
        <f t="shared" si="345"/>
        <v>1</v>
      </c>
      <c r="AA652" s="18" t="s">
        <v>36</v>
      </c>
      <c r="AB652" s="26">
        <v>32</v>
      </c>
      <c r="AC652" s="26"/>
      <c r="AD652" s="26"/>
      <c r="AE652" s="147" t="str">
        <f t="shared" si="329"/>
        <v>0</v>
      </c>
      <c r="AF652" s="147" t="str">
        <f t="shared" si="330"/>
        <v>0</v>
      </c>
      <c r="AG652" s="147" t="str">
        <f t="shared" si="331"/>
        <v>1</v>
      </c>
      <c r="AH652" s="147" t="str">
        <f t="shared" si="323"/>
        <v>NO</v>
      </c>
      <c r="AI652" s="147" t="str">
        <f t="shared" si="324"/>
        <v>NO</v>
      </c>
      <c r="AJ652" s="147" t="str">
        <f t="shared" si="325"/>
        <v>NO</v>
      </c>
      <c r="AK652" s="147" t="str">
        <f t="shared" si="326"/>
        <v>NO</v>
      </c>
      <c r="AL652" s="21"/>
      <c r="AM652" s="21">
        <f t="shared" si="354"/>
        <v>9128.64</v>
      </c>
      <c r="AN652" s="27" t="s">
        <v>56</v>
      </c>
      <c r="AO652" s="21">
        <v>1</v>
      </c>
      <c r="AP652" s="21">
        <f t="shared" si="344"/>
        <v>1</v>
      </c>
      <c r="AQ652" s="149">
        <f t="shared" si="347"/>
        <v>9128.64</v>
      </c>
      <c r="AR652" s="21">
        <v>9128.64</v>
      </c>
      <c r="AS652" s="610">
        <v>9128.64</v>
      </c>
      <c r="AT652" s="112">
        <v>9128.64</v>
      </c>
      <c r="AU652" s="4"/>
      <c r="AV652" s="4"/>
      <c r="AW652" s="23" t="e">
        <f>VLOOKUP(K652,#REF!,8,FALSE)</f>
        <v>#REF!</v>
      </c>
      <c r="AX652" s="23" t="e">
        <f>VLOOKUP(K652,#REF!,8,FALSE)</f>
        <v>#REF!</v>
      </c>
      <c r="AY652" s="23" t="e">
        <f>VLOOKUP(K652,#REF!,8,FALSE)</f>
        <v>#REF!</v>
      </c>
      <c r="AZ652" s="4"/>
      <c r="BA652" s="272"/>
      <c r="BB652" s="318">
        <f t="shared" si="348"/>
        <v>0</v>
      </c>
      <c r="BC652" s="269">
        <f t="shared" si="349"/>
        <v>9128.64</v>
      </c>
      <c r="BD652" t="str">
        <f t="shared" ref="BD652:BD659" si="357">BG652&amp;BH652&amp;BI652</f>
        <v/>
      </c>
      <c r="BP652" s="166">
        <f t="shared" si="356"/>
        <v>9128.64</v>
      </c>
      <c r="BS652" s="165"/>
      <c r="BX652" s="495">
        <f t="shared" si="350"/>
        <v>9128.64</v>
      </c>
      <c r="BZ652" s="636">
        <f t="shared" si="351"/>
        <v>0</v>
      </c>
      <c r="CA652" s="633">
        <f t="shared" si="352"/>
        <v>0</v>
      </c>
    </row>
    <row r="653" spans="1:79" x14ac:dyDescent="0.2">
      <c r="A653" s="4">
        <v>1</v>
      </c>
      <c r="B653" s="4">
        <v>1</v>
      </c>
      <c r="C653" s="5">
        <f t="shared" si="353"/>
        <v>41136</v>
      </c>
      <c r="D653" s="6">
        <v>41136</v>
      </c>
      <c r="E653" s="6">
        <v>43011</v>
      </c>
      <c r="F653" s="6" t="s">
        <v>1606</v>
      </c>
      <c r="G653" s="7"/>
      <c r="H653" s="37"/>
      <c r="I653" s="7" t="s">
        <v>32</v>
      </c>
      <c r="J653" s="7"/>
      <c r="K653" s="29">
        <v>403000</v>
      </c>
      <c r="L653" s="10" t="s">
        <v>1407</v>
      </c>
      <c r="M653" s="10" t="s">
        <v>704</v>
      </c>
      <c r="N653" s="10" t="s">
        <v>1411</v>
      </c>
      <c r="O653" s="11" t="s">
        <v>1412</v>
      </c>
      <c r="P653" s="12">
        <v>40958</v>
      </c>
      <c r="Q653" s="13">
        <f t="shared" ca="1" si="355"/>
        <v>13.59069130732375</v>
      </c>
      <c r="R653" s="14">
        <v>6</v>
      </c>
      <c r="S653" s="15">
        <v>872</v>
      </c>
      <c r="T653" s="8">
        <v>872</v>
      </c>
      <c r="U653" s="16">
        <v>45017</v>
      </c>
      <c r="V653" s="17">
        <v>1</v>
      </c>
      <c r="W653" s="16">
        <v>45128</v>
      </c>
      <c r="X653" s="14">
        <v>63</v>
      </c>
      <c r="Y653" s="18">
        <f t="shared" si="341"/>
        <v>63</v>
      </c>
      <c r="Z653" s="18">
        <f t="shared" si="345"/>
        <v>0.328125</v>
      </c>
      <c r="AA653" s="18" t="s">
        <v>48</v>
      </c>
      <c r="AB653" s="26">
        <v>22</v>
      </c>
      <c r="AC653" s="26"/>
      <c r="AD653" s="26"/>
      <c r="AE653" s="147" t="str">
        <f t="shared" si="329"/>
        <v>1</v>
      </c>
      <c r="AF653" s="147" t="str">
        <f t="shared" si="330"/>
        <v>0</v>
      </c>
      <c r="AG653" s="147" t="str">
        <f t="shared" si="331"/>
        <v>0</v>
      </c>
      <c r="AH653" s="147" t="str">
        <f t="shared" si="323"/>
        <v>NO</v>
      </c>
      <c r="AI653" s="147" t="str">
        <f t="shared" si="324"/>
        <v>NO</v>
      </c>
      <c r="AJ653" s="147" t="str">
        <f t="shared" si="325"/>
        <v>NO</v>
      </c>
      <c r="AK653" s="147" t="str">
        <f t="shared" si="326"/>
        <v>NO</v>
      </c>
      <c r="AL653" s="21"/>
      <c r="AM653" s="21">
        <f t="shared" si="354"/>
        <v>4400.9399999999987</v>
      </c>
      <c r="AN653" s="27" t="s">
        <v>56</v>
      </c>
      <c r="AO653" s="21">
        <v>1</v>
      </c>
      <c r="AP653" s="21">
        <f t="shared" si="344"/>
        <v>0.328125</v>
      </c>
      <c r="AQ653" s="149">
        <f t="shared" si="347"/>
        <v>1444.0584374999996</v>
      </c>
      <c r="AR653" s="21">
        <v>1444.0584374999996</v>
      </c>
      <c r="AS653" s="610">
        <v>1444.0584374999996</v>
      </c>
      <c r="AT653" s="112">
        <v>1444.0584374999996</v>
      </c>
      <c r="AU653" s="4"/>
      <c r="AV653" s="4"/>
      <c r="AW653" s="23" t="e">
        <f>VLOOKUP(K653,#REF!,8,FALSE)</f>
        <v>#REF!</v>
      </c>
      <c r="AX653" s="23" t="s">
        <v>1454</v>
      </c>
      <c r="AY653" s="23" t="e">
        <f>VLOOKUP(K653,#REF!,8,FALSE)</f>
        <v>#REF!</v>
      </c>
      <c r="AZ653" s="4"/>
      <c r="BA653" s="272"/>
      <c r="BB653" s="318">
        <f t="shared" si="348"/>
        <v>0</v>
      </c>
      <c r="BC653" s="269">
        <f t="shared" si="349"/>
        <v>1444.0584374999996</v>
      </c>
      <c r="BD653" t="e">
        <f t="shared" si="357"/>
        <v>#REF!</v>
      </c>
      <c r="BE653" t="s">
        <v>2394</v>
      </c>
      <c r="BF653">
        <v>43012</v>
      </c>
      <c r="BH653" t="e">
        <f>VLOOKUP(K653,#REF!,8,FALSE)</f>
        <v>#REF!</v>
      </c>
      <c r="BJ653">
        <f>AB653</f>
        <v>22</v>
      </c>
      <c r="BK653" s="269">
        <f>AM653</f>
        <v>4400.9399999999987</v>
      </c>
      <c r="BL653" s="353"/>
      <c r="BM653" s="353" t="s">
        <v>75</v>
      </c>
      <c r="BN653" s="353"/>
      <c r="BO653" s="106">
        <f>BK653/192*127</f>
        <v>2911.038437499999</v>
      </c>
      <c r="BP653" s="166">
        <f t="shared" si="356"/>
        <v>4355.0968749999984</v>
      </c>
      <c r="BS653" s="165"/>
      <c r="BX653" s="495">
        <f t="shared" si="350"/>
        <v>4355.0968749999984</v>
      </c>
      <c r="BZ653" s="636">
        <f t="shared" si="351"/>
        <v>0</v>
      </c>
      <c r="CA653" s="633">
        <f t="shared" si="352"/>
        <v>2911.0384374999985</v>
      </c>
    </row>
    <row r="654" spans="1:79" x14ac:dyDescent="0.2">
      <c r="A654" s="4">
        <v>1</v>
      </c>
      <c r="B654" s="4">
        <v>1</v>
      </c>
      <c r="C654" s="5">
        <f t="shared" si="353"/>
        <v>41136</v>
      </c>
      <c r="D654" s="6">
        <v>41136</v>
      </c>
      <c r="E654" s="6">
        <v>43011</v>
      </c>
      <c r="F654" s="6" t="s">
        <v>1606</v>
      </c>
      <c r="G654" s="7"/>
      <c r="H654" s="37"/>
      <c r="I654" s="7" t="s">
        <v>32</v>
      </c>
      <c r="J654" s="7"/>
      <c r="K654" s="29">
        <v>406325</v>
      </c>
      <c r="L654" s="10" t="s">
        <v>1407</v>
      </c>
      <c r="M654" s="10" t="s">
        <v>1413</v>
      </c>
      <c r="N654" s="10" t="s">
        <v>1414</v>
      </c>
      <c r="O654" s="11" t="s">
        <v>1415</v>
      </c>
      <c r="P654" s="12">
        <v>41548</v>
      </c>
      <c r="Q654" s="13">
        <f t="shared" ca="1" si="355"/>
        <v>11.975359342915811</v>
      </c>
      <c r="R654" s="14">
        <v>4</v>
      </c>
      <c r="S654" s="15">
        <v>872</v>
      </c>
      <c r="T654" s="8">
        <v>872</v>
      </c>
      <c r="U654" s="16">
        <v>45017</v>
      </c>
      <c r="V654" s="17">
        <v>1</v>
      </c>
      <c r="W654" s="16">
        <v>45382</v>
      </c>
      <c r="X654" s="14">
        <v>192</v>
      </c>
      <c r="Y654" s="18">
        <f t="shared" si="341"/>
        <v>192</v>
      </c>
      <c r="Z654" s="18">
        <f t="shared" si="345"/>
        <v>1</v>
      </c>
      <c r="AA654" s="18" t="s">
        <v>36</v>
      </c>
      <c r="AB654" s="26">
        <v>30</v>
      </c>
      <c r="AC654" s="26"/>
      <c r="AD654" s="26"/>
      <c r="AE654" s="147" t="str">
        <f t="shared" si="329"/>
        <v>0</v>
      </c>
      <c r="AF654" s="147" t="str">
        <f t="shared" si="330"/>
        <v>1</v>
      </c>
      <c r="AG654" s="147" t="str">
        <f t="shared" si="331"/>
        <v>0</v>
      </c>
      <c r="AH654" s="147" t="str">
        <f t="shared" si="323"/>
        <v>NO</v>
      </c>
      <c r="AI654" s="147" t="str">
        <f t="shared" si="324"/>
        <v>NO</v>
      </c>
      <c r="AJ654" s="147" t="str">
        <f t="shared" si="325"/>
        <v>NO</v>
      </c>
      <c r="AK654" s="147" t="str">
        <f t="shared" si="326"/>
        <v>NO</v>
      </c>
      <c r="AL654" s="21"/>
      <c r="AM654" s="21">
        <f t="shared" si="354"/>
        <v>8183.0999999999985</v>
      </c>
      <c r="AN654" s="22" t="s">
        <v>52</v>
      </c>
      <c r="AO654" s="21">
        <v>1</v>
      </c>
      <c r="AP654" s="21">
        <f t="shared" si="344"/>
        <v>1</v>
      </c>
      <c r="AQ654" s="149">
        <f t="shared" si="347"/>
        <v>8183.0999999999985</v>
      </c>
      <c r="AR654" s="21">
        <v>8183.0999999999985</v>
      </c>
      <c r="AS654" s="610">
        <v>8183.0999999999985</v>
      </c>
      <c r="AT654" s="112">
        <v>8183.0999999999985</v>
      </c>
      <c r="AU654" s="4"/>
      <c r="AV654" s="4"/>
      <c r="AW654" s="23" t="e">
        <f>VLOOKUP(K654,#REF!,8,FALSE)</f>
        <v>#REF!</v>
      </c>
      <c r="AX654" s="23" t="e">
        <f>VLOOKUP(K654,#REF!,8,FALSE)</f>
        <v>#REF!</v>
      </c>
      <c r="AY654" s="23" t="e">
        <f>VLOOKUP(K654,#REF!,8,FALSE)</f>
        <v>#REF!</v>
      </c>
      <c r="AZ654" s="4"/>
      <c r="BA654" s="272"/>
      <c r="BB654" s="318">
        <f t="shared" si="348"/>
        <v>0</v>
      </c>
      <c r="BC654" s="269">
        <f t="shared" si="349"/>
        <v>8183.0999999999985</v>
      </c>
      <c r="BD654" t="str">
        <f t="shared" si="357"/>
        <v/>
      </c>
      <c r="BP654" s="166">
        <f t="shared" si="356"/>
        <v>8183.0999999999985</v>
      </c>
      <c r="BS654" s="165"/>
      <c r="BX654" s="495">
        <f t="shared" si="350"/>
        <v>8183.0999999999985</v>
      </c>
      <c r="BZ654" s="636">
        <f t="shared" si="351"/>
        <v>0</v>
      </c>
      <c r="CA654" s="633">
        <f t="shared" si="352"/>
        <v>0</v>
      </c>
    </row>
    <row r="655" spans="1:79" x14ac:dyDescent="0.2">
      <c r="A655" s="4">
        <v>1</v>
      </c>
      <c r="B655" s="4">
        <v>1</v>
      </c>
      <c r="C655" s="5">
        <f t="shared" si="353"/>
        <v>41136</v>
      </c>
      <c r="D655" s="6">
        <v>41136</v>
      </c>
      <c r="E655" s="6">
        <v>43011</v>
      </c>
      <c r="F655" s="6" t="s">
        <v>1606</v>
      </c>
      <c r="G655" s="7"/>
      <c r="H655" s="37"/>
      <c r="I655" s="7" t="s">
        <v>32</v>
      </c>
      <c r="J655" s="7"/>
      <c r="K655" s="29">
        <v>418413</v>
      </c>
      <c r="L655" s="10" t="s">
        <v>1407</v>
      </c>
      <c r="M655" s="10" t="s">
        <v>1416</v>
      </c>
      <c r="N655" s="10" t="s">
        <v>593</v>
      </c>
      <c r="O655" s="11" t="s">
        <v>1417</v>
      </c>
      <c r="P655" s="12">
        <v>41997</v>
      </c>
      <c r="Q655" s="13">
        <f t="shared" ca="1" si="355"/>
        <v>10.746064339493497</v>
      </c>
      <c r="R655" s="14">
        <v>3</v>
      </c>
      <c r="S655" s="15">
        <v>872</v>
      </c>
      <c r="T655" s="8">
        <v>872</v>
      </c>
      <c r="U655" s="16">
        <v>45017</v>
      </c>
      <c r="V655" s="17">
        <v>1</v>
      </c>
      <c r="W655" s="16">
        <v>45382</v>
      </c>
      <c r="X655" s="14">
        <v>192</v>
      </c>
      <c r="Y655" s="18">
        <f t="shared" si="341"/>
        <v>192</v>
      </c>
      <c r="Z655" s="18">
        <f t="shared" si="345"/>
        <v>1</v>
      </c>
      <c r="AA655" s="18" t="s">
        <v>36</v>
      </c>
      <c r="AB655" s="26">
        <v>30</v>
      </c>
      <c r="AC655" s="26"/>
      <c r="AD655" s="26"/>
      <c r="AE655" s="147" t="str">
        <f t="shared" si="329"/>
        <v>0</v>
      </c>
      <c r="AF655" s="147" t="str">
        <f t="shared" si="330"/>
        <v>1</v>
      </c>
      <c r="AG655" s="147" t="str">
        <f t="shared" si="331"/>
        <v>0</v>
      </c>
      <c r="AH655" s="147" t="str">
        <f t="shared" si="323"/>
        <v>NO</v>
      </c>
      <c r="AI655" s="147" t="str">
        <f t="shared" si="324"/>
        <v>NO</v>
      </c>
      <c r="AJ655" s="147" t="str">
        <f t="shared" si="325"/>
        <v>NO</v>
      </c>
      <c r="AK655" s="147" t="str">
        <f t="shared" si="326"/>
        <v>NO</v>
      </c>
      <c r="AL655" s="21"/>
      <c r="AM655" s="21">
        <f t="shared" si="354"/>
        <v>8183.0999999999985</v>
      </c>
      <c r="AN655" s="22"/>
      <c r="AO655" s="21">
        <v>1</v>
      </c>
      <c r="AP655" s="21">
        <f t="shared" si="344"/>
        <v>1</v>
      </c>
      <c r="AQ655" s="149">
        <f t="shared" si="347"/>
        <v>8183.0999999999985</v>
      </c>
      <c r="AR655" s="21">
        <v>8183.0999999999985</v>
      </c>
      <c r="AS655" s="610">
        <v>8183.0999999999985</v>
      </c>
      <c r="AT655" s="112">
        <v>8183.0999999999985</v>
      </c>
      <c r="AU655" s="4"/>
      <c r="AV655" s="4"/>
      <c r="AW655" s="23" t="e">
        <f>VLOOKUP(K655,#REF!,8,FALSE)</f>
        <v>#REF!</v>
      </c>
      <c r="AX655" s="23" t="e">
        <f>VLOOKUP(K655,#REF!,8,FALSE)</f>
        <v>#REF!</v>
      </c>
      <c r="AY655" s="23" t="e">
        <f>VLOOKUP(K655,#REF!,8,FALSE)</f>
        <v>#REF!</v>
      </c>
      <c r="AZ655" s="4"/>
      <c r="BA655" s="272"/>
      <c r="BB655" s="318">
        <f t="shared" si="348"/>
        <v>0</v>
      </c>
      <c r="BC655" s="269">
        <f t="shared" si="349"/>
        <v>8183.0999999999985</v>
      </c>
      <c r="BD655" t="str">
        <f t="shared" si="357"/>
        <v/>
      </c>
      <c r="BP655" s="166">
        <f t="shared" si="356"/>
        <v>8183.0999999999985</v>
      </c>
      <c r="BS655" s="165"/>
      <c r="BX655" s="495">
        <f t="shared" si="350"/>
        <v>8183.0999999999985</v>
      </c>
      <c r="BZ655" s="636">
        <f t="shared" si="351"/>
        <v>0</v>
      </c>
      <c r="CA655" s="633">
        <f t="shared" si="352"/>
        <v>0</v>
      </c>
    </row>
    <row r="656" spans="1:79" x14ac:dyDescent="0.2">
      <c r="A656" s="4">
        <v>1</v>
      </c>
      <c r="B656" s="4">
        <v>1</v>
      </c>
      <c r="C656" s="5">
        <f t="shared" si="353"/>
        <v>41136</v>
      </c>
      <c r="D656" s="6">
        <v>41136</v>
      </c>
      <c r="E656" s="6">
        <v>43011</v>
      </c>
      <c r="F656" s="6" t="s">
        <v>1606</v>
      </c>
      <c r="G656" s="7"/>
      <c r="H656" s="37"/>
      <c r="I656" s="7" t="s">
        <v>32</v>
      </c>
      <c r="J656" s="7"/>
      <c r="K656" s="29">
        <v>409240</v>
      </c>
      <c r="L656" s="10" t="s">
        <v>1407</v>
      </c>
      <c r="M656" s="10" t="s">
        <v>1063</v>
      </c>
      <c r="N656" s="10" t="s">
        <v>1418</v>
      </c>
      <c r="O656" s="11" t="s">
        <v>1419</v>
      </c>
      <c r="P656" s="12">
        <v>41479</v>
      </c>
      <c r="Q656" s="13">
        <f t="shared" ca="1" si="355"/>
        <v>12.164271047227926</v>
      </c>
      <c r="R656" s="14">
        <v>5</v>
      </c>
      <c r="S656" s="15">
        <v>872</v>
      </c>
      <c r="T656" s="8">
        <v>872</v>
      </c>
      <c r="U656" s="16">
        <v>45017</v>
      </c>
      <c r="V656" s="17">
        <v>1</v>
      </c>
      <c r="W656" s="16">
        <v>45382</v>
      </c>
      <c r="X656" s="14">
        <v>192</v>
      </c>
      <c r="Y656" s="18">
        <f t="shared" si="341"/>
        <v>192</v>
      </c>
      <c r="Z656" s="18">
        <f t="shared" si="345"/>
        <v>1</v>
      </c>
      <c r="AA656" s="18" t="s">
        <v>36</v>
      </c>
      <c r="AB656" s="26">
        <v>21</v>
      </c>
      <c r="AC656" s="26"/>
      <c r="AD656" s="26"/>
      <c r="AE656" s="147" t="str">
        <f t="shared" si="329"/>
        <v>1</v>
      </c>
      <c r="AF656" s="147" t="str">
        <f t="shared" si="330"/>
        <v>0</v>
      </c>
      <c r="AG656" s="147" t="str">
        <f t="shared" si="331"/>
        <v>0</v>
      </c>
      <c r="AH656" s="147" t="str">
        <f t="shared" si="323"/>
        <v>NO</v>
      </c>
      <c r="AI656" s="147" t="str">
        <f t="shared" si="324"/>
        <v>NO</v>
      </c>
      <c r="AJ656" s="147" t="str">
        <f t="shared" si="325"/>
        <v>NO</v>
      </c>
      <c r="AK656" s="147" t="str">
        <f t="shared" si="326"/>
        <v>NO</v>
      </c>
      <c r="AL656" s="21"/>
      <c r="AM656" s="21">
        <f t="shared" si="354"/>
        <v>3928.17</v>
      </c>
      <c r="AN656" s="22" t="s">
        <v>66</v>
      </c>
      <c r="AO656" s="21">
        <v>1</v>
      </c>
      <c r="AP656" s="21">
        <f t="shared" si="344"/>
        <v>1</v>
      </c>
      <c r="AQ656" s="149">
        <f t="shared" si="347"/>
        <v>3928.17</v>
      </c>
      <c r="AR656" s="21">
        <v>3928.17</v>
      </c>
      <c r="AS656" s="610">
        <v>3928.17</v>
      </c>
      <c r="AT656" s="112">
        <v>3928.17</v>
      </c>
      <c r="AU656" s="4"/>
      <c r="AV656" s="4"/>
      <c r="AW656" s="23" t="e">
        <f>VLOOKUP(K656,#REF!,8,FALSE)</f>
        <v>#REF!</v>
      </c>
      <c r="AX656" s="23" t="e">
        <f>VLOOKUP(K656,#REF!,8,FALSE)</f>
        <v>#REF!</v>
      </c>
      <c r="AY656" s="23" t="e">
        <f>VLOOKUP(K656,#REF!,8,FALSE)</f>
        <v>#REF!</v>
      </c>
      <c r="AZ656" s="4"/>
      <c r="BA656" s="272"/>
      <c r="BB656" s="318">
        <f t="shared" si="348"/>
        <v>0</v>
      </c>
      <c r="BC656" s="269">
        <f t="shared" si="349"/>
        <v>3928.17</v>
      </c>
      <c r="BD656" t="str">
        <f t="shared" si="357"/>
        <v/>
      </c>
      <c r="BP656" s="166">
        <f t="shared" si="356"/>
        <v>3928.17</v>
      </c>
      <c r="BS656" s="165"/>
      <c r="BX656" s="495">
        <f t="shared" si="350"/>
        <v>3928.17</v>
      </c>
      <c r="BZ656" s="636">
        <f t="shared" si="351"/>
        <v>0</v>
      </c>
      <c r="CA656" s="633">
        <f t="shared" si="352"/>
        <v>0</v>
      </c>
    </row>
    <row r="657" spans="1:79" x14ac:dyDescent="0.2">
      <c r="A657" s="4">
        <v>1</v>
      </c>
      <c r="B657" s="4">
        <v>1</v>
      </c>
      <c r="C657" s="5">
        <f t="shared" si="353"/>
        <v>41137</v>
      </c>
      <c r="D657" s="6">
        <v>41137</v>
      </c>
      <c r="E657" s="121">
        <v>43012</v>
      </c>
      <c r="F657" s="6" t="s">
        <v>1606</v>
      </c>
      <c r="G657" s="7" t="s">
        <v>75</v>
      </c>
      <c r="H657" s="7"/>
      <c r="I657" s="7" t="s">
        <v>32</v>
      </c>
      <c r="J657" s="7"/>
      <c r="K657" s="29">
        <v>408036</v>
      </c>
      <c r="L657" s="10" t="s">
        <v>1420</v>
      </c>
      <c r="M657" s="10" t="s">
        <v>556</v>
      </c>
      <c r="N657" s="10" t="s">
        <v>751</v>
      </c>
      <c r="O657" s="11" t="s">
        <v>1421</v>
      </c>
      <c r="P657" s="12">
        <v>41361</v>
      </c>
      <c r="Q657" s="13">
        <f t="shared" ca="1" si="355"/>
        <v>12.487337440109513</v>
      </c>
      <c r="R657" s="14">
        <v>5</v>
      </c>
      <c r="S657" s="15">
        <v>872</v>
      </c>
      <c r="T657" s="8">
        <v>872</v>
      </c>
      <c r="U657" s="16">
        <v>45017</v>
      </c>
      <c r="V657" s="17">
        <v>1</v>
      </c>
      <c r="W657" s="16">
        <v>45382</v>
      </c>
      <c r="X657" s="14">
        <v>192</v>
      </c>
      <c r="Y657" s="18">
        <f t="shared" si="341"/>
        <v>192</v>
      </c>
      <c r="Z657" s="18">
        <f t="shared" si="345"/>
        <v>1</v>
      </c>
      <c r="AA657" s="18" t="s">
        <v>36</v>
      </c>
      <c r="AB657" s="26">
        <v>25</v>
      </c>
      <c r="AC657" s="26"/>
      <c r="AD657" s="26"/>
      <c r="AE657" s="147" t="str">
        <f t="shared" si="329"/>
        <v>1</v>
      </c>
      <c r="AF657" s="147" t="str">
        <f t="shared" si="330"/>
        <v>0</v>
      </c>
      <c r="AG657" s="147" t="str">
        <f t="shared" si="331"/>
        <v>0</v>
      </c>
      <c r="AH657" s="147" t="str">
        <f t="shared" si="323"/>
        <v>NO</v>
      </c>
      <c r="AI657" s="147" t="str">
        <f t="shared" si="324"/>
        <v>NO</v>
      </c>
      <c r="AJ657" s="147" t="str">
        <f t="shared" si="325"/>
        <v>NO</v>
      </c>
      <c r="AK657" s="147" t="str">
        <f t="shared" si="326"/>
        <v>NO</v>
      </c>
      <c r="AL657" s="21"/>
      <c r="AM657" s="21">
        <f t="shared" si="354"/>
        <v>5819.25</v>
      </c>
      <c r="AN657" s="27" t="s">
        <v>43</v>
      </c>
      <c r="AO657" s="21">
        <v>1</v>
      </c>
      <c r="AP657" s="21">
        <f t="shared" si="344"/>
        <v>1</v>
      </c>
      <c r="AQ657" s="149">
        <f t="shared" si="347"/>
        <v>5819.25</v>
      </c>
      <c r="AR657" s="21">
        <v>5819.25</v>
      </c>
      <c r="AS657" s="610">
        <v>5819.25</v>
      </c>
      <c r="AT657" s="112">
        <v>5819.25</v>
      </c>
      <c r="AU657" s="4"/>
      <c r="AV657" s="4"/>
      <c r="AW657" s="23" t="e">
        <f>VLOOKUP(K657,#REF!,8,FALSE)</f>
        <v>#REF!</v>
      </c>
      <c r="AX657" s="23" t="e">
        <f>VLOOKUP(K657,#REF!,8,FALSE)</f>
        <v>#REF!</v>
      </c>
      <c r="AY657" s="23" t="e">
        <f>VLOOKUP(K657,#REF!,8,FALSE)</f>
        <v>#REF!</v>
      </c>
      <c r="AZ657" s="4"/>
      <c r="BA657" s="272"/>
      <c r="BB657" s="318">
        <f t="shared" si="348"/>
        <v>0</v>
      </c>
      <c r="BC657" s="269">
        <f t="shared" si="349"/>
        <v>5819.25</v>
      </c>
      <c r="BD657" t="str">
        <f t="shared" si="357"/>
        <v/>
      </c>
      <c r="BP657" s="166">
        <f t="shared" si="356"/>
        <v>5819.25</v>
      </c>
      <c r="BS657" s="165"/>
      <c r="BX657" s="495">
        <f t="shared" si="350"/>
        <v>5819.25</v>
      </c>
      <c r="BZ657" s="636">
        <f t="shared" si="351"/>
        <v>0</v>
      </c>
      <c r="CA657" s="633">
        <f t="shared" si="352"/>
        <v>0</v>
      </c>
    </row>
    <row r="658" spans="1:79" x14ac:dyDescent="0.2">
      <c r="A658" s="4">
        <v>1</v>
      </c>
      <c r="B658" s="4">
        <v>1</v>
      </c>
      <c r="C658" s="5">
        <f t="shared" si="353"/>
        <v>41137</v>
      </c>
      <c r="D658" s="6">
        <v>41137</v>
      </c>
      <c r="E658" s="121">
        <v>43012</v>
      </c>
      <c r="F658" s="6" t="s">
        <v>1606</v>
      </c>
      <c r="G658" s="7" t="s">
        <v>75</v>
      </c>
      <c r="H658" s="7"/>
      <c r="I658" s="7" t="s">
        <v>32</v>
      </c>
      <c r="J658" s="7"/>
      <c r="K658" s="29">
        <v>441951</v>
      </c>
      <c r="L658" s="10" t="s">
        <v>1420</v>
      </c>
      <c r="M658" s="10" t="s">
        <v>1422</v>
      </c>
      <c r="N658" s="10" t="s">
        <v>1423</v>
      </c>
      <c r="O658" s="11" t="s">
        <v>1424</v>
      </c>
      <c r="P658" s="12">
        <v>43218</v>
      </c>
      <c r="Q658" s="13">
        <f t="shared" ca="1" si="355"/>
        <v>7.4031485284052021</v>
      </c>
      <c r="R658" s="14">
        <v>0</v>
      </c>
      <c r="S658" s="15">
        <v>872</v>
      </c>
      <c r="T658" s="8">
        <v>872</v>
      </c>
      <c r="U658" s="16">
        <v>45017</v>
      </c>
      <c r="V658" s="17">
        <v>1</v>
      </c>
      <c r="W658" s="16">
        <v>45382</v>
      </c>
      <c r="X658" s="14">
        <v>192</v>
      </c>
      <c r="Y658" s="18">
        <f t="shared" si="341"/>
        <v>192</v>
      </c>
      <c r="Z658" s="18">
        <f t="shared" si="345"/>
        <v>1</v>
      </c>
      <c r="AA658" s="18" t="s">
        <v>36</v>
      </c>
      <c r="AB658" s="26">
        <v>30</v>
      </c>
      <c r="AC658" s="26"/>
      <c r="AD658" s="26"/>
      <c r="AE658" s="147" t="str">
        <f t="shared" si="329"/>
        <v>0</v>
      </c>
      <c r="AF658" s="147" t="str">
        <f t="shared" si="330"/>
        <v>1</v>
      </c>
      <c r="AG658" s="147" t="str">
        <f t="shared" si="331"/>
        <v>0</v>
      </c>
      <c r="AH658" s="147" t="str">
        <f t="shared" si="323"/>
        <v>NO</v>
      </c>
      <c r="AI658" s="147" t="str">
        <f t="shared" si="324"/>
        <v>NO</v>
      </c>
      <c r="AJ658" s="147" t="str">
        <f t="shared" si="325"/>
        <v>NO</v>
      </c>
      <c r="AK658" s="147" t="str">
        <f t="shared" si="326"/>
        <v>NO</v>
      </c>
      <c r="AL658" s="21"/>
      <c r="AM658" s="21">
        <f t="shared" si="354"/>
        <v>8183.0999999999985</v>
      </c>
      <c r="AN658" s="27"/>
      <c r="AO658" s="21">
        <v>1</v>
      </c>
      <c r="AP658" s="21">
        <f t="shared" si="344"/>
        <v>1</v>
      </c>
      <c r="AQ658" s="149">
        <f t="shared" si="347"/>
        <v>8183.0999999999985</v>
      </c>
      <c r="AR658" s="21">
        <v>8183.0999999999985</v>
      </c>
      <c r="AS658" s="610">
        <v>8183.0999999999985</v>
      </c>
      <c r="AT658" s="112">
        <v>8183.0999999999985</v>
      </c>
      <c r="AU658" s="4"/>
      <c r="AV658" s="4"/>
      <c r="AW658" s="23" t="e">
        <f>VLOOKUP(K658,#REF!,8,FALSE)</f>
        <v>#REF!</v>
      </c>
      <c r="AX658" s="23" t="e">
        <f>VLOOKUP(K658,#REF!,8,FALSE)</f>
        <v>#REF!</v>
      </c>
      <c r="AY658" s="23" t="e">
        <f>VLOOKUP(K658,#REF!,8,FALSE)</f>
        <v>#REF!</v>
      </c>
      <c r="AZ658" s="4"/>
      <c r="BA658" s="272"/>
      <c r="BB658" s="318">
        <f t="shared" si="348"/>
        <v>0</v>
      </c>
      <c r="BC658" s="269">
        <f t="shared" si="349"/>
        <v>8183.0999999999985</v>
      </c>
      <c r="BD658" t="str">
        <f t="shared" si="357"/>
        <v/>
      </c>
      <c r="BP658" s="166">
        <f t="shared" si="356"/>
        <v>8183.0999999999985</v>
      </c>
      <c r="BS658" s="165"/>
      <c r="BX658" s="495">
        <f t="shared" si="350"/>
        <v>8183.0999999999985</v>
      </c>
      <c r="BZ658" s="636">
        <f t="shared" si="351"/>
        <v>0</v>
      </c>
      <c r="CA658" s="633">
        <f t="shared" si="352"/>
        <v>0</v>
      </c>
    </row>
    <row r="659" spans="1:79" x14ac:dyDescent="0.2">
      <c r="A659" s="4">
        <v>1</v>
      </c>
      <c r="B659" s="4">
        <v>1</v>
      </c>
      <c r="C659" s="5">
        <f t="shared" si="353"/>
        <v>41137</v>
      </c>
      <c r="D659" s="6">
        <v>41137</v>
      </c>
      <c r="E659" s="121">
        <v>43012</v>
      </c>
      <c r="F659" s="6" t="s">
        <v>1606</v>
      </c>
      <c r="G659" s="7" t="s">
        <v>75</v>
      </c>
      <c r="H659" s="7"/>
      <c r="I659" s="7" t="s">
        <v>32</v>
      </c>
      <c r="J659" s="7"/>
      <c r="K659" s="29">
        <v>405979</v>
      </c>
      <c r="L659" s="10" t="s">
        <v>1420</v>
      </c>
      <c r="M659" s="10" t="s">
        <v>1296</v>
      </c>
      <c r="N659" s="10" t="s">
        <v>1425</v>
      </c>
      <c r="O659" s="11" t="s">
        <v>1426</v>
      </c>
      <c r="P659" s="12">
        <v>41215</v>
      </c>
      <c r="Q659" s="13">
        <f t="shared" ca="1" si="355"/>
        <v>12.887063655030801</v>
      </c>
      <c r="R659" s="14">
        <v>5</v>
      </c>
      <c r="S659" s="15">
        <v>872</v>
      </c>
      <c r="T659" s="8">
        <v>872</v>
      </c>
      <c r="U659" s="16">
        <v>45017</v>
      </c>
      <c r="V659" s="17">
        <v>1</v>
      </c>
      <c r="W659" s="16">
        <v>45382</v>
      </c>
      <c r="X659" s="14">
        <v>192</v>
      </c>
      <c r="Y659" s="18">
        <f t="shared" si="341"/>
        <v>192</v>
      </c>
      <c r="Z659" s="18">
        <f t="shared" si="345"/>
        <v>1</v>
      </c>
      <c r="AA659" s="18" t="s">
        <v>36</v>
      </c>
      <c r="AB659" s="26">
        <v>22</v>
      </c>
      <c r="AC659" s="26"/>
      <c r="AD659" s="26"/>
      <c r="AE659" s="147" t="str">
        <f t="shared" si="329"/>
        <v>1</v>
      </c>
      <c r="AF659" s="147" t="str">
        <f t="shared" si="330"/>
        <v>0</v>
      </c>
      <c r="AG659" s="147" t="str">
        <f t="shared" si="331"/>
        <v>0</v>
      </c>
      <c r="AH659" s="147" t="str">
        <f t="shared" ref="AH659:AH722" si="358">IF(AD659="BAND3","YES","NO")</f>
        <v>NO</v>
      </c>
      <c r="AI659" s="147" t="str">
        <f t="shared" ref="AI659:AI722" si="359">IF(AD659="BAND4","YES","NO")</f>
        <v>NO</v>
      </c>
      <c r="AJ659" s="147" t="str">
        <f t="shared" ref="AJ659:AJ722" si="360">IF(AD659="BAND5","YES","NO")</f>
        <v>NO</v>
      </c>
      <c r="AK659" s="147" t="str">
        <f t="shared" ref="AK659:AK722" si="361">IF(AD659="BAND6","YES","NO")</f>
        <v>NO</v>
      </c>
      <c r="AL659" s="21"/>
      <c r="AM659" s="21">
        <f t="shared" si="354"/>
        <v>4400.9399999999987</v>
      </c>
      <c r="AN659" s="27" t="s">
        <v>56</v>
      </c>
      <c r="AO659" s="21">
        <v>1</v>
      </c>
      <c r="AP659" s="21">
        <f t="shared" si="344"/>
        <v>1</v>
      </c>
      <c r="AQ659" s="149">
        <f t="shared" si="347"/>
        <v>4400.9399999999987</v>
      </c>
      <c r="AR659" s="21">
        <v>4400.9399999999987</v>
      </c>
      <c r="AS659" s="610">
        <v>4400.9399999999987</v>
      </c>
      <c r="AT659" s="112">
        <v>4400.9399999999987</v>
      </c>
      <c r="AU659" s="4"/>
      <c r="AV659" s="4"/>
      <c r="AW659" s="23" t="e">
        <f>VLOOKUP(K659,#REF!,8,FALSE)</f>
        <v>#REF!</v>
      </c>
      <c r="AX659" s="23" t="e">
        <f>VLOOKUP(K659,#REF!,8,FALSE)</f>
        <v>#REF!</v>
      </c>
      <c r="AY659" s="23" t="e">
        <f>VLOOKUP(K659,#REF!,8,FALSE)</f>
        <v>#REF!</v>
      </c>
      <c r="AZ659" s="4"/>
      <c r="BA659" s="272"/>
      <c r="BB659" s="318">
        <f t="shared" si="348"/>
        <v>0</v>
      </c>
      <c r="BC659" s="269">
        <f t="shared" si="349"/>
        <v>4400.9399999999987</v>
      </c>
      <c r="BD659" t="str">
        <f t="shared" si="357"/>
        <v/>
      </c>
      <c r="BP659" s="166">
        <f t="shared" si="356"/>
        <v>4400.9399999999987</v>
      </c>
      <c r="BS659" s="165"/>
      <c r="BX659" s="495">
        <f t="shared" si="350"/>
        <v>4400.9399999999987</v>
      </c>
      <c r="BZ659" s="636">
        <f t="shared" si="351"/>
        <v>0</v>
      </c>
      <c r="CA659" s="633">
        <f t="shared" si="352"/>
        <v>0</v>
      </c>
    </row>
    <row r="660" spans="1:79" x14ac:dyDescent="0.2">
      <c r="A660" s="4">
        <v>1</v>
      </c>
      <c r="B660" s="4">
        <v>1</v>
      </c>
      <c r="C660" s="5">
        <f t="shared" si="353"/>
        <v>41137</v>
      </c>
      <c r="D660" s="6">
        <v>41137</v>
      </c>
      <c r="E660" s="121">
        <v>43012</v>
      </c>
      <c r="F660" s="6" t="s">
        <v>1606</v>
      </c>
      <c r="G660" s="7" t="s">
        <v>75</v>
      </c>
      <c r="H660" s="7"/>
      <c r="I660" s="7" t="s">
        <v>32</v>
      </c>
      <c r="J660" s="7"/>
      <c r="K660" s="29">
        <v>454411</v>
      </c>
      <c r="L660" s="10" t="s">
        <v>1420</v>
      </c>
      <c r="M660" s="10" t="s">
        <v>598</v>
      </c>
      <c r="N660" s="10" t="s">
        <v>2416</v>
      </c>
      <c r="O660" s="11" t="s">
        <v>2505</v>
      </c>
      <c r="P660" s="12">
        <v>41852</v>
      </c>
      <c r="Q660" s="13">
        <f t="shared" ca="1" si="355"/>
        <v>11.143052703627653</v>
      </c>
      <c r="R660" s="14">
        <v>4</v>
      </c>
      <c r="S660" s="15">
        <v>872</v>
      </c>
      <c r="T660" s="8">
        <v>872</v>
      </c>
      <c r="U660" s="16">
        <v>45098</v>
      </c>
      <c r="V660" s="17">
        <v>41</v>
      </c>
      <c r="W660" s="16">
        <v>45382</v>
      </c>
      <c r="X660" s="14">
        <v>192</v>
      </c>
      <c r="Y660" s="18">
        <f t="shared" si="341"/>
        <v>152</v>
      </c>
      <c r="Z660" s="18">
        <f t="shared" si="345"/>
        <v>0.79166666666666663</v>
      </c>
      <c r="AA660" s="18" t="s">
        <v>36</v>
      </c>
      <c r="AB660" s="26">
        <v>10200</v>
      </c>
      <c r="AC660" s="26"/>
      <c r="AD660" s="26"/>
      <c r="AE660" s="147" t="str">
        <f t="shared" si="329"/>
        <v>0</v>
      </c>
      <c r="AF660" s="147" t="str">
        <f t="shared" si="330"/>
        <v>0</v>
      </c>
      <c r="AG660" s="147" t="str">
        <f t="shared" si="331"/>
        <v>1</v>
      </c>
      <c r="AH660" s="147" t="str">
        <f t="shared" si="358"/>
        <v>NO</v>
      </c>
      <c r="AI660" s="147" t="str">
        <f t="shared" si="359"/>
        <v>NO</v>
      </c>
      <c r="AJ660" s="147" t="str">
        <f t="shared" si="360"/>
        <v>NO</v>
      </c>
      <c r="AK660" s="147" t="str">
        <f t="shared" si="361"/>
        <v>NO</v>
      </c>
      <c r="AL660" s="21"/>
      <c r="AM660" s="21">
        <f>AB660</f>
        <v>10200</v>
      </c>
      <c r="AN660" s="27"/>
      <c r="AO660" s="21">
        <v>1</v>
      </c>
      <c r="AP660" s="21">
        <f t="shared" si="344"/>
        <v>0.79166666666666663</v>
      </c>
      <c r="AQ660" s="149">
        <f t="shared" si="347"/>
        <v>8075</v>
      </c>
      <c r="AR660" s="21">
        <v>0</v>
      </c>
      <c r="AS660" s="610">
        <v>0</v>
      </c>
      <c r="AT660" s="112">
        <v>0</v>
      </c>
      <c r="AU660" s="4"/>
      <c r="AV660" s="4"/>
      <c r="AW660" s="23" t="e">
        <f>VLOOKUP(K660,#REF!,8,FALSE)</f>
        <v>#REF!</v>
      </c>
      <c r="AX660" s="23" t="e">
        <f>VLOOKUP(K660,#REF!,8,FALSE)</f>
        <v>#REF!</v>
      </c>
      <c r="AY660" s="23" t="e">
        <f>VLOOKUP(K660,#REF!,8,FALSE)</f>
        <v>#REF!</v>
      </c>
      <c r="AZ660" s="4"/>
      <c r="BA660" s="272"/>
      <c r="BB660" s="318">
        <f t="shared" si="348"/>
        <v>0</v>
      </c>
      <c r="BC660" s="269">
        <f t="shared" si="349"/>
        <v>0</v>
      </c>
      <c r="BP660" s="166">
        <f t="shared" si="356"/>
        <v>0</v>
      </c>
      <c r="BS660" s="165"/>
      <c r="BX660" s="495">
        <f t="shared" si="350"/>
        <v>8075</v>
      </c>
      <c r="BY660" t="s">
        <v>2471</v>
      </c>
      <c r="BZ660" s="636">
        <f t="shared" si="351"/>
        <v>8075</v>
      </c>
      <c r="CA660" s="633">
        <f t="shared" si="352"/>
        <v>8075</v>
      </c>
    </row>
    <row r="661" spans="1:79" x14ac:dyDescent="0.2">
      <c r="A661" s="4">
        <v>1</v>
      </c>
      <c r="B661" s="4">
        <v>1</v>
      </c>
      <c r="C661" s="5">
        <f t="shared" si="353"/>
        <v>41138</v>
      </c>
      <c r="D661" s="6">
        <v>41138</v>
      </c>
      <c r="E661" s="6">
        <v>43011</v>
      </c>
      <c r="F661" s="6" t="s">
        <v>1606</v>
      </c>
      <c r="G661" s="7"/>
      <c r="H661" s="7"/>
      <c r="I661" s="7" t="s">
        <v>32</v>
      </c>
      <c r="J661" s="7"/>
      <c r="K661" s="53">
        <v>434831</v>
      </c>
      <c r="L661" s="54" t="s">
        <v>1427</v>
      </c>
      <c r="M661" s="54" t="s">
        <v>1428</v>
      </c>
      <c r="N661" s="54" t="s">
        <v>1429</v>
      </c>
      <c r="O661" s="55" t="s">
        <v>1430</v>
      </c>
      <c r="P661" s="12">
        <v>42919</v>
      </c>
      <c r="Q661" s="13">
        <f t="shared" ca="1" si="355"/>
        <v>8.2217659137577002</v>
      </c>
      <c r="R661" s="14">
        <v>1</v>
      </c>
      <c r="S661" s="15">
        <v>872</v>
      </c>
      <c r="T661" s="8">
        <v>872</v>
      </c>
      <c r="U661" s="16">
        <v>45017</v>
      </c>
      <c r="V661" s="17">
        <v>1</v>
      </c>
      <c r="W661" s="16">
        <v>45382</v>
      </c>
      <c r="X661" s="14">
        <v>192</v>
      </c>
      <c r="Y661" s="18">
        <f t="shared" si="341"/>
        <v>192</v>
      </c>
      <c r="Z661" s="18">
        <f t="shared" si="345"/>
        <v>1</v>
      </c>
      <c r="AA661" s="18" t="s">
        <v>36</v>
      </c>
      <c r="AB661" s="26">
        <v>28</v>
      </c>
      <c r="AC661" s="26"/>
      <c r="AD661" s="26"/>
      <c r="AE661" s="147" t="str">
        <f t="shared" si="329"/>
        <v>0</v>
      </c>
      <c r="AF661" s="147" t="str">
        <f t="shared" si="330"/>
        <v>1</v>
      </c>
      <c r="AG661" s="147" t="str">
        <f t="shared" si="331"/>
        <v>0</v>
      </c>
      <c r="AH661" s="147" t="str">
        <f t="shared" si="358"/>
        <v>NO</v>
      </c>
      <c r="AI661" s="147" t="str">
        <f t="shared" si="359"/>
        <v>NO</v>
      </c>
      <c r="AJ661" s="147" t="str">
        <f t="shared" si="360"/>
        <v>NO</v>
      </c>
      <c r="AK661" s="147" t="str">
        <f t="shared" si="361"/>
        <v>NO</v>
      </c>
      <c r="AL661" s="21"/>
      <c r="AM661" s="21">
        <f t="shared" ref="AM661:AM674" si="362">IF(H661="Y",AL661,((AB661*$O$902)-6000))</f>
        <v>7237.5599999999995</v>
      </c>
      <c r="AN661" s="27" t="s">
        <v>37</v>
      </c>
      <c r="AO661" s="21">
        <v>1</v>
      </c>
      <c r="AP661" s="21">
        <f t="shared" si="344"/>
        <v>1</v>
      </c>
      <c r="AQ661" s="149">
        <f t="shared" si="347"/>
        <v>7237.5599999999995</v>
      </c>
      <c r="AR661" s="21">
        <v>7237.5599999999995</v>
      </c>
      <c r="AS661" s="610">
        <v>0</v>
      </c>
      <c r="AT661" s="112">
        <v>7237.5599999999995</v>
      </c>
      <c r="AU661" s="4"/>
      <c r="AV661" s="4"/>
      <c r="AW661" s="23" t="e">
        <f>VLOOKUP(K661,#REF!,8,FALSE)</f>
        <v>#REF!</v>
      </c>
      <c r="AX661" s="23" t="e">
        <f>VLOOKUP(K661,#REF!,8,FALSE)</f>
        <v>#REF!</v>
      </c>
      <c r="AY661" s="23" t="e">
        <f>VLOOKUP(K661,#REF!,8,FALSE)</f>
        <v>#REF!</v>
      </c>
      <c r="AZ661" s="4"/>
      <c r="BA661" s="272"/>
      <c r="BB661" s="318">
        <f t="shared" si="348"/>
        <v>0</v>
      </c>
      <c r="BC661" s="269">
        <f t="shared" si="349"/>
        <v>7237.5599999999995</v>
      </c>
      <c r="BD661" t="str">
        <f>BG661&amp;BH661&amp;BI661</f>
        <v/>
      </c>
      <c r="BP661" s="166">
        <f t="shared" si="356"/>
        <v>7237.5599999999995</v>
      </c>
      <c r="BS661" s="165"/>
      <c r="BX661" s="495">
        <f t="shared" si="350"/>
        <v>7237.5599999999995</v>
      </c>
      <c r="BZ661" s="636">
        <f t="shared" si="351"/>
        <v>0</v>
      </c>
      <c r="CA661" s="633">
        <f t="shared" si="352"/>
        <v>7237.5599999999995</v>
      </c>
    </row>
    <row r="662" spans="1:79" x14ac:dyDescent="0.2">
      <c r="A662" s="4">
        <v>1</v>
      </c>
      <c r="B662" s="4">
        <v>1</v>
      </c>
      <c r="C662" s="5">
        <f t="shared" si="353"/>
        <v>41138</v>
      </c>
      <c r="D662" s="6">
        <v>41138</v>
      </c>
      <c r="E662" s="6">
        <v>43011</v>
      </c>
      <c r="F662" s="6" t="s">
        <v>1606</v>
      </c>
      <c r="G662" s="7"/>
      <c r="H662" s="7"/>
      <c r="I662" s="7" t="s">
        <v>32</v>
      </c>
      <c r="J662" s="7"/>
      <c r="K662" s="53">
        <v>420002</v>
      </c>
      <c r="L662" s="54" t="s">
        <v>1427</v>
      </c>
      <c r="M662" s="54" t="s">
        <v>40</v>
      </c>
      <c r="N662" s="54" t="s">
        <v>1431</v>
      </c>
      <c r="O662" s="55" t="s">
        <v>1432</v>
      </c>
      <c r="P662" s="12">
        <v>42412</v>
      </c>
      <c r="Q662" s="13">
        <f t="shared" ca="1" si="355"/>
        <v>9.6098562628336754</v>
      </c>
      <c r="R662" s="14">
        <v>2</v>
      </c>
      <c r="S662" s="15">
        <v>872</v>
      </c>
      <c r="T662" s="8">
        <v>872</v>
      </c>
      <c r="U662" s="16">
        <v>45017</v>
      </c>
      <c r="V662" s="17">
        <v>1</v>
      </c>
      <c r="W662" s="16">
        <v>45382</v>
      </c>
      <c r="X662" s="14">
        <v>192</v>
      </c>
      <c r="Y662" s="18">
        <f t="shared" si="341"/>
        <v>192</v>
      </c>
      <c r="Z662" s="18">
        <f t="shared" si="345"/>
        <v>1</v>
      </c>
      <c r="AA662" s="18" t="s">
        <v>36</v>
      </c>
      <c r="AB662" s="26">
        <v>28</v>
      </c>
      <c r="AC662" s="26"/>
      <c r="AD662" s="26"/>
      <c r="AE662" s="147" t="str">
        <f t="shared" si="329"/>
        <v>0</v>
      </c>
      <c r="AF662" s="147" t="str">
        <f t="shared" si="330"/>
        <v>1</v>
      </c>
      <c r="AG662" s="147" t="str">
        <f t="shared" si="331"/>
        <v>0</v>
      </c>
      <c r="AH662" s="147" t="str">
        <f t="shared" si="358"/>
        <v>NO</v>
      </c>
      <c r="AI662" s="147" t="str">
        <f t="shared" si="359"/>
        <v>NO</v>
      </c>
      <c r="AJ662" s="147" t="str">
        <f t="shared" si="360"/>
        <v>NO</v>
      </c>
      <c r="AK662" s="147" t="str">
        <f t="shared" si="361"/>
        <v>NO</v>
      </c>
      <c r="AL662" s="21"/>
      <c r="AM662" s="21">
        <f t="shared" si="362"/>
        <v>7237.5599999999995</v>
      </c>
      <c r="AN662" s="27" t="s">
        <v>43</v>
      </c>
      <c r="AO662" s="21">
        <v>1</v>
      </c>
      <c r="AP662" s="21">
        <f t="shared" si="344"/>
        <v>1</v>
      </c>
      <c r="AQ662" s="149">
        <f t="shared" si="347"/>
        <v>7237.5599999999995</v>
      </c>
      <c r="AR662" s="21">
        <v>7237.5599999999995</v>
      </c>
      <c r="AS662" s="610">
        <v>7237.5599999999995</v>
      </c>
      <c r="AT662" s="112">
        <v>7237.5599999999995</v>
      </c>
      <c r="AU662" s="4"/>
      <c r="AV662" s="4"/>
      <c r="AW662" s="23" t="e">
        <f>VLOOKUP(K662,#REF!,8,FALSE)</f>
        <v>#REF!</v>
      </c>
      <c r="AX662" s="23" t="e">
        <f>VLOOKUP(K662,#REF!,8,FALSE)</f>
        <v>#REF!</v>
      </c>
      <c r="AY662" s="23" t="e">
        <f>VLOOKUP(K662,#REF!,8,FALSE)</f>
        <v>#REF!</v>
      </c>
      <c r="AZ662" s="4"/>
      <c r="BA662" s="272"/>
      <c r="BB662" s="318">
        <f t="shared" si="348"/>
        <v>0</v>
      </c>
      <c r="BC662" s="269">
        <f t="shared" si="349"/>
        <v>7237.5599999999995</v>
      </c>
      <c r="BD662" t="str">
        <f>BG662&amp;BH662&amp;BI662</f>
        <v/>
      </c>
      <c r="BP662" s="166">
        <f t="shared" si="356"/>
        <v>7237.5599999999995</v>
      </c>
      <c r="BS662" s="165"/>
      <c r="BX662" s="495">
        <f t="shared" si="350"/>
        <v>7237.5599999999995</v>
      </c>
      <c r="BZ662" s="636">
        <f t="shared" si="351"/>
        <v>0</v>
      </c>
      <c r="CA662" s="633">
        <f t="shared" si="352"/>
        <v>0</v>
      </c>
    </row>
    <row r="663" spans="1:79" x14ac:dyDescent="0.2">
      <c r="A663" s="4">
        <v>1</v>
      </c>
      <c r="B663" s="4">
        <v>1</v>
      </c>
      <c r="C663" s="5">
        <f t="shared" si="353"/>
        <v>41138</v>
      </c>
      <c r="D663" s="6">
        <v>41138</v>
      </c>
      <c r="E663" s="6">
        <v>43011</v>
      </c>
      <c r="F663" s="6" t="s">
        <v>1606</v>
      </c>
      <c r="G663" s="7"/>
      <c r="H663" s="7"/>
      <c r="I663" s="7" t="s">
        <v>32</v>
      </c>
      <c r="J663" s="7"/>
      <c r="K663" s="53">
        <v>404455</v>
      </c>
      <c r="L663" s="54" t="s">
        <v>1427</v>
      </c>
      <c r="M663" s="54" t="s">
        <v>462</v>
      </c>
      <c r="N663" s="54" t="s">
        <v>1433</v>
      </c>
      <c r="O663" s="55" t="s">
        <v>1434</v>
      </c>
      <c r="P663" s="12">
        <v>40910</v>
      </c>
      <c r="Q663" s="13">
        <f t="shared" ca="1" si="355"/>
        <v>13.722108145106091</v>
      </c>
      <c r="R663" s="14">
        <v>6</v>
      </c>
      <c r="S663" s="15">
        <v>872</v>
      </c>
      <c r="T663" s="8">
        <v>872</v>
      </c>
      <c r="U663" s="16">
        <v>45051</v>
      </c>
      <c r="V663" s="17">
        <v>14</v>
      </c>
      <c r="W663" s="16">
        <v>45128</v>
      </c>
      <c r="X663" s="14">
        <v>63</v>
      </c>
      <c r="Y663" s="18">
        <f t="shared" si="341"/>
        <v>50</v>
      </c>
      <c r="Z663" s="18">
        <f t="shared" si="345"/>
        <v>0.26041666666666669</v>
      </c>
      <c r="AA663" s="18" t="s">
        <v>48</v>
      </c>
      <c r="AB663" s="26">
        <v>25</v>
      </c>
      <c r="AC663" s="26"/>
      <c r="AD663" s="26"/>
      <c r="AE663" s="147" t="str">
        <f t="shared" si="329"/>
        <v>1</v>
      </c>
      <c r="AF663" s="147" t="str">
        <f t="shared" si="330"/>
        <v>0</v>
      </c>
      <c r="AG663" s="147" t="str">
        <f t="shared" si="331"/>
        <v>0</v>
      </c>
      <c r="AH663" s="147" t="str">
        <f t="shared" si="358"/>
        <v>NO</v>
      </c>
      <c r="AI663" s="147" t="str">
        <f t="shared" si="359"/>
        <v>NO</v>
      </c>
      <c r="AJ663" s="147" t="str">
        <f t="shared" si="360"/>
        <v>NO</v>
      </c>
      <c r="AK663" s="147" t="str">
        <f t="shared" si="361"/>
        <v>NO</v>
      </c>
      <c r="AL663" s="21"/>
      <c r="AM663" s="21">
        <f t="shared" si="362"/>
        <v>5819.25</v>
      </c>
      <c r="AN663" s="27" t="s">
        <v>56</v>
      </c>
      <c r="AO663" s="21">
        <v>1</v>
      </c>
      <c r="AP663" s="21">
        <f t="shared" si="344"/>
        <v>0.26041666666666669</v>
      </c>
      <c r="AQ663" s="149">
        <f t="shared" si="347"/>
        <v>1515.4296875</v>
      </c>
      <c r="AR663" s="21">
        <v>1515.4296875</v>
      </c>
      <c r="AS663" s="610">
        <v>0</v>
      </c>
      <c r="AT663" s="112">
        <v>1515.4296875</v>
      </c>
      <c r="AU663" s="4"/>
      <c r="AV663" s="4"/>
      <c r="AW663" s="23" t="e">
        <f>VLOOKUP(K663,#REF!,8,FALSE)</f>
        <v>#REF!</v>
      </c>
      <c r="AX663" s="23" t="e">
        <f>VLOOKUP(K663,#REF!,8,FALSE)</f>
        <v>#REF!</v>
      </c>
      <c r="AY663" s="23" t="e">
        <f>VLOOKUP(K663,#REF!,8,FALSE)</f>
        <v>#REF!</v>
      </c>
      <c r="AZ663" s="4"/>
      <c r="BA663" s="272"/>
      <c r="BB663" s="318">
        <f t="shared" si="348"/>
        <v>0</v>
      </c>
      <c r="BC663" s="269">
        <f t="shared" si="349"/>
        <v>1515.4296875</v>
      </c>
      <c r="BD663" s="110" t="s">
        <v>2405</v>
      </c>
      <c r="BJ663">
        <f>AB663</f>
        <v>25</v>
      </c>
      <c r="BK663" s="269">
        <f>AM663</f>
        <v>5819.25</v>
      </c>
      <c r="BO663" s="106">
        <f>BK663/192*127</f>
        <v>3849.19140625</v>
      </c>
      <c r="BP663" s="166">
        <f t="shared" si="356"/>
        <v>5364.62109375</v>
      </c>
      <c r="BS663" s="165" t="s">
        <v>1495</v>
      </c>
      <c r="BT663" t="s">
        <v>1495</v>
      </c>
      <c r="BX663" s="495">
        <f t="shared" si="350"/>
        <v>5364.62109375</v>
      </c>
      <c r="BZ663" s="636">
        <f t="shared" si="351"/>
        <v>0</v>
      </c>
      <c r="CA663" s="633">
        <f t="shared" si="352"/>
        <v>5364.62109375</v>
      </c>
    </row>
    <row r="664" spans="1:79" x14ac:dyDescent="0.2">
      <c r="A664" s="4">
        <v>0</v>
      </c>
      <c r="B664" s="4">
        <v>1</v>
      </c>
      <c r="C664" s="5">
        <f t="shared" si="353"/>
        <v>41138</v>
      </c>
      <c r="D664" s="6">
        <v>41138</v>
      </c>
      <c r="E664" s="6">
        <v>43011</v>
      </c>
      <c r="F664" s="6" t="s">
        <v>1606</v>
      </c>
      <c r="G664" s="7"/>
      <c r="H664" s="7"/>
      <c r="I664" s="7" t="s">
        <v>32</v>
      </c>
      <c r="J664" s="7"/>
      <c r="K664" s="53">
        <v>444618</v>
      </c>
      <c r="L664" s="54" t="s">
        <v>1427</v>
      </c>
      <c r="M664" s="54" t="s">
        <v>307</v>
      </c>
      <c r="N664" s="54" t="s">
        <v>2058</v>
      </c>
      <c r="O664" s="55" t="s">
        <v>2339</v>
      </c>
      <c r="P664" s="12">
        <v>43455</v>
      </c>
      <c r="Q664" s="13">
        <f t="shared" ca="1" si="355"/>
        <v>6.754277891854894</v>
      </c>
      <c r="R664" s="14">
        <v>0</v>
      </c>
      <c r="S664" s="15">
        <v>872</v>
      </c>
      <c r="T664" s="8">
        <v>872</v>
      </c>
      <c r="U664" s="102">
        <v>45173</v>
      </c>
      <c r="V664" s="17">
        <v>65</v>
      </c>
      <c r="W664" s="16">
        <v>45382</v>
      </c>
      <c r="X664" s="14">
        <v>192</v>
      </c>
      <c r="Y664" s="18">
        <f t="shared" si="341"/>
        <v>128</v>
      </c>
      <c r="Z664" s="18">
        <f t="shared" si="345"/>
        <v>0.66666666666666663</v>
      </c>
      <c r="AA664" s="18"/>
      <c r="AB664" s="26">
        <v>30</v>
      </c>
      <c r="AC664" s="26"/>
      <c r="AD664" s="26"/>
      <c r="AE664" s="147" t="str">
        <f t="shared" ref="AE664:AE727" si="363">IF(AND(AB664&lt;=25,AB664&gt;=20),"1","0")</f>
        <v>0</v>
      </c>
      <c r="AF664" s="147" t="str">
        <f t="shared" ref="AF664:AF727" si="364">IF(AND(AB664&lt;=30,AB664&gt;=26),"1","0")</f>
        <v>1</v>
      </c>
      <c r="AG664" s="147" t="str">
        <f t="shared" ref="AG664:AG727" si="365">IF(AB664&gt;=31,"1","0")</f>
        <v>0</v>
      </c>
      <c r="AH664" s="147" t="str">
        <f t="shared" si="358"/>
        <v>NO</v>
      </c>
      <c r="AI664" s="147" t="str">
        <f t="shared" si="359"/>
        <v>NO</v>
      </c>
      <c r="AJ664" s="147" t="str">
        <f t="shared" si="360"/>
        <v>NO</v>
      </c>
      <c r="AK664" s="147" t="str">
        <f t="shared" si="361"/>
        <v>NO</v>
      </c>
      <c r="AL664" s="21"/>
      <c r="AM664" s="21">
        <f t="shared" si="362"/>
        <v>8183.0999999999985</v>
      </c>
      <c r="AN664" s="27"/>
      <c r="AO664" s="21">
        <v>1</v>
      </c>
      <c r="AP664" s="21">
        <f t="shared" si="344"/>
        <v>0.66666666666666663</v>
      </c>
      <c r="AQ664" s="149">
        <f t="shared" si="347"/>
        <v>5455.3999999999987</v>
      </c>
      <c r="AR664" s="21">
        <v>5455.3999999999987</v>
      </c>
      <c r="AS664" s="610">
        <v>0</v>
      </c>
      <c r="AT664" s="112">
        <v>0</v>
      </c>
      <c r="AU664" s="4"/>
      <c r="AV664" s="4"/>
      <c r="AW664" s="23" t="e">
        <f>VLOOKUP(K664,#REF!,8,FALSE)</f>
        <v>#REF!</v>
      </c>
      <c r="AX664" s="23" t="e">
        <f>VLOOKUP(K664,#REF!,8,FALSE)</f>
        <v>#REF!</v>
      </c>
      <c r="AY664" s="23" t="e">
        <f>VLOOKUP(K664,#REF!,8,FALSE)</f>
        <v>#REF!</v>
      </c>
      <c r="AZ664" s="4"/>
      <c r="BA664" s="272"/>
      <c r="BB664" s="318">
        <f t="shared" si="348"/>
        <v>5455.3999999999987</v>
      </c>
      <c r="BC664" s="269">
        <f t="shared" si="349"/>
        <v>5455.3999999999987</v>
      </c>
      <c r="BD664" t="str">
        <f t="shared" ref="BD664:BD670" si="366">BG664&amp;BH664&amp;BI664</f>
        <v/>
      </c>
      <c r="BP664" s="166">
        <f t="shared" si="356"/>
        <v>5455.3999999999987</v>
      </c>
      <c r="BS664" s="165"/>
      <c r="BX664" s="495">
        <f t="shared" si="350"/>
        <v>5455.3999999999987</v>
      </c>
      <c r="BZ664" s="636">
        <f t="shared" si="351"/>
        <v>0</v>
      </c>
      <c r="CA664" s="633">
        <f t="shared" si="352"/>
        <v>5455.3999999999987</v>
      </c>
    </row>
    <row r="665" spans="1:79" x14ac:dyDescent="0.2">
      <c r="A665" s="4">
        <v>1</v>
      </c>
      <c r="B665" s="4">
        <v>1</v>
      </c>
      <c r="C665" s="5">
        <f t="shared" si="353"/>
        <v>41138</v>
      </c>
      <c r="D665" s="6">
        <v>41138</v>
      </c>
      <c r="E665" s="6">
        <v>43011</v>
      </c>
      <c r="F665" s="6" t="s">
        <v>1606</v>
      </c>
      <c r="G665" s="7"/>
      <c r="H665" s="7"/>
      <c r="I665" s="7" t="s">
        <v>32</v>
      </c>
      <c r="J665" s="7"/>
      <c r="K665" s="53">
        <v>421432</v>
      </c>
      <c r="L665" s="54" t="s">
        <v>1427</v>
      </c>
      <c r="M665" s="54" t="s">
        <v>307</v>
      </c>
      <c r="N665" s="54" t="s">
        <v>1435</v>
      </c>
      <c r="O665" s="55" t="s">
        <v>1436</v>
      </c>
      <c r="P665" s="12">
        <v>42178</v>
      </c>
      <c r="Q665" s="13">
        <f t="shared" ca="1" si="355"/>
        <v>10.250513347022586</v>
      </c>
      <c r="R665" s="14">
        <v>3</v>
      </c>
      <c r="S665" s="15">
        <v>872</v>
      </c>
      <c r="T665" s="8">
        <v>872</v>
      </c>
      <c r="U665" s="16">
        <v>45017</v>
      </c>
      <c r="V665" s="17">
        <v>1</v>
      </c>
      <c r="W665" s="16">
        <v>45382</v>
      </c>
      <c r="X665" s="14">
        <v>192</v>
      </c>
      <c r="Y665" s="18">
        <f t="shared" si="341"/>
        <v>192</v>
      </c>
      <c r="Z665" s="18">
        <f t="shared" si="345"/>
        <v>1</v>
      </c>
      <c r="AA665" s="18" t="s">
        <v>36</v>
      </c>
      <c r="AB665" s="26">
        <v>27</v>
      </c>
      <c r="AC665" s="26"/>
      <c r="AD665" s="26"/>
      <c r="AE665" s="147" t="str">
        <f t="shared" si="363"/>
        <v>0</v>
      </c>
      <c r="AF665" s="147" t="str">
        <f t="shared" si="364"/>
        <v>1</v>
      </c>
      <c r="AG665" s="147" t="str">
        <f t="shared" si="365"/>
        <v>0</v>
      </c>
      <c r="AH665" s="147" t="str">
        <f t="shared" si="358"/>
        <v>NO</v>
      </c>
      <c r="AI665" s="147" t="str">
        <f t="shared" si="359"/>
        <v>NO</v>
      </c>
      <c r="AJ665" s="147" t="str">
        <f t="shared" si="360"/>
        <v>NO</v>
      </c>
      <c r="AK665" s="147" t="str">
        <f t="shared" si="361"/>
        <v>NO</v>
      </c>
      <c r="AL665" s="21"/>
      <c r="AM665" s="21">
        <f t="shared" si="362"/>
        <v>6764.7899999999991</v>
      </c>
      <c r="AN665" s="27" t="s">
        <v>37</v>
      </c>
      <c r="AO665" s="21">
        <v>1</v>
      </c>
      <c r="AP665" s="21">
        <f t="shared" si="344"/>
        <v>1</v>
      </c>
      <c r="AQ665" s="149">
        <f t="shared" si="347"/>
        <v>6764.7899999999991</v>
      </c>
      <c r="AR665" s="21">
        <v>6764.7899999999991</v>
      </c>
      <c r="AS665" s="610">
        <v>0</v>
      </c>
      <c r="AT665" s="112">
        <v>6764.7899999999991</v>
      </c>
      <c r="AU665" s="4"/>
      <c r="AV665" s="4"/>
      <c r="AW665" s="23" t="e">
        <f>VLOOKUP(K665,#REF!,8,FALSE)</f>
        <v>#REF!</v>
      </c>
      <c r="AX665" s="23" t="e">
        <f>VLOOKUP(K665,#REF!,8,FALSE)</f>
        <v>#REF!</v>
      </c>
      <c r="AY665" s="23" t="e">
        <f>VLOOKUP(K665,#REF!,8,FALSE)</f>
        <v>#REF!</v>
      </c>
      <c r="AZ665" s="4"/>
      <c r="BA665" s="272"/>
      <c r="BB665" s="318">
        <f t="shared" si="348"/>
        <v>0</v>
      </c>
      <c r="BC665" s="269">
        <f t="shared" si="349"/>
        <v>6764.7899999999991</v>
      </c>
      <c r="BD665" t="str">
        <f t="shared" si="366"/>
        <v/>
      </c>
      <c r="BP665" s="166">
        <f t="shared" si="356"/>
        <v>6764.7899999999991</v>
      </c>
      <c r="BS665" s="165"/>
      <c r="BX665" s="495">
        <f t="shared" si="350"/>
        <v>6764.7899999999991</v>
      </c>
      <c r="BZ665" s="636">
        <f t="shared" si="351"/>
        <v>0</v>
      </c>
      <c r="CA665" s="633">
        <f t="shared" si="352"/>
        <v>6764.7899999999991</v>
      </c>
    </row>
    <row r="666" spans="1:79" x14ac:dyDescent="0.2">
      <c r="A666" s="4">
        <v>1</v>
      </c>
      <c r="B666" s="4">
        <v>1</v>
      </c>
      <c r="C666" s="5">
        <f t="shared" si="353"/>
        <v>41138</v>
      </c>
      <c r="D666" s="6">
        <v>41138</v>
      </c>
      <c r="E666" s="6">
        <v>43011</v>
      </c>
      <c r="F666" s="6" t="s">
        <v>1606</v>
      </c>
      <c r="G666" s="7"/>
      <c r="H666" s="7"/>
      <c r="I666" s="7" t="s">
        <v>32</v>
      </c>
      <c r="J666" s="7"/>
      <c r="K666" s="53">
        <v>416045</v>
      </c>
      <c r="L666" s="54" t="s">
        <v>1427</v>
      </c>
      <c r="M666" s="54" t="s">
        <v>189</v>
      </c>
      <c r="N666" s="54" t="s">
        <v>1437</v>
      </c>
      <c r="O666" s="55" t="s">
        <v>1438</v>
      </c>
      <c r="P666" s="12">
        <v>42130</v>
      </c>
      <c r="Q666" s="13">
        <f t="shared" ca="1" si="355"/>
        <v>10.381930184804927</v>
      </c>
      <c r="R666" s="14">
        <v>3</v>
      </c>
      <c r="S666" s="15">
        <v>872</v>
      </c>
      <c r="T666" s="8">
        <v>872</v>
      </c>
      <c r="U666" s="16">
        <v>45017</v>
      </c>
      <c r="V666" s="17">
        <v>1</v>
      </c>
      <c r="W666" s="16">
        <v>45382</v>
      </c>
      <c r="X666" s="14">
        <v>192</v>
      </c>
      <c r="Y666" s="18">
        <f t="shared" si="341"/>
        <v>192</v>
      </c>
      <c r="Z666" s="18">
        <f t="shared" si="345"/>
        <v>1</v>
      </c>
      <c r="AA666" s="18" t="s">
        <v>36</v>
      </c>
      <c r="AB666" s="26">
        <v>21</v>
      </c>
      <c r="AC666" s="26"/>
      <c r="AD666" s="26"/>
      <c r="AE666" s="147" t="str">
        <f t="shared" si="363"/>
        <v>1</v>
      </c>
      <c r="AF666" s="147" t="str">
        <f t="shared" si="364"/>
        <v>0</v>
      </c>
      <c r="AG666" s="147" t="str">
        <f t="shared" si="365"/>
        <v>0</v>
      </c>
      <c r="AH666" s="147" t="str">
        <f t="shared" si="358"/>
        <v>NO</v>
      </c>
      <c r="AI666" s="147" t="str">
        <f t="shared" si="359"/>
        <v>NO</v>
      </c>
      <c r="AJ666" s="147" t="str">
        <f t="shared" si="360"/>
        <v>NO</v>
      </c>
      <c r="AK666" s="147" t="str">
        <f t="shared" si="361"/>
        <v>NO</v>
      </c>
      <c r="AL666" s="21"/>
      <c r="AM666" s="21">
        <f t="shared" si="362"/>
        <v>3928.17</v>
      </c>
      <c r="AN666" s="27" t="s">
        <v>37</v>
      </c>
      <c r="AO666" s="21">
        <v>1</v>
      </c>
      <c r="AP666" s="21">
        <f t="shared" si="344"/>
        <v>1</v>
      </c>
      <c r="AQ666" s="149">
        <f t="shared" si="347"/>
        <v>3928.17</v>
      </c>
      <c r="AR666" s="21">
        <v>3928.17</v>
      </c>
      <c r="AS666" s="610">
        <v>3928.17</v>
      </c>
      <c r="AT666" s="112">
        <v>3928.17</v>
      </c>
      <c r="AU666" s="4"/>
      <c r="AV666" s="4"/>
      <c r="AW666" s="23" t="e">
        <f>VLOOKUP(K666,#REF!,8,FALSE)</f>
        <v>#REF!</v>
      </c>
      <c r="AX666" s="23" t="e">
        <f>VLOOKUP(K666,#REF!,8,FALSE)</f>
        <v>#REF!</v>
      </c>
      <c r="AY666" s="23" t="e">
        <f>VLOOKUP(K666,#REF!,8,FALSE)</f>
        <v>#REF!</v>
      </c>
      <c r="AZ666" s="4"/>
      <c r="BA666" s="272"/>
      <c r="BB666" s="318">
        <f t="shared" si="348"/>
        <v>0</v>
      </c>
      <c r="BC666" s="269">
        <f t="shared" si="349"/>
        <v>3928.17</v>
      </c>
      <c r="BD666" t="str">
        <f t="shared" si="366"/>
        <v/>
      </c>
      <c r="BP666" s="166">
        <f t="shared" si="356"/>
        <v>3928.17</v>
      </c>
      <c r="BS666" s="165"/>
      <c r="BX666" s="495">
        <f t="shared" si="350"/>
        <v>3928.17</v>
      </c>
      <c r="BZ666" s="636">
        <f t="shared" si="351"/>
        <v>0</v>
      </c>
      <c r="CA666" s="633">
        <f t="shared" si="352"/>
        <v>0</v>
      </c>
    </row>
    <row r="667" spans="1:79" x14ac:dyDescent="0.2">
      <c r="A667" s="4">
        <v>1</v>
      </c>
      <c r="B667" s="4">
        <v>1</v>
      </c>
      <c r="C667" s="5">
        <f t="shared" si="353"/>
        <v>41138</v>
      </c>
      <c r="D667" s="6">
        <v>41138</v>
      </c>
      <c r="E667" s="6">
        <v>43011</v>
      </c>
      <c r="F667" s="6" t="s">
        <v>1606</v>
      </c>
      <c r="G667" s="7"/>
      <c r="H667" s="7"/>
      <c r="I667" s="7" t="s">
        <v>32</v>
      </c>
      <c r="J667" s="7"/>
      <c r="K667" s="29">
        <v>428200</v>
      </c>
      <c r="L667" s="10" t="s">
        <v>1427</v>
      </c>
      <c r="M667" s="10" t="s">
        <v>343</v>
      </c>
      <c r="N667" s="10" t="s">
        <v>1439</v>
      </c>
      <c r="O667" s="11" t="s">
        <v>1440</v>
      </c>
      <c r="P667" s="12">
        <v>42608</v>
      </c>
      <c r="Q667" s="13">
        <f t="shared" ca="1" si="355"/>
        <v>9.073237508555783</v>
      </c>
      <c r="R667" s="14">
        <v>2</v>
      </c>
      <c r="S667" s="15">
        <v>872</v>
      </c>
      <c r="T667" s="8">
        <v>872</v>
      </c>
      <c r="U667" s="16">
        <v>45017</v>
      </c>
      <c r="V667" s="17">
        <v>1</v>
      </c>
      <c r="W667" s="16">
        <v>45382</v>
      </c>
      <c r="X667" s="14">
        <v>192</v>
      </c>
      <c r="Y667" s="18">
        <f t="shared" si="341"/>
        <v>192</v>
      </c>
      <c r="Z667" s="18">
        <f t="shared" si="345"/>
        <v>1</v>
      </c>
      <c r="AA667" s="18" t="s">
        <v>36</v>
      </c>
      <c r="AB667" s="26">
        <v>27</v>
      </c>
      <c r="AC667" s="26"/>
      <c r="AD667" s="26"/>
      <c r="AE667" s="147" t="str">
        <f t="shared" si="363"/>
        <v>0</v>
      </c>
      <c r="AF667" s="147" t="str">
        <f t="shared" si="364"/>
        <v>1</v>
      </c>
      <c r="AG667" s="147" t="str">
        <f t="shared" si="365"/>
        <v>0</v>
      </c>
      <c r="AH667" s="147" t="str">
        <f t="shared" si="358"/>
        <v>NO</v>
      </c>
      <c r="AI667" s="147" t="str">
        <f t="shared" si="359"/>
        <v>NO</v>
      </c>
      <c r="AJ667" s="147" t="str">
        <f t="shared" si="360"/>
        <v>NO</v>
      </c>
      <c r="AK667" s="147" t="str">
        <f t="shared" si="361"/>
        <v>NO</v>
      </c>
      <c r="AL667" s="21"/>
      <c r="AM667" s="21">
        <f t="shared" si="362"/>
        <v>6764.7899999999991</v>
      </c>
      <c r="AN667" s="27" t="s">
        <v>37</v>
      </c>
      <c r="AO667" s="21">
        <v>1</v>
      </c>
      <c r="AP667" s="21">
        <f t="shared" si="344"/>
        <v>1</v>
      </c>
      <c r="AQ667" s="149">
        <f t="shared" si="347"/>
        <v>6764.7899999999991</v>
      </c>
      <c r="AR667" s="21">
        <v>6764.7899999999991</v>
      </c>
      <c r="AS667" s="610">
        <v>6764.7899999999991</v>
      </c>
      <c r="AT667" s="112">
        <v>6764.7899999999991</v>
      </c>
      <c r="AU667" s="4"/>
      <c r="AV667" s="4"/>
      <c r="AW667" s="23" t="e">
        <f>VLOOKUP(K667,#REF!,8,FALSE)</f>
        <v>#REF!</v>
      </c>
      <c r="AX667" s="23" t="e">
        <f>VLOOKUP(K667,#REF!,8,FALSE)</f>
        <v>#REF!</v>
      </c>
      <c r="AY667" s="23" t="e">
        <f>VLOOKUP(K667,#REF!,8,FALSE)</f>
        <v>#REF!</v>
      </c>
      <c r="AZ667" s="4"/>
      <c r="BA667" s="272"/>
      <c r="BB667" s="318">
        <f t="shared" si="348"/>
        <v>0</v>
      </c>
      <c r="BC667" s="269">
        <f t="shared" si="349"/>
        <v>6764.7899999999991</v>
      </c>
      <c r="BD667" t="str">
        <f t="shared" si="366"/>
        <v/>
      </c>
      <c r="BP667" s="166">
        <f t="shared" si="356"/>
        <v>6764.7899999999991</v>
      </c>
      <c r="BS667" s="165"/>
      <c r="BX667" s="495">
        <f t="shared" si="350"/>
        <v>6764.7899999999991</v>
      </c>
      <c r="BZ667" s="636">
        <f t="shared" si="351"/>
        <v>0</v>
      </c>
      <c r="CA667" s="633">
        <f t="shared" si="352"/>
        <v>0</v>
      </c>
    </row>
    <row r="668" spans="1:79" x14ac:dyDescent="0.2">
      <c r="A668" s="4">
        <v>1</v>
      </c>
      <c r="B668" s="4">
        <v>1</v>
      </c>
      <c r="C668" s="5">
        <f t="shared" si="353"/>
        <v>41138</v>
      </c>
      <c r="D668" s="6">
        <v>41138</v>
      </c>
      <c r="E668" s="6">
        <v>43011</v>
      </c>
      <c r="F668" s="6" t="s">
        <v>1606</v>
      </c>
      <c r="G668" s="7"/>
      <c r="H668" s="7"/>
      <c r="I668" s="7" t="s">
        <v>32</v>
      </c>
      <c r="J668" s="7"/>
      <c r="K668" s="29">
        <v>414826</v>
      </c>
      <c r="L668" s="10" t="s">
        <v>1427</v>
      </c>
      <c r="M668" s="10" t="s">
        <v>1350</v>
      </c>
      <c r="N668" s="10" t="s">
        <v>1441</v>
      </c>
      <c r="O668" s="11" t="s">
        <v>1442</v>
      </c>
      <c r="P668" s="12">
        <v>41784</v>
      </c>
      <c r="Q668" s="13">
        <f t="shared" ca="1" si="355"/>
        <v>11.329226557152635</v>
      </c>
      <c r="R668" s="14">
        <v>4</v>
      </c>
      <c r="S668" s="15">
        <v>872</v>
      </c>
      <c r="T668" s="8">
        <v>872</v>
      </c>
      <c r="U668" s="16">
        <v>45017</v>
      </c>
      <c r="V668" s="17">
        <v>1</v>
      </c>
      <c r="W668" s="16">
        <v>45382</v>
      </c>
      <c r="X668" s="14">
        <v>192</v>
      </c>
      <c r="Y668" s="18">
        <f t="shared" si="341"/>
        <v>192</v>
      </c>
      <c r="Z668" s="18">
        <f t="shared" si="345"/>
        <v>1</v>
      </c>
      <c r="AA668" s="18" t="s">
        <v>36</v>
      </c>
      <c r="AB668" s="26">
        <v>25</v>
      </c>
      <c r="AC668" s="26"/>
      <c r="AD668" s="26"/>
      <c r="AE668" s="147" t="str">
        <f t="shared" si="363"/>
        <v>1</v>
      </c>
      <c r="AF668" s="147" t="str">
        <f t="shared" si="364"/>
        <v>0</v>
      </c>
      <c r="AG668" s="147" t="str">
        <f t="shared" si="365"/>
        <v>0</v>
      </c>
      <c r="AH668" s="147" t="str">
        <f t="shared" si="358"/>
        <v>NO</v>
      </c>
      <c r="AI668" s="147" t="str">
        <f t="shared" si="359"/>
        <v>NO</v>
      </c>
      <c r="AJ668" s="147" t="str">
        <f t="shared" si="360"/>
        <v>NO</v>
      </c>
      <c r="AK668" s="147" t="str">
        <f t="shared" si="361"/>
        <v>NO</v>
      </c>
      <c r="AL668" s="21"/>
      <c r="AM668" s="21">
        <f t="shared" si="362"/>
        <v>5819.25</v>
      </c>
      <c r="AN668" s="27" t="s">
        <v>56</v>
      </c>
      <c r="AO668" s="21">
        <v>1</v>
      </c>
      <c r="AP668" s="21">
        <f t="shared" si="344"/>
        <v>1</v>
      </c>
      <c r="AQ668" s="149">
        <f t="shared" si="347"/>
        <v>5819.25</v>
      </c>
      <c r="AR668" s="21">
        <v>5819.25</v>
      </c>
      <c r="AS668" s="610">
        <v>5819.25</v>
      </c>
      <c r="AT668" s="112">
        <v>5819.25</v>
      </c>
      <c r="AU668" s="4"/>
      <c r="AV668" s="4"/>
      <c r="AW668" s="23" t="e">
        <f>VLOOKUP(K668,#REF!,8,FALSE)</f>
        <v>#REF!</v>
      </c>
      <c r="AX668" s="23" t="e">
        <f>VLOOKUP(K668,#REF!,8,FALSE)</f>
        <v>#REF!</v>
      </c>
      <c r="AY668" s="23" t="e">
        <f>VLOOKUP(K668,#REF!,8,FALSE)</f>
        <v>#REF!</v>
      </c>
      <c r="AZ668" s="4"/>
      <c r="BA668" s="272"/>
      <c r="BB668" s="318">
        <f t="shared" si="348"/>
        <v>0</v>
      </c>
      <c r="BC668" s="269">
        <f t="shared" si="349"/>
        <v>5819.25</v>
      </c>
      <c r="BD668" t="str">
        <f t="shared" si="366"/>
        <v/>
      </c>
      <c r="BP668" s="166">
        <f t="shared" si="356"/>
        <v>5819.25</v>
      </c>
      <c r="BS668" s="165"/>
      <c r="BX668" s="495">
        <f t="shared" si="350"/>
        <v>5819.25</v>
      </c>
      <c r="BZ668" s="636">
        <f t="shared" si="351"/>
        <v>0</v>
      </c>
      <c r="CA668" s="633">
        <f t="shared" si="352"/>
        <v>0</v>
      </c>
    </row>
    <row r="669" spans="1:79" x14ac:dyDescent="0.2">
      <c r="A669" s="4">
        <v>1</v>
      </c>
      <c r="B669" s="4">
        <v>1</v>
      </c>
      <c r="C669" s="5">
        <f t="shared" si="353"/>
        <v>41138</v>
      </c>
      <c r="D669" s="6">
        <v>41138</v>
      </c>
      <c r="E669" s="6">
        <v>43011</v>
      </c>
      <c r="F669" s="6" t="s">
        <v>1606</v>
      </c>
      <c r="G669" s="7"/>
      <c r="H669" s="7"/>
      <c r="I669" s="7" t="s">
        <v>32</v>
      </c>
      <c r="J669" s="7"/>
      <c r="K669" s="29">
        <v>411586</v>
      </c>
      <c r="L669" s="10" t="s">
        <v>1427</v>
      </c>
      <c r="M669" s="10" t="s">
        <v>708</v>
      </c>
      <c r="N669" s="10" t="s">
        <v>1344</v>
      </c>
      <c r="O669" s="11" t="s">
        <v>1443</v>
      </c>
      <c r="P669" s="12">
        <v>41534</v>
      </c>
      <c r="Q669" s="13">
        <f t="shared" ca="1" si="355"/>
        <v>12.013689253935661</v>
      </c>
      <c r="R669" s="14">
        <v>4</v>
      </c>
      <c r="S669" s="15">
        <v>872</v>
      </c>
      <c r="T669" s="8">
        <v>872</v>
      </c>
      <c r="U669" s="16">
        <v>45017</v>
      </c>
      <c r="V669" s="17">
        <v>1</v>
      </c>
      <c r="W669" s="16">
        <v>45382</v>
      </c>
      <c r="X669" s="14">
        <v>192</v>
      </c>
      <c r="Y669" s="18">
        <f t="shared" si="341"/>
        <v>192</v>
      </c>
      <c r="Z669" s="18">
        <f t="shared" si="345"/>
        <v>1</v>
      </c>
      <c r="AA669" s="18" t="s">
        <v>36</v>
      </c>
      <c r="AB669" s="26">
        <v>25</v>
      </c>
      <c r="AC669" s="26"/>
      <c r="AD669" s="26"/>
      <c r="AE669" s="147" t="str">
        <f t="shared" si="363"/>
        <v>1</v>
      </c>
      <c r="AF669" s="147" t="str">
        <f t="shared" si="364"/>
        <v>0</v>
      </c>
      <c r="AG669" s="147" t="str">
        <f t="shared" si="365"/>
        <v>0</v>
      </c>
      <c r="AH669" s="147" t="str">
        <f t="shared" si="358"/>
        <v>NO</v>
      </c>
      <c r="AI669" s="147" t="str">
        <f t="shared" si="359"/>
        <v>NO</v>
      </c>
      <c r="AJ669" s="147" t="str">
        <f t="shared" si="360"/>
        <v>NO</v>
      </c>
      <c r="AK669" s="147" t="str">
        <f t="shared" si="361"/>
        <v>NO</v>
      </c>
      <c r="AL669" s="21"/>
      <c r="AM669" s="21">
        <f t="shared" si="362"/>
        <v>5819.25</v>
      </c>
      <c r="AN669" s="27" t="s">
        <v>37</v>
      </c>
      <c r="AO669" s="21">
        <v>1</v>
      </c>
      <c r="AP669" s="21">
        <f t="shared" si="344"/>
        <v>1</v>
      </c>
      <c r="AQ669" s="149">
        <f t="shared" si="347"/>
        <v>5819.25</v>
      </c>
      <c r="AR669" s="21">
        <v>5819.25</v>
      </c>
      <c r="AS669" s="610">
        <v>5819.25</v>
      </c>
      <c r="AT669" s="112">
        <v>5819.25</v>
      </c>
      <c r="AU669" s="4"/>
      <c r="AV669" s="4"/>
      <c r="AW669" s="23" t="e">
        <f>VLOOKUP(K669,#REF!,8,FALSE)</f>
        <v>#REF!</v>
      </c>
      <c r="AX669" s="23" t="e">
        <f>VLOOKUP(K669,#REF!,8,FALSE)</f>
        <v>#REF!</v>
      </c>
      <c r="AY669" s="23" t="e">
        <f>VLOOKUP(K669,#REF!,8,FALSE)</f>
        <v>#REF!</v>
      </c>
      <c r="AZ669" s="4"/>
      <c r="BA669" s="272"/>
      <c r="BB669" s="318">
        <f t="shared" si="348"/>
        <v>0</v>
      </c>
      <c r="BC669" s="269">
        <f t="shared" si="349"/>
        <v>5819.25</v>
      </c>
      <c r="BD669" t="str">
        <f t="shared" si="366"/>
        <v/>
      </c>
      <c r="BP669" s="166">
        <f t="shared" si="356"/>
        <v>5819.25</v>
      </c>
      <c r="BS669" s="165"/>
      <c r="BX669" s="495">
        <f t="shared" si="350"/>
        <v>5819.25</v>
      </c>
      <c r="BZ669" s="636">
        <f t="shared" si="351"/>
        <v>0</v>
      </c>
      <c r="CA669" s="633">
        <f t="shared" si="352"/>
        <v>0</v>
      </c>
    </row>
    <row r="670" spans="1:79" x14ac:dyDescent="0.2">
      <c r="A670" s="4">
        <v>0</v>
      </c>
      <c r="B670" s="4">
        <v>1</v>
      </c>
      <c r="C670" s="5">
        <f t="shared" si="353"/>
        <v>41138</v>
      </c>
      <c r="D670" s="6">
        <v>41138</v>
      </c>
      <c r="E670" s="6">
        <v>43011</v>
      </c>
      <c r="F670" s="6" t="s">
        <v>1606</v>
      </c>
      <c r="G670" s="7"/>
      <c r="H670" s="7"/>
      <c r="I670" s="7" t="s">
        <v>32</v>
      </c>
      <c r="J670" s="7"/>
      <c r="K670" s="29">
        <v>409483</v>
      </c>
      <c r="L670" s="10" t="s">
        <v>1427</v>
      </c>
      <c r="M670" s="10" t="s">
        <v>583</v>
      </c>
      <c r="N670" s="10" t="s">
        <v>1444</v>
      </c>
      <c r="O670" s="11" t="s">
        <v>1445</v>
      </c>
      <c r="P670" s="12">
        <v>41416</v>
      </c>
      <c r="Q670" s="13">
        <f t="shared" ca="1" si="355"/>
        <v>12.336755646817249</v>
      </c>
      <c r="R670" s="14">
        <v>5</v>
      </c>
      <c r="S670" s="15">
        <v>872</v>
      </c>
      <c r="T670" s="8">
        <v>872</v>
      </c>
      <c r="U670" s="16">
        <v>45017</v>
      </c>
      <c r="V670" s="17">
        <v>1</v>
      </c>
      <c r="W670" s="16">
        <v>45017</v>
      </c>
      <c r="X670" s="14">
        <v>0</v>
      </c>
      <c r="Y670" s="18">
        <f t="shared" si="341"/>
        <v>0</v>
      </c>
      <c r="Z670" s="18">
        <f t="shared" si="345"/>
        <v>0</v>
      </c>
      <c r="AA670" s="16">
        <v>44932</v>
      </c>
      <c r="AB670" s="26">
        <v>30</v>
      </c>
      <c r="AC670" s="26"/>
      <c r="AD670" s="26"/>
      <c r="AE670" s="147" t="str">
        <f t="shared" si="363"/>
        <v>0</v>
      </c>
      <c r="AF670" s="147" t="str">
        <f t="shared" si="364"/>
        <v>1</v>
      </c>
      <c r="AG670" s="147" t="str">
        <f t="shared" si="365"/>
        <v>0</v>
      </c>
      <c r="AH670" s="147" t="str">
        <f t="shared" si="358"/>
        <v>NO</v>
      </c>
      <c r="AI670" s="147" t="str">
        <f t="shared" si="359"/>
        <v>NO</v>
      </c>
      <c r="AJ670" s="147" t="str">
        <f t="shared" si="360"/>
        <v>NO</v>
      </c>
      <c r="AK670" s="147" t="str">
        <f t="shared" si="361"/>
        <v>NO</v>
      </c>
      <c r="AL670" s="21"/>
      <c r="AM670" s="21">
        <f t="shared" si="362"/>
        <v>8183.0999999999985</v>
      </c>
      <c r="AN670" s="27" t="s">
        <v>43</v>
      </c>
      <c r="AO670" s="21">
        <v>1</v>
      </c>
      <c r="AP670" s="21">
        <f t="shared" ref="AP670:AP701" si="367">AO670*Z670</f>
        <v>0</v>
      </c>
      <c r="AQ670" s="149">
        <f t="shared" si="347"/>
        <v>0</v>
      </c>
      <c r="AR670" s="21">
        <v>0</v>
      </c>
      <c r="AS670" s="610">
        <v>8183.0999999999985</v>
      </c>
      <c r="AT670" s="112">
        <v>0</v>
      </c>
      <c r="AU670" s="4" t="s">
        <v>2200</v>
      </c>
      <c r="AV670" s="4"/>
      <c r="AW670" s="23" t="e">
        <f>VLOOKUP(K670,#REF!,8,FALSE)</f>
        <v>#REF!</v>
      </c>
      <c r="AX670" s="23" t="e">
        <f>VLOOKUP(K670,#REF!,8,FALSE)</f>
        <v>#REF!</v>
      </c>
      <c r="AY670" s="23" t="e">
        <f>VLOOKUP(K670,#REF!,8,FALSE)</f>
        <v>#REF!</v>
      </c>
      <c r="AZ670" s="4"/>
      <c r="BA670" s="272"/>
      <c r="BB670" s="318">
        <f t="shared" si="348"/>
        <v>0</v>
      </c>
      <c r="BC670" s="269">
        <f t="shared" si="349"/>
        <v>0</v>
      </c>
      <c r="BD670" t="str">
        <f t="shared" si="366"/>
        <v/>
      </c>
      <c r="BP670" s="166">
        <f t="shared" si="356"/>
        <v>0</v>
      </c>
      <c r="BS670" s="165"/>
      <c r="BX670" s="495">
        <f t="shared" si="350"/>
        <v>0</v>
      </c>
      <c r="BZ670" s="636">
        <f t="shared" si="351"/>
        <v>0</v>
      </c>
      <c r="CA670" s="633">
        <f t="shared" si="352"/>
        <v>-8183.0999999999985</v>
      </c>
    </row>
    <row r="671" spans="1:79" x14ac:dyDescent="0.2">
      <c r="A671" s="4">
        <v>1</v>
      </c>
      <c r="B671" s="4">
        <v>1</v>
      </c>
      <c r="C671" s="5">
        <f t="shared" si="353"/>
        <v>41138</v>
      </c>
      <c r="D671" s="6">
        <v>41138</v>
      </c>
      <c r="E671" s="6">
        <v>43011</v>
      </c>
      <c r="F671" s="6" t="s">
        <v>1606</v>
      </c>
      <c r="G671" s="7"/>
      <c r="H671" s="7"/>
      <c r="I671" s="7" t="s">
        <v>32</v>
      </c>
      <c r="J671" s="7"/>
      <c r="K671" s="29">
        <v>437276</v>
      </c>
      <c r="L671" s="10" t="s">
        <v>1427</v>
      </c>
      <c r="M671" s="10" t="s">
        <v>99</v>
      </c>
      <c r="N671" s="10" t="s">
        <v>2349</v>
      </c>
      <c r="O671" s="11" t="s">
        <v>2504</v>
      </c>
      <c r="P671" s="12">
        <v>43242</v>
      </c>
      <c r="Q671" s="13">
        <f t="shared" ca="1" si="355"/>
        <v>7.3374401095140316</v>
      </c>
      <c r="R671" s="14">
        <v>0</v>
      </c>
      <c r="S671" s="15">
        <v>872</v>
      </c>
      <c r="T671" s="8">
        <v>872</v>
      </c>
      <c r="U671" s="16">
        <v>45033</v>
      </c>
      <c r="V671" s="17">
        <v>2</v>
      </c>
      <c r="W671" s="16">
        <v>45382</v>
      </c>
      <c r="X671" s="14">
        <v>192</v>
      </c>
      <c r="Y671" s="18">
        <f t="shared" si="341"/>
        <v>191</v>
      </c>
      <c r="Z671" s="18">
        <f t="shared" ref="Z671:Z674" si="368">Y671/192</f>
        <v>0.99479166666666663</v>
      </c>
      <c r="AA671" s="16" t="s">
        <v>36</v>
      </c>
      <c r="AB671" s="26">
        <v>22</v>
      </c>
      <c r="AC671" s="26"/>
      <c r="AD671" s="26"/>
      <c r="AE671" s="147" t="str">
        <f t="shared" si="363"/>
        <v>1</v>
      </c>
      <c r="AF671" s="147" t="str">
        <f t="shared" si="364"/>
        <v>0</v>
      </c>
      <c r="AG671" s="147" t="str">
        <f t="shared" si="365"/>
        <v>0</v>
      </c>
      <c r="AH671" s="147" t="str">
        <f t="shared" si="358"/>
        <v>NO</v>
      </c>
      <c r="AI671" s="147" t="str">
        <f t="shared" si="359"/>
        <v>NO</v>
      </c>
      <c r="AJ671" s="147" t="str">
        <f t="shared" si="360"/>
        <v>NO</v>
      </c>
      <c r="AK671" s="147" t="str">
        <f t="shared" si="361"/>
        <v>NO</v>
      </c>
      <c r="AL671" s="21"/>
      <c r="AM671" s="21">
        <f t="shared" si="362"/>
        <v>4400.9399999999987</v>
      </c>
      <c r="AN671" s="27"/>
      <c r="AO671" s="21">
        <v>1</v>
      </c>
      <c r="AP671" s="21">
        <f t="shared" si="367"/>
        <v>0.99479166666666663</v>
      </c>
      <c r="AQ671" s="149">
        <f t="shared" si="347"/>
        <v>4378.018437499999</v>
      </c>
      <c r="AR671" s="21"/>
      <c r="AS671" s="610">
        <v>0</v>
      </c>
      <c r="AT671" s="112"/>
      <c r="AU671" s="4"/>
      <c r="AV671" s="4"/>
      <c r="AW671" s="23" t="e">
        <f>VLOOKUP(K671,#REF!,8,FALSE)</f>
        <v>#REF!</v>
      </c>
      <c r="AX671" s="23" t="e">
        <f>VLOOKUP(K671,#REF!,8,FALSE)</f>
        <v>#REF!</v>
      </c>
      <c r="AY671" s="23" t="e">
        <f>VLOOKUP(K671,#REF!,8,FALSE)</f>
        <v>#REF!</v>
      </c>
      <c r="AZ671" s="4"/>
      <c r="BA671" s="272"/>
      <c r="BB671" s="318"/>
      <c r="BC671" s="269"/>
      <c r="BP671" s="166"/>
      <c r="BS671" s="165"/>
      <c r="BX671" s="495">
        <f t="shared" si="350"/>
        <v>4378.018437499999</v>
      </c>
      <c r="BZ671" s="636">
        <f t="shared" si="351"/>
        <v>4378.018437499999</v>
      </c>
      <c r="CA671" s="633">
        <f t="shared" si="352"/>
        <v>4378.018437499999</v>
      </c>
    </row>
    <row r="672" spans="1:79" x14ac:dyDescent="0.2">
      <c r="A672" s="4">
        <v>1</v>
      </c>
      <c r="B672" s="4">
        <v>1</v>
      </c>
      <c r="C672" s="5">
        <f t="shared" si="353"/>
        <v>41138</v>
      </c>
      <c r="D672" s="6">
        <v>41138</v>
      </c>
      <c r="E672" s="6">
        <v>43011</v>
      </c>
      <c r="F672" s="6" t="s">
        <v>1606</v>
      </c>
      <c r="G672" s="7"/>
      <c r="H672" s="7"/>
      <c r="I672" s="7" t="s">
        <v>32</v>
      </c>
      <c r="J672" s="7"/>
      <c r="K672" s="35">
        <v>409474</v>
      </c>
      <c r="L672" s="10" t="s">
        <v>1427</v>
      </c>
      <c r="M672" s="10" t="s">
        <v>1296</v>
      </c>
      <c r="N672" s="10" t="s">
        <v>1446</v>
      </c>
      <c r="O672" s="11" t="s">
        <v>1447</v>
      </c>
      <c r="P672" s="12">
        <v>41121</v>
      </c>
      <c r="Q672" s="13">
        <f t="shared" ca="1" si="355"/>
        <v>13.144421629021219</v>
      </c>
      <c r="R672" s="14">
        <v>6</v>
      </c>
      <c r="S672" s="15">
        <v>872</v>
      </c>
      <c r="T672" s="8">
        <v>872</v>
      </c>
      <c r="U672" s="16">
        <v>45017</v>
      </c>
      <c r="V672" s="17">
        <v>1</v>
      </c>
      <c r="W672" s="16">
        <v>45128</v>
      </c>
      <c r="X672" s="14">
        <v>63</v>
      </c>
      <c r="Y672" s="18">
        <f t="shared" si="341"/>
        <v>63</v>
      </c>
      <c r="Z672" s="18">
        <f t="shared" si="368"/>
        <v>0.328125</v>
      </c>
      <c r="AA672" s="18" t="s">
        <v>48</v>
      </c>
      <c r="AB672" s="26">
        <v>25</v>
      </c>
      <c r="AC672" s="26"/>
      <c r="AD672" s="26"/>
      <c r="AE672" s="147" t="str">
        <f t="shared" si="363"/>
        <v>1</v>
      </c>
      <c r="AF672" s="147" t="str">
        <f t="shared" si="364"/>
        <v>0</v>
      </c>
      <c r="AG672" s="147" t="str">
        <f t="shared" si="365"/>
        <v>0</v>
      </c>
      <c r="AH672" s="147" t="str">
        <f t="shared" si="358"/>
        <v>NO</v>
      </c>
      <c r="AI672" s="147" t="str">
        <f t="shared" si="359"/>
        <v>NO</v>
      </c>
      <c r="AJ672" s="147" t="str">
        <f t="shared" si="360"/>
        <v>NO</v>
      </c>
      <c r="AK672" s="147" t="str">
        <f t="shared" si="361"/>
        <v>NO</v>
      </c>
      <c r="AL672" s="21"/>
      <c r="AM672" s="21">
        <f t="shared" si="362"/>
        <v>5819.25</v>
      </c>
      <c r="AN672" s="27" t="s">
        <v>185</v>
      </c>
      <c r="AO672" s="21">
        <v>1</v>
      </c>
      <c r="AP672" s="21">
        <f t="shared" si="367"/>
        <v>0.328125</v>
      </c>
      <c r="AQ672" s="149">
        <f t="shared" si="347"/>
        <v>1909.44140625</v>
      </c>
      <c r="AR672" s="21">
        <v>1909.44140625</v>
      </c>
      <c r="AS672" s="610">
        <v>1909.44140625</v>
      </c>
      <c r="AT672" s="112">
        <v>1909.44140625</v>
      </c>
      <c r="AU672" s="4"/>
      <c r="AV672" s="4"/>
      <c r="AW672" s="23" t="e">
        <f>VLOOKUP(K672,#REF!,8,FALSE)</f>
        <v>#REF!</v>
      </c>
      <c r="AX672" s="23" t="s">
        <v>239</v>
      </c>
      <c r="AY672" s="23" t="e">
        <f>VLOOKUP(K672,#REF!,8,FALSE)</f>
        <v>#REF!</v>
      </c>
      <c r="AZ672" s="4"/>
      <c r="BA672" s="272"/>
      <c r="BB672" s="318">
        <f t="shared" ref="BB672:BB735" si="369">BC672-AT672</f>
        <v>0</v>
      </c>
      <c r="BC672" s="269">
        <f t="shared" ref="BC672:BC735" si="370">AR672</f>
        <v>1909.44140625</v>
      </c>
      <c r="BD672" t="e">
        <f t="shared" ref="BD672:BD678" si="371">BG672&amp;BH672&amp;BI672</f>
        <v>#REF!</v>
      </c>
      <c r="BE672" t="s">
        <v>2397</v>
      </c>
      <c r="BF672">
        <v>43011</v>
      </c>
      <c r="BH672" t="e">
        <f>VLOOKUP(K672,#REF!,8,FALSE)</f>
        <v>#REF!</v>
      </c>
      <c r="BJ672">
        <f>AB672</f>
        <v>25</v>
      </c>
      <c r="BK672" s="269">
        <f>AM672</f>
        <v>5819.25</v>
      </c>
      <c r="BL672" s="353"/>
      <c r="BM672" s="353" t="s">
        <v>75</v>
      </c>
      <c r="BN672" s="353"/>
      <c r="BO672" s="106">
        <f>BK672/192*127</f>
        <v>3849.19140625</v>
      </c>
      <c r="BP672" s="166">
        <f t="shared" ref="BP672:BP678" si="372">BC672+BO672</f>
        <v>5758.6328125</v>
      </c>
      <c r="BS672" s="165"/>
      <c r="BX672" s="495">
        <f t="shared" si="350"/>
        <v>5758.6328125</v>
      </c>
      <c r="BZ672" s="636">
        <f t="shared" si="351"/>
        <v>0</v>
      </c>
      <c r="CA672" s="633">
        <f t="shared" si="352"/>
        <v>3849.19140625</v>
      </c>
    </row>
    <row r="673" spans="1:79" x14ac:dyDescent="0.2">
      <c r="A673" s="4">
        <v>1</v>
      </c>
      <c r="B673" s="4">
        <v>1</v>
      </c>
      <c r="C673" s="5">
        <f t="shared" si="353"/>
        <v>41138</v>
      </c>
      <c r="D673" s="6">
        <v>41138</v>
      </c>
      <c r="E673" s="6">
        <v>43011</v>
      </c>
      <c r="F673" s="6" t="s">
        <v>1606</v>
      </c>
      <c r="G673" s="7"/>
      <c r="H673" s="7"/>
      <c r="I673" s="7" t="s">
        <v>32</v>
      </c>
      <c r="J673" s="7"/>
      <c r="K673" s="35">
        <v>411538</v>
      </c>
      <c r="L673" s="10" t="s">
        <v>1427</v>
      </c>
      <c r="M673" s="10" t="s">
        <v>322</v>
      </c>
      <c r="N673" s="10" t="s">
        <v>581</v>
      </c>
      <c r="O673" s="11" t="s">
        <v>1448</v>
      </c>
      <c r="P673" s="12">
        <v>41635</v>
      </c>
      <c r="Q673" s="13">
        <f t="shared" ca="1" si="355"/>
        <v>11.737166324435318</v>
      </c>
      <c r="R673" s="14">
        <v>4</v>
      </c>
      <c r="S673" s="15">
        <v>872</v>
      </c>
      <c r="T673" s="8">
        <v>872</v>
      </c>
      <c r="U673" s="16">
        <v>45017</v>
      </c>
      <c r="V673" s="17">
        <v>1</v>
      </c>
      <c r="W673" s="16">
        <v>45382</v>
      </c>
      <c r="X673" s="14">
        <v>192</v>
      </c>
      <c r="Y673" s="18">
        <f t="shared" si="341"/>
        <v>192</v>
      </c>
      <c r="Z673" s="18">
        <f t="shared" si="368"/>
        <v>1</v>
      </c>
      <c r="AA673" s="18" t="s">
        <v>36</v>
      </c>
      <c r="AB673" s="26">
        <v>22</v>
      </c>
      <c r="AC673" s="26"/>
      <c r="AD673" s="26"/>
      <c r="AE673" s="147" t="str">
        <f t="shared" si="363"/>
        <v>1</v>
      </c>
      <c r="AF673" s="147" t="str">
        <f t="shared" si="364"/>
        <v>0</v>
      </c>
      <c r="AG673" s="147" t="str">
        <f t="shared" si="365"/>
        <v>0</v>
      </c>
      <c r="AH673" s="147" t="str">
        <f t="shared" si="358"/>
        <v>NO</v>
      </c>
      <c r="AI673" s="147" t="str">
        <f t="shared" si="359"/>
        <v>NO</v>
      </c>
      <c r="AJ673" s="147" t="str">
        <f t="shared" si="360"/>
        <v>NO</v>
      </c>
      <c r="AK673" s="147" t="str">
        <f t="shared" si="361"/>
        <v>NO</v>
      </c>
      <c r="AL673" s="21"/>
      <c r="AM673" s="21">
        <f t="shared" si="362"/>
        <v>4400.9399999999987</v>
      </c>
      <c r="AN673" s="27" t="s">
        <v>37</v>
      </c>
      <c r="AO673" s="21">
        <v>1</v>
      </c>
      <c r="AP673" s="21">
        <f t="shared" si="367"/>
        <v>1</v>
      </c>
      <c r="AQ673" s="149">
        <f t="shared" si="347"/>
        <v>4400.9399999999987</v>
      </c>
      <c r="AR673" s="21">
        <v>4400.9399999999987</v>
      </c>
      <c r="AS673" s="610">
        <v>4400.9399999999987</v>
      </c>
      <c r="AT673" s="112">
        <v>4400.9399999999987</v>
      </c>
      <c r="AU673" s="4"/>
      <c r="AV673" s="4"/>
      <c r="AW673" s="23" t="e">
        <f>VLOOKUP(K673,#REF!,8,FALSE)</f>
        <v>#REF!</v>
      </c>
      <c r="AX673" s="23" t="e">
        <f>VLOOKUP(K673,#REF!,8,FALSE)</f>
        <v>#REF!</v>
      </c>
      <c r="AY673" s="23" t="e">
        <f>VLOOKUP(K673,#REF!,8,FALSE)</f>
        <v>#REF!</v>
      </c>
      <c r="AZ673" s="4"/>
      <c r="BA673" s="272"/>
      <c r="BB673" s="318">
        <f t="shared" si="369"/>
        <v>0</v>
      </c>
      <c r="BC673" s="269">
        <f t="shared" si="370"/>
        <v>4400.9399999999987</v>
      </c>
      <c r="BD673" t="str">
        <f t="shared" si="371"/>
        <v/>
      </c>
      <c r="BP673" s="166">
        <f t="shared" si="372"/>
        <v>4400.9399999999987</v>
      </c>
      <c r="BS673" s="165"/>
      <c r="BX673" s="495">
        <f t="shared" si="350"/>
        <v>4400.9399999999987</v>
      </c>
      <c r="BZ673" s="636">
        <f t="shared" si="351"/>
        <v>0</v>
      </c>
      <c r="CA673" s="633">
        <f t="shared" si="352"/>
        <v>0</v>
      </c>
    </row>
    <row r="674" spans="1:79" x14ac:dyDescent="0.2">
      <c r="A674" s="4">
        <v>1</v>
      </c>
      <c r="B674" s="4">
        <v>1</v>
      </c>
      <c r="C674" s="5">
        <f t="shared" si="353"/>
        <v>41138</v>
      </c>
      <c r="D674" s="6">
        <v>41138</v>
      </c>
      <c r="E674" s="6">
        <v>43011</v>
      </c>
      <c r="F674" s="6" t="s">
        <v>1606</v>
      </c>
      <c r="G674" s="7"/>
      <c r="H674" s="7"/>
      <c r="I674" s="7" t="s">
        <v>32</v>
      </c>
      <c r="J674" s="7"/>
      <c r="K674" s="29">
        <v>434693</v>
      </c>
      <c r="L674" s="10" t="s">
        <v>1427</v>
      </c>
      <c r="M674" s="10" t="s">
        <v>148</v>
      </c>
      <c r="N674" s="10" t="s">
        <v>1449</v>
      </c>
      <c r="O674" s="11" t="str">
        <f>M674&amp;N674</f>
        <v>NathanTien</v>
      </c>
      <c r="P674" s="12">
        <v>42833</v>
      </c>
      <c r="Q674" s="13">
        <f t="shared" ca="1" si="355"/>
        <v>8.4572210814510616</v>
      </c>
      <c r="R674" s="14">
        <v>1</v>
      </c>
      <c r="S674" s="15">
        <v>872</v>
      </c>
      <c r="T674" s="8">
        <v>872</v>
      </c>
      <c r="U674" s="16">
        <v>45017</v>
      </c>
      <c r="V674" s="17">
        <v>1</v>
      </c>
      <c r="W674" s="16">
        <v>45382</v>
      </c>
      <c r="X674" s="14">
        <v>192</v>
      </c>
      <c r="Y674" s="18">
        <f t="shared" si="341"/>
        <v>192</v>
      </c>
      <c r="Z674" s="18">
        <f t="shared" si="368"/>
        <v>1</v>
      </c>
      <c r="AA674" s="18" t="s">
        <v>36</v>
      </c>
      <c r="AB674" s="26">
        <v>24</v>
      </c>
      <c r="AC674" s="26"/>
      <c r="AD674" s="26"/>
      <c r="AE674" s="147" t="str">
        <f t="shared" si="363"/>
        <v>1</v>
      </c>
      <c r="AF674" s="147" t="str">
        <f t="shared" si="364"/>
        <v>0</v>
      </c>
      <c r="AG674" s="147" t="str">
        <f t="shared" si="365"/>
        <v>0</v>
      </c>
      <c r="AH674" s="147" t="str">
        <f t="shared" si="358"/>
        <v>NO</v>
      </c>
      <c r="AI674" s="147" t="str">
        <f t="shared" si="359"/>
        <v>NO</v>
      </c>
      <c r="AJ674" s="147" t="str">
        <f t="shared" si="360"/>
        <v>NO</v>
      </c>
      <c r="AK674" s="147" t="str">
        <f t="shared" si="361"/>
        <v>NO</v>
      </c>
      <c r="AL674" s="21"/>
      <c r="AM674" s="21">
        <f t="shared" si="362"/>
        <v>5346.48</v>
      </c>
      <c r="AN674" s="27" t="s">
        <v>37</v>
      </c>
      <c r="AO674" s="21">
        <v>1</v>
      </c>
      <c r="AP674" s="21">
        <f t="shared" si="367"/>
        <v>1</v>
      </c>
      <c r="AQ674" s="149">
        <f t="shared" si="347"/>
        <v>5346.48</v>
      </c>
      <c r="AR674" s="21">
        <v>5346.48</v>
      </c>
      <c r="AS674" s="610">
        <v>5346.48</v>
      </c>
      <c r="AT674" s="112">
        <v>5346.48</v>
      </c>
      <c r="AU674" s="4"/>
      <c r="AV674" s="4"/>
      <c r="AW674" s="23" t="e">
        <f>VLOOKUP(K674,#REF!,8,FALSE)</f>
        <v>#REF!</v>
      </c>
      <c r="AX674" s="23" t="e">
        <f>VLOOKUP(K674,#REF!,8,FALSE)</f>
        <v>#REF!</v>
      </c>
      <c r="AY674" s="23" t="e">
        <f>VLOOKUP(K674,#REF!,8,FALSE)</f>
        <v>#REF!</v>
      </c>
      <c r="AZ674" s="4"/>
      <c r="BA674" s="272"/>
      <c r="BB674" s="318">
        <f t="shared" si="369"/>
        <v>0</v>
      </c>
      <c r="BC674" s="269">
        <f t="shared" si="370"/>
        <v>5346.48</v>
      </c>
      <c r="BD674" t="str">
        <f t="shared" si="371"/>
        <v/>
      </c>
      <c r="BP674" s="166">
        <f t="shared" si="372"/>
        <v>5346.48</v>
      </c>
      <c r="BS674" s="165"/>
      <c r="BX674" s="495">
        <f t="shared" si="350"/>
        <v>5346.48</v>
      </c>
      <c r="BZ674" s="636">
        <f t="shared" si="351"/>
        <v>0</v>
      </c>
      <c r="CA674" s="633">
        <f t="shared" si="352"/>
        <v>0</v>
      </c>
    </row>
    <row r="675" spans="1:79" x14ac:dyDescent="0.2">
      <c r="A675" s="4">
        <v>0</v>
      </c>
      <c r="B675" s="4">
        <v>1</v>
      </c>
      <c r="C675" s="5">
        <f t="shared" si="353"/>
        <v>41138</v>
      </c>
      <c r="D675" s="6">
        <v>41138</v>
      </c>
      <c r="E675" s="6">
        <v>43011</v>
      </c>
      <c r="F675" s="6" t="s">
        <v>1606</v>
      </c>
      <c r="G675" s="7"/>
      <c r="H675" s="7"/>
      <c r="I675" s="7" t="s">
        <v>32</v>
      </c>
      <c r="J675" s="7" t="s">
        <v>142</v>
      </c>
      <c r="K675" s="29">
        <v>434693</v>
      </c>
      <c r="L675" s="10" t="s">
        <v>1427</v>
      </c>
      <c r="M675" s="10" t="s">
        <v>148</v>
      </c>
      <c r="N675" s="10" t="s">
        <v>1449</v>
      </c>
      <c r="O675" s="11" t="str">
        <f>M675&amp;N675</f>
        <v>NathanTien</v>
      </c>
      <c r="P675" s="12">
        <v>42833</v>
      </c>
      <c r="Q675" s="13">
        <f t="shared" ca="1" si="355"/>
        <v>8.4572210814510616</v>
      </c>
      <c r="R675" s="14">
        <v>1</v>
      </c>
      <c r="S675" s="15">
        <v>872</v>
      </c>
      <c r="T675" s="8">
        <v>872</v>
      </c>
      <c r="U675" s="16">
        <v>45033</v>
      </c>
      <c r="V675" s="17">
        <v>2</v>
      </c>
      <c r="W675" s="16">
        <v>45033</v>
      </c>
      <c r="X675" s="14">
        <v>1</v>
      </c>
      <c r="Y675" s="18">
        <f t="shared" si="341"/>
        <v>0</v>
      </c>
      <c r="Z675" s="18">
        <v>1</v>
      </c>
      <c r="AA675" s="16">
        <v>45033</v>
      </c>
      <c r="AB675" s="26">
        <v>4132.5</v>
      </c>
      <c r="AC675" s="26"/>
      <c r="AD675" s="26"/>
      <c r="AE675" s="147" t="str">
        <f t="shared" si="363"/>
        <v>0</v>
      </c>
      <c r="AF675" s="147" t="str">
        <f t="shared" si="364"/>
        <v>0</v>
      </c>
      <c r="AG675" s="147" t="str">
        <f t="shared" si="365"/>
        <v>1</v>
      </c>
      <c r="AH675" s="147" t="str">
        <f t="shared" si="358"/>
        <v>NO</v>
      </c>
      <c r="AI675" s="147" t="str">
        <f t="shared" si="359"/>
        <v>NO</v>
      </c>
      <c r="AJ675" s="147" t="str">
        <f t="shared" si="360"/>
        <v>NO</v>
      </c>
      <c r="AK675" s="147" t="str">
        <f t="shared" si="361"/>
        <v>NO</v>
      </c>
      <c r="AL675" s="21"/>
      <c r="AM675" s="21">
        <v>4132.5</v>
      </c>
      <c r="AN675" s="27" t="s">
        <v>37</v>
      </c>
      <c r="AO675" s="21">
        <v>1</v>
      </c>
      <c r="AP675" s="21">
        <f t="shared" si="367"/>
        <v>1</v>
      </c>
      <c r="AQ675" s="149">
        <f t="shared" si="347"/>
        <v>4132.5</v>
      </c>
      <c r="AR675" s="21">
        <v>4132.5</v>
      </c>
      <c r="AS675" s="610">
        <v>0</v>
      </c>
      <c r="AT675" s="112">
        <v>4132.5</v>
      </c>
      <c r="AU675" s="4"/>
      <c r="AV675" s="4"/>
      <c r="AW675" s="23" t="e">
        <f>VLOOKUP(K675,#REF!,8,FALSE)</f>
        <v>#REF!</v>
      </c>
      <c r="AX675" s="23" t="e">
        <f>VLOOKUP(K675,#REF!,8,FALSE)</f>
        <v>#REF!</v>
      </c>
      <c r="AY675" s="23" t="e">
        <f>VLOOKUP(K675,#REF!,8,FALSE)</f>
        <v>#REF!</v>
      </c>
      <c r="AZ675" s="4"/>
      <c r="BA675" s="272"/>
      <c r="BB675" s="318">
        <f t="shared" si="369"/>
        <v>0</v>
      </c>
      <c r="BC675" s="269">
        <f t="shared" si="370"/>
        <v>4132.5</v>
      </c>
      <c r="BD675" t="str">
        <f t="shared" si="371"/>
        <v/>
      </c>
      <c r="BP675" s="166">
        <f t="shared" si="372"/>
        <v>4132.5</v>
      </c>
      <c r="BS675" s="165"/>
      <c r="BX675" s="495">
        <f t="shared" si="350"/>
        <v>4132.5</v>
      </c>
      <c r="BZ675" s="636">
        <f t="shared" si="351"/>
        <v>0</v>
      </c>
      <c r="CA675" s="633">
        <f t="shared" si="352"/>
        <v>4132.5</v>
      </c>
    </row>
    <row r="676" spans="1:79" x14ac:dyDescent="0.2">
      <c r="A676" s="4">
        <v>1</v>
      </c>
      <c r="B676" s="4">
        <v>1</v>
      </c>
      <c r="C676" s="5">
        <f t="shared" si="353"/>
        <v>41138</v>
      </c>
      <c r="D676" s="6">
        <v>41138</v>
      </c>
      <c r="E676" s="6">
        <v>43011</v>
      </c>
      <c r="F676" s="6" t="s">
        <v>1606</v>
      </c>
      <c r="G676" s="7"/>
      <c r="H676" s="7"/>
      <c r="I676" s="7" t="s">
        <v>32</v>
      </c>
      <c r="J676" s="7"/>
      <c r="K676" s="29">
        <v>426126</v>
      </c>
      <c r="L676" s="10" t="s">
        <v>1427</v>
      </c>
      <c r="M676" s="10" t="s">
        <v>1450</v>
      </c>
      <c r="N676" s="10" t="s">
        <v>831</v>
      </c>
      <c r="O676" s="11" t="s">
        <v>1451</v>
      </c>
      <c r="P676" s="12">
        <v>42438</v>
      </c>
      <c r="Q676" s="13">
        <f t="shared" ca="1" si="355"/>
        <v>9.5386721423682417</v>
      </c>
      <c r="R676" s="14">
        <v>2</v>
      </c>
      <c r="S676" s="15">
        <v>872</v>
      </c>
      <c r="T676" s="8">
        <v>872</v>
      </c>
      <c r="U676" s="16">
        <v>45017</v>
      </c>
      <c r="V676" s="17">
        <v>1</v>
      </c>
      <c r="W676" s="16">
        <v>45382</v>
      </c>
      <c r="X676" s="14">
        <v>192</v>
      </c>
      <c r="Y676" s="18">
        <f t="shared" si="341"/>
        <v>192</v>
      </c>
      <c r="Z676" s="18">
        <f>Y676/192</f>
        <v>1</v>
      </c>
      <c r="AA676" s="18" t="s">
        <v>36</v>
      </c>
      <c r="AB676" s="26">
        <v>32</v>
      </c>
      <c r="AC676" s="26"/>
      <c r="AD676" s="26"/>
      <c r="AE676" s="147" t="str">
        <f t="shared" si="363"/>
        <v>0</v>
      </c>
      <c r="AF676" s="147" t="str">
        <f t="shared" si="364"/>
        <v>0</v>
      </c>
      <c r="AG676" s="147" t="str">
        <f t="shared" si="365"/>
        <v>1</v>
      </c>
      <c r="AH676" s="147" t="str">
        <f t="shared" si="358"/>
        <v>NO</v>
      </c>
      <c r="AI676" s="147" t="str">
        <f t="shared" si="359"/>
        <v>NO</v>
      </c>
      <c r="AJ676" s="147" t="str">
        <f t="shared" si="360"/>
        <v>NO</v>
      </c>
      <c r="AK676" s="147" t="str">
        <f t="shared" si="361"/>
        <v>NO</v>
      </c>
      <c r="AL676" s="21"/>
      <c r="AM676" s="21">
        <f>IF(H676="Y",AL676,((AB676*$O$902)-6000))</f>
        <v>9128.64</v>
      </c>
      <c r="AN676" s="27" t="s">
        <v>81</v>
      </c>
      <c r="AO676" s="21">
        <v>1</v>
      </c>
      <c r="AP676" s="21">
        <f t="shared" si="367"/>
        <v>1</v>
      </c>
      <c r="AQ676" s="149">
        <f t="shared" si="347"/>
        <v>9128.64</v>
      </c>
      <c r="AR676" s="21">
        <v>9128.64</v>
      </c>
      <c r="AS676" s="610">
        <v>9128.64</v>
      </c>
      <c r="AT676" s="112">
        <v>9128.64</v>
      </c>
      <c r="AU676" s="4"/>
      <c r="AV676" s="4"/>
      <c r="AW676" s="23" t="e">
        <f>VLOOKUP(K676,#REF!,8,FALSE)</f>
        <v>#REF!</v>
      </c>
      <c r="AX676" s="23" t="e">
        <f>VLOOKUP(K676,#REF!,8,FALSE)</f>
        <v>#REF!</v>
      </c>
      <c r="AY676" s="23" t="e">
        <f>VLOOKUP(K676,#REF!,8,FALSE)</f>
        <v>#REF!</v>
      </c>
      <c r="AZ676" s="4"/>
      <c r="BA676" s="272"/>
      <c r="BB676" s="318">
        <f t="shared" si="369"/>
        <v>0</v>
      </c>
      <c r="BC676" s="269">
        <f t="shared" si="370"/>
        <v>9128.64</v>
      </c>
      <c r="BD676" t="str">
        <f t="shared" si="371"/>
        <v/>
      </c>
      <c r="BP676" s="166">
        <f t="shared" si="372"/>
        <v>9128.64</v>
      </c>
      <c r="BS676" s="165"/>
      <c r="BX676" s="495">
        <f t="shared" si="350"/>
        <v>9128.64</v>
      </c>
      <c r="BZ676" s="636">
        <f t="shared" si="351"/>
        <v>0</v>
      </c>
      <c r="CA676" s="633">
        <f t="shared" si="352"/>
        <v>0</v>
      </c>
    </row>
    <row r="677" spans="1:79" x14ac:dyDescent="0.2">
      <c r="A677" s="4">
        <v>0</v>
      </c>
      <c r="B677" s="4">
        <v>1</v>
      </c>
      <c r="C677" s="5">
        <f t="shared" si="353"/>
        <v>41138</v>
      </c>
      <c r="D677" s="6">
        <v>41138</v>
      </c>
      <c r="E677" s="6">
        <v>43011</v>
      </c>
      <c r="F677" s="6" t="s">
        <v>1606</v>
      </c>
      <c r="G677" s="7"/>
      <c r="H677" s="7"/>
      <c r="I677" s="7" t="s">
        <v>32</v>
      </c>
      <c r="J677" s="7" t="s">
        <v>142</v>
      </c>
      <c r="K677" s="29">
        <v>426126</v>
      </c>
      <c r="L677" s="10" t="s">
        <v>1427</v>
      </c>
      <c r="M677" s="10" t="s">
        <v>1450</v>
      </c>
      <c r="N677" s="10" t="s">
        <v>831</v>
      </c>
      <c r="O677" s="11" t="s">
        <v>1451</v>
      </c>
      <c r="P677" s="12">
        <v>42438</v>
      </c>
      <c r="Q677" s="13">
        <f t="shared" ca="1" si="355"/>
        <v>9.5386721423682417</v>
      </c>
      <c r="R677" s="14">
        <v>2</v>
      </c>
      <c r="S677" s="15">
        <v>872</v>
      </c>
      <c r="T677" s="8">
        <v>872</v>
      </c>
      <c r="U677" s="16">
        <v>45017</v>
      </c>
      <c r="V677" s="17">
        <v>1</v>
      </c>
      <c r="W677" s="16">
        <v>45382</v>
      </c>
      <c r="X677" s="14">
        <v>192</v>
      </c>
      <c r="Y677" s="18">
        <f t="shared" si="341"/>
        <v>192</v>
      </c>
      <c r="Z677" s="18">
        <f>Y677/192</f>
        <v>1</v>
      </c>
      <c r="AA677" s="18" t="s">
        <v>36</v>
      </c>
      <c r="AB677" s="26">
        <v>12059.93</v>
      </c>
      <c r="AC677" s="26"/>
      <c r="AD677" s="26"/>
      <c r="AE677" s="147" t="str">
        <f t="shared" si="363"/>
        <v>0</v>
      </c>
      <c r="AF677" s="147" t="str">
        <f t="shared" si="364"/>
        <v>0</v>
      </c>
      <c r="AG677" s="147" t="str">
        <f t="shared" si="365"/>
        <v>1</v>
      </c>
      <c r="AH677" s="147" t="str">
        <f t="shared" si="358"/>
        <v>NO</v>
      </c>
      <c r="AI677" s="147" t="str">
        <f t="shared" si="359"/>
        <v>NO</v>
      </c>
      <c r="AJ677" s="147" t="str">
        <f t="shared" si="360"/>
        <v>NO</v>
      </c>
      <c r="AK677" s="147" t="str">
        <f t="shared" si="361"/>
        <v>NO</v>
      </c>
      <c r="AL677" s="21"/>
      <c r="AM677" s="21">
        <v>12059.93</v>
      </c>
      <c r="AN677" s="27" t="s">
        <v>384</v>
      </c>
      <c r="AO677" s="21">
        <v>1</v>
      </c>
      <c r="AP677" s="21">
        <f t="shared" si="367"/>
        <v>1</v>
      </c>
      <c r="AQ677" s="149">
        <f t="shared" si="347"/>
        <v>12059.93</v>
      </c>
      <c r="AR677" s="21">
        <v>12059.93</v>
      </c>
      <c r="AS677" s="610">
        <v>12059.93</v>
      </c>
      <c r="AT677" s="112">
        <v>12059.93</v>
      </c>
      <c r="AU677" s="4"/>
      <c r="AV677" s="4"/>
      <c r="AW677" s="23" t="e">
        <f>VLOOKUP(K677,#REF!,8,FALSE)</f>
        <v>#REF!</v>
      </c>
      <c r="AX677" s="23" t="e">
        <f>VLOOKUP(K677,#REF!,8,FALSE)</f>
        <v>#REF!</v>
      </c>
      <c r="AY677" s="23" t="e">
        <f>VLOOKUP(K677,#REF!,8,FALSE)</f>
        <v>#REF!</v>
      </c>
      <c r="AZ677" s="4"/>
      <c r="BA677" s="272"/>
      <c r="BB677" s="318">
        <f t="shared" si="369"/>
        <v>0</v>
      </c>
      <c r="BC677" s="269">
        <f t="shared" si="370"/>
        <v>12059.93</v>
      </c>
      <c r="BD677" t="str">
        <f t="shared" si="371"/>
        <v/>
      </c>
      <c r="BP677" s="166">
        <f t="shared" si="372"/>
        <v>12059.93</v>
      </c>
      <c r="BS677" s="165"/>
      <c r="BX677" s="495">
        <f t="shared" si="350"/>
        <v>12059.93</v>
      </c>
      <c r="BZ677" s="636">
        <f t="shared" si="351"/>
        <v>0</v>
      </c>
      <c r="CA677" s="633">
        <f t="shared" si="352"/>
        <v>0</v>
      </c>
    </row>
    <row r="678" spans="1:79" x14ac:dyDescent="0.2">
      <c r="A678" s="4">
        <v>1</v>
      </c>
      <c r="B678" s="4">
        <v>1</v>
      </c>
      <c r="C678" s="5">
        <f t="shared" si="353"/>
        <v>41138</v>
      </c>
      <c r="D678" s="6">
        <v>41138</v>
      </c>
      <c r="E678" s="6">
        <v>43011</v>
      </c>
      <c r="F678" s="6" t="s">
        <v>1606</v>
      </c>
      <c r="G678" s="7"/>
      <c r="H678" s="7"/>
      <c r="I678" s="7" t="s">
        <v>32</v>
      </c>
      <c r="J678" s="7"/>
      <c r="K678" s="29">
        <v>392725</v>
      </c>
      <c r="L678" s="10" t="s">
        <v>1427</v>
      </c>
      <c r="M678" s="10" t="s">
        <v>72</v>
      </c>
      <c r="N678" s="10" t="s">
        <v>1452</v>
      </c>
      <c r="O678" s="11" t="s">
        <v>1453</v>
      </c>
      <c r="P678" s="12">
        <v>40871</v>
      </c>
      <c r="Q678" s="13">
        <f t="shared" ca="1" si="355"/>
        <v>13.828884325804244</v>
      </c>
      <c r="R678" s="14">
        <v>6</v>
      </c>
      <c r="S678" s="15">
        <v>872</v>
      </c>
      <c r="T678" s="8">
        <v>872</v>
      </c>
      <c r="U678" s="16">
        <v>45017</v>
      </c>
      <c r="V678" s="17">
        <v>1</v>
      </c>
      <c r="W678" s="16">
        <v>45128</v>
      </c>
      <c r="X678" s="14">
        <v>63</v>
      </c>
      <c r="Y678" s="18">
        <f t="shared" si="341"/>
        <v>63</v>
      </c>
      <c r="Z678" s="18">
        <f>Y678/192</f>
        <v>0.328125</v>
      </c>
      <c r="AA678" s="18" t="s">
        <v>48</v>
      </c>
      <c r="AB678" s="26">
        <v>30</v>
      </c>
      <c r="AC678" s="26"/>
      <c r="AD678" s="26"/>
      <c r="AE678" s="147" t="str">
        <f t="shared" si="363"/>
        <v>0</v>
      </c>
      <c r="AF678" s="147" t="str">
        <f t="shared" si="364"/>
        <v>1</v>
      </c>
      <c r="AG678" s="147" t="str">
        <f t="shared" si="365"/>
        <v>0</v>
      </c>
      <c r="AH678" s="147" t="str">
        <f t="shared" si="358"/>
        <v>NO</v>
      </c>
      <c r="AI678" s="147" t="str">
        <f t="shared" si="359"/>
        <v>NO</v>
      </c>
      <c r="AJ678" s="147" t="str">
        <f t="shared" si="360"/>
        <v>NO</v>
      </c>
      <c r="AK678" s="147" t="str">
        <f t="shared" si="361"/>
        <v>NO</v>
      </c>
      <c r="AL678" s="21"/>
      <c r="AM678" s="21">
        <f t="shared" ref="AM678:AM692" si="373">IF(H678="Y",AL678,((AB678*$O$902)-6000))</f>
        <v>8183.0999999999985</v>
      </c>
      <c r="AN678" s="27" t="s">
        <v>43</v>
      </c>
      <c r="AO678" s="21">
        <v>1</v>
      </c>
      <c r="AP678" s="21">
        <f t="shared" si="367"/>
        <v>0.328125</v>
      </c>
      <c r="AQ678" s="149">
        <f t="shared" si="347"/>
        <v>2685.0796874999996</v>
      </c>
      <c r="AR678" s="21">
        <v>2685.0796874999996</v>
      </c>
      <c r="AS678" s="610">
        <v>2685.0796874999996</v>
      </c>
      <c r="AT678" s="112">
        <v>2685.0796874999996</v>
      </c>
      <c r="AU678" s="4"/>
      <c r="AV678" s="4"/>
      <c r="AW678" s="23" t="e">
        <f>VLOOKUP(K678,#REF!,8,FALSE)</f>
        <v>#REF!</v>
      </c>
      <c r="AX678" s="264" t="s">
        <v>2208</v>
      </c>
      <c r="AY678" s="23" t="e">
        <f>VLOOKUP(K678,#REF!,8,FALSE)</f>
        <v>#REF!</v>
      </c>
      <c r="AZ678" s="23" t="s">
        <v>75</v>
      </c>
      <c r="BA678" s="273">
        <f>AM678/3*2</f>
        <v>5455.3999999999987</v>
      </c>
      <c r="BB678" s="318">
        <f t="shared" si="369"/>
        <v>0</v>
      </c>
      <c r="BC678" s="269">
        <f t="shared" si="370"/>
        <v>2685.0796874999996</v>
      </c>
      <c r="BD678" t="e">
        <f t="shared" si="371"/>
        <v>#REF!</v>
      </c>
      <c r="BE678" t="s">
        <v>2396</v>
      </c>
      <c r="BH678" t="e">
        <f>VLOOKUP(K678,#REF!,8,FALSE)</f>
        <v>#REF!</v>
      </c>
      <c r="BJ678">
        <f>AB678</f>
        <v>30</v>
      </c>
      <c r="BK678" s="269">
        <f>AM678</f>
        <v>8183.0999999999985</v>
      </c>
      <c r="BL678" s="353"/>
      <c r="BM678" s="353" t="s">
        <v>75</v>
      </c>
      <c r="BN678" s="353"/>
      <c r="BO678" s="106">
        <f>BK678/192*127</f>
        <v>5412.7796874999985</v>
      </c>
      <c r="BP678" s="166">
        <f t="shared" si="372"/>
        <v>8097.8593749999982</v>
      </c>
      <c r="BQ678" s="106">
        <v>5412.7796874999985</v>
      </c>
      <c r="BR678" t="s">
        <v>2446</v>
      </c>
      <c r="BS678" s="165"/>
      <c r="BX678" s="495">
        <f t="shared" si="350"/>
        <v>8097.8593749999982</v>
      </c>
      <c r="BZ678" s="636">
        <f t="shared" si="351"/>
        <v>0</v>
      </c>
      <c r="CA678" s="633">
        <f t="shared" si="352"/>
        <v>5412.7796874999985</v>
      </c>
    </row>
    <row r="679" spans="1:79" x14ac:dyDescent="0.2">
      <c r="A679" s="4">
        <v>1</v>
      </c>
      <c r="B679" s="4">
        <v>1</v>
      </c>
      <c r="C679" s="5">
        <f t="shared" si="353"/>
        <v>41138</v>
      </c>
      <c r="D679" s="6">
        <v>41138</v>
      </c>
      <c r="E679" s="6">
        <v>43011</v>
      </c>
      <c r="F679" s="6" t="s">
        <v>1606</v>
      </c>
      <c r="G679" s="7"/>
      <c r="H679" s="7"/>
      <c r="I679" s="7" t="s">
        <v>32</v>
      </c>
      <c r="J679" s="7"/>
      <c r="K679" s="29">
        <v>437276</v>
      </c>
      <c r="L679" s="10" t="s">
        <v>1427</v>
      </c>
      <c r="M679" s="10" t="s">
        <v>99</v>
      </c>
      <c r="N679" s="10" t="s">
        <v>2349</v>
      </c>
      <c r="O679" s="11" t="s">
        <v>2504</v>
      </c>
      <c r="P679" s="12">
        <v>43242</v>
      </c>
      <c r="Q679" s="13">
        <f t="shared" ca="1" si="355"/>
        <v>7.3374401095140316</v>
      </c>
      <c r="R679" s="14">
        <v>0</v>
      </c>
      <c r="S679" s="15">
        <v>872</v>
      </c>
      <c r="T679" s="8">
        <v>872</v>
      </c>
      <c r="U679" s="16">
        <v>45033</v>
      </c>
      <c r="V679" s="17">
        <v>2</v>
      </c>
      <c r="W679" s="16">
        <v>45382</v>
      </c>
      <c r="X679" s="14">
        <v>192</v>
      </c>
      <c r="Y679" s="18">
        <f t="shared" si="341"/>
        <v>191</v>
      </c>
      <c r="Z679" s="18">
        <f>Y679/192</f>
        <v>0.99479166666666663</v>
      </c>
      <c r="AA679" s="18" t="s">
        <v>36</v>
      </c>
      <c r="AB679" s="26">
        <v>22</v>
      </c>
      <c r="AC679" s="26"/>
      <c r="AD679" s="26"/>
      <c r="AE679" s="147" t="str">
        <f t="shared" si="363"/>
        <v>1</v>
      </c>
      <c r="AF679" s="147" t="str">
        <f t="shared" si="364"/>
        <v>0</v>
      </c>
      <c r="AG679" s="147" t="str">
        <f t="shared" si="365"/>
        <v>0</v>
      </c>
      <c r="AH679" s="147" t="str">
        <f t="shared" si="358"/>
        <v>NO</v>
      </c>
      <c r="AI679" s="147" t="str">
        <f t="shared" si="359"/>
        <v>NO</v>
      </c>
      <c r="AJ679" s="147" t="str">
        <f t="shared" si="360"/>
        <v>NO</v>
      </c>
      <c r="AK679" s="147" t="str">
        <f t="shared" si="361"/>
        <v>NO</v>
      </c>
      <c r="AL679" s="21"/>
      <c r="AM679" s="21">
        <f t="shared" si="373"/>
        <v>4400.9399999999987</v>
      </c>
      <c r="AN679" s="27" t="s">
        <v>37</v>
      </c>
      <c r="AO679" s="21">
        <v>1</v>
      </c>
      <c r="AP679" s="21">
        <f t="shared" si="367"/>
        <v>0.99479166666666663</v>
      </c>
      <c r="AQ679" s="149">
        <f t="shared" si="347"/>
        <v>4378.018437499999</v>
      </c>
      <c r="AR679" s="21">
        <v>0</v>
      </c>
      <c r="AS679" s="610">
        <v>0</v>
      </c>
      <c r="AT679" s="112">
        <v>0</v>
      </c>
      <c r="AU679" s="4"/>
      <c r="AV679" s="4"/>
      <c r="AW679" s="23" t="e">
        <f>VLOOKUP(K679,#REF!,8,FALSE)</f>
        <v>#REF!</v>
      </c>
      <c r="AX679" s="23" t="e">
        <f>VLOOKUP(K679,#REF!,8,FALSE)</f>
        <v>#REF!</v>
      </c>
      <c r="AY679" s="23" t="e">
        <f>VLOOKUP(K679,#REF!,8,FALSE)</f>
        <v>#REF!</v>
      </c>
      <c r="AZ679" s="23"/>
      <c r="BA679" s="273"/>
      <c r="BB679" s="318">
        <f t="shared" si="369"/>
        <v>0</v>
      </c>
      <c r="BC679" s="269">
        <f t="shared" si="370"/>
        <v>0</v>
      </c>
      <c r="BK679" s="269"/>
      <c r="BL679" s="353"/>
      <c r="BM679" s="353"/>
      <c r="BN679" s="353"/>
      <c r="BO679" s="106"/>
      <c r="BP679" s="166">
        <v>0</v>
      </c>
      <c r="BQ679" s="106"/>
      <c r="BS679" s="165"/>
      <c r="BX679" s="495">
        <f t="shared" si="350"/>
        <v>4378.018437499999</v>
      </c>
      <c r="BY679" t="s">
        <v>2471</v>
      </c>
      <c r="BZ679" s="636">
        <f t="shared" si="351"/>
        <v>4378.018437499999</v>
      </c>
      <c r="CA679" s="633">
        <f t="shared" si="352"/>
        <v>4378.018437499999</v>
      </c>
    </row>
    <row r="680" spans="1:79" x14ac:dyDescent="0.2">
      <c r="A680" s="4">
        <v>1</v>
      </c>
      <c r="B680" s="4">
        <v>1</v>
      </c>
      <c r="C680" s="5">
        <f t="shared" si="353"/>
        <v>41208</v>
      </c>
      <c r="D680" s="6">
        <v>41208</v>
      </c>
      <c r="E680" s="121">
        <v>43015</v>
      </c>
      <c r="F680" s="6" t="s">
        <v>1606</v>
      </c>
      <c r="G680" s="7" t="s">
        <v>75</v>
      </c>
      <c r="H680" s="7" t="s">
        <v>75</v>
      </c>
      <c r="I680" s="7" t="s">
        <v>157</v>
      </c>
      <c r="J680" s="7"/>
      <c r="K680" s="29">
        <v>374640</v>
      </c>
      <c r="L680" s="10" t="s">
        <v>1454</v>
      </c>
      <c r="M680" s="10" t="s">
        <v>1455</v>
      </c>
      <c r="N680" s="10" t="s">
        <v>543</v>
      </c>
      <c r="O680" s="11" t="s">
        <v>1456</v>
      </c>
      <c r="P680" s="12">
        <v>39665</v>
      </c>
      <c r="Q680" s="13">
        <f t="shared" ca="1" si="355"/>
        <v>17.130732375085557</v>
      </c>
      <c r="R680" s="14">
        <v>10</v>
      </c>
      <c r="S680" s="15">
        <v>872</v>
      </c>
      <c r="T680" s="8">
        <v>872</v>
      </c>
      <c r="U680" s="16">
        <v>45017</v>
      </c>
      <c r="V680" s="17">
        <v>1</v>
      </c>
      <c r="W680" s="16">
        <v>45382</v>
      </c>
      <c r="X680" s="14">
        <v>192</v>
      </c>
      <c r="Y680" s="18">
        <f t="shared" si="341"/>
        <v>192</v>
      </c>
      <c r="Z680" s="18">
        <v>0</v>
      </c>
      <c r="AA680" s="18" t="s">
        <v>36</v>
      </c>
      <c r="AB680" s="26" t="s">
        <v>1457</v>
      </c>
      <c r="AC680" s="26" t="s">
        <v>1457</v>
      </c>
      <c r="AD680" s="26"/>
      <c r="AE680" s="147" t="str">
        <f t="shared" si="363"/>
        <v>0</v>
      </c>
      <c r="AF680" s="147" t="str">
        <f t="shared" si="364"/>
        <v>0</v>
      </c>
      <c r="AG680" s="147" t="str">
        <f t="shared" si="365"/>
        <v>1</v>
      </c>
      <c r="AH680" s="147" t="str">
        <f t="shared" si="358"/>
        <v>NO</v>
      </c>
      <c r="AI680" s="147" t="str">
        <f t="shared" si="359"/>
        <v>NO</v>
      </c>
      <c r="AJ680" s="147" t="str">
        <f t="shared" si="360"/>
        <v>NO</v>
      </c>
      <c r="AK680" s="147" t="str">
        <f t="shared" si="361"/>
        <v>NO</v>
      </c>
      <c r="AL680" s="21">
        <v>20000</v>
      </c>
      <c r="AM680" s="21">
        <f t="shared" si="373"/>
        <v>20000</v>
      </c>
      <c r="AN680" s="27" t="s">
        <v>56</v>
      </c>
      <c r="AO680" s="21">
        <v>1</v>
      </c>
      <c r="AP680" s="21">
        <f t="shared" si="367"/>
        <v>0</v>
      </c>
      <c r="AQ680" s="149">
        <f t="shared" si="347"/>
        <v>0</v>
      </c>
      <c r="AR680" s="21">
        <v>0</v>
      </c>
      <c r="AS680" s="610">
        <v>20000</v>
      </c>
      <c r="AT680" s="112">
        <v>0</v>
      </c>
      <c r="AU680" s="4"/>
      <c r="AV680" s="4"/>
      <c r="AW680" s="23" t="e">
        <f>VLOOKUP(K680,#REF!,8,FALSE)</f>
        <v>#REF!</v>
      </c>
      <c r="AX680" s="23" t="e">
        <f>VLOOKUP(K680,#REF!,8,FALSE)</f>
        <v>#REF!</v>
      </c>
      <c r="AY680" s="23" t="e">
        <f>VLOOKUP(K680,#REF!,8,FALSE)</f>
        <v>#REF!</v>
      </c>
      <c r="AZ680" s="4"/>
      <c r="BA680" s="272"/>
      <c r="BB680" s="318">
        <f t="shared" si="369"/>
        <v>0</v>
      </c>
      <c r="BC680" s="269">
        <f t="shared" si="370"/>
        <v>0</v>
      </c>
      <c r="BD680" t="str">
        <f t="shared" ref="BD680:BD704" si="374">BG680&amp;BH680&amp;BI680</f>
        <v/>
      </c>
      <c r="BP680" s="166">
        <f t="shared" ref="BP680:BP711" si="375">BC680+BO680</f>
        <v>0</v>
      </c>
      <c r="BS680" s="165"/>
      <c r="BX680" s="495">
        <f t="shared" si="350"/>
        <v>0</v>
      </c>
      <c r="BZ680" s="636">
        <f t="shared" si="351"/>
        <v>0</v>
      </c>
      <c r="CA680" s="633">
        <f t="shared" si="352"/>
        <v>-20000</v>
      </c>
    </row>
    <row r="681" spans="1:79" x14ac:dyDescent="0.2">
      <c r="A681" s="4">
        <v>1</v>
      </c>
      <c r="B681" s="4">
        <v>1</v>
      </c>
      <c r="C681" s="5">
        <f t="shared" si="353"/>
        <v>41208</v>
      </c>
      <c r="D681" s="6">
        <v>41208</v>
      </c>
      <c r="E681" s="121">
        <v>43015</v>
      </c>
      <c r="F681" s="6" t="s">
        <v>1606</v>
      </c>
      <c r="G681" s="7" t="s">
        <v>75</v>
      </c>
      <c r="H681" s="7" t="s">
        <v>75</v>
      </c>
      <c r="I681" s="7" t="s">
        <v>157</v>
      </c>
      <c r="J681" s="7"/>
      <c r="K681" s="29">
        <v>377160</v>
      </c>
      <c r="L681" s="10" t="s">
        <v>1454</v>
      </c>
      <c r="M681" s="10" t="s">
        <v>556</v>
      </c>
      <c r="N681" s="10" t="s">
        <v>130</v>
      </c>
      <c r="O681" s="11" t="s">
        <v>1458</v>
      </c>
      <c r="P681" s="12">
        <v>39429</v>
      </c>
      <c r="Q681" s="13">
        <f t="shared" ca="1" si="355"/>
        <v>17.776865160848732</v>
      </c>
      <c r="R681" s="14">
        <v>10</v>
      </c>
      <c r="S681" s="15">
        <v>872</v>
      </c>
      <c r="T681" s="8">
        <v>872</v>
      </c>
      <c r="U681" s="16">
        <v>45017</v>
      </c>
      <c r="V681" s="17">
        <v>1</v>
      </c>
      <c r="W681" s="16">
        <v>45382</v>
      </c>
      <c r="X681" s="14">
        <v>192</v>
      </c>
      <c r="Y681" s="18">
        <f t="shared" si="341"/>
        <v>192</v>
      </c>
      <c r="Z681" s="18">
        <v>0</v>
      </c>
      <c r="AA681" s="18" t="s">
        <v>36</v>
      </c>
      <c r="AB681" s="26" t="s">
        <v>1457</v>
      </c>
      <c r="AC681" s="26" t="s">
        <v>1457</v>
      </c>
      <c r="AD681" s="26"/>
      <c r="AE681" s="147" t="str">
        <f t="shared" si="363"/>
        <v>0</v>
      </c>
      <c r="AF681" s="147" t="str">
        <f t="shared" si="364"/>
        <v>0</v>
      </c>
      <c r="AG681" s="147" t="str">
        <f t="shared" si="365"/>
        <v>1</v>
      </c>
      <c r="AH681" s="147" t="str">
        <f t="shared" si="358"/>
        <v>NO</v>
      </c>
      <c r="AI681" s="147" t="str">
        <f t="shared" si="359"/>
        <v>NO</v>
      </c>
      <c r="AJ681" s="147" t="str">
        <f t="shared" si="360"/>
        <v>NO</v>
      </c>
      <c r="AK681" s="147" t="str">
        <f t="shared" si="361"/>
        <v>NO</v>
      </c>
      <c r="AL681" s="21">
        <v>20000</v>
      </c>
      <c r="AM681" s="21">
        <f t="shared" si="373"/>
        <v>20000</v>
      </c>
      <c r="AN681" s="27" t="s">
        <v>56</v>
      </c>
      <c r="AO681" s="21">
        <v>1</v>
      </c>
      <c r="AP681" s="21">
        <f t="shared" si="367"/>
        <v>0</v>
      </c>
      <c r="AQ681" s="149">
        <f t="shared" si="347"/>
        <v>0</v>
      </c>
      <c r="AR681" s="21">
        <v>0</v>
      </c>
      <c r="AS681" s="610">
        <v>20000</v>
      </c>
      <c r="AT681" s="112">
        <v>0</v>
      </c>
      <c r="AU681" s="4"/>
      <c r="AV681" s="4"/>
      <c r="AW681" s="23" t="e">
        <f>VLOOKUP(K681,#REF!,8,FALSE)</f>
        <v>#REF!</v>
      </c>
      <c r="AX681" s="23" t="e">
        <f>VLOOKUP(K681,#REF!,8,FALSE)</f>
        <v>#REF!</v>
      </c>
      <c r="AY681" s="23" t="e">
        <f>VLOOKUP(K681,#REF!,8,FALSE)</f>
        <v>#REF!</v>
      </c>
      <c r="AZ681" s="4"/>
      <c r="BA681" s="272"/>
      <c r="BB681" s="318">
        <f t="shared" si="369"/>
        <v>0</v>
      </c>
      <c r="BC681" s="269">
        <f t="shared" si="370"/>
        <v>0</v>
      </c>
      <c r="BD681" t="str">
        <f t="shared" si="374"/>
        <v/>
      </c>
      <c r="BP681" s="166">
        <f t="shared" si="375"/>
        <v>0</v>
      </c>
      <c r="BS681" s="165"/>
      <c r="BX681" s="495">
        <f t="shared" si="350"/>
        <v>0</v>
      </c>
      <c r="BZ681" s="636">
        <f t="shared" si="351"/>
        <v>0</v>
      </c>
      <c r="CA681" s="633">
        <f t="shared" si="352"/>
        <v>-20000</v>
      </c>
    </row>
    <row r="682" spans="1:79" x14ac:dyDescent="0.2">
      <c r="A682" s="4">
        <v>1</v>
      </c>
      <c r="B682" s="4">
        <v>1</v>
      </c>
      <c r="C682" s="5">
        <f t="shared" si="353"/>
        <v>41208</v>
      </c>
      <c r="D682" s="6">
        <v>41208</v>
      </c>
      <c r="E682" s="121">
        <v>43015</v>
      </c>
      <c r="F682" s="6" t="s">
        <v>1606</v>
      </c>
      <c r="G682" s="7" t="s">
        <v>75</v>
      </c>
      <c r="H682" s="7" t="s">
        <v>75</v>
      </c>
      <c r="I682" s="7" t="s">
        <v>157</v>
      </c>
      <c r="J682" s="7"/>
      <c r="K682" s="29">
        <v>382352</v>
      </c>
      <c r="L682" s="10" t="s">
        <v>1454</v>
      </c>
      <c r="M682" s="10" t="s">
        <v>1459</v>
      </c>
      <c r="N682" s="10" t="s">
        <v>175</v>
      </c>
      <c r="O682" s="11" t="s">
        <v>1460</v>
      </c>
      <c r="P682" s="12">
        <v>39099</v>
      </c>
      <c r="Q682" s="13">
        <f t="shared" ca="1" si="355"/>
        <v>18.680355920602327</v>
      </c>
      <c r="R682" s="14">
        <v>11</v>
      </c>
      <c r="S682" s="15">
        <v>872</v>
      </c>
      <c r="T682" s="8">
        <v>872</v>
      </c>
      <c r="U682" s="16">
        <v>45017</v>
      </c>
      <c r="V682" s="17">
        <v>1</v>
      </c>
      <c r="W682" s="16">
        <v>45128</v>
      </c>
      <c r="X682" s="14">
        <v>63</v>
      </c>
      <c r="Y682" s="18">
        <f t="shared" si="341"/>
        <v>63</v>
      </c>
      <c r="Z682" s="18">
        <v>0</v>
      </c>
      <c r="AA682" s="16" t="s">
        <v>166</v>
      </c>
      <c r="AB682" s="26" t="s">
        <v>1457</v>
      </c>
      <c r="AC682" s="26" t="s">
        <v>1457</v>
      </c>
      <c r="AD682" s="26"/>
      <c r="AE682" s="147" t="str">
        <f t="shared" si="363"/>
        <v>0</v>
      </c>
      <c r="AF682" s="147" t="str">
        <f t="shared" si="364"/>
        <v>0</v>
      </c>
      <c r="AG682" s="147" t="str">
        <f t="shared" si="365"/>
        <v>1</v>
      </c>
      <c r="AH682" s="147" t="str">
        <f t="shared" si="358"/>
        <v>NO</v>
      </c>
      <c r="AI682" s="147" t="str">
        <f t="shared" si="359"/>
        <v>NO</v>
      </c>
      <c r="AJ682" s="147" t="str">
        <f t="shared" si="360"/>
        <v>NO</v>
      </c>
      <c r="AK682" s="147" t="str">
        <f t="shared" si="361"/>
        <v>NO</v>
      </c>
      <c r="AL682" s="21">
        <v>20000</v>
      </c>
      <c r="AM682" s="21">
        <f t="shared" si="373"/>
        <v>20000</v>
      </c>
      <c r="AN682" s="27" t="s">
        <v>56</v>
      </c>
      <c r="AO682" s="21">
        <v>1</v>
      </c>
      <c r="AP682" s="21">
        <f t="shared" si="367"/>
        <v>0</v>
      </c>
      <c r="AQ682" s="149">
        <f t="shared" si="347"/>
        <v>0</v>
      </c>
      <c r="AR682" s="21">
        <v>0</v>
      </c>
      <c r="AS682" s="610">
        <v>6562.5</v>
      </c>
      <c r="AT682" s="112">
        <v>0</v>
      </c>
      <c r="AU682" s="4"/>
      <c r="AV682" s="4"/>
      <c r="AW682" s="23" t="e">
        <f>VLOOKUP(K682,#REF!,8,FALSE)</f>
        <v>#REF!</v>
      </c>
      <c r="AX682" s="23" t="e">
        <f>VLOOKUP(K682,#REF!,8,FALSE)</f>
        <v>#REF!</v>
      </c>
      <c r="AY682" s="23" t="s">
        <v>2240</v>
      </c>
      <c r="AZ682" s="4"/>
      <c r="BA682" s="272"/>
      <c r="BB682" s="318">
        <f t="shared" si="369"/>
        <v>0</v>
      </c>
      <c r="BC682" s="269">
        <f t="shared" si="370"/>
        <v>0</v>
      </c>
      <c r="BD682" t="e">
        <f t="shared" si="374"/>
        <v>#REF!</v>
      </c>
      <c r="BE682" t="s">
        <v>2394</v>
      </c>
      <c r="BF682">
        <v>43012</v>
      </c>
      <c r="BI682" t="e">
        <f>VLOOKUP(K682,#REF!,8,FALSE)</f>
        <v>#REF!</v>
      </c>
      <c r="BK682" s="269"/>
      <c r="BN682" s="353" t="s">
        <v>75</v>
      </c>
      <c r="BO682" s="106"/>
      <c r="BP682" s="166">
        <f t="shared" si="375"/>
        <v>0</v>
      </c>
      <c r="BQ682" t="s">
        <v>2351</v>
      </c>
      <c r="BS682" s="165"/>
      <c r="BX682" s="495">
        <f t="shared" si="350"/>
        <v>0</v>
      </c>
      <c r="BZ682" s="636">
        <f t="shared" si="351"/>
        <v>0</v>
      </c>
      <c r="CA682" s="633">
        <f t="shared" si="352"/>
        <v>-6562.5</v>
      </c>
    </row>
    <row r="683" spans="1:79" x14ac:dyDescent="0.2">
      <c r="A683" s="4">
        <v>1</v>
      </c>
      <c r="B683" s="4">
        <v>1</v>
      </c>
      <c r="C683" s="5">
        <f t="shared" si="353"/>
        <v>41208</v>
      </c>
      <c r="D683" s="6">
        <v>41208</v>
      </c>
      <c r="E683" s="121">
        <v>43015</v>
      </c>
      <c r="F683" s="6" t="s">
        <v>1606</v>
      </c>
      <c r="G683" s="7" t="s">
        <v>75</v>
      </c>
      <c r="H683" s="7" t="s">
        <v>75</v>
      </c>
      <c r="I683" s="7" t="s">
        <v>157</v>
      </c>
      <c r="J683" s="7"/>
      <c r="K683" s="29">
        <v>383675</v>
      </c>
      <c r="L683" s="10" t="s">
        <v>1454</v>
      </c>
      <c r="M683" s="10" t="s">
        <v>657</v>
      </c>
      <c r="N683" s="10" t="s">
        <v>1461</v>
      </c>
      <c r="O683" s="11" t="s">
        <v>1462</v>
      </c>
      <c r="P683" s="12">
        <v>40013</v>
      </c>
      <c r="Q683" s="13">
        <f t="shared" ca="1" si="355"/>
        <v>16.177960301163587</v>
      </c>
      <c r="R683" s="14">
        <v>9</v>
      </c>
      <c r="S683" s="15">
        <v>872</v>
      </c>
      <c r="T683" s="8">
        <v>872</v>
      </c>
      <c r="U683" s="16">
        <v>45017</v>
      </c>
      <c r="V683" s="17">
        <v>1</v>
      </c>
      <c r="W683" s="16">
        <v>45382</v>
      </c>
      <c r="X683" s="14">
        <v>192</v>
      </c>
      <c r="Y683" s="18">
        <f t="shared" si="341"/>
        <v>192</v>
      </c>
      <c r="Z683" s="18">
        <v>0</v>
      </c>
      <c r="AA683" s="18" t="s">
        <v>36</v>
      </c>
      <c r="AB683" s="26" t="s">
        <v>1457</v>
      </c>
      <c r="AC683" s="26" t="s">
        <v>1457</v>
      </c>
      <c r="AD683" s="26"/>
      <c r="AE683" s="147" t="str">
        <f t="shared" si="363"/>
        <v>0</v>
      </c>
      <c r="AF683" s="147" t="str">
        <f t="shared" si="364"/>
        <v>0</v>
      </c>
      <c r="AG683" s="147" t="str">
        <f t="shared" si="365"/>
        <v>1</v>
      </c>
      <c r="AH683" s="147" t="str">
        <f t="shared" si="358"/>
        <v>NO</v>
      </c>
      <c r="AI683" s="147" t="str">
        <f t="shared" si="359"/>
        <v>NO</v>
      </c>
      <c r="AJ683" s="147" t="str">
        <f t="shared" si="360"/>
        <v>NO</v>
      </c>
      <c r="AK683" s="147" t="str">
        <f t="shared" si="361"/>
        <v>NO</v>
      </c>
      <c r="AL683" s="21">
        <v>20000</v>
      </c>
      <c r="AM683" s="21">
        <f t="shared" si="373"/>
        <v>20000</v>
      </c>
      <c r="AN683" s="27" t="s">
        <v>56</v>
      </c>
      <c r="AO683" s="21">
        <v>1</v>
      </c>
      <c r="AP683" s="21">
        <f t="shared" si="367"/>
        <v>0</v>
      </c>
      <c r="AQ683" s="149">
        <f t="shared" si="347"/>
        <v>0</v>
      </c>
      <c r="AR683" s="21">
        <v>0</v>
      </c>
      <c r="AS683" s="610">
        <v>20000</v>
      </c>
      <c r="AT683" s="112">
        <v>0</v>
      </c>
      <c r="AU683" s="4"/>
      <c r="AV683" s="4"/>
      <c r="AW683" s="23" t="e">
        <f>VLOOKUP(K683,#REF!,8,FALSE)</f>
        <v>#REF!</v>
      </c>
      <c r="AX683" s="23" t="e">
        <f>VLOOKUP(K683,#REF!,8,FALSE)</f>
        <v>#REF!</v>
      </c>
      <c r="AY683" s="23" t="e">
        <f>VLOOKUP(K683,#REF!,8,FALSE)</f>
        <v>#REF!</v>
      </c>
      <c r="AZ683" s="4"/>
      <c r="BA683" s="272"/>
      <c r="BB683" s="318">
        <f t="shared" si="369"/>
        <v>0</v>
      </c>
      <c r="BC683" s="269">
        <f t="shared" si="370"/>
        <v>0</v>
      </c>
      <c r="BD683" t="str">
        <f t="shared" si="374"/>
        <v/>
      </c>
      <c r="BP683" s="166">
        <f t="shared" si="375"/>
        <v>0</v>
      </c>
      <c r="BS683" s="165"/>
      <c r="BX683" s="495">
        <f t="shared" si="350"/>
        <v>0</v>
      </c>
      <c r="BZ683" s="636">
        <f t="shared" si="351"/>
        <v>0</v>
      </c>
      <c r="CA683" s="633">
        <f t="shared" si="352"/>
        <v>-20000</v>
      </c>
    </row>
    <row r="684" spans="1:79" x14ac:dyDescent="0.2">
      <c r="A684" s="4">
        <v>1</v>
      </c>
      <c r="B684" s="4">
        <v>1</v>
      </c>
      <c r="C684" s="5">
        <f t="shared" si="353"/>
        <v>41208</v>
      </c>
      <c r="D684" s="6">
        <v>41208</v>
      </c>
      <c r="E684" s="121">
        <v>43015</v>
      </c>
      <c r="F684" s="6" t="s">
        <v>1606</v>
      </c>
      <c r="G684" s="7" t="s">
        <v>75</v>
      </c>
      <c r="H684" s="7" t="s">
        <v>75</v>
      </c>
      <c r="I684" s="7" t="s">
        <v>157</v>
      </c>
      <c r="J684" s="7"/>
      <c r="K684" s="29">
        <v>371427</v>
      </c>
      <c r="L684" s="10" t="s">
        <v>1454</v>
      </c>
      <c r="M684" s="10" t="s">
        <v>506</v>
      </c>
      <c r="N684" s="10" t="s">
        <v>1463</v>
      </c>
      <c r="O684" s="11" t="s">
        <v>1464</v>
      </c>
      <c r="P684" s="12">
        <v>39289</v>
      </c>
      <c r="Q684" s="13">
        <f t="shared" ca="1" si="355"/>
        <v>18.160164271047229</v>
      </c>
      <c r="R684" s="14">
        <v>11</v>
      </c>
      <c r="S684" s="15">
        <v>872</v>
      </c>
      <c r="T684" s="8">
        <v>872</v>
      </c>
      <c r="U684" s="16">
        <v>45017</v>
      </c>
      <c r="V684" s="17">
        <v>1</v>
      </c>
      <c r="W684" s="16">
        <v>45128</v>
      </c>
      <c r="X684" s="14">
        <v>63</v>
      </c>
      <c r="Y684" s="18">
        <f t="shared" si="341"/>
        <v>63</v>
      </c>
      <c r="Z684" s="18">
        <v>0</v>
      </c>
      <c r="AA684" s="16" t="s">
        <v>166</v>
      </c>
      <c r="AB684" s="26" t="s">
        <v>1457</v>
      </c>
      <c r="AC684" s="26" t="s">
        <v>1457</v>
      </c>
      <c r="AD684" s="26"/>
      <c r="AE684" s="147" t="str">
        <f t="shared" si="363"/>
        <v>0</v>
      </c>
      <c r="AF684" s="147" t="str">
        <f t="shared" si="364"/>
        <v>0</v>
      </c>
      <c r="AG684" s="147" t="str">
        <f t="shared" si="365"/>
        <v>1</v>
      </c>
      <c r="AH684" s="147" t="str">
        <f t="shared" si="358"/>
        <v>NO</v>
      </c>
      <c r="AI684" s="147" t="str">
        <f t="shared" si="359"/>
        <v>NO</v>
      </c>
      <c r="AJ684" s="147" t="str">
        <f t="shared" si="360"/>
        <v>NO</v>
      </c>
      <c r="AK684" s="147" t="str">
        <f t="shared" si="361"/>
        <v>NO</v>
      </c>
      <c r="AL684" s="21">
        <v>20000</v>
      </c>
      <c r="AM684" s="21">
        <f t="shared" si="373"/>
        <v>20000</v>
      </c>
      <c r="AN684" s="27" t="s">
        <v>56</v>
      </c>
      <c r="AO684" s="21">
        <v>1</v>
      </c>
      <c r="AP684" s="21">
        <f t="shared" si="367"/>
        <v>0</v>
      </c>
      <c r="AQ684" s="149">
        <f t="shared" si="347"/>
        <v>0</v>
      </c>
      <c r="AR684" s="21">
        <v>0</v>
      </c>
      <c r="AS684" s="610">
        <v>6562.5</v>
      </c>
      <c r="AT684" s="112">
        <v>0</v>
      </c>
      <c r="AU684" s="4"/>
      <c r="AV684" s="4"/>
      <c r="AW684" s="23" t="e">
        <f>VLOOKUP(K684,#REF!,8,FALSE)</f>
        <v>#REF!</v>
      </c>
      <c r="AX684" s="23" t="e">
        <f>VLOOKUP(K684,#REF!,8,FALSE)</f>
        <v>#REF!</v>
      </c>
      <c r="AY684" s="266" t="s">
        <v>2235</v>
      </c>
      <c r="AZ684" s="268" t="s">
        <v>75</v>
      </c>
      <c r="BA684" s="274">
        <f>AM684/3*2</f>
        <v>13333.333333333334</v>
      </c>
      <c r="BB684" s="318">
        <f t="shared" si="369"/>
        <v>0</v>
      </c>
      <c r="BC684" s="269">
        <f t="shared" si="370"/>
        <v>0</v>
      </c>
      <c r="BD684" t="e">
        <f t="shared" si="374"/>
        <v>#REF!</v>
      </c>
      <c r="BE684" t="s">
        <v>2351</v>
      </c>
      <c r="BI684" t="e">
        <f>VLOOKUP(K684,#REF!,8,FALSE)</f>
        <v>#REF!</v>
      </c>
      <c r="BK684" s="269"/>
      <c r="BN684" s="353" t="s">
        <v>75</v>
      </c>
      <c r="BO684" s="106"/>
      <c r="BP684" s="166">
        <f t="shared" si="375"/>
        <v>0</v>
      </c>
      <c r="BQ684" t="s">
        <v>2351</v>
      </c>
      <c r="BS684" s="165"/>
      <c r="BX684" s="495">
        <f t="shared" si="350"/>
        <v>0</v>
      </c>
      <c r="BZ684" s="636">
        <f t="shared" si="351"/>
        <v>0</v>
      </c>
      <c r="CA684" s="633">
        <f t="shared" si="352"/>
        <v>-6562.5</v>
      </c>
    </row>
    <row r="685" spans="1:79" x14ac:dyDescent="0.2">
      <c r="A685" s="4">
        <v>1</v>
      </c>
      <c r="B685" s="4">
        <v>1</v>
      </c>
      <c r="C685" s="5">
        <f t="shared" si="353"/>
        <v>41208</v>
      </c>
      <c r="D685" s="6">
        <v>41208</v>
      </c>
      <c r="E685" s="121">
        <v>43015</v>
      </c>
      <c r="F685" s="6" t="s">
        <v>1606</v>
      </c>
      <c r="G685" s="7" t="s">
        <v>75</v>
      </c>
      <c r="H685" s="7" t="s">
        <v>75</v>
      </c>
      <c r="I685" s="7" t="s">
        <v>157</v>
      </c>
      <c r="J685" s="7"/>
      <c r="K685" s="29">
        <v>382129</v>
      </c>
      <c r="L685" s="10" t="s">
        <v>1454</v>
      </c>
      <c r="M685" s="10" t="s">
        <v>506</v>
      </c>
      <c r="N685" s="10" t="s">
        <v>1465</v>
      </c>
      <c r="O685" s="11" t="s">
        <v>1466</v>
      </c>
      <c r="P685" s="12">
        <v>39921</v>
      </c>
      <c r="Q685" s="13">
        <f t="shared" ca="1" si="355"/>
        <v>16.429842573579741</v>
      </c>
      <c r="R685" s="14">
        <v>9</v>
      </c>
      <c r="S685" s="15">
        <v>872</v>
      </c>
      <c r="T685" s="8">
        <v>872</v>
      </c>
      <c r="U685" s="16">
        <v>45017</v>
      </c>
      <c r="V685" s="17">
        <v>1</v>
      </c>
      <c r="W685" s="16">
        <v>45382</v>
      </c>
      <c r="X685" s="14">
        <v>192</v>
      </c>
      <c r="Y685" s="18">
        <f t="shared" si="341"/>
        <v>192</v>
      </c>
      <c r="Z685" s="18">
        <v>0</v>
      </c>
      <c r="AA685" s="18" t="s">
        <v>36</v>
      </c>
      <c r="AB685" s="26" t="s">
        <v>1457</v>
      </c>
      <c r="AC685" s="26" t="s">
        <v>1457</v>
      </c>
      <c r="AD685" s="26"/>
      <c r="AE685" s="147" t="str">
        <f t="shared" si="363"/>
        <v>0</v>
      </c>
      <c r="AF685" s="147" t="str">
        <f t="shared" si="364"/>
        <v>0</v>
      </c>
      <c r="AG685" s="147" t="str">
        <f t="shared" si="365"/>
        <v>1</v>
      </c>
      <c r="AH685" s="147" t="str">
        <f t="shared" si="358"/>
        <v>NO</v>
      </c>
      <c r="AI685" s="147" t="str">
        <f t="shared" si="359"/>
        <v>NO</v>
      </c>
      <c r="AJ685" s="147" t="str">
        <f t="shared" si="360"/>
        <v>NO</v>
      </c>
      <c r="AK685" s="147" t="str">
        <f t="shared" si="361"/>
        <v>NO</v>
      </c>
      <c r="AL685" s="21">
        <v>20000</v>
      </c>
      <c r="AM685" s="21">
        <f t="shared" si="373"/>
        <v>20000</v>
      </c>
      <c r="AN685" s="27" t="s">
        <v>56</v>
      </c>
      <c r="AO685" s="21">
        <v>1</v>
      </c>
      <c r="AP685" s="21">
        <f t="shared" si="367"/>
        <v>0</v>
      </c>
      <c r="AQ685" s="149">
        <f t="shared" si="347"/>
        <v>0</v>
      </c>
      <c r="AR685" s="21">
        <v>0</v>
      </c>
      <c r="AS685" s="610">
        <v>20000</v>
      </c>
      <c r="AT685" s="112">
        <v>0</v>
      </c>
      <c r="AU685" s="4"/>
      <c r="AV685" s="4"/>
      <c r="AW685" s="23" t="e">
        <f>VLOOKUP(K685,#REF!,8,FALSE)</f>
        <v>#REF!</v>
      </c>
      <c r="AX685" s="23" t="e">
        <f>VLOOKUP(K685,#REF!,8,FALSE)</f>
        <v>#REF!</v>
      </c>
      <c r="AY685" s="23" t="e">
        <f>VLOOKUP(K685,#REF!,8,FALSE)</f>
        <v>#REF!</v>
      </c>
      <c r="AZ685" s="4"/>
      <c r="BA685" s="272"/>
      <c r="BB685" s="318">
        <f t="shared" si="369"/>
        <v>0</v>
      </c>
      <c r="BC685" s="269">
        <f t="shared" si="370"/>
        <v>0</v>
      </c>
      <c r="BD685" t="str">
        <f t="shared" si="374"/>
        <v/>
      </c>
      <c r="BP685" s="166">
        <f t="shared" si="375"/>
        <v>0</v>
      </c>
      <c r="BS685" s="165"/>
      <c r="BX685" s="495">
        <f t="shared" si="350"/>
        <v>0</v>
      </c>
      <c r="BZ685" s="636">
        <f t="shared" si="351"/>
        <v>0</v>
      </c>
      <c r="CA685" s="633">
        <f t="shared" si="352"/>
        <v>-20000</v>
      </c>
    </row>
    <row r="686" spans="1:79" x14ac:dyDescent="0.2">
      <c r="A686" s="4">
        <v>1</v>
      </c>
      <c r="B686" s="4">
        <v>1</v>
      </c>
      <c r="C686" s="5">
        <f t="shared" si="353"/>
        <v>41208</v>
      </c>
      <c r="D686" s="6">
        <v>41208</v>
      </c>
      <c r="E686" s="121">
        <v>43015</v>
      </c>
      <c r="F686" s="6" t="s">
        <v>1606</v>
      </c>
      <c r="G686" s="7" t="s">
        <v>75</v>
      </c>
      <c r="H686" s="7" t="s">
        <v>75</v>
      </c>
      <c r="I686" s="7" t="s">
        <v>157</v>
      </c>
      <c r="J686" s="7"/>
      <c r="K686" s="29">
        <v>372987</v>
      </c>
      <c r="L686" s="10" t="s">
        <v>1454</v>
      </c>
      <c r="M686" s="10" t="s">
        <v>592</v>
      </c>
      <c r="N686" s="10" t="s">
        <v>1467</v>
      </c>
      <c r="O686" s="11" t="s">
        <v>1468</v>
      </c>
      <c r="P686" s="12">
        <v>39339</v>
      </c>
      <c r="Q686" s="13">
        <f t="shared" ca="1" si="355"/>
        <v>18.023271731690624</v>
      </c>
      <c r="R686" s="14">
        <v>10</v>
      </c>
      <c r="S686" s="15">
        <v>872</v>
      </c>
      <c r="T686" s="8">
        <v>872</v>
      </c>
      <c r="U686" s="16">
        <v>45017</v>
      </c>
      <c r="V686" s="17">
        <v>1</v>
      </c>
      <c r="W686" s="16">
        <v>45382</v>
      </c>
      <c r="X686" s="14">
        <v>192</v>
      </c>
      <c r="Y686" s="18">
        <f t="shared" si="341"/>
        <v>192</v>
      </c>
      <c r="Z686" s="18">
        <v>0</v>
      </c>
      <c r="AA686" s="18" t="s">
        <v>36</v>
      </c>
      <c r="AB686" s="26" t="s">
        <v>1457</v>
      </c>
      <c r="AC686" s="26" t="s">
        <v>1457</v>
      </c>
      <c r="AD686" s="26"/>
      <c r="AE686" s="147" t="str">
        <f t="shared" si="363"/>
        <v>0</v>
      </c>
      <c r="AF686" s="147" t="str">
        <f t="shared" si="364"/>
        <v>0</v>
      </c>
      <c r="AG686" s="147" t="str">
        <f t="shared" si="365"/>
        <v>1</v>
      </c>
      <c r="AH686" s="147" t="str">
        <f t="shared" si="358"/>
        <v>NO</v>
      </c>
      <c r="AI686" s="147" t="str">
        <f t="shared" si="359"/>
        <v>NO</v>
      </c>
      <c r="AJ686" s="147" t="str">
        <f t="shared" si="360"/>
        <v>NO</v>
      </c>
      <c r="AK686" s="147" t="str">
        <f t="shared" si="361"/>
        <v>NO</v>
      </c>
      <c r="AL686" s="21">
        <v>20000</v>
      </c>
      <c r="AM686" s="21">
        <f t="shared" si="373"/>
        <v>20000</v>
      </c>
      <c r="AN686" s="27" t="s">
        <v>56</v>
      </c>
      <c r="AO686" s="21">
        <v>1</v>
      </c>
      <c r="AP686" s="21">
        <f t="shared" si="367"/>
        <v>0</v>
      </c>
      <c r="AQ686" s="149">
        <f t="shared" si="347"/>
        <v>0</v>
      </c>
      <c r="AR686" s="21">
        <v>0</v>
      </c>
      <c r="AS686" s="610">
        <v>20000</v>
      </c>
      <c r="AT686" s="112">
        <v>0</v>
      </c>
      <c r="AU686" s="4"/>
      <c r="AV686" s="4"/>
      <c r="AW686" s="23" t="e">
        <f>VLOOKUP(K686,#REF!,8,FALSE)</f>
        <v>#REF!</v>
      </c>
      <c r="AX686" s="23" t="e">
        <f>VLOOKUP(K686,#REF!,8,FALSE)</f>
        <v>#REF!</v>
      </c>
      <c r="AY686" s="23" t="e">
        <f>VLOOKUP(K686,#REF!,8,FALSE)</f>
        <v>#REF!</v>
      </c>
      <c r="AZ686" s="4"/>
      <c r="BA686" s="272"/>
      <c r="BB686" s="318">
        <f t="shared" si="369"/>
        <v>0</v>
      </c>
      <c r="BC686" s="269">
        <f t="shared" si="370"/>
        <v>0</v>
      </c>
      <c r="BD686" t="str">
        <f t="shared" si="374"/>
        <v/>
      </c>
      <c r="BP686" s="166">
        <f t="shared" si="375"/>
        <v>0</v>
      </c>
      <c r="BS686" s="165"/>
      <c r="BX686" s="495">
        <f t="shared" si="350"/>
        <v>0</v>
      </c>
      <c r="BZ686" s="636">
        <f t="shared" si="351"/>
        <v>0</v>
      </c>
      <c r="CA686" s="633">
        <f t="shared" si="352"/>
        <v>-20000</v>
      </c>
    </row>
    <row r="687" spans="1:79" x14ac:dyDescent="0.2">
      <c r="A687" s="4">
        <v>1</v>
      </c>
      <c r="B687" s="4">
        <v>1</v>
      </c>
      <c r="C687" s="5">
        <f t="shared" si="353"/>
        <v>41208</v>
      </c>
      <c r="D687" s="6">
        <v>41208</v>
      </c>
      <c r="E687" s="121">
        <v>43015</v>
      </c>
      <c r="F687" s="6" t="s">
        <v>1606</v>
      </c>
      <c r="G687" s="7" t="s">
        <v>75</v>
      </c>
      <c r="H687" s="7" t="s">
        <v>75</v>
      </c>
      <c r="I687" s="7" t="s">
        <v>157</v>
      </c>
      <c r="J687" s="7"/>
      <c r="K687" s="29">
        <v>380913</v>
      </c>
      <c r="L687" s="10" t="s">
        <v>1454</v>
      </c>
      <c r="M687" s="10" t="s">
        <v>398</v>
      </c>
      <c r="N687" s="10" t="s">
        <v>1469</v>
      </c>
      <c r="O687" s="11" t="s">
        <v>1470</v>
      </c>
      <c r="P687" s="12">
        <v>39837</v>
      </c>
      <c r="Q687" s="13">
        <f t="shared" ca="1" si="355"/>
        <v>16.659822039698838</v>
      </c>
      <c r="R687" s="14">
        <v>9</v>
      </c>
      <c r="S687" s="15">
        <v>872</v>
      </c>
      <c r="T687" s="8">
        <v>872</v>
      </c>
      <c r="U687" s="16">
        <v>45017</v>
      </c>
      <c r="V687" s="17">
        <v>1</v>
      </c>
      <c r="W687" s="16">
        <v>45382</v>
      </c>
      <c r="X687" s="14">
        <v>192</v>
      </c>
      <c r="Y687" s="18">
        <f t="shared" si="341"/>
        <v>192</v>
      </c>
      <c r="Z687" s="18">
        <v>0</v>
      </c>
      <c r="AA687" s="18" t="s">
        <v>36</v>
      </c>
      <c r="AB687" s="26" t="s">
        <v>1457</v>
      </c>
      <c r="AC687" s="26" t="s">
        <v>1457</v>
      </c>
      <c r="AD687" s="26"/>
      <c r="AE687" s="147" t="str">
        <f t="shared" si="363"/>
        <v>0</v>
      </c>
      <c r="AF687" s="147" t="str">
        <f t="shared" si="364"/>
        <v>0</v>
      </c>
      <c r="AG687" s="147" t="str">
        <f t="shared" si="365"/>
        <v>1</v>
      </c>
      <c r="AH687" s="147" t="str">
        <f t="shared" si="358"/>
        <v>NO</v>
      </c>
      <c r="AI687" s="147" t="str">
        <f t="shared" si="359"/>
        <v>NO</v>
      </c>
      <c r="AJ687" s="147" t="str">
        <f t="shared" si="360"/>
        <v>NO</v>
      </c>
      <c r="AK687" s="147" t="str">
        <f t="shared" si="361"/>
        <v>NO</v>
      </c>
      <c r="AL687" s="21">
        <v>20000</v>
      </c>
      <c r="AM687" s="21">
        <f t="shared" si="373"/>
        <v>20000</v>
      </c>
      <c r="AN687" s="27" t="s">
        <v>56</v>
      </c>
      <c r="AO687" s="21">
        <v>1</v>
      </c>
      <c r="AP687" s="21">
        <f t="shared" si="367"/>
        <v>0</v>
      </c>
      <c r="AQ687" s="149">
        <f t="shared" si="347"/>
        <v>0</v>
      </c>
      <c r="AR687" s="21">
        <v>0</v>
      </c>
      <c r="AS687" s="610">
        <v>20000</v>
      </c>
      <c r="AT687" s="112">
        <v>0</v>
      </c>
      <c r="AU687" s="4"/>
      <c r="AV687" s="4"/>
      <c r="AW687" s="23" t="e">
        <f>VLOOKUP(K687,#REF!,8,FALSE)</f>
        <v>#REF!</v>
      </c>
      <c r="AX687" s="23" t="e">
        <f>VLOOKUP(K687,#REF!,8,FALSE)</f>
        <v>#REF!</v>
      </c>
      <c r="AY687" s="23" t="e">
        <f>VLOOKUP(K687,#REF!,8,FALSE)</f>
        <v>#REF!</v>
      </c>
      <c r="AZ687" s="4"/>
      <c r="BA687" s="272"/>
      <c r="BB687" s="318">
        <f t="shared" si="369"/>
        <v>0</v>
      </c>
      <c r="BC687" s="269">
        <f t="shared" si="370"/>
        <v>0</v>
      </c>
      <c r="BD687" t="str">
        <f t="shared" si="374"/>
        <v/>
      </c>
      <c r="BP687" s="166">
        <f t="shared" si="375"/>
        <v>0</v>
      </c>
      <c r="BS687" s="165"/>
      <c r="BX687" s="495">
        <f t="shared" si="350"/>
        <v>0</v>
      </c>
      <c r="BZ687" s="636">
        <f t="shared" si="351"/>
        <v>0</v>
      </c>
      <c r="CA687" s="633">
        <f t="shared" si="352"/>
        <v>-20000</v>
      </c>
    </row>
    <row r="688" spans="1:79" x14ac:dyDescent="0.2">
      <c r="A688" s="4">
        <v>1</v>
      </c>
      <c r="B688" s="4">
        <v>1</v>
      </c>
      <c r="C688" s="5">
        <f t="shared" si="353"/>
        <v>41208</v>
      </c>
      <c r="D688" s="6">
        <v>41208</v>
      </c>
      <c r="E688" s="121">
        <v>43015</v>
      </c>
      <c r="F688" s="6" t="s">
        <v>1606</v>
      </c>
      <c r="G688" s="7" t="s">
        <v>75</v>
      </c>
      <c r="H688" s="7" t="s">
        <v>75</v>
      </c>
      <c r="I688" s="7" t="s">
        <v>157</v>
      </c>
      <c r="J688" s="7"/>
      <c r="K688" s="29">
        <v>371512</v>
      </c>
      <c r="L688" s="10" t="s">
        <v>1454</v>
      </c>
      <c r="M688" s="10" t="s">
        <v>1471</v>
      </c>
      <c r="N688" s="10" t="s">
        <v>1472</v>
      </c>
      <c r="O688" s="11" t="s">
        <v>1473</v>
      </c>
      <c r="P688" s="12">
        <v>39233</v>
      </c>
      <c r="Q688" s="13">
        <f t="shared" ca="1" si="355"/>
        <v>18.313483915126625</v>
      </c>
      <c r="R688" s="14">
        <v>11</v>
      </c>
      <c r="S688" s="15">
        <v>872</v>
      </c>
      <c r="T688" s="8">
        <v>872</v>
      </c>
      <c r="U688" s="16">
        <v>45017</v>
      </c>
      <c r="V688" s="17">
        <v>1</v>
      </c>
      <c r="W688" s="16">
        <v>45128</v>
      </c>
      <c r="X688" s="14">
        <v>63</v>
      </c>
      <c r="Y688" s="18">
        <f t="shared" si="341"/>
        <v>63</v>
      </c>
      <c r="Z688" s="18">
        <v>0</v>
      </c>
      <c r="AA688" s="16" t="s">
        <v>166</v>
      </c>
      <c r="AB688" s="26" t="s">
        <v>1457</v>
      </c>
      <c r="AC688" s="26" t="s">
        <v>1457</v>
      </c>
      <c r="AD688" s="26"/>
      <c r="AE688" s="147" t="str">
        <f t="shared" si="363"/>
        <v>0</v>
      </c>
      <c r="AF688" s="147" t="str">
        <f t="shared" si="364"/>
        <v>0</v>
      </c>
      <c r="AG688" s="147" t="str">
        <f t="shared" si="365"/>
        <v>1</v>
      </c>
      <c r="AH688" s="147" t="str">
        <f t="shared" si="358"/>
        <v>NO</v>
      </c>
      <c r="AI688" s="147" t="str">
        <f t="shared" si="359"/>
        <v>NO</v>
      </c>
      <c r="AJ688" s="147" t="str">
        <f t="shared" si="360"/>
        <v>NO</v>
      </c>
      <c r="AK688" s="147" t="str">
        <f t="shared" si="361"/>
        <v>NO</v>
      </c>
      <c r="AL688" s="21">
        <v>20000</v>
      </c>
      <c r="AM688" s="21">
        <f t="shared" si="373"/>
        <v>20000</v>
      </c>
      <c r="AN688" s="27" t="s">
        <v>56</v>
      </c>
      <c r="AO688" s="21">
        <v>1</v>
      </c>
      <c r="AP688" s="21">
        <f t="shared" si="367"/>
        <v>0</v>
      </c>
      <c r="AQ688" s="149">
        <f t="shared" si="347"/>
        <v>0</v>
      </c>
      <c r="AR688" s="21">
        <v>0</v>
      </c>
      <c r="AS688" s="610">
        <v>6562.5</v>
      </c>
      <c r="AT688" s="112">
        <v>0</v>
      </c>
      <c r="AU688" s="4"/>
      <c r="AV688" s="4"/>
      <c r="AW688" s="23" t="e">
        <f>VLOOKUP(K688,#REF!,8,FALSE)</f>
        <v>#REF!</v>
      </c>
      <c r="AX688" s="23" t="e">
        <f>VLOOKUP(K688,#REF!,8,FALSE)</f>
        <v>#REF!</v>
      </c>
      <c r="AY688" s="266" t="s">
        <v>2242</v>
      </c>
      <c r="AZ688" s="268" t="s">
        <v>75</v>
      </c>
      <c r="BA688" s="274">
        <f>AM688/3*2</f>
        <v>13333.333333333334</v>
      </c>
      <c r="BB688" s="318">
        <f t="shared" si="369"/>
        <v>0</v>
      </c>
      <c r="BC688" s="269">
        <f t="shared" si="370"/>
        <v>0</v>
      </c>
      <c r="BD688" t="e">
        <f t="shared" si="374"/>
        <v>#REF!</v>
      </c>
      <c r="BE688" t="s">
        <v>2351</v>
      </c>
      <c r="BI688" t="e">
        <f>VLOOKUP(K688,#REF!,8,FALSE)</f>
        <v>#REF!</v>
      </c>
      <c r="BK688" s="269"/>
      <c r="BN688" s="353" t="s">
        <v>75</v>
      </c>
      <c r="BO688" s="106"/>
      <c r="BP688" s="166">
        <f t="shared" si="375"/>
        <v>0</v>
      </c>
      <c r="BQ688" t="s">
        <v>2351</v>
      </c>
      <c r="BS688" s="165"/>
      <c r="BX688" s="495">
        <f t="shared" si="350"/>
        <v>0</v>
      </c>
      <c r="BZ688" s="636">
        <f t="shared" si="351"/>
        <v>0</v>
      </c>
      <c r="CA688" s="633">
        <f t="shared" si="352"/>
        <v>-6562.5</v>
      </c>
    </row>
    <row r="689" spans="1:79" x14ac:dyDescent="0.2">
      <c r="A689" s="4">
        <v>1</v>
      </c>
      <c r="B689" s="4">
        <v>1</v>
      </c>
      <c r="C689" s="5">
        <f t="shared" si="353"/>
        <v>41208</v>
      </c>
      <c r="D689" s="6">
        <v>41208</v>
      </c>
      <c r="E689" s="121">
        <v>43015</v>
      </c>
      <c r="F689" s="6" t="s">
        <v>1606</v>
      </c>
      <c r="G689" s="7" t="s">
        <v>75</v>
      </c>
      <c r="H689" s="7" t="s">
        <v>75</v>
      </c>
      <c r="I689" s="7" t="s">
        <v>157</v>
      </c>
      <c r="J689" s="7"/>
      <c r="K689" s="29">
        <v>371374</v>
      </c>
      <c r="L689" s="10" t="s">
        <v>1454</v>
      </c>
      <c r="M689" s="10" t="s">
        <v>325</v>
      </c>
      <c r="N689" s="10" t="s">
        <v>1474</v>
      </c>
      <c r="O689" s="11" t="s">
        <v>1475</v>
      </c>
      <c r="P689" s="12">
        <v>39246</v>
      </c>
      <c r="Q689" s="13">
        <f t="shared" ca="1" si="355"/>
        <v>18.277891854893909</v>
      </c>
      <c r="R689" s="14">
        <v>11</v>
      </c>
      <c r="S689" s="15">
        <v>872</v>
      </c>
      <c r="T689" s="8">
        <v>872</v>
      </c>
      <c r="U689" s="16">
        <v>45017</v>
      </c>
      <c r="V689" s="17">
        <v>1</v>
      </c>
      <c r="W689" s="16">
        <v>45128</v>
      </c>
      <c r="X689" s="14">
        <v>63</v>
      </c>
      <c r="Y689" s="18">
        <f t="shared" ref="Y689:Y752" si="376">X689-V689+1</f>
        <v>63</v>
      </c>
      <c r="Z689" s="18">
        <v>0</v>
      </c>
      <c r="AA689" s="16" t="s">
        <v>166</v>
      </c>
      <c r="AB689" s="26" t="s">
        <v>1457</v>
      </c>
      <c r="AC689" s="26" t="s">
        <v>1457</v>
      </c>
      <c r="AD689" s="26"/>
      <c r="AE689" s="147" t="str">
        <f t="shared" si="363"/>
        <v>0</v>
      </c>
      <c r="AF689" s="147" t="str">
        <f t="shared" si="364"/>
        <v>0</v>
      </c>
      <c r="AG689" s="147" t="str">
        <f t="shared" si="365"/>
        <v>1</v>
      </c>
      <c r="AH689" s="147" t="str">
        <f t="shared" si="358"/>
        <v>NO</v>
      </c>
      <c r="AI689" s="147" t="str">
        <f t="shared" si="359"/>
        <v>NO</v>
      </c>
      <c r="AJ689" s="147" t="str">
        <f t="shared" si="360"/>
        <v>NO</v>
      </c>
      <c r="AK689" s="147" t="str">
        <f t="shared" si="361"/>
        <v>NO</v>
      </c>
      <c r="AL689" s="21">
        <v>20000</v>
      </c>
      <c r="AM689" s="21">
        <f t="shared" si="373"/>
        <v>20000</v>
      </c>
      <c r="AN689" s="27" t="s">
        <v>56</v>
      </c>
      <c r="AO689" s="21">
        <v>1</v>
      </c>
      <c r="AP689" s="21">
        <f t="shared" si="367"/>
        <v>0</v>
      </c>
      <c r="AQ689" s="149">
        <f t="shared" si="347"/>
        <v>0</v>
      </c>
      <c r="AR689" s="21">
        <v>0</v>
      </c>
      <c r="AS689" s="610">
        <v>6562.5</v>
      </c>
      <c r="AT689" s="112">
        <v>0</v>
      </c>
      <c r="AU689" s="4"/>
      <c r="AV689" s="4"/>
      <c r="AW689" s="23" t="e">
        <f>VLOOKUP(K689,#REF!,8,FALSE)</f>
        <v>#REF!</v>
      </c>
      <c r="AX689" s="23" t="e">
        <f>VLOOKUP(K689,#REF!,8,FALSE)</f>
        <v>#REF!</v>
      </c>
      <c r="AY689" s="266" t="s">
        <v>2142</v>
      </c>
      <c r="AZ689" s="268" t="s">
        <v>75</v>
      </c>
      <c r="BA689" s="274">
        <f>AM689/3*2</f>
        <v>13333.333333333334</v>
      </c>
      <c r="BB689" s="318">
        <f t="shared" si="369"/>
        <v>0</v>
      </c>
      <c r="BC689" s="269">
        <f t="shared" si="370"/>
        <v>0</v>
      </c>
      <c r="BD689" t="e">
        <f t="shared" si="374"/>
        <v>#REF!</v>
      </c>
      <c r="BE689" t="s">
        <v>2351</v>
      </c>
      <c r="BI689" t="e">
        <f>VLOOKUP(K689,#REF!,8,FALSE)</f>
        <v>#REF!</v>
      </c>
      <c r="BK689" s="269"/>
      <c r="BN689" s="353" t="s">
        <v>75</v>
      </c>
      <c r="BO689" s="106"/>
      <c r="BP689" s="166">
        <f t="shared" si="375"/>
        <v>0</v>
      </c>
      <c r="BQ689" t="s">
        <v>2351</v>
      </c>
      <c r="BS689" s="165"/>
      <c r="BX689" s="495">
        <f t="shared" si="350"/>
        <v>0</v>
      </c>
      <c r="BZ689" s="636">
        <f t="shared" si="351"/>
        <v>0</v>
      </c>
      <c r="CA689" s="633">
        <f t="shared" si="352"/>
        <v>-6562.5</v>
      </c>
    </row>
    <row r="690" spans="1:79" x14ac:dyDescent="0.2">
      <c r="A690" s="4">
        <v>0</v>
      </c>
      <c r="B690" s="4">
        <v>1</v>
      </c>
      <c r="C690" s="5">
        <f t="shared" si="353"/>
        <v>41208</v>
      </c>
      <c r="D690" s="6">
        <v>41208</v>
      </c>
      <c r="E690" s="121">
        <v>43015</v>
      </c>
      <c r="F690" s="6" t="s">
        <v>1606</v>
      </c>
      <c r="G690" s="7" t="s">
        <v>75</v>
      </c>
      <c r="H690" s="7" t="s">
        <v>75</v>
      </c>
      <c r="I690" s="7" t="s">
        <v>157</v>
      </c>
      <c r="J690" s="7" t="s">
        <v>142</v>
      </c>
      <c r="K690" s="29">
        <v>371374</v>
      </c>
      <c r="L690" s="10" t="s">
        <v>1454</v>
      </c>
      <c r="M690" s="10" t="s">
        <v>325</v>
      </c>
      <c r="N690" s="10" t="s">
        <v>1474</v>
      </c>
      <c r="O690" s="11" t="s">
        <v>1475</v>
      </c>
      <c r="P690" s="12">
        <v>39246</v>
      </c>
      <c r="Q690" s="13">
        <f t="shared" ca="1" si="355"/>
        <v>18.277891854893909</v>
      </c>
      <c r="R690" s="14">
        <v>11</v>
      </c>
      <c r="S690" s="15">
        <v>872</v>
      </c>
      <c r="T690" s="8">
        <v>872</v>
      </c>
      <c r="U690" s="16">
        <v>45017</v>
      </c>
      <c r="V690" s="17">
        <v>1</v>
      </c>
      <c r="W690" s="16">
        <v>45128</v>
      </c>
      <c r="X690" s="14">
        <v>63</v>
      </c>
      <c r="Y690" s="18">
        <f t="shared" si="376"/>
        <v>63</v>
      </c>
      <c r="Z690" s="18">
        <v>0</v>
      </c>
      <c r="AA690" s="16" t="s">
        <v>166</v>
      </c>
      <c r="AB690" s="26" t="s">
        <v>91</v>
      </c>
      <c r="AC690" s="26" t="s">
        <v>1457</v>
      </c>
      <c r="AD690" s="26"/>
      <c r="AE690" s="147" t="str">
        <f t="shared" si="363"/>
        <v>0</v>
      </c>
      <c r="AF690" s="147" t="str">
        <f t="shared" si="364"/>
        <v>0</v>
      </c>
      <c r="AG690" s="147" t="str">
        <f t="shared" si="365"/>
        <v>1</v>
      </c>
      <c r="AH690" s="147" t="str">
        <f t="shared" si="358"/>
        <v>NO</v>
      </c>
      <c r="AI690" s="147" t="str">
        <f t="shared" si="359"/>
        <v>NO</v>
      </c>
      <c r="AJ690" s="147" t="str">
        <f t="shared" si="360"/>
        <v>NO</v>
      </c>
      <c r="AK690" s="147" t="str">
        <f t="shared" si="361"/>
        <v>NO</v>
      </c>
      <c r="AL690" s="21">
        <v>10000</v>
      </c>
      <c r="AM690" s="21">
        <f t="shared" si="373"/>
        <v>10000</v>
      </c>
      <c r="AN690" s="27" t="s">
        <v>56</v>
      </c>
      <c r="AO690" s="21">
        <v>1</v>
      </c>
      <c r="AP690" s="21">
        <f t="shared" si="367"/>
        <v>0</v>
      </c>
      <c r="AQ690" s="149">
        <f t="shared" si="347"/>
        <v>0</v>
      </c>
      <c r="AR690" s="21">
        <v>0</v>
      </c>
      <c r="AS690" s="610">
        <v>3281.25</v>
      </c>
      <c r="AT690" s="112">
        <v>0</v>
      </c>
      <c r="AU690" s="4"/>
      <c r="AV690" s="4"/>
      <c r="AW690" s="23" t="e">
        <f>VLOOKUP(K690,#REF!,8,FALSE)</f>
        <v>#REF!</v>
      </c>
      <c r="AX690" s="23" t="e">
        <f>VLOOKUP(K690,#REF!,8,FALSE)</f>
        <v>#REF!</v>
      </c>
      <c r="AY690" s="23" t="e">
        <f>VLOOKUP(K690,#REF!,8,FALSE)</f>
        <v>#REF!</v>
      </c>
      <c r="AZ690" s="4"/>
      <c r="BA690" s="272"/>
      <c r="BB690" s="318">
        <f t="shared" si="369"/>
        <v>0</v>
      </c>
      <c r="BC690" s="269">
        <f t="shared" si="370"/>
        <v>0</v>
      </c>
      <c r="BD690" t="e">
        <f t="shared" si="374"/>
        <v>#REF!</v>
      </c>
      <c r="BE690" t="s">
        <v>2351</v>
      </c>
      <c r="BI690" t="e">
        <f>VLOOKUP(K690,#REF!,8,FALSE)</f>
        <v>#REF!</v>
      </c>
      <c r="BK690" s="269"/>
      <c r="BN690" s="353" t="s">
        <v>75</v>
      </c>
      <c r="BO690" s="106"/>
      <c r="BP690" s="166">
        <f t="shared" si="375"/>
        <v>0</v>
      </c>
      <c r="BQ690" t="s">
        <v>2351</v>
      </c>
      <c r="BS690" s="165"/>
      <c r="BX690" s="495">
        <f t="shared" si="350"/>
        <v>0</v>
      </c>
      <c r="BZ690" s="636">
        <f t="shared" si="351"/>
        <v>0</v>
      </c>
      <c r="CA690" s="633">
        <f t="shared" si="352"/>
        <v>-3281.25</v>
      </c>
    </row>
    <row r="691" spans="1:79" x14ac:dyDescent="0.2">
      <c r="A691" s="4">
        <v>1</v>
      </c>
      <c r="B691" s="4">
        <v>1</v>
      </c>
      <c r="C691" s="5">
        <f t="shared" si="353"/>
        <v>41208</v>
      </c>
      <c r="D691" s="6">
        <v>41208</v>
      </c>
      <c r="E691" s="121">
        <v>43015</v>
      </c>
      <c r="F691" s="6" t="s">
        <v>1606</v>
      </c>
      <c r="G691" s="7" t="s">
        <v>75</v>
      </c>
      <c r="H691" s="7" t="s">
        <v>75</v>
      </c>
      <c r="I691" s="7" t="s">
        <v>157</v>
      </c>
      <c r="J691" s="7"/>
      <c r="K691" s="29">
        <v>363656</v>
      </c>
      <c r="L691" s="10" t="s">
        <v>1454</v>
      </c>
      <c r="M691" s="10" t="s">
        <v>1476</v>
      </c>
      <c r="N691" s="10" t="s">
        <v>1477</v>
      </c>
      <c r="O691" s="11" t="s">
        <v>1478</v>
      </c>
      <c r="P691" s="12">
        <v>39527</v>
      </c>
      <c r="Q691" s="13">
        <f t="shared" ca="1" si="355"/>
        <v>17.508555783709788</v>
      </c>
      <c r="R691" s="14">
        <v>10</v>
      </c>
      <c r="S691" s="15">
        <v>872</v>
      </c>
      <c r="T691" s="8">
        <v>872</v>
      </c>
      <c r="U691" s="16">
        <v>45017</v>
      </c>
      <c r="V691" s="17">
        <v>1</v>
      </c>
      <c r="W691" s="16">
        <v>45382</v>
      </c>
      <c r="X691" s="14">
        <v>192</v>
      </c>
      <c r="Y691" s="18">
        <f t="shared" si="376"/>
        <v>192</v>
      </c>
      <c r="Z691" s="18">
        <v>0</v>
      </c>
      <c r="AA691" s="18" t="s">
        <v>36</v>
      </c>
      <c r="AB691" s="26" t="s">
        <v>1457</v>
      </c>
      <c r="AC691" s="26" t="s">
        <v>1457</v>
      </c>
      <c r="AD691" s="26"/>
      <c r="AE691" s="147" t="str">
        <f t="shared" si="363"/>
        <v>0</v>
      </c>
      <c r="AF691" s="147" t="str">
        <f t="shared" si="364"/>
        <v>0</v>
      </c>
      <c r="AG691" s="147" t="str">
        <f t="shared" si="365"/>
        <v>1</v>
      </c>
      <c r="AH691" s="147" t="str">
        <f t="shared" si="358"/>
        <v>NO</v>
      </c>
      <c r="AI691" s="147" t="str">
        <f t="shared" si="359"/>
        <v>NO</v>
      </c>
      <c r="AJ691" s="147" t="str">
        <f t="shared" si="360"/>
        <v>NO</v>
      </c>
      <c r="AK691" s="147" t="str">
        <f t="shared" si="361"/>
        <v>NO</v>
      </c>
      <c r="AL691" s="21">
        <v>20000</v>
      </c>
      <c r="AM691" s="21">
        <f t="shared" si="373"/>
        <v>20000</v>
      </c>
      <c r="AN691" s="27" t="s">
        <v>56</v>
      </c>
      <c r="AO691" s="21">
        <v>1</v>
      </c>
      <c r="AP691" s="21">
        <f t="shared" si="367"/>
        <v>0</v>
      </c>
      <c r="AQ691" s="149">
        <f t="shared" si="347"/>
        <v>0</v>
      </c>
      <c r="AR691" s="21">
        <v>0</v>
      </c>
      <c r="AS691" s="610">
        <v>20000</v>
      </c>
      <c r="AT691" s="112">
        <v>0</v>
      </c>
      <c r="AU691" s="4"/>
      <c r="AV691" s="4"/>
      <c r="AW691" s="23" t="e">
        <f>VLOOKUP(K691,#REF!,8,FALSE)</f>
        <v>#REF!</v>
      </c>
      <c r="AX691" s="23" t="e">
        <f>VLOOKUP(K691,#REF!,8,FALSE)</f>
        <v>#REF!</v>
      </c>
      <c r="AY691" s="23" t="e">
        <f>VLOOKUP(K691,#REF!,8,FALSE)</f>
        <v>#REF!</v>
      </c>
      <c r="AZ691" s="4"/>
      <c r="BA691" s="272"/>
      <c r="BB691" s="318">
        <f t="shared" si="369"/>
        <v>0</v>
      </c>
      <c r="BC691" s="269">
        <f t="shared" si="370"/>
        <v>0</v>
      </c>
      <c r="BD691" t="str">
        <f t="shared" si="374"/>
        <v/>
      </c>
      <c r="BP691" s="166">
        <f t="shared" si="375"/>
        <v>0</v>
      </c>
      <c r="BS691" s="165"/>
      <c r="BX691" s="495">
        <f t="shared" si="350"/>
        <v>0</v>
      </c>
      <c r="BZ691" s="636">
        <f t="shared" si="351"/>
        <v>0</v>
      </c>
      <c r="CA691" s="633">
        <f t="shared" si="352"/>
        <v>-20000</v>
      </c>
    </row>
    <row r="692" spans="1:79" x14ac:dyDescent="0.2">
      <c r="A692" s="4">
        <v>1</v>
      </c>
      <c r="B692" s="4">
        <v>1</v>
      </c>
      <c r="C692" s="5">
        <f t="shared" si="353"/>
        <v>41208</v>
      </c>
      <c r="D692" s="6">
        <v>41208</v>
      </c>
      <c r="E692" s="121">
        <v>43015</v>
      </c>
      <c r="F692" s="6" t="s">
        <v>1606</v>
      </c>
      <c r="G692" s="7" t="s">
        <v>75</v>
      </c>
      <c r="H692" s="7" t="s">
        <v>75</v>
      </c>
      <c r="I692" s="7" t="s">
        <v>157</v>
      </c>
      <c r="J692" s="7"/>
      <c r="K692" s="29">
        <v>383008</v>
      </c>
      <c r="L692" s="10" t="s">
        <v>1454</v>
      </c>
      <c r="M692" s="10" t="s">
        <v>231</v>
      </c>
      <c r="N692" s="10" t="s">
        <v>1479</v>
      </c>
      <c r="O692" s="11" t="s">
        <v>1480</v>
      </c>
      <c r="P692" s="12">
        <v>40033</v>
      </c>
      <c r="Q692" s="13">
        <f t="shared" ca="1" si="355"/>
        <v>16.123203285420946</v>
      </c>
      <c r="R692" s="14">
        <v>9</v>
      </c>
      <c r="S692" s="15">
        <v>872</v>
      </c>
      <c r="T692" s="8">
        <v>872</v>
      </c>
      <c r="U692" s="16">
        <v>45017</v>
      </c>
      <c r="V692" s="17">
        <v>1</v>
      </c>
      <c r="W692" s="16">
        <v>45382</v>
      </c>
      <c r="X692" s="14">
        <v>192</v>
      </c>
      <c r="Y692" s="18">
        <f t="shared" si="376"/>
        <v>192</v>
      </c>
      <c r="Z692" s="18">
        <v>0</v>
      </c>
      <c r="AA692" s="18" t="s">
        <v>36</v>
      </c>
      <c r="AB692" s="26" t="s">
        <v>1457</v>
      </c>
      <c r="AC692" s="26" t="s">
        <v>1457</v>
      </c>
      <c r="AD692" s="26"/>
      <c r="AE692" s="147" t="str">
        <f t="shared" si="363"/>
        <v>0</v>
      </c>
      <c r="AF692" s="147" t="str">
        <f t="shared" si="364"/>
        <v>0</v>
      </c>
      <c r="AG692" s="147" t="str">
        <f t="shared" si="365"/>
        <v>1</v>
      </c>
      <c r="AH692" s="147" t="str">
        <f t="shared" si="358"/>
        <v>NO</v>
      </c>
      <c r="AI692" s="147" t="str">
        <f t="shared" si="359"/>
        <v>NO</v>
      </c>
      <c r="AJ692" s="147" t="str">
        <f t="shared" si="360"/>
        <v>NO</v>
      </c>
      <c r="AK692" s="147" t="str">
        <f t="shared" si="361"/>
        <v>NO</v>
      </c>
      <c r="AL692" s="21">
        <v>20000</v>
      </c>
      <c r="AM692" s="21">
        <f t="shared" si="373"/>
        <v>20000</v>
      </c>
      <c r="AN692" s="27" t="s">
        <v>56</v>
      </c>
      <c r="AO692" s="21">
        <v>1</v>
      </c>
      <c r="AP692" s="21">
        <f t="shared" si="367"/>
        <v>0</v>
      </c>
      <c r="AQ692" s="149">
        <f t="shared" si="347"/>
        <v>0</v>
      </c>
      <c r="AR692" s="21">
        <v>0</v>
      </c>
      <c r="AS692" s="610">
        <v>20000</v>
      </c>
      <c r="AT692" s="112">
        <v>0</v>
      </c>
      <c r="AU692" s="4"/>
      <c r="AV692" s="4"/>
      <c r="AW692" s="23" t="e">
        <f>VLOOKUP(K692,#REF!,8,FALSE)</f>
        <v>#REF!</v>
      </c>
      <c r="AX692" s="23" t="e">
        <f>VLOOKUP(K692,#REF!,8,FALSE)</f>
        <v>#REF!</v>
      </c>
      <c r="AY692" s="23" t="e">
        <f>VLOOKUP(K692,#REF!,8,FALSE)</f>
        <v>#REF!</v>
      </c>
      <c r="AZ692" s="4"/>
      <c r="BA692" s="272"/>
      <c r="BB692" s="318">
        <f t="shared" si="369"/>
        <v>0</v>
      </c>
      <c r="BC692" s="269">
        <f t="shared" si="370"/>
        <v>0</v>
      </c>
      <c r="BD692" t="str">
        <f t="shared" si="374"/>
        <v/>
      </c>
      <c r="BP692" s="166">
        <f t="shared" si="375"/>
        <v>0</v>
      </c>
      <c r="BS692" s="165"/>
      <c r="BX692" s="495">
        <f t="shared" si="350"/>
        <v>0</v>
      </c>
      <c r="BZ692" s="636">
        <f t="shared" si="351"/>
        <v>0</v>
      </c>
      <c r="CA692" s="633">
        <f t="shared" si="352"/>
        <v>-20000</v>
      </c>
    </row>
    <row r="693" spans="1:79" x14ac:dyDescent="0.2">
      <c r="A693" s="4"/>
      <c r="B693" s="4"/>
      <c r="C693" s="5">
        <f t="shared" si="353"/>
        <v>41208</v>
      </c>
      <c r="D693" s="6">
        <v>41208</v>
      </c>
      <c r="E693" s="121">
        <v>43015</v>
      </c>
      <c r="F693" s="6" t="s">
        <v>1606</v>
      </c>
      <c r="G693" s="7" t="s">
        <v>75</v>
      </c>
      <c r="H693" s="7" t="s">
        <v>75</v>
      </c>
      <c r="I693" s="7" t="s">
        <v>157</v>
      </c>
      <c r="J693" s="7"/>
      <c r="K693" s="29"/>
      <c r="L693" s="10" t="s">
        <v>1454</v>
      </c>
      <c r="M693" s="10"/>
      <c r="N693" s="10"/>
      <c r="O693" s="11"/>
      <c r="P693" s="12"/>
      <c r="Q693" s="13">
        <f t="shared" ca="1" si="355"/>
        <v>125.72758384668036</v>
      </c>
      <c r="R693" s="14"/>
      <c r="S693" s="15">
        <v>872</v>
      </c>
      <c r="T693" s="8">
        <v>872</v>
      </c>
      <c r="U693" s="16">
        <v>45017</v>
      </c>
      <c r="V693" s="17">
        <v>1</v>
      </c>
      <c r="W693" s="16">
        <v>45382</v>
      </c>
      <c r="X693" s="14">
        <v>192</v>
      </c>
      <c r="Y693" s="18">
        <f t="shared" si="376"/>
        <v>192</v>
      </c>
      <c r="Z693" s="18">
        <f t="shared" ref="Z693:Z730" si="377">Y693/192</f>
        <v>1</v>
      </c>
      <c r="AA693" s="18" t="s">
        <v>1481</v>
      </c>
      <c r="AB693" s="26" t="s">
        <v>1482</v>
      </c>
      <c r="AC693" s="26"/>
      <c r="AD693" s="26"/>
      <c r="AE693" s="147" t="str">
        <f t="shared" si="363"/>
        <v>0</v>
      </c>
      <c r="AF693" s="147" t="str">
        <f t="shared" si="364"/>
        <v>0</v>
      </c>
      <c r="AG693" s="147" t="str">
        <f t="shared" si="365"/>
        <v>1</v>
      </c>
      <c r="AH693" s="147" t="str">
        <f t="shared" si="358"/>
        <v>NO</v>
      </c>
      <c r="AI693" s="147" t="str">
        <f t="shared" si="359"/>
        <v>NO</v>
      </c>
      <c r="AJ693" s="147" t="str">
        <f t="shared" si="360"/>
        <v>NO</v>
      </c>
      <c r="AK693" s="147" t="str">
        <f t="shared" si="361"/>
        <v>NO</v>
      </c>
      <c r="AL693" s="21">
        <v>269115</v>
      </c>
      <c r="AM693" s="21">
        <v>269115</v>
      </c>
      <c r="AN693" s="27"/>
      <c r="AO693" s="21">
        <v>1</v>
      </c>
      <c r="AP693" s="21">
        <f t="shared" si="367"/>
        <v>1</v>
      </c>
      <c r="AQ693" s="149">
        <f t="shared" si="347"/>
        <v>269115</v>
      </c>
      <c r="AR693" s="21">
        <v>269115</v>
      </c>
      <c r="AS693" s="610">
        <v>0</v>
      </c>
      <c r="AT693" s="112">
        <v>269115</v>
      </c>
      <c r="AU693" s="4"/>
      <c r="AV693" s="4"/>
      <c r="AW693" s="23" t="e">
        <f>VLOOKUP(K693,#REF!,8,FALSE)</f>
        <v>#REF!</v>
      </c>
      <c r="AX693" s="23" t="e">
        <f>VLOOKUP(K693,#REF!,8,FALSE)</f>
        <v>#REF!</v>
      </c>
      <c r="AY693" s="23" t="e">
        <f>VLOOKUP(K693,#REF!,8,FALSE)</f>
        <v>#REF!</v>
      </c>
      <c r="AZ693" s="4"/>
      <c r="BA693" s="272"/>
      <c r="BB693" s="318">
        <f t="shared" si="369"/>
        <v>0</v>
      </c>
      <c r="BC693" s="269">
        <f t="shared" si="370"/>
        <v>269115</v>
      </c>
      <c r="BD693" t="str">
        <f t="shared" si="374"/>
        <v/>
      </c>
      <c r="BP693" s="166">
        <f t="shared" si="375"/>
        <v>269115</v>
      </c>
      <c r="BS693" s="165"/>
      <c r="BX693" s="495">
        <f t="shared" si="350"/>
        <v>269115</v>
      </c>
      <c r="BZ693" s="636">
        <f t="shared" si="351"/>
        <v>0</v>
      </c>
      <c r="CA693" s="633">
        <f t="shared" si="352"/>
        <v>269115</v>
      </c>
    </row>
    <row r="694" spans="1:79" x14ac:dyDescent="0.2">
      <c r="A694" s="4">
        <v>1</v>
      </c>
      <c r="B694" s="4">
        <v>1</v>
      </c>
      <c r="C694" s="5">
        <f t="shared" si="353"/>
        <v>41208</v>
      </c>
      <c r="D694" s="6">
        <v>41208</v>
      </c>
      <c r="E694" s="121">
        <v>43012</v>
      </c>
      <c r="F694" s="6" t="s">
        <v>1606</v>
      </c>
      <c r="G694" s="7" t="s">
        <v>75</v>
      </c>
      <c r="H694" s="7"/>
      <c r="I694" s="7" t="s">
        <v>157</v>
      </c>
      <c r="J694" s="7"/>
      <c r="K694" s="29">
        <v>416704</v>
      </c>
      <c r="L694" s="10" t="s">
        <v>1454</v>
      </c>
      <c r="M694" s="10" t="s">
        <v>1483</v>
      </c>
      <c r="N694" s="10" t="s">
        <v>1484</v>
      </c>
      <c r="O694" s="11" t="s">
        <v>1485</v>
      </c>
      <c r="P694" s="12">
        <v>39638</v>
      </c>
      <c r="Q694" s="13">
        <f t="shared" ca="1" si="355"/>
        <v>17.204654346338124</v>
      </c>
      <c r="R694" s="14">
        <v>10</v>
      </c>
      <c r="S694" s="15">
        <v>872</v>
      </c>
      <c r="T694" s="8">
        <v>872</v>
      </c>
      <c r="U694" s="16">
        <v>45017</v>
      </c>
      <c r="V694" s="17">
        <v>1</v>
      </c>
      <c r="W694" s="16">
        <v>45382</v>
      </c>
      <c r="X694" s="14">
        <v>192</v>
      </c>
      <c r="Y694" s="18">
        <f t="shared" si="376"/>
        <v>192</v>
      </c>
      <c r="Z694" s="18">
        <f t="shared" si="377"/>
        <v>1</v>
      </c>
      <c r="AA694" s="18" t="s">
        <v>36</v>
      </c>
      <c r="AB694" s="26">
        <v>33</v>
      </c>
      <c r="AC694" s="26"/>
      <c r="AD694" s="26"/>
      <c r="AE694" s="147" t="str">
        <f t="shared" si="363"/>
        <v>0</v>
      </c>
      <c r="AF694" s="147" t="str">
        <f t="shared" si="364"/>
        <v>0</v>
      </c>
      <c r="AG694" s="147" t="str">
        <f t="shared" si="365"/>
        <v>1</v>
      </c>
      <c r="AH694" s="147" t="str">
        <f t="shared" si="358"/>
        <v>NO</v>
      </c>
      <c r="AI694" s="147" t="str">
        <f t="shared" si="359"/>
        <v>NO</v>
      </c>
      <c r="AJ694" s="147" t="str">
        <f t="shared" si="360"/>
        <v>NO</v>
      </c>
      <c r="AK694" s="147" t="str">
        <f t="shared" si="361"/>
        <v>NO</v>
      </c>
      <c r="AL694" s="21"/>
      <c r="AM694" s="21">
        <f t="shared" ref="AM694:AM700" si="378">IF(H694="Y",AL694,((AB694*$O$902)-6000))</f>
        <v>9601.41</v>
      </c>
      <c r="AN694" s="27" t="s">
        <v>81</v>
      </c>
      <c r="AO694" s="21">
        <v>1</v>
      </c>
      <c r="AP694" s="21">
        <f t="shared" si="367"/>
        <v>1</v>
      </c>
      <c r="AQ694" s="149">
        <f t="shared" si="347"/>
        <v>9601.41</v>
      </c>
      <c r="AR694" s="21">
        <v>9601.41</v>
      </c>
      <c r="AS694" s="610">
        <v>9601.41</v>
      </c>
      <c r="AT694" s="112">
        <v>9601.41</v>
      </c>
      <c r="AU694" s="4"/>
      <c r="AV694" s="4"/>
      <c r="AW694" s="23" t="e">
        <f>VLOOKUP(K694,#REF!,8,FALSE)</f>
        <v>#REF!</v>
      </c>
      <c r="AX694" s="23" t="e">
        <f>VLOOKUP(K694,#REF!,8,FALSE)</f>
        <v>#REF!</v>
      </c>
      <c r="AY694" s="23" t="e">
        <f>VLOOKUP(K694,#REF!,8,FALSE)</f>
        <v>#REF!</v>
      </c>
      <c r="AZ694" s="4"/>
      <c r="BA694" s="272"/>
      <c r="BB694" s="318">
        <f t="shared" si="369"/>
        <v>0</v>
      </c>
      <c r="BC694" s="269">
        <f t="shared" si="370"/>
        <v>9601.41</v>
      </c>
      <c r="BD694" t="str">
        <f t="shared" si="374"/>
        <v/>
      </c>
      <c r="BP694" s="166">
        <f t="shared" si="375"/>
        <v>9601.41</v>
      </c>
      <c r="BS694" s="165"/>
      <c r="BX694" s="495">
        <f t="shared" si="350"/>
        <v>9601.41</v>
      </c>
      <c r="BZ694" s="636">
        <f t="shared" si="351"/>
        <v>0</v>
      </c>
      <c r="CA694" s="633">
        <f t="shared" si="352"/>
        <v>0</v>
      </c>
    </row>
    <row r="695" spans="1:79" x14ac:dyDescent="0.2">
      <c r="A695" s="4">
        <v>1</v>
      </c>
      <c r="B695" s="4">
        <v>1</v>
      </c>
      <c r="C695" s="5">
        <f t="shared" si="353"/>
        <v>41208</v>
      </c>
      <c r="D695" s="6">
        <v>41208</v>
      </c>
      <c r="E695" s="121">
        <v>43012</v>
      </c>
      <c r="F695" s="6" t="s">
        <v>1606</v>
      </c>
      <c r="G695" s="7" t="s">
        <v>75</v>
      </c>
      <c r="H695" s="7"/>
      <c r="I695" s="7" t="s">
        <v>157</v>
      </c>
      <c r="J695" s="7"/>
      <c r="K695" s="29">
        <v>401365</v>
      </c>
      <c r="L695" s="10" t="s">
        <v>1454</v>
      </c>
      <c r="M695" s="10" t="s">
        <v>1486</v>
      </c>
      <c r="N695" s="10" t="s">
        <v>1487</v>
      </c>
      <c r="O695" s="11" t="s">
        <v>1488</v>
      </c>
      <c r="P695" s="12">
        <v>39286</v>
      </c>
      <c r="Q695" s="13">
        <f t="shared" ca="1" si="355"/>
        <v>18.168377823408623</v>
      </c>
      <c r="R695" s="14">
        <v>11</v>
      </c>
      <c r="S695" s="15">
        <v>872</v>
      </c>
      <c r="T695" s="8">
        <v>872</v>
      </c>
      <c r="U695" s="16">
        <v>45017</v>
      </c>
      <c r="V695" s="17">
        <v>1</v>
      </c>
      <c r="W695" s="16">
        <v>45128</v>
      </c>
      <c r="X695" s="14">
        <v>63</v>
      </c>
      <c r="Y695" s="18">
        <f t="shared" si="376"/>
        <v>63</v>
      </c>
      <c r="Z695" s="18">
        <f t="shared" si="377"/>
        <v>0.328125</v>
      </c>
      <c r="AA695" s="16" t="s">
        <v>166</v>
      </c>
      <c r="AB695" s="26">
        <v>25</v>
      </c>
      <c r="AC695" s="26"/>
      <c r="AD695" s="26"/>
      <c r="AE695" s="147" t="str">
        <f t="shared" si="363"/>
        <v>1</v>
      </c>
      <c r="AF695" s="147" t="str">
        <f t="shared" si="364"/>
        <v>0</v>
      </c>
      <c r="AG695" s="147" t="str">
        <f t="shared" si="365"/>
        <v>0</v>
      </c>
      <c r="AH695" s="147" t="str">
        <f t="shared" si="358"/>
        <v>NO</v>
      </c>
      <c r="AI695" s="147" t="str">
        <f t="shared" si="359"/>
        <v>NO</v>
      </c>
      <c r="AJ695" s="147" t="str">
        <f t="shared" si="360"/>
        <v>NO</v>
      </c>
      <c r="AK695" s="147" t="str">
        <f t="shared" si="361"/>
        <v>NO</v>
      </c>
      <c r="AL695" s="21"/>
      <c r="AM695" s="21">
        <f t="shared" si="378"/>
        <v>5819.25</v>
      </c>
      <c r="AN695" s="27" t="s">
        <v>81</v>
      </c>
      <c r="AO695" s="21">
        <v>1</v>
      </c>
      <c r="AP695" s="21">
        <f t="shared" si="367"/>
        <v>0.328125</v>
      </c>
      <c r="AQ695" s="149">
        <f t="shared" si="347"/>
        <v>1909.44140625</v>
      </c>
      <c r="AR695" s="21">
        <v>1909.44140625</v>
      </c>
      <c r="AS695" s="610">
        <v>1909.44140625</v>
      </c>
      <c r="AT695" s="112">
        <v>1909.44140625</v>
      </c>
      <c r="AU695" s="4"/>
      <c r="AV695" s="4"/>
      <c r="AW695" s="23" t="e">
        <f>VLOOKUP(K695,#REF!,8,FALSE)</f>
        <v>#REF!</v>
      </c>
      <c r="AX695" s="23" t="e">
        <f>VLOOKUP(K695,#REF!,8,FALSE)</f>
        <v>#REF!</v>
      </c>
      <c r="AY695" s="266" t="s">
        <v>2234</v>
      </c>
      <c r="AZ695" s="268" t="s">
        <v>75</v>
      </c>
      <c r="BA695" s="274">
        <f>AM695/3*2</f>
        <v>3879.5</v>
      </c>
      <c r="BB695" s="318">
        <f t="shared" si="369"/>
        <v>0</v>
      </c>
      <c r="BC695" s="269">
        <f t="shared" si="370"/>
        <v>1909.44140625</v>
      </c>
      <c r="BD695" t="e">
        <f t="shared" si="374"/>
        <v>#REF!</v>
      </c>
      <c r="BE695" t="s">
        <v>2351</v>
      </c>
      <c r="BI695" t="e">
        <f>VLOOKUP(K695,#REF!,8,FALSE)</f>
        <v>#REF!</v>
      </c>
      <c r="BK695" s="269"/>
      <c r="BN695" s="353" t="s">
        <v>75</v>
      </c>
      <c r="BO695" s="106"/>
      <c r="BP695" s="166">
        <f t="shared" si="375"/>
        <v>1909.44140625</v>
      </c>
      <c r="BQ695" t="s">
        <v>2351</v>
      </c>
      <c r="BS695" s="165"/>
      <c r="BX695" s="495">
        <f t="shared" si="350"/>
        <v>1909.44140625</v>
      </c>
      <c r="BZ695" s="636">
        <f t="shared" si="351"/>
        <v>0</v>
      </c>
      <c r="CA695" s="633">
        <f t="shared" si="352"/>
        <v>0</v>
      </c>
    </row>
    <row r="696" spans="1:79" x14ac:dyDescent="0.2">
      <c r="A696" s="4">
        <v>1</v>
      </c>
      <c r="B696" s="4">
        <v>1</v>
      </c>
      <c r="C696" s="5">
        <f t="shared" si="353"/>
        <v>41208</v>
      </c>
      <c r="D696" s="6">
        <v>41208</v>
      </c>
      <c r="E696" s="121">
        <v>43012</v>
      </c>
      <c r="F696" s="6" t="s">
        <v>1606</v>
      </c>
      <c r="G696" s="7" t="s">
        <v>75</v>
      </c>
      <c r="H696" s="7"/>
      <c r="I696" s="7" t="s">
        <v>157</v>
      </c>
      <c r="J696" s="7"/>
      <c r="K696" s="29">
        <v>370941</v>
      </c>
      <c r="L696" s="10" t="s">
        <v>1454</v>
      </c>
      <c r="M696" s="10" t="s">
        <v>1489</v>
      </c>
      <c r="N696" s="10" t="s">
        <v>1490</v>
      </c>
      <c r="O696" s="11" t="s">
        <v>1491</v>
      </c>
      <c r="P696" s="12">
        <v>39228</v>
      </c>
      <c r="Q696" s="13">
        <f t="shared" ca="1" si="355"/>
        <v>18.327173169062284</v>
      </c>
      <c r="R696" s="14">
        <v>11</v>
      </c>
      <c r="S696" s="15">
        <v>872</v>
      </c>
      <c r="T696" s="8">
        <v>872</v>
      </c>
      <c r="U696" s="16">
        <v>45017</v>
      </c>
      <c r="V696" s="17">
        <v>1</v>
      </c>
      <c r="W696" s="16">
        <v>45128</v>
      </c>
      <c r="X696" s="14">
        <v>63</v>
      </c>
      <c r="Y696" s="18">
        <f t="shared" si="376"/>
        <v>63</v>
      </c>
      <c r="Z696" s="18">
        <f t="shared" si="377"/>
        <v>0.328125</v>
      </c>
      <c r="AA696" s="16" t="s">
        <v>166</v>
      </c>
      <c r="AB696" s="26">
        <v>27</v>
      </c>
      <c r="AC696" s="26"/>
      <c r="AD696" s="26"/>
      <c r="AE696" s="147" t="str">
        <f t="shared" si="363"/>
        <v>0</v>
      </c>
      <c r="AF696" s="147" t="str">
        <f t="shared" si="364"/>
        <v>1</v>
      </c>
      <c r="AG696" s="147" t="str">
        <f t="shared" si="365"/>
        <v>0</v>
      </c>
      <c r="AH696" s="147" t="str">
        <f t="shared" si="358"/>
        <v>NO</v>
      </c>
      <c r="AI696" s="147" t="str">
        <f t="shared" si="359"/>
        <v>NO</v>
      </c>
      <c r="AJ696" s="147" t="str">
        <f t="shared" si="360"/>
        <v>NO</v>
      </c>
      <c r="AK696" s="147" t="str">
        <f t="shared" si="361"/>
        <v>NO</v>
      </c>
      <c r="AL696" s="21"/>
      <c r="AM696" s="21">
        <f t="shared" si="378"/>
        <v>6764.7899999999991</v>
      </c>
      <c r="AN696" s="27" t="s">
        <v>37</v>
      </c>
      <c r="AO696" s="21">
        <v>1</v>
      </c>
      <c r="AP696" s="21">
        <f t="shared" si="367"/>
        <v>0.328125</v>
      </c>
      <c r="AQ696" s="149">
        <f t="shared" si="347"/>
        <v>2219.6967187499995</v>
      </c>
      <c r="AR696" s="21">
        <v>2219.6967187499995</v>
      </c>
      <c r="AS696" s="610">
        <v>2219.6967187499995</v>
      </c>
      <c r="AT696" s="112">
        <v>2219.6967187499995</v>
      </c>
      <c r="AU696" s="4"/>
      <c r="AV696" s="4"/>
      <c r="AW696" s="23" t="e">
        <f>VLOOKUP(K696,#REF!,8,FALSE)</f>
        <v>#REF!</v>
      </c>
      <c r="AX696" s="23" t="e">
        <f>VLOOKUP(K696,#REF!,8,FALSE)</f>
        <v>#REF!</v>
      </c>
      <c r="AY696" s="23" t="s">
        <v>1454</v>
      </c>
      <c r="AZ696" s="4"/>
      <c r="BA696" s="272"/>
      <c r="BB696" s="318">
        <f t="shared" si="369"/>
        <v>0</v>
      </c>
      <c r="BC696" s="269">
        <f t="shared" si="370"/>
        <v>2219.6967187499995</v>
      </c>
      <c r="BD696" t="e">
        <f t="shared" si="374"/>
        <v>#REF!</v>
      </c>
      <c r="BE696" t="s">
        <v>2394</v>
      </c>
      <c r="BF696">
        <v>43012</v>
      </c>
      <c r="BI696" t="e">
        <f>VLOOKUP(K696,#REF!,8,FALSE)</f>
        <v>#REF!</v>
      </c>
      <c r="BK696" s="269"/>
      <c r="BN696" s="353" t="s">
        <v>75</v>
      </c>
      <c r="BO696" s="106"/>
      <c r="BP696" s="166">
        <f t="shared" si="375"/>
        <v>2219.6967187499995</v>
      </c>
      <c r="BQ696" t="s">
        <v>2351</v>
      </c>
      <c r="BS696" s="165"/>
      <c r="BX696" s="495">
        <f t="shared" si="350"/>
        <v>2219.6967187499995</v>
      </c>
      <c r="BZ696" s="636">
        <f t="shared" si="351"/>
        <v>0</v>
      </c>
      <c r="CA696" s="633">
        <f t="shared" si="352"/>
        <v>0</v>
      </c>
    </row>
    <row r="697" spans="1:79" x14ac:dyDescent="0.2">
      <c r="A697" s="4">
        <v>0</v>
      </c>
      <c r="B697" s="4">
        <v>1</v>
      </c>
      <c r="C697" s="5">
        <f t="shared" si="353"/>
        <v>41208</v>
      </c>
      <c r="D697" s="6">
        <v>41208</v>
      </c>
      <c r="E697" s="121">
        <v>43012</v>
      </c>
      <c r="F697" s="6" t="s">
        <v>1606</v>
      </c>
      <c r="G697" s="7" t="s">
        <v>75</v>
      </c>
      <c r="H697" s="7"/>
      <c r="I697" s="7" t="s">
        <v>157</v>
      </c>
      <c r="J697" s="7"/>
      <c r="K697" s="29">
        <v>403887</v>
      </c>
      <c r="L697" s="10" t="s">
        <v>2411</v>
      </c>
      <c r="M697" s="10" t="s">
        <v>1759</v>
      </c>
      <c r="N697" s="10" t="s">
        <v>1760</v>
      </c>
      <c r="O697" s="11" t="s">
        <v>1761</v>
      </c>
      <c r="P697" s="12">
        <v>41107</v>
      </c>
      <c r="Q697" s="13">
        <f t="shared" ca="1" si="355"/>
        <v>13.182751540041068</v>
      </c>
      <c r="R697" s="14">
        <v>7</v>
      </c>
      <c r="S697" s="15">
        <v>872</v>
      </c>
      <c r="T697" s="8">
        <v>872</v>
      </c>
      <c r="U697" s="102">
        <v>45173</v>
      </c>
      <c r="V697" s="17">
        <v>66</v>
      </c>
      <c r="W697" s="16">
        <v>45382</v>
      </c>
      <c r="X697" s="14">
        <v>192</v>
      </c>
      <c r="Y697" s="18">
        <f t="shared" si="376"/>
        <v>127</v>
      </c>
      <c r="Z697" s="18">
        <f t="shared" si="377"/>
        <v>0.66145833333333337</v>
      </c>
      <c r="AA697" s="16" t="s">
        <v>2337</v>
      </c>
      <c r="AB697" s="26">
        <v>23</v>
      </c>
      <c r="AC697" s="26"/>
      <c r="AD697" s="26"/>
      <c r="AE697" s="147" t="str">
        <f t="shared" si="363"/>
        <v>1</v>
      </c>
      <c r="AF697" s="147" t="str">
        <f t="shared" si="364"/>
        <v>0</v>
      </c>
      <c r="AG697" s="147" t="str">
        <f t="shared" si="365"/>
        <v>0</v>
      </c>
      <c r="AH697" s="147" t="str">
        <f t="shared" si="358"/>
        <v>NO</v>
      </c>
      <c r="AI697" s="147" t="str">
        <f t="shared" si="359"/>
        <v>NO</v>
      </c>
      <c r="AJ697" s="147" t="str">
        <f t="shared" si="360"/>
        <v>NO</v>
      </c>
      <c r="AK697" s="147" t="str">
        <f t="shared" si="361"/>
        <v>NO</v>
      </c>
      <c r="AL697" s="21"/>
      <c r="AM697" s="21">
        <f t="shared" si="378"/>
        <v>4873.7099999999991</v>
      </c>
      <c r="AN697" s="27"/>
      <c r="AO697" s="21">
        <v>1</v>
      </c>
      <c r="AP697" s="21">
        <f t="shared" si="367"/>
        <v>0.66145833333333337</v>
      </c>
      <c r="AQ697" s="149">
        <f t="shared" si="347"/>
        <v>3223.7560937499998</v>
      </c>
      <c r="AR697" s="21">
        <v>3223.7560937499998</v>
      </c>
      <c r="AS697" s="610">
        <v>0</v>
      </c>
      <c r="AT697" s="112">
        <v>0</v>
      </c>
      <c r="AU697" s="4"/>
      <c r="AV697" s="4"/>
      <c r="AW697" s="23"/>
      <c r="AX697" s="23"/>
      <c r="AY697" s="23"/>
      <c r="AZ697" s="4"/>
      <c r="BA697" s="272"/>
      <c r="BB697" s="318">
        <f t="shared" si="369"/>
        <v>3223.7560937499998</v>
      </c>
      <c r="BC697" s="269">
        <f t="shared" si="370"/>
        <v>3223.7560937499998</v>
      </c>
      <c r="BD697" t="str">
        <f t="shared" si="374"/>
        <v/>
      </c>
      <c r="BL697" s="353"/>
      <c r="BM697" s="353" t="s">
        <v>75</v>
      </c>
      <c r="BN697" s="353"/>
      <c r="BP697" s="166">
        <f t="shared" si="375"/>
        <v>3223.7560937499998</v>
      </c>
      <c r="BS697" s="165"/>
      <c r="BX697" s="495">
        <f t="shared" si="350"/>
        <v>3223.7560937499998</v>
      </c>
      <c r="BZ697" s="636">
        <f t="shared" si="351"/>
        <v>0</v>
      </c>
      <c r="CA697" s="633">
        <f t="shared" si="352"/>
        <v>3223.7560937499998</v>
      </c>
    </row>
    <row r="698" spans="1:79" x14ac:dyDescent="0.2">
      <c r="A698" s="4">
        <v>1</v>
      </c>
      <c r="B698" s="4">
        <v>1</v>
      </c>
      <c r="C698" s="5">
        <f t="shared" si="353"/>
        <v>41208</v>
      </c>
      <c r="D698" s="6">
        <v>41208</v>
      </c>
      <c r="E698" s="121">
        <v>43012</v>
      </c>
      <c r="F698" s="6" t="s">
        <v>1606</v>
      </c>
      <c r="G698" s="7" t="s">
        <v>75</v>
      </c>
      <c r="H698" s="7"/>
      <c r="I698" s="7" t="s">
        <v>157</v>
      </c>
      <c r="J698" s="7"/>
      <c r="K698" s="29">
        <v>388429</v>
      </c>
      <c r="L698" s="10" t="s">
        <v>1454</v>
      </c>
      <c r="M698" s="10" t="s">
        <v>1492</v>
      </c>
      <c r="N698" s="10" t="s">
        <v>1493</v>
      </c>
      <c r="O698" s="11" t="s">
        <v>1494</v>
      </c>
      <c r="P698" s="12">
        <v>39219</v>
      </c>
      <c r="Q698" s="13">
        <f t="shared" ca="1" si="355"/>
        <v>18.351813826146476</v>
      </c>
      <c r="R698" s="14">
        <v>11</v>
      </c>
      <c r="S698" s="15">
        <v>872</v>
      </c>
      <c r="T698" s="8">
        <v>872</v>
      </c>
      <c r="U698" s="16">
        <v>45017</v>
      </c>
      <c r="V698" s="17">
        <v>1</v>
      </c>
      <c r="W698" s="16">
        <v>45128</v>
      </c>
      <c r="X698" s="14">
        <v>63</v>
      </c>
      <c r="Y698" s="18">
        <f t="shared" si="376"/>
        <v>63</v>
      </c>
      <c r="Z698" s="18">
        <f t="shared" si="377"/>
        <v>0.328125</v>
      </c>
      <c r="AA698" s="16" t="s">
        <v>166</v>
      </c>
      <c r="AB698" s="26">
        <v>25</v>
      </c>
      <c r="AC698" s="26"/>
      <c r="AD698" s="26"/>
      <c r="AE698" s="147" t="str">
        <f t="shared" si="363"/>
        <v>1</v>
      </c>
      <c r="AF698" s="147" t="str">
        <f t="shared" si="364"/>
        <v>0</v>
      </c>
      <c r="AG698" s="147" t="str">
        <f t="shared" si="365"/>
        <v>0</v>
      </c>
      <c r="AH698" s="147" t="str">
        <f t="shared" si="358"/>
        <v>NO</v>
      </c>
      <c r="AI698" s="147" t="str">
        <f t="shared" si="359"/>
        <v>NO</v>
      </c>
      <c r="AJ698" s="147" t="str">
        <f t="shared" si="360"/>
        <v>NO</v>
      </c>
      <c r="AK698" s="147" t="str">
        <f t="shared" si="361"/>
        <v>NO</v>
      </c>
      <c r="AL698" s="21"/>
      <c r="AM698" s="21">
        <f t="shared" si="378"/>
        <v>5819.25</v>
      </c>
      <c r="AN698" s="27" t="s">
        <v>1495</v>
      </c>
      <c r="AO698" s="21">
        <v>1</v>
      </c>
      <c r="AP698" s="21">
        <f t="shared" si="367"/>
        <v>0.328125</v>
      </c>
      <c r="AQ698" s="149">
        <f t="shared" si="347"/>
        <v>1909.44140625</v>
      </c>
      <c r="AR698" s="21">
        <v>1909.44140625</v>
      </c>
      <c r="AS698" s="610">
        <v>1909.44140625</v>
      </c>
      <c r="AT698" s="112">
        <v>1909.44140625</v>
      </c>
      <c r="AU698" s="4"/>
      <c r="AV698" s="4"/>
      <c r="AW698" s="23" t="e">
        <f>VLOOKUP(K698,#REF!,8,FALSE)</f>
        <v>#REF!</v>
      </c>
      <c r="AX698" s="23" t="e">
        <f>VLOOKUP(K698,#REF!,8,FALSE)</f>
        <v>#REF!</v>
      </c>
      <c r="AY698" s="266" t="s">
        <v>2235</v>
      </c>
      <c r="AZ698" s="268" t="s">
        <v>75</v>
      </c>
      <c r="BA698" s="274">
        <f>AM698/3*2</f>
        <v>3879.5</v>
      </c>
      <c r="BB698" s="318">
        <f t="shared" si="369"/>
        <v>0</v>
      </c>
      <c r="BC698" s="269">
        <f t="shared" si="370"/>
        <v>1909.44140625</v>
      </c>
      <c r="BD698" t="e">
        <f t="shared" si="374"/>
        <v>#REF!</v>
      </c>
      <c r="BE698" t="s">
        <v>2351</v>
      </c>
      <c r="BI698" t="e">
        <f>VLOOKUP(K698,#REF!,8,FALSE)</f>
        <v>#REF!</v>
      </c>
      <c r="BK698" s="269"/>
      <c r="BN698" s="353" t="s">
        <v>75</v>
      </c>
      <c r="BO698" s="106"/>
      <c r="BP698" s="166">
        <f t="shared" si="375"/>
        <v>1909.44140625</v>
      </c>
      <c r="BQ698" t="s">
        <v>2351</v>
      </c>
      <c r="BS698" s="165"/>
      <c r="BX698" s="495">
        <f t="shared" si="350"/>
        <v>1909.44140625</v>
      </c>
      <c r="BZ698" s="636">
        <f t="shared" si="351"/>
        <v>0</v>
      </c>
      <c r="CA698" s="633">
        <f t="shared" si="352"/>
        <v>0</v>
      </c>
    </row>
    <row r="699" spans="1:79" x14ac:dyDescent="0.2">
      <c r="A699" s="4">
        <v>1</v>
      </c>
      <c r="B699" s="4">
        <v>1</v>
      </c>
      <c r="C699" s="5">
        <f t="shared" si="353"/>
        <v>41208</v>
      </c>
      <c r="D699" s="6">
        <v>41208</v>
      </c>
      <c r="E699" s="121">
        <v>43012</v>
      </c>
      <c r="F699" s="6" t="s">
        <v>1606</v>
      </c>
      <c r="G699" s="7" t="s">
        <v>75</v>
      </c>
      <c r="H699" s="7"/>
      <c r="I699" s="7" t="s">
        <v>157</v>
      </c>
      <c r="J699" s="7"/>
      <c r="K699" s="29">
        <v>391871</v>
      </c>
      <c r="L699" s="10" t="s">
        <v>1454</v>
      </c>
      <c r="M699" s="10" t="s">
        <v>1496</v>
      </c>
      <c r="N699" s="10" t="s">
        <v>501</v>
      </c>
      <c r="O699" s="11" t="s">
        <v>1497</v>
      </c>
      <c r="P699" s="12">
        <v>40367</v>
      </c>
      <c r="Q699" s="13">
        <f t="shared" ca="1" si="355"/>
        <v>15.208761122518823</v>
      </c>
      <c r="R699" s="14">
        <v>8</v>
      </c>
      <c r="S699" s="15">
        <v>872</v>
      </c>
      <c r="T699" s="8">
        <v>872</v>
      </c>
      <c r="U699" s="16">
        <v>45017</v>
      </c>
      <c r="V699" s="17">
        <v>1</v>
      </c>
      <c r="W699" s="16">
        <v>45382</v>
      </c>
      <c r="X699" s="14">
        <v>192</v>
      </c>
      <c r="Y699" s="18">
        <f t="shared" si="376"/>
        <v>192</v>
      </c>
      <c r="Z699" s="18">
        <f t="shared" si="377"/>
        <v>1</v>
      </c>
      <c r="AA699" s="18" t="s">
        <v>36</v>
      </c>
      <c r="AB699" s="26">
        <v>22</v>
      </c>
      <c r="AC699" s="26"/>
      <c r="AD699" s="26"/>
      <c r="AE699" s="147" t="str">
        <f t="shared" si="363"/>
        <v>1</v>
      </c>
      <c r="AF699" s="147" t="str">
        <f t="shared" si="364"/>
        <v>0</v>
      </c>
      <c r="AG699" s="147" t="str">
        <f t="shared" si="365"/>
        <v>0</v>
      </c>
      <c r="AH699" s="147" t="str">
        <f t="shared" si="358"/>
        <v>NO</v>
      </c>
      <c r="AI699" s="147" t="str">
        <f t="shared" si="359"/>
        <v>NO</v>
      </c>
      <c r="AJ699" s="147" t="str">
        <f t="shared" si="360"/>
        <v>NO</v>
      </c>
      <c r="AK699" s="147" t="str">
        <f t="shared" si="361"/>
        <v>NO</v>
      </c>
      <c r="AL699" s="21"/>
      <c r="AM699" s="21">
        <f t="shared" si="378"/>
        <v>4400.9399999999987</v>
      </c>
      <c r="AN699" s="27" t="s">
        <v>66</v>
      </c>
      <c r="AO699" s="21">
        <v>1</v>
      </c>
      <c r="AP699" s="21">
        <f t="shared" si="367"/>
        <v>1</v>
      </c>
      <c r="AQ699" s="149">
        <f t="shared" si="347"/>
        <v>4400.9399999999987</v>
      </c>
      <c r="AR699" s="21">
        <v>4400.9399999999987</v>
      </c>
      <c r="AS699" s="610">
        <v>4400.9399999999987</v>
      </c>
      <c r="AT699" s="112">
        <v>4400.9399999999987</v>
      </c>
      <c r="AU699" s="4"/>
      <c r="AV699" s="4"/>
      <c r="AW699" s="23" t="e">
        <f>VLOOKUP(K699,#REF!,8,FALSE)</f>
        <v>#REF!</v>
      </c>
      <c r="AX699" s="23" t="e">
        <f>VLOOKUP(K699,#REF!,8,FALSE)</f>
        <v>#REF!</v>
      </c>
      <c r="AY699" s="23" t="e">
        <f>VLOOKUP(K699,#REF!,8,FALSE)</f>
        <v>#REF!</v>
      </c>
      <c r="AZ699" s="4"/>
      <c r="BA699" s="272"/>
      <c r="BB699" s="318">
        <f t="shared" si="369"/>
        <v>0</v>
      </c>
      <c r="BC699" s="269">
        <f t="shared" si="370"/>
        <v>4400.9399999999987</v>
      </c>
      <c r="BD699" t="str">
        <f t="shared" si="374"/>
        <v/>
      </c>
      <c r="BP699" s="166">
        <f t="shared" si="375"/>
        <v>4400.9399999999987</v>
      </c>
      <c r="BS699" s="165"/>
      <c r="BX699" s="495">
        <f t="shared" si="350"/>
        <v>4400.9399999999987</v>
      </c>
      <c r="BZ699" s="636">
        <f t="shared" si="351"/>
        <v>0</v>
      </c>
      <c r="CA699" s="633">
        <f t="shared" si="352"/>
        <v>0</v>
      </c>
    </row>
    <row r="700" spans="1:79" x14ac:dyDescent="0.2">
      <c r="A700" s="4">
        <v>1</v>
      </c>
      <c r="B700" s="4">
        <v>1</v>
      </c>
      <c r="C700" s="5">
        <f t="shared" si="353"/>
        <v>41208</v>
      </c>
      <c r="D700" s="6">
        <v>41208</v>
      </c>
      <c r="E700" s="121">
        <v>43012</v>
      </c>
      <c r="F700" s="6" t="s">
        <v>1606</v>
      </c>
      <c r="G700" s="7" t="s">
        <v>75</v>
      </c>
      <c r="H700" s="7"/>
      <c r="I700" s="7" t="s">
        <v>157</v>
      </c>
      <c r="J700" s="7"/>
      <c r="K700" s="29">
        <v>376515</v>
      </c>
      <c r="L700" s="10" t="s">
        <v>1454</v>
      </c>
      <c r="M700" s="10" t="s">
        <v>1498</v>
      </c>
      <c r="N700" s="10" t="s">
        <v>1499</v>
      </c>
      <c r="O700" s="11" t="s">
        <v>1500</v>
      </c>
      <c r="P700" s="12">
        <v>39660</v>
      </c>
      <c r="Q700" s="13">
        <f t="shared" ca="1" si="355"/>
        <v>17.144421629021217</v>
      </c>
      <c r="R700" s="14">
        <v>10</v>
      </c>
      <c r="S700" s="15">
        <v>872</v>
      </c>
      <c r="T700" s="8">
        <v>872</v>
      </c>
      <c r="U700" s="16">
        <v>45017</v>
      </c>
      <c r="V700" s="17">
        <v>1</v>
      </c>
      <c r="W700" s="16">
        <v>45382</v>
      </c>
      <c r="X700" s="14">
        <v>192</v>
      </c>
      <c r="Y700" s="18">
        <f t="shared" si="376"/>
        <v>192</v>
      </c>
      <c r="Z700" s="18">
        <f t="shared" si="377"/>
        <v>1</v>
      </c>
      <c r="AA700" s="18" t="s">
        <v>36</v>
      </c>
      <c r="AB700" s="26">
        <v>22</v>
      </c>
      <c r="AC700" s="26"/>
      <c r="AD700" s="26"/>
      <c r="AE700" s="147" t="str">
        <f t="shared" si="363"/>
        <v>1</v>
      </c>
      <c r="AF700" s="147" t="str">
        <f t="shared" si="364"/>
        <v>0</v>
      </c>
      <c r="AG700" s="147" t="str">
        <f t="shared" si="365"/>
        <v>0</v>
      </c>
      <c r="AH700" s="147" t="str">
        <f t="shared" si="358"/>
        <v>NO</v>
      </c>
      <c r="AI700" s="147" t="str">
        <f t="shared" si="359"/>
        <v>NO</v>
      </c>
      <c r="AJ700" s="147" t="str">
        <f t="shared" si="360"/>
        <v>NO</v>
      </c>
      <c r="AK700" s="147" t="str">
        <f t="shared" si="361"/>
        <v>NO</v>
      </c>
      <c r="AL700" s="21"/>
      <c r="AM700" s="21">
        <f t="shared" si="378"/>
        <v>4400.9399999999987</v>
      </c>
      <c r="AN700" s="27" t="s">
        <v>66</v>
      </c>
      <c r="AO700" s="21">
        <v>1</v>
      </c>
      <c r="AP700" s="21">
        <f t="shared" si="367"/>
        <v>1</v>
      </c>
      <c r="AQ700" s="149">
        <f t="shared" si="347"/>
        <v>4400.9399999999987</v>
      </c>
      <c r="AR700" s="21">
        <v>4400.9399999999987</v>
      </c>
      <c r="AS700" s="610">
        <v>4400.9399999999987</v>
      </c>
      <c r="AT700" s="112">
        <v>4400.9399999999987</v>
      </c>
      <c r="AU700" s="4"/>
      <c r="AV700" s="4"/>
      <c r="AW700" s="23" t="e">
        <f>VLOOKUP(K700,#REF!,8,FALSE)</f>
        <v>#REF!</v>
      </c>
      <c r="AX700" s="23" t="e">
        <f>VLOOKUP(K700,#REF!,8,FALSE)</f>
        <v>#REF!</v>
      </c>
      <c r="AY700" s="23" t="e">
        <f>VLOOKUP(K700,#REF!,8,FALSE)</f>
        <v>#REF!</v>
      </c>
      <c r="AZ700" s="4"/>
      <c r="BA700" s="272"/>
      <c r="BB700" s="318">
        <f t="shared" si="369"/>
        <v>0</v>
      </c>
      <c r="BC700" s="269">
        <f t="shared" si="370"/>
        <v>4400.9399999999987</v>
      </c>
      <c r="BD700" t="str">
        <f t="shared" si="374"/>
        <v/>
      </c>
      <c r="BP700" s="166">
        <f t="shared" si="375"/>
        <v>4400.9399999999987</v>
      </c>
      <c r="BS700" s="165"/>
      <c r="BX700" s="495">
        <f t="shared" si="350"/>
        <v>4400.9399999999987</v>
      </c>
      <c r="BZ700" s="636">
        <f t="shared" si="351"/>
        <v>0</v>
      </c>
      <c r="CA700" s="633">
        <f t="shared" si="352"/>
        <v>0</v>
      </c>
    </row>
    <row r="701" spans="1:79" x14ac:dyDescent="0.2">
      <c r="A701" s="4">
        <v>1</v>
      </c>
      <c r="B701" s="4">
        <v>1</v>
      </c>
      <c r="C701" s="5">
        <f t="shared" si="353"/>
        <v>41208</v>
      </c>
      <c r="D701" s="6">
        <v>41208</v>
      </c>
      <c r="E701" s="121">
        <v>43012</v>
      </c>
      <c r="F701" s="6" t="s">
        <v>1606</v>
      </c>
      <c r="G701" s="7" t="s">
        <v>75</v>
      </c>
      <c r="H701" s="7"/>
      <c r="I701" s="7" t="s">
        <v>157</v>
      </c>
      <c r="J701" s="7"/>
      <c r="K701" s="29">
        <v>379582</v>
      </c>
      <c r="L701" s="10" t="s">
        <v>1454</v>
      </c>
      <c r="M701" s="10" t="s">
        <v>915</v>
      </c>
      <c r="N701" s="10" t="s">
        <v>1501</v>
      </c>
      <c r="O701" s="11" t="s">
        <v>1502</v>
      </c>
      <c r="P701" s="12">
        <v>39990</v>
      </c>
      <c r="Q701" s="13">
        <f t="shared" ca="1" si="355"/>
        <v>16.240930869267626</v>
      </c>
      <c r="R701" s="14">
        <v>9</v>
      </c>
      <c r="S701" s="15">
        <v>872</v>
      </c>
      <c r="T701" s="8">
        <v>872</v>
      </c>
      <c r="U701" s="16">
        <v>45017</v>
      </c>
      <c r="V701" s="17">
        <v>1</v>
      </c>
      <c r="W701" s="16">
        <v>45382</v>
      </c>
      <c r="X701" s="14">
        <v>192</v>
      </c>
      <c r="Y701" s="18">
        <f t="shared" si="376"/>
        <v>192</v>
      </c>
      <c r="Z701" s="18">
        <f t="shared" si="377"/>
        <v>1</v>
      </c>
      <c r="AA701" s="18" t="s">
        <v>36</v>
      </c>
      <c r="AB701" s="21">
        <v>30000</v>
      </c>
      <c r="AC701" s="21"/>
      <c r="AD701" s="21"/>
      <c r="AE701" s="147" t="str">
        <f t="shared" si="363"/>
        <v>0</v>
      </c>
      <c r="AF701" s="147" t="str">
        <f t="shared" si="364"/>
        <v>0</v>
      </c>
      <c r="AG701" s="147" t="str">
        <f t="shared" si="365"/>
        <v>1</v>
      </c>
      <c r="AH701" s="147" t="str">
        <f t="shared" si="358"/>
        <v>NO</v>
      </c>
      <c r="AI701" s="147" t="str">
        <f t="shared" si="359"/>
        <v>NO</v>
      </c>
      <c r="AJ701" s="147" t="str">
        <f t="shared" si="360"/>
        <v>NO</v>
      </c>
      <c r="AK701" s="147" t="str">
        <f t="shared" si="361"/>
        <v>NO</v>
      </c>
      <c r="AL701" s="21"/>
      <c r="AM701" s="21">
        <f>AB701</f>
        <v>30000</v>
      </c>
      <c r="AN701" s="27" t="s">
        <v>56</v>
      </c>
      <c r="AO701" s="21">
        <v>1</v>
      </c>
      <c r="AP701" s="21">
        <f t="shared" si="367"/>
        <v>1</v>
      </c>
      <c r="AQ701" s="149">
        <f t="shared" si="347"/>
        <v>30000</v>
      </c>
      <c r="AR701" s="21">
        <v>30000</v>
      </c>
      <c r="AS701" s="610">
        <v>30000</v>
      </c>
      <c r="AT701" s="112">
        <v>30000</v>
      </c>
      <c r="AU701" s="4"/>
      <c r="AV701" s="4"/>
      <c r="AW701" s="23" t="e">
        <f>VLOOKUP(K701,#REF!,8,FALSE)</f>
        <v>#REF!</v>
      </c>
      <c r="AX701" s="23" t="e">
        <f>VLOOKUP(K701,#REF!,8,FALSE)</f>
        <v>#REF!</v>
      </c>
      <c r="AY701" s="23" t="e">
        <f>VLOOKUP(K701,#REF!,8,FALSE)</f>
        <v>#REF!</v>
      </c>
      <c r="AZ701" s="4"/>
      <c r="BA701" s="272"/>
      <c r="BB701" s="318">
        <f t="shared" si="369"/>
        <v>0</v>
      </c>
      <c r="BC701" s="269">
        <f t="shared" si="370"/>
        <v>30000</v>
      </c>
      <c r="BD701" t="str">
        <f t="shared" si="374"/>
        <v/>
      </c>
      <c r="BP701" s="166">
        <f t="shared" si="375"/>
        <v>30000</v>
      </c>
      <c r="BS701" s="165"/>
      <c r="BX701" s="495">
        <f t="shared" si="350"/>
        <v>30000</v>
      </c>
      <c r="BZ701" s="636">
        <f t="shared" si="351"/>
        <v>0</v>
      </c>
      <c r="CA701" s="633">
        <f t="shared" si="352"/>
        <v>0</v>
      </c>
    </row>
    <row r="702" spans="1:79" x14ac:dyDescent="0.2">
      <c r="A702" s="4">
        <v>1</v>
      </c>
      <c r="B702" s="4">
        <v>1</v>
      </c>
      <c r="C702" s="5">
        <f t="shared" si="353"/>
        <v>41208</v>
      </c>
      <c r="D702" s="6">
        <v>41208</v>
      </c>
      <c r="E702" s="121">
        <v>43012</v>
      </c>
      <c r="F702" s="6" t="s">
        <v>1606</v>
      </c>
      <c r="G702" s="7" t="s">
        <v>75</v>
      </c>
      <c r="H702" s="7"/>
      <c r="I702" s="7" t="s">
        <v>157</v>
      </c>
      <c r="J702" s="7"/>
      <c r="K702" s="29">
        <v>389830</v>
      </c>
      <c r="L702" s="10" t="s">
        <v>1454</v>
      </c>
      <c r="M702" s="10" t="s">
        <v>704</v>
      </c>
      <c r="N702" s="10" t="s">
        <v>1503</v>
      </c>
      <c r="O702" s="11" t="s">
        <v>1504</v>
      </c>
      <c r="P702" s="12">
        <v>40295</v>
      </c>
      <c r="Q702" s="13">
        <f t="shared" ca="1" si="355"/>
        <v>15.405886379192333</v>
      </c>
      <c r="R702" s="14">
        <v>8</v>
      </c>
      <c r="S702" s="15">
        <v>872</v>
      </c>
      <c r="T702" s="8">
        <v>872</v>
      </c>
      <c r="U702" s="16">
        <v>45017</v>
      </c>
      <c r="V702" s="17">
        <v>1</v>
      </c>
      <c r="W702" s="16">
        <v>45382</v>
      </c>
      <c r="X702" s="14">
        <v>192</v>
      </c>
      <c r="Y702" s="18">
        <f t="shared" si="376"/>
        <v>192</v>
      </c>
      <c r="Z702" s="18">
        <f t="shared" si="377"/>
        <v>1</v>
      </c>
      <c r="AA702" s="18" t="s">
        <v>36</v>
      </c>
      <c r="AB702" s="26">
        <v>25</v>
      </c>
      <c r="AC702" s="26"/>
      <c r="AD702" s="26"/>
      <c r="AE702" s="147" t="str">
        <f t="shared" si="363"/>
        <v>1</v>
      </c>
      <c r="AF702" s="147" t="str">
        <f t="shared" si="364"/>
        <v>0</v>
      </c>
      <c r="AG702" s="147" t="str">
        <f t="shared" si="365"/>
        <v>0</v>
      </c>
      <c r="AH702" s="147" t="str">
        <f t="shared" si="358"/>
        <v>NO</v>
      </c>
      <c r="AI702" s="147" t="str">
        <f t="shared" si="359"/>
        <v>NO</v>
      </c>
      <c r="AJ702" s="147" t="str">
        <f t="shared" si="360"/>
        <v>NO</v>
      </c>
      <c r="AK702" s="147" t="str">
        <f t="shared" si="361"/>
        <v>NO</v>
      </c>
      <c r="AL702" s="21"/>
      <c r="AM702" s="21">
        <f>IF(H702="Y",AL702,((AB702*$O$902)-6000))</f>
        <v>5819.25</v>
      </c>
      <c r="AN702" s="27" t="s">
        <v>56</v>
      </c>
      <c r="AO702" s="21">
        <v>1</v>
      </c>
      <c r="AP702" s="21">
        <f t="shared" ref="AP702:AP726" si="379">AO702*Z702</f>
        <v>1</v>
      </c>
      <c r="AQ702" s="149">
        <f t="shared" si="347"/>
        <v>5819.25</v>
      </c>
      <c r="AR702" s="21">
        <v>5819.25</v>
      </c>
      <c r="AS702" s="610">
        <v>5819.25</v>
      </c>
      <c r="AT702" s="112">
        <v>5819.25</v>
      </c>
      <c r="AU702" s="4"/>
      <c r="AV702" s="4"/>
      <c r="AW702" s="23" t="e">
        <f>VLOOKUP(K702,#REF!,8,FALSE)</f>
        <v>#REF!</v>
      </c>
      <c r="AX702" s="23" t="e">
        <f>VLOOKUP(K702,#REF!,8,FALSE)</f>
        <v>#REF!</v>
      </c>
      <c r="AY702" s="23" t="e">
        <f>VLOOKUP(K702,#REF!,8,FALSE)</f>
        <v>#REF!</v>
      </c>
      <c r="AZ702" s="4"/>
      <c r="BA702" s="272"/>
      <c r="BB702" s="318">
        <f t="shared" si="369"/>
        <v>0</v>
      </c>
      <c r="BC702" s="269">
        <f t="shared" si="370"/>
        <v>5819.25</v>
      </c>
      <c r="BD702" t="str">
        <f t="shared" si="374"/>
        <v/>
      </c>
      <c r="BP702" s="166">
        <f t="shared" si="375"/>
        <v>5819.25</v>
      </c>
      <c r="BS702" s="165"/>
      <c r="BX702" s="495">
        <f t="shared" si="350"/>
        <v>5819.25</v>
      </c>
      <c r="BZ702" s="636">
        <f t="shared" si="351"/>
        <v>0</v>
      </c>
      <c r="CA702" s="633">
        <f t="shared" si="352"/>
        <v>0</v>
      </c>
    </row>
    <row r="703" spans="1:79" x14ac:dyDescent="0.2">
      <c r="A703" s="4">
        <v>1</v>
      </c>
      <c r="B703" s="4">
        <v>1</v>
      </c>
      <c r="C703" s="5">
        <f t="shared" si="353"/>
        <v>41208</v>
      </c>
      <c r="D703" s="6">
        <v>41208</v>
      </c>
      <c r="E703" s="121">
        <v>43012</v>
      </c>
      <c r="F703" s="6" t="s">
        <v>1606</v>
      </c>
      <c r="G703" s="7" t="s">
        <v>75</v>
      </c>
      <c r="H703" s="7"/>
      <c r="I703" s="7" t="s">
        <v>157</v>
      </c>
      <c r="J703" s="7"/>
      <c r="K703" s="29">
        <v>367809</v>
      </c>
      <c r="L703" s="10" t="s">
        <v>1454</v>
      </c>
      <c r="M703" s="10" t="s">
        <v>1505</v>
      </c>
      <c r="N703" s="10" t="s">
        <v>1506</v>
      </c>
      <c r="O703" s="11" t="s">
        <v>1507</v>
      </c>
      <c r="P703" s="12">
        <v>39066</v>
      </c>
      <c r="Q703" s="13">
        <f t="shared" ca="1" si="355"/>
        <v>18.770704996577688</v>
      </c>
      <c r="R703" s="14">
        <v>11</v>
      </c>
      <c r="S703" s="15">
        <v>872</v>
      </c>
      <c r="T703" s="8">
        <v>872</v>
      </c>
      <c r="U703" s="16">
        <v>45017</v>
      </c>
      <c r="V703" s="17">
        <v>1</v>
      </c>
      <c r="W703" s="16">
        <v>45128</v>
      </c>
      <c r="X703" s="14">
        <v>63</v>
      </c>
      <c r="Y703" s="18">
        <f t="shared" si="376"/>
        <v>63</v>
      </c>
      <c r="Z703" s="18">
        <f t="shared" si="377"/>
        <v>0.328125</v>
      </c>
      <c r="AA703" s="16" t="s">
        <v>166</v>
      </c>
      <c r="AB703" s="26">
        <v>22</v>
      </c>
      <c r="AC703" s="26"/>
      <c r="AD703" s="26"/>
      <c r="AE703" s="147" t="str">
        <f t="shared" si="363"/>
        <v>1</v>
      </c>
      <c r="AF703" s="147" t="str">
        <f t="shared" si="364"/>
        <v>0</v>
      </c>
      <c r="AG703" s="147" t="str">
        <f t="shared" si="365"/>
        <v>0</v>
      </c>
      <c r="AH703" s="147" t="str">
        <f t="shared" si="358"/>
        <v>NO</v>
      </c>
      <c r="AI703" s="147" t="str">
        <f t="shared" si="359"/>
        <v>NO</v>
      </c>
      <c r="AJ703" s="147" t="str">
        <f t="shared" si="360"/>
        <v>NO</v>
      </c>
      <c r="AK703" s="147" t="str">
        <f t="shared" si="361"/>
        <v>NO</v>
      </c>
      <c r="AL703" s="21"/>
      <c r="AM703" s="21">
        <f>IF(H703="Y",AL703,((AB703*$O$902)-6000))</f>
        <v>4400.9399999999987</v>
      </c>
      <c r="AN703" s="27" t="s">
        <v>43</v>
      </c>
      <c r="AO703" s="21">
        <v>1</v>
      </c>
      <c r="AP703" s="21">
        <f t="shared" si="379"/>
        <v>0.328125</v>
      </c>
      <c r="AQ703" s="149">
        <f t="shared" si="347"/>
        <v>1444.0584374999996</v>
      </c>
      <c r="AR703" s="21">
        <v>1444.0584374999996</v>
      </c>
      <c r="AS703" s="610">
        <v>1444.0584374999996</v>
      </c>
      <c r="AT703" s="112">
        <v>1444.0584374999996</v>
      </c>
      <c r="AU703" s="4"/>
      <c r="AV703" s="4"/>
      <c r="AW703" s="23" t="e">
        <f>VLOOKUP(K703,#REF!,8,FALSE)</f>
        <v>#REF!</v>
      </c>
      <c r="AX703" s="23" t="e">
        <f>VLOOKUP(K703,#REF!,8,FALSE)</f>
        <v>#REF!</v>
      </c>
      <c r="AY703" s="266" t="s">
        <v>2239</v>
      </c>
      <c r="AZ703" s="268" t="s">
        <v>75</v>
      </c>
      <c r="BA703" s="274">
        <f>AM703/3*2</f>
        <v>2933.9599999999991</v>
      </c>
      <c r="BB703" s="318">
        <f t="shared" si="369"/>
        <v>0</v>
      </c>
      <c r="BC703" s="269">
        <f t="shared" si="370"/>
        <v>1444.0584374999996</v>
      </c>
      <c r="BD703" t="e">
        <f t="shared" si="374"/>
        <v>#REF!</v>
      </c>
      <c r="BE703" t="s">
        <v>2398</v>
      </c>
      <c r="BI703" t="e">
        <f>VLOOKUP(K703,#REF!,8,FALSE)</f>
        <v>#REF!</v>
      </c>
      <c r="BK703" s="269"/>
      <c r="BN703" s="353" t="s">
        <v>75</v>
      </c>
      <c r="BO703" s="106"/>
      <c r="BP703" s="166">
        <f t="shared" si="375"/>
        <v>1444.0584374999996</v>
      </c>
      <c r="BQ703" t="s">
        <v>2351</v>
      </c>
      <c r="BS703" s="165"/>
      <c r="BX703" s="495">
        <f t="shared" si="350"/>
        <v>1444.0584374999996</v>
      </c>
      <c r="BZ703" s="636">
        <f t="shared" si="351"/>
        <v>0</v>
      </c>
      <c r="CA703" s="633">
        <f t="shared" si="352"/>
        <v>0</v>
      </c>
    </row>
    <row r="704" spans="1:79" x14ac:dyDescent="0.2">
      <c r="A704" s="4">
        <v>1</v>
      </c>
      <c r="B704" s="4">
        <v>1</v>
      </c>
      <c r="C704" s="5">
        <f t="shared" si="353"/>
        <v>41208</v>
      </c>
      <c r="D704" s="6">
        <v>41208</v>
      </c>
      <c r="E704" s="121">
        <v>43012</v>
      </c>
      <c r="F704" s="6" t="s">
        <v>1606</v>
      </c>
      <c r="G704" s="7" t="s">
        <v>75</v>
      </c>
      <c r="H704" s="7"/>
      <c r="I704" s="7" t="s">
        <v>157</v>
      </c>
      <c r="J704" s="7"/>
      <c r="K704" s="29">
        <v>396584</v>
      </c>
      <c r="L704" s="10" t="s">
        <v>1454</v>
      </c>
      <c r="M704" s="10" t="s">
        <v>1508</v>
      </c>
      <c r="N704" s="10" t="s">
        <v>1509</v>
      </c>
      <c r="O704" s="11" t="s">
        <v>1510</v>
      </c>
      <c r="P704" s="12">
        <v>40567</v>
      </c>
      <c r="Q704" s="13">
        <f t="shared" ca="1" si="355"/>
        <v>14.661190965092402</v>
      </c>
      <c r="R704" s="14">
        <v>7</v>
      </c>
      <c r="S704" s="15">
        <v>872</v>
      </c>
      <c r="T704" s="8">
        <v>872</v>
      </c>
      <c r="U704" s="16">
        <v>45017</v>
      </c>
      <c r="V704" s="17">
        <v>1</v>
      </c>
      <c r="W704" s="16">
        <v>45382</v>
      </c>
      <c r="X704" s="14">
        <v>192</v>
      </c>
      <c r="Y704" s="18">
        <f t="shared" si="376"/>
        <v>192</v>
      </c>
      <c r="Z704" s="18">
        <f t="shared" si="377"/>
        <v>1</v>
      </c>
      <c r="AA704" s="18" t="s">
        <v>36</v>
      </c>
      <c r="AB704" s="26">
        <v>30</v>
      </c>
      <c r="AC704" s="26"/>
      <c r="AD704" s="26"/>
      <c r="AE704" s="147" t="str">
        <f t="shared" si="363"/>
        <v>0</v>
      </c>
      <c r="AF704" s="147" t="str">
        <f t="shared" si="364"/>
        <v>1</v>
      </c>
      <c r="AG704" s="147" t="str">
        <f t="shared" si="365"/>
        <v>0</v>
      </c>
      <c r="AH704" s="147" t="str">
        <f t="shared" si="358"/>
        <v>NO</v>
      </c>
      <c r="AI704" s="147" t="str">
        <f t="shared" si="359"/>
        <v>NO</v>
      </c>
      <c r="AJ704" s="147" t="str">
        <f t="shared" si="360"/>
        <v>NO</v>
      </c>
      <c r="AK704" s="147" t="str">
        <f t="shared" si="361"/>
        <v>NO</v>
      </c>
      <c r="AL704" s="21"/>
      <c r="AM704" s="21">
        <f>IF(H704="Y",AL704,((AB704*$O$902)-6000))</f>
        <v>8183.0999999999985</v>
      </c>
      <c r="AN704" s="27" t="s">
        <v>43</v>
      </c>
      <c r="AO704" s="21">
        <v>1</v>
      </c>
      <c r="AP704" s="21">
        <f t="shared" si="379"/>
        <v>1</v>
      </c>
      <c r="AQ704" s="149">
        <f t="shared" ref="AQ704:AQ767" si="380">AP704*AM704</f>
        <v>8183.0999999999985</v>
      </c>
      <c r="AR704" s="21">
        <v>8183.0999999999985</v>
      </c>
      <c r="AS704" s="610">
        <v>8183.0999999999985</v>
      </c>
      <c r="AT704" s="112">
        <v>8183.0999999999985</v>
      </c>
      <c r="AU704" s="4"/>
      <c r="AV704" s="4"/>
      <c r="AW704" s="23" t="e">
        <f>VLOOKUP(K704,#REF!,8,FALSE)</f>
        <v>#REF!</v>
      </c>
      <c r="AX704" s="23" t="e">
        <f>VLOOKUP(K704,#REF!,8,FALSE)</f>
        <v>#REF!</v>
      </c>
      <c r="AY704" s="23" t="e">
        <f>VLOOKUP(K704,#REF!,8,FALSE)</f>
        <v>#REF!</v>
      </c>
      <c r="AZ704" s="4"/>
      <c r="BA704" s="272"/>
      <c r="BB704" s="318">
        <f t="shared" si="369"/>
        <v>0</v>
      </c>
      <c r="BC704" s="269">
        <f t="shared" si="370"/>
        <v>8183.0999999999985</v>
      </c>
      <c r="BD704" t="str">
        <f t="shared" si="374"/>
        <v/>
      </c>
      <c r="BP704" s="166">
        <f t="shared" si="375"/>
        <v>8183.0999999999985</v>
      </c>
      <c r="BS704" s="165"/>
      <c r="BX704" s="495">
        <f t="shared" si="350"/>
        <v>8183.0999999999985</v>
      </c>
      <c r="BZ704" s="636">
        <f t="shared" si="351"/>
        <v>0</v>
      </c>
      <c r="CA704" s="633">
        <f t="shared" si="352"/>
        <v>0</v>
      </c>
    </row>
    <row r="705" spans="1:79" x14ac:dyDescent="0.2">
      <c r="A705" s="4">
        <v>1</v>
      </c>
      <c r="B705" s="4">
        <v>1</v>
      </c>
      <c r="C705" s="5">
        <f t="shared" si="353"/>
        <v>41208</v>
      </c>
      <c r="D705" s="6">
        <v>41208</v>
      </c>
      <c r="E705" s="121">
        <v>43012</v>
      </c>
      <c r="F705" s="6" t="s">
        <v>1606</v>
      </c>
      <c r="G705" s="7" t="s">
        <v>75</v>
      </c>
      <c r="H705" s="7"/>
      <c r="I705" s="7" t="s">
        <v>157</v>
      </c>
      <c r="J705" s="7"/>
      <c r="K705" s="29">
        <v>367808</v>
      </c>
      <c r="L705" s="10" t="s">
        <v>1454</v>
      </c>
      <c r="M705" s="10" t="s">
        <v>619</v>
      </c>
      <c r="N705" s="10" t="s">
        <v>1506</v>
      </c>
      <c r="O705" s="11" t="s">
        <v>1511</v>
      </c>
      <c r="P705" s="12">
        <v>39066</v>
      </c>
      <c r="Q705" s="13">
        <f t="shared" ca="1" si="355"/>
        <v>18.770704996577688</v>
      </c>
      <c r="R705" s="14">
        <v>11</v>
      </c>
      <c r="S705" s="15">
        <v>872</v>
      </c>
      <c r="T705" s="8">
        <v>872</v>
      </c>
      <c r="U705" s="16">
        <v>45017</v>
      </c>
      <c r="V705" s="17">
        <v>1</v>
      </c>
      <c r="W705" s="16">
        <v>45128</v>
      </c>
      <c r="X705" s="14">
        <v>63</v>
      </c>
      <c r="Y705" s="18">
        <f t="shared" si="376"/>
        <v>63</v>
      </c>
      <c r="Z705" s="18">
        <f t="shared" si="377"/>
        <v>0.328125</v>
      </c>
      <c r="AA705" s="16" t="s">
        <v>166</v>
      </c>
      <c r="AB705" s="67">
        <v>25</v>
      </c>
      <c r="AC705" s="67"/>
      <c r="AD705" s="67"/>
      <c r="AE705" s="147" t="str">
        <f t="shared" si="363"/>
        <v>1</v>
      </c>
      <c r="AF705" s="147" t="str">
        <f t="shared" si="364"/>
        <v>0</v>
      </c>
      <c r="AG705" s="147" t="str">
        <f t="shared" si="365"/>
        <v>0</v>
      </c>
      <c r="AH705" s="147" t="str">
        <f t="shared" si="358"/>
        <v>NO</v>
      </c>
      <c r="AI705" s="147" t="str">
        <f t="shared" si="359"/>
        <v>NO</v>
      </c>
      <c r="AJ705" s="147" t="str">
        <f t="shared" si="360"/>
        <v>NO</v>
      </c>
      <c r="AK705" s="147" t="str">
        <f t="shared" si="361"/>
        <v>NO</v>
      </c>
      <c r="AL705" s="21"/>
      <c r="AM705" s="21">
        <f>IF(H705="Y",AL705,((AB705*$O$902)-6000))</f>
        <v>5819.25</v>
      </c>
      <c r="AN705" s="27" t="s">
        <v>43</v>
      </c>
      <c r="AO705" s="21">
        <v>1</v>
      </c>
      <c r="AP705" s="21">
        <f t="shared" si="379"/>
        <v>0.328125</v>
      </c>
      <c r="AQ705" s="149">
        <f t="shared" si="380"/>
        <v>1909.44140625</v>
      </c>
      <c r="AR705" s="21">
        <v>1909.44140625</v>
      </c>
      <c r="AS705" s="610">
        <v>1909.44140625</v>
      </c>
      <c r="AT705" s="112">
        <v>1909.44140625</v>
      </c>
      <c r="AU705" s="4"/>
      <c r="AV705" s="4"/>
      <c r="AW705" s="23" t="e">
        <f>VLOOKUP(K705,#REF!,8,FALSE)</f>
        <v>#REF!</v>
      </c>
      <c r="AX705" s="23" t="e">
        <f>VLOOKUP(K705,#REF!,8,FALSE)</f>
        <v>#REF!</v>
      </c>
      <c r="AY705" s="266" t="s">
        <v>2235</v>
      </c>
      <c r="AZ705" s="268" t="s">
        <v>75</v>
      </c>
      <c r="BA705" s="274">
        <f>AM705/3*2</f>
        <v>3879.5</v>
      </c>
      <c r="BB705" s="318">
        <f t="shared" si="369"/>
        <v>0</v>
      </c>
      <c r="BC705" s="269">
        <f t="shared" si="370"/>
        <v>1909.44140625</v>
      </c>
      <c r="BD705" s="110" t="s">
        <v>2405</v>
      </c>
      <c r="BJ705">
        <f>AB705</f>
        <v>25</v>
      </c>
      <c r="BK705" s="269">
        <f>AM705</f>
        <v>5819.25</v>
      </c>
      <c r="BO705" s="106">
        <f>BK705/192*127</f>
        <v>3849.19140625</v>
      </c>
      <c r="BP705" s="166">
        <f t="shared" si="375"/>
        <v>5758.6328125</v>
      </c>
      <c r="BS705" s="165"/>
      <c r="BX705" s="495">
        <f t="shared" ref="BX705:BX768" si="381">AQ705+BO705+BU705</f>
        <v>5758.6328125</v>
      </c>
      <c r="BZ705" s="636">
        <f t="shared" si="351"/>
        <v>0</v>
      </c>
      <c r="CA705" s="633">
        <f t="shared" si="352"/>
        <v>3849.19140625</v>
      </c>
    </row>
    <row r="706" spans="1:79" x14ac:dyDescent="0.2">
      <c r="A706" s="4">
        <v>1</v>
      </c>
      <c r="B706" s="4">
        <v>1</v>
      </c>
      <c r="C706" s="5">
        <f t="shared" si="353"/>
        <v>41208</v>
      </c>
      <c r="D706" s="6">
        <v>41208</v>
      </c>
      <c r="E706" s="121">
        <v>43012</v>
      </c>
      <c r="F706" s="6" t="s">
        <v>1606</v>
      </c>
      <c r="G706" s="7" t="s">
        <v>75</v>
      </c>
      <c r="H706" s="7"/>
      <c r="I706" s="7" t="s">
        <v>157</v>
      </c>
      <c r="J706" s="7"/>
      <c r="K706" s="29">
        <v>384210</v>
      </c>
      <c r="L706" s="10" t="s">
        <v>1454</v>
      </c>
      <c r="M706" s="10" t="s">
        <v>177</v>
      </c>
      <c r="N706" s="10" t="s">
        <v>347</v>
      </c>
      <c r="O706" s="11" t="s">
        <v>1512</v>
      </c>
      <c r="P706" s="12">
        <v>39761</v>
      </c>
      <c r="Q706" s="13">
        <f t="shared" ca="1" si="355"/>
        <v>16.867898699520875</v>
      </c>
      <c r="R706" s="14">
        <v>9</v>
      </c>
      <c r="S706" s="15">
        <v>872</v>
      </c>
      <c r="T706" s="8">
        <v>872</v>
      </c>
      <c r="U706" s="16">
        <v>45017</v>
      </c>
      <c r="V706" s="17">
        <v>1</v>
      </c>
      <c r="W706" s="16">
        <v>45382</v>
      </c>
      <c r="X706" s="14">
        <v>192</v>
      </c>
      <c r="Y706" s="18">
        <f t="shared" si="376"/>
        <v>192</v>
      </c>
      <c r="Z706" s="18">
        <f t="shared" si="377"/>
        <v>1</v>
      </c>
      <c r="AA706" s="18" t="s">
        <v>36</v>
      </c>
      <c r="AB706" s="67">
        <v>29820</v>
      </c>
      <c r="AC706" s="67"/>
      <c r="AD706" s="67"/>
      <c r="AE706" s="147" t="str">
        <f t="shared" si="363"/>
        <v>0</v>
      </c>
      <c r="AF706" s="147" t="str">
        <f t="shared" si="364"/>
        <v>0</v>
      </c>
      <c r="AG706" s="147" t="str">
        <f t="shared" si="365"/>
        <v>1</v>
      </c>
      <c r="AH706" s="147" t="str">
        <f t="shared" si="358"/>
        <v>NO</v>
      </c>
      <c r="AI706" s="147" t="str">
        <f t="shared" si="359"/>
        <v>NO</v>
      </c>
      <c r="AJ706" s="147" t="str">
        <f t="shared" si="360"/>
        <v>NO</v>
      </c>
      <c r="AK706" s="147" t="str">
        <f t="shared" si="361"/>
        <v>NO</v>
      </c>
      <c r="AL706" s="21"/>
      <c r="AM706" s="21">
        <f>AB706</f>
        <v>29820</v>
      </c>
      <c r="AN706" s="27" t="s">
        <v>56</v>
      </c>
      <c r="AO706" s="21">
        <v>1</v>
      </c>
      <c r="AP706" s="21">
        <f t="shared" si="379"/>
        <v>1</v>
      </c>
      <c r="AQ706" s="149">
        <f t="shared" si="380"/>
        <v>29820</v>
      </c>
      <c r="AR706" s="21">
        <v>29820</v>
      </c>
      <c r="AS706" s="610">
        <v>29820</v>
      </c>
      <c r="AT706" s="112">
        <v>29820</v>
      </c>
      <c r="AU706" s="4"/>
      <c r="AV706" s="4"/>
      <c r="AW706" s="23" t="e">
        <f>VLOOKUP(K706,#REF!,8,FALSE)</f>
        <v>#REF!</v>
      </c>
      <c r="AX706" s="23" t="e">
        <f>VLOOKUP(K706,#REF!,8,FALSE)</f>
        <v>#REF!</v>
      </c>
      <c r="AY706" s="23" t="e">
        <f>VLOOKUP(K706,#REF!,8,FALSE)</f>
        <v>#REF!</v>
      </c>
      <c r="AZ706" s="4"/>
      <c r="BA706" s="272"/>
      <c r="BB706" s="318">
        <f t="shared" si="369"/>
        <v>0</v>
      </c>
      <c r="BC706" s="269">
        <f t="shared" si="370"/>
        <v>29820</v>
      </c>
      <c r="BD706" t="str">
        <f>BG706&amp;BH706&amp;BI706</f>
        <v/>
      </c>
      <c r="BP706" s="166">
        <f t="shared" si="375"/>
        <v>29820</v>
      </c>
      <c r="BS706" s="165"/>
      <c r="BX706" s="495">
        <f t="shared" si="381"/>
        <v>29820</v>
      </c>
      <c r="BZ706" s="636">
        <f t="shared" si="351"/>
        <v>0</v>
      </c>
      <c r="CA706" s="633">
        <f t="shared" si="352"/>
        <v>0</v>
      </c>
    </row>
    <row r="707" spans="1:79" x14ac:dyDescent="0.2">
      <c r="A707" s="4">
        <v>1</v>
      </c>
      <c r="B707" s="4">
        <v>1</v>
      </c>
      <c r="C707" s="5">
        <f t="shared" si="353"/>
        <v>41208</v>
      </c>
      <c r="D707" s="6">
        <v>41208</v>
      </c>
      <c r="E707" s="121">
        <v>43012</v>
      </c>
      <c r="F707" s="6" t="s">
        <v>1606</v>
      </c>
      <c r="G707" s="7" t="s">
        <v>75</v>
      </c>
      <c r="H707" s="7"/>
      <c r="I707" s="7" t="s">
        <v>157</v>
      </c>
      <c r="J707" s="7"/>
      <c r="K707" s="29">
        <v>379464</v>
      </c>
      <c r="L707" s="10" t="s">
        <v>1454</v>
      </c>
      <c r="M707" s="10" t="s">
        <v>1459</v>
      </c>
      <c r="N707" s="10" t="s">
        <v>1513</v>
      </c>
      <c r="O707" s="11" t="s">
        <v>1514</v>
      </c>
      <c r="P707" s="12">
        <v>39785</v>
      </c>
      <c r="Q707" s="13">
        <f t="shared" ca="1" si="355"/>
        <v>16.802190280629706</v>
      </c>
      <c r="R707" s="14">
        <v>9</v>
      </c>
      <c r="S707" s="15">
        <v>872</v>
      </c>
      <c r="T707" s="8">
        <v>872</v>
      </c>
      <c r="U707" s="16">
        <v>45017</v>
      </c>
      <c r="V707" s="17">
        <v>1</v>
      </c>
      <c r="W707" s="16">
        <v>45382</v>
      </c>
      <c r="X707" s="14">
        <v>192</v>
      </c>
      <c r="Y707" s="18">
        <f t="shared" si="376"/>
        <v>192</v>
      </c>
      <c r="Z707" s="18">
        <f t="shared" si="377"/>
        <v>1</v>
      </c>
      <c r="AA707" s="18" t="s">
        <v>36</v>
      </c>
      <c r="AB707" s="26">
        <v>25</v>
      </c>
      <c r="AC707" s="26"/>
      <c r="AD707" s="26"/>
      <c r="AE707" s="147" t="str">
        <f t="shared" si="363"/>
        <v>1</v>
      </c>
      <c r="AF707" s="147" t="str">
        <f t="shared" si="364"/>
        <v>0</v>
      </c>
      <c r="AG707" s="147" t="str">
        <f t="shared" si="365"/>
        <v>0</v>
      </c>
      <c r="AH707" s="147" t="str">
        <f t="shared" si="358"/>
        <v>NO</v>
      </c>
      <c r="AI707" s="147" t="str">
        <f t="shared" si="359"/>
        <v>NO</v>
      </c>
      <c r="AJ707" s="147" t="str">
        <f t="shared" si="360"/>
        <v>NO</v>
      </c>
      <c r="AK707" s="147" t="str">
        <f t="shared" si="361"/>
        <v>NO</v>
      </c>
      <c r="AL707" s="21"/>
      <c r="AM707" s="21">
        <f>IF(H707="Y",AL707,((AB707*$O$902)-6000))</f>
        <v>5819.25</v>
      </c>
      <c r="AN707" s="27" t="s">
        <v>173</v>
      </c>
      <c r="AO707" s="21">
        <v>1</v>
      </c>
      <c r="AP707" s="21">
        <f t="shared" si="379"/>
        <v>1</v>
      </c>
      <c r="AQ707" s="149">
        <f t="shared" si="380"/>
        <v>5819.25</v>
      </c>
      <c r="AR707" s="21">
        <v>5819.25</v>
      </c>
      <c r="AS707" s="610">
        <v>5819.25</v>
      </c>
      <c r="AT707" s="112">
        <v>5819.25</v>
      </c>
      <c r="AU707" s="4"/>
      <c r="AV707" s="4"/>
      <c r="AW707" s="23" t="e">
        <f>VLOOKUP(K707,#REF!,8,FALSE)</f>
        <v>#REF!</v>
      </c>
      <c r="AX707" s="23" t="e">
        <f>VLOOKUP(K707,#REF!,8,FALSE)</f>
        <v>#REF!</v>
      </c>
      <c r="AY707" s="23" t="e">
        <f>VLOOKUP(K707,#REF!,8,FALSE)</f>
        <v>#REF!</v>
      </c>
      <c r="AZ707" s="4"/>
      <c r="BA707" s="272"/>
      <c r="BB707" s="318">
        <f t="shared" si="369"/>
        <v>0</v>
      </c>
      <c r="BC707" s="269">
        <f t="shared" si="370"/>
        <v>5819.25</v>
      </c>
      <c r="BD707" t="str">
        <f>BG707&amp;BH707&amp;BI707</f>
        <v/>
      </c>
      <c r="BP707" s="166">
        <f t="shared" si="375"/>
        <v>5819.25</v>
      </c>
      <c r="BS707" s="165"/>
      <c r="BX707" s="495">
        <f t="shared" si="381"/>
        <v>5819.25</v>
      </c>
      <c r="BZ707" s="636">
        <f t="shared" ref="BZ707:BZ770" si="382">BX707-BP707</f>
        <v>0</v>
      </c>
      <c r="CA707" s="633">
        <f t="shared" ref="CA707:CA770" si="383">BX707-AS707</f>
        <v>0</v>
      </c>
    </row>
    <row r="708" spans="1:79" x14ac:dyDescent="0.2">
      <c r="A708" s="4">
        <v>1</v>
      </c>
      <c r="B708" s="4">
        <v>1</v>
      </c>
      <c r="C708" s="5">
        <f t="shared" si="353"/>
        <v>41208</v>
      </c>
      <c r="D708" s="6">
        <v>41208</v>
      </c>
      <c r="E708" s="121">
        <v>43012</v>
      </c>
      <c r="F708" s="6" t="s">
        <v>1606</v>
      </c>
      <c r="G708" s="7" t="s">
        <v>75</v>
      </c>
      <c r="H708" s="7"/>
      <c r="I708" s="33" t="s">
        <v>270</v>
      </c>
      <c r="J708" s="33"/>
      <c r="K708" s="29">
        <v>365916</v>
      </c>
      <c r="L708" s="10" t="s">
        <v>1454</v>
      </c>
      <c r="M708" s="10" t="s">
        <v>855</v>
      </c>
      <c r="N708" s="10" t="s">
        <v>1515</v>
      </c>
      <c r="O708" s="11" t="s">
        <v>1516</v>
      </c>
      <c r="P708" s="12">
        <v>38874</v>
      </c>
      <c r="Q708" s="13">
        <f t="shared" ca="1" si="355"/>
        <v>19.296372347707049</v>
      </c>
      <c r="R708" s="14">
        <v>12</v>
      </c>
      <c r="S708" s="15">
        <v>872</v>
      </c>
      <c r="T708" s="8">
        <v>872</v>
      </c>
      <c r="U708" s="16">
        <v>45017</v>
      </c>
      <c r="V708" s="17">
        <v>1</v>
      </c>
      <c r="W708" s="16">
        <v>45128</v>
      </c>
      <c r="X708" s="14">
        <v>63</v>
      </c>
      <c r="Y708" s="18">
        <f t="shared" si="376"/>
        <v>63</v>
      </c>
      <c r="Z708" s="18">
        <f t="shared" si="377"/>
        <v>0.328125</v>
      </c>
      <c r="AA708" s="16" t="s">
        <v>270</v>
      </c>
      <c r="AB708" s="26">
        <v>11712.5</v>
      </c>
      <c r="AC708" s="26"/>
      <c r="AD708" s="26"/>
      <c r="AE708" s="147" t="str">
        <f t="shared" si="363"/>
        <v>0</v>
      </c>
      <c r="AF708" s="147" t="str">
        <f t="shared" si="364"/>
        <v>0</v>
      </c>
      <c r="AG708" s="147" t="str">
        <f t="shared" si="365"/>
        <v>1</v>
      </c>
      <c r="AH708" s="147" t="str">
        <f t="shared" si="358"/>
        <v>NO</v>
      </c>
      <c r="AI708" s="147" t="str">
        <f t="shared" si="359"/>
        <v>NO</v>
      </c>
      <c r="AJ708" s="147" t="str">
        <f t="shared" si="360"/>
        <v>NO</v>
      </c>
      <c r="AK708" s="147" t="str">
        <f t="shared" si="361"/>
        <v>NO</v>
      </c>
      <c r="AL708" s="21"/>
      <c r="AM708" s="21">
        <v>11712.5</v>
      </c>
      <c r="AN708" s="27" t="s">
        <v>56</v>
      </c>
      <c r="AO708" s="21">
        <v>1</v>
      </c>
      <c r="AP708" s="21">
        <f t="shared" si="379"/>
        <v>0.328125</v>
      </c>
      <c r="AQ708" s="149">
        <f t="shared" si="380"/>
        <v>3843.1640625</v>
      </c>
      <c r="AR708" s="21">
        <v>3843.1640625</v>
      </c>
      <c r="AS708" s="610">
        <v>3843.1640625</v>
      </c>
      <c r="AT708" s="112">
        <v>3843.1640625</v>
      </c>
      <c r="AU708" s="4"/>
      <c r="AV708" s="4"/>
      <c r="AW708" s="23" t="e">
        <f>VLOOKUP(K708,#REF!,8,FALSE)</f>
        <v>#REF!</v>
      </c>
      <c r="AX708" s="23" t="e">
        <f>VLOOKUP(K708,#REF!,8,FALSE)</f>
        <v>#REF!</v>
      </c>
      <c r="AY708" s="23" t="e">
        <f>VLOOKUP(K708,#REF!,8,FALSE)</f>
        <v>#REF!</v>
      </c>
      <c r="AZ708" s="4"/>
      <c r="BA708" s="272"/>
      <c r="BB708" s="318">
        <f t="shared" si="369"/>
        <v>0</v>
      </c>
      <c r="BC708" s="269">
        <f t="shared" si="370"/>
        <v>3843.1640625</v>
      </c>
      <c r="BD708" s="110" t="s">
        <v>2405</v>
      </c>
      <c r="BJ708">
        <f>AB708</f>
        <v>11712.5</v>
      </c>
      <c r="BK708" s="269">
        <f>AM708</f>
        <v>11712.5</v>
      </c>
      <c r="BO708" s="106">
        <f>BK708/192*127</f>
        <v>7747.3307291666661</v>
      </c>
      <c r="BP708" s="166">
        <f t="shared" si="375"/>
        <v>11590.494791666666</v>
      </c>
      <c r="BS708" s="165"/>
      <c r="BX708" s="495">
        <f t="shared" si="381"/>
        <v>11590.494791666666</v>
      </c>
      <c r="BZ708" s="636">
        <f t="shared" si="382"/>
        <v>0</v>
      </c>
      <c r="CA708" s="633">
        <f t="shared" si="383"/>
        <v>7747.3307291666661</v>
      </c>
    </row>
    <row r="709" spans="1:79" x14ac:dyDescent="0.2">
      <c r="A709" s="4">
        <v>1</v>
      </c>
      <c r="B709" s="4">
        <v>1</v>
      </c>
      <c r="C709" s="5">
        <f t="shared" ref="C709:C752" si="384">D709*1</f>
        <v>41208</v>
      </c>
      <c r="D709" s="6">
        <v>41208</v>
      </c>
      <c r="E709" s="121">
        <v>43012</v>
      </c>
      <c r="F709" s="6" t="s">
        <v>1606</v>
      </c>
      <c r="G709" s="7" t="s">
        <v>75</v>
      </c>
      <c r="H709" s="7"/>
      <c r="I709" s="7" t="s">
        <v>157</v>
      </c>
      <c r="J709" s="7"/>
      <c r="K709" s="29">
        <v>432708</v>
      </c>
      <c r="L709" s="10" t="s">
        <v>1454</v>
      </c>
      <c r="M709" s="10" t="s">
        <v>132</v>
      </c>
      <c r="N709" s="10" t="s">
        <v>1517</v>
      </c>
      <c r="O709" s="11" t="s">
        <v>1518</v>
      </c>
      <c r="P709" s="12">
        <v>40022</v>
      </c>
      <c r="Q709" s="13">
        <f t="shared" ca="1" si="355"/>
        <v>16.153319644079399</v>
      </c>
      <c r="R709" s="14">
        <v>9</v>
      </c>
      <c r="S709" s="15">
        <v>872</v>
      </c>
      <c r="T709" s="8">
        <v>872</v>
      </c>
      <c r="U709" s="16">
        <v>45017</v>
      </c>
      <c r="V709" s="17">
        <v>1</v>
      </c>
      <c r="W709" s="16">
        <v>45382</v>
      </c>
      <c r="X709" s="14">
        <v>192</v>
      </c>
      <c r="Y709" s="18">
        <f t="shared" si="376"/>
        <v>192</v>
      </c>
      <c r="Z709" s="18">
        <f t="shared" si="377"/>
        <v>1</v>
      </c>
      <c r="AA709" s="18" t="s">
        <v>36</v>
      </c>
      <c r="AB709" s="26">
        <v>28</v>
      </c>
      <c r="AC709" s="26"/>
      <c r="AD709" s="26"/>
      <c r="AE709" s="147" t="str">
        <f t="shared" si="363"/>
        <v>0</v>
      </c>
      <c r="AF709" s="147" t="str">
        <f t="shared" si="364"/>
        <v>1</v>
      </c>
      <c r="AG709" s="147" t="str">
        <f t="shared" si="365"/>
        <v>0</v>
      </c>
      <c r="AH709" s="147" t="str">
        <f t="shared" si="358"/>
        <v>NO</v>
      </c>
      <c r="AI709" s="147" t="str">
        <f t="shared" si="359"/>
        <v>NO</v>
      </c>
      <c r="AJ709" s="147" t="str">
        <f t="shared" si="360"/>
        <v>NO</v>
      </c>
      <c r="AK709" s="147" t="str">
        <f t="shared" si="361"/>
        <v>NO</v>
      </c>
      <c r="AL709" s="21"/>
      <c r="AM709" s="21">
        <f>IF(H709="Y",AL709,((AB709*$O$902)-6000))</f>
        <v>7237.5599999999995</v>
      </c>
      <c r="AN709" s="27" t="s">
        <v>66</v>
      </c>
      <c r="AO709" s="21">
        <v>1</v>
      </c>
      <c r="AP709" s="21">
        <f t="shared" si="379"/>
        <v>1</v>
      </c>
      <c r="AQ709" s="149">
        <f t="shared" si="380"/>
        <v>7237.5599999999995</v>
      </c>
      <c r="AR709" s="21">
        <v>7237.5599999999995</v>
      </c>
      <c r="AS709" s="610">
        <v>7237.5599999999995</v>
      </c>
      <c r="AT709" s="112">
        <v>7237.5599999999995</v>
      </c>
      <c r="AU709" s="4"/>
      <c r="AV709" s="4"/>
      <c r="AW709" s="23" t="e">
        <f>VLOOKUP(K709,#REF!,8,FALSE)</f>
        <v>#REF!</v>
      </c>
      <c r="AX709" s="23" t="e">
        <f>VLOOKUP(K709,#REF!,8,FALSE)</f>
        <v>#REF!</v>
      </c>
      <c r="AY709" s="23" t="e">
        <f>VLOOKUP(K709,#REF!,8,FALSE)</f>
        <v>#REF!</v>
      </c>
      <c r="AZ709" s="4"/>
      <c r="BA709" s="272"/>
      <c r="BB709" s="318">
        <f t="shared" si="369"/>
        <v>0</v>
      </c>
      <c r="BC709" s="269">
        <f t="shared" si="370"/>
        <v>7237.5599999999995</v>
      </c>
      <c r="BD709" t="str">
        <f t="shared" ref="BD709:BD726" si="385">BG709&amp;BH709&amp;BI709</f>
        <v/>
      </c>
      <c r="BP709" s="166">
        <f t="shared" si="375"/>
        <v>7237.5599999999995</v>
      </c>
      <c r="BS709" s="165"/>
      <c r="BX709" s="495">
        <f t="shared" si="381"/>
        <v>7237.5599999999995</v>
      </c>
      <c r="BZ709" s="636">
        <f t="shared" si="382"/>
        <v>0</v>
      </c>
      <c r="CA709" s="633">
        <f t="shared" si="383"/>
        <v>0</v>
      </c>
    </row>
    <row r="710" spans="1:79" x14ac:dyDescent="0.2">
      <c r="A710" s="4">
        <v>1</v>
      </c>
      <c r="B710" s="4">
        <v>1</v>
      </c>
      <c r="C710" s="5">
        <f t="shared" si="384"/>
        <v>41208</v>
      </c>
      <c r="D710" s="6">
        <v>41208</v>
      </c>
      <c r="E710" s="121">
        <v>43012</v>
      </c>
      <c r="F710" s="6" t="s">
        <v>1606</v>
      </c>
      <c r="G710" s="7" t="s">
        <v>75</v>
      </c>
      <c r="H710" s="7"/>
      <c r="I710" s="7" t="s">
        <v>157</v>
      </c>
      <c r="J710" s="7"/>
      <c r="K710" s="29">
        <v>400730</v>
      </c>
      <c r="L710" s="10" t="s">
        <v>1454</v>
      </c>
      <c r="M710" s="10" t="s">
        <v>1232</v>
      </c>
      <c r="N710" s="10" t="s">
        <v>1519</v>
      </c>
      <c r="O710" s="11" t="s">
        <v>1520</v>
      </c>
      <c r="P710" s="12">
        <v>39005</v>
      </c>
      <c r="Q710" s="13">
        <f t="shared" ca="1" si="355"/>
        <v>18.937713894592743</v>
      </c>
      <c r="R710" s="14">
        <v>11</v>
      </c>
      <c r="S710" s="15">
        <v>872</v>
      </c>
      <c r="T710" s="8">
        <v>872</v>
      </c>
      <c r="U710" s="16">
        <v>45017</v>
      </c>
      <c r="V710" s="17">
        <v>1</v>
      </c>
      <c r="W710" s="16">
        <v>45128</v>
      </c>
      <c r="X710" s="14">
        <v>63</v>
      </c>
      <c r="Y710" s="18">
        <f t="shared" si="376"/>
        <v>63</v>
      </c>
      <c r="Z710" s="18">
        <f t="shared" si="377"/>
        <v>0.328125</v>
      </c>
      <c r="AA710" s="16" t="s">
        <v>166</v>
      </c>
      <c r="AB710" s="26" t="s">
        <v>91</v>
      </c>
      <c r="AC710" s="26"/>
      <c r="AD710" s="26"/>
      <c r="AE710" s="147" t="str">
        <f t="shared" si="363"/>
        <v>0</v>
      </c>
      <c r="AF710" s="147" t="str">
        <f t="shared" si="364"/>
        <v>0</v>
      </c>
      <c r="AG710" s="147" t="str">
        <f t="shared" si="365"/>
        <v>1</v>
      </c>
      <c r="AH710" s="147" t="str">
        <f t="shared" si="358"/>
        <v>NO</v>
      </c>
      <c r="AI710" s="147" t="str">
        <f t="shared" si="359"/>
        <v>NO</v>
      </c>
      <c r="AJ710" s="147" t="str">
        <f t="shared" si="360"/>
        <v>NO</v>
      </c>
      <c r="AK710" s="147" t="str">
        <f t="shared" si="361"/>
        <v>NO</v>
      </c>
      <c r="AL710" s="21"/>
      <c r="AM710" s="21">
        <v>9115.2000000000007</v>
      </c>
      <c r="AN710" s="27" t="s">
        <v>43</v>
      </c>
      <c r="AO710" s="21">
        <v>1</v>
      </c>
      <c r="AP710" s="21">
        <f t="shared" si="379"/>
        <v>0.328125</v>
      </c>
      <c r="AQ710" s="149">
        <f t="shared" si="380"/>
        <v>2990.9250000000002</v>
      </c>
      <c r="AR710" s="21">
        <v>2990.9250000000002</v>
      </c>
      <c r="AS710" s="610">
        <v>2990.9250000000002</v>
      </c>
      <c r="AT710" s="112">
        <v>2990.9250000000002</v>
      </c>
      <c r="AU710" s="4"/>
      <c r="AV710" s="4"/>
      <c r="AW710" s="23" t="e">
        <f>VLOOKUP(K710,#REF!,8,FALSE)</f>
        <v>#REF!</v>
      </c>
      <c r="AX710" s="23" t="e">
        <f>VLOOKUP(K710,#REF!,8,FALSE)</f>
        <v>#REF!</v>
      </c>
      <c r="AY710" s="23" t="s">
        <v>1454</v>
      </c>
      <c r="AZ710" s="4"/>
      <c r="BA710" s="272"/>
      <c r="BB710" s="318">
        <f t="shared" si="369"/>
        <v>0</v>
      </c>
      <c r="BC710" s="269">
        <f t="shared" si="370"/>
        <v>2990.9250000000002</v>
      </c>
      <c r="BD710" t="e">
        <f t="shared" si="385"/>
        <v>#REF!</v>
      </c>
      <c r="BE710" t="s">
        <v>2394</v>
      </c>
      <c r="BF710">
        <v>43012</v>
      </c>
      <c r="BI710" t="e">
        <f>VLOOKUP(K710,#REF!,8,FALSE)</f>
        <v>#REF!</v>
      </c>
      <c r="BK710" s="269"/>
      <c r="BN710" s="353" t="s">
        <v>75</v>
      </c>
      <c r="BO710" s="106"/>
      <c r="BP710" s="166">
        <f t="shared" si="375"/>
        <v>2990.9250000000002</v>
      </c>
      <c r="BQ710" t="s">
        <v>2351</v>
      </c>
      <c r="BS710" s="165"/>
      <c r="BX710" s="495">
        <f t="shared" si="381"/>
        <v>2990.9250000000002</v>
      </c>
      <c r="BZ710" s="636">
        <f t="shared" si="382"/>
        <v>0</v>
      </c>
      <c r="CA710" s="633">
        <f t="shared" si="383"/>
        <v>0</v>
      </c>
    </row>
    <row r="711" spans="1:79" x14ac:dyDescent="0.2">
      <c r="A711" s="4">
        <v>1</v>
      </c>
      <c r="B711" s="4">
        <v>1</v>
      </c>
      <c r="C711" s="5">
        <f t="shared" si="384"/>
        <v>41208</v>
      </c>
      <c r="D711" s="6">
        <v>41208</v>
      </c>
      <c r="E711" s="121">
        <v>43012</v>
      </c>
      <c r="F711" s="6" t="s">
        <v>1606</v>
      </c>
      <c r="G711" s="7" t="s">
        <v>75</v>
      </c>
      <c r="H711" s="7"/>
      <c r="I711" s="7" t="s">
        <v>157</v>
      </c>
      <c r="J711" s="7"/>
      <c r="K711" s="29">
        <v>435695</v>
      </c>
      <c r="L711" s="10" t="s">
        <v>1454</v>
      </c>
      <c r="M711" s="10" t="s">
        <v>1521</v>
      </c>
      <c r="N711" s="10" t="s">
        <v>1522</v>
      </c>
      <c r="O711" s="11" t="s">
        <v>1523</v>
      </c>
      <c r="P711" s="12">
        <v>40659</v>
      </c>
      <c r="Q711" s="13">
        <f t="shared" ca="1" si="355"/>
        <v>14.40930869267625</v>
      </c>
      <c r="R711" s="14">
        <v>7</v>
      </c>
      <c r="S711" s="15">
        <v>872</v>
      </c>
      <c r="T711" s="8">
        <v>872</v>
      </c>
      <c r="U711" s="16">
        <v>45035</v>
      </c>
      <c r="V711" s="17">
        <v>4</v>
      </c>
      <c r="W711" s="16">
        <v>45382</v>
      </c>
      <c r="X711" s="14">
        <v>192</v>
      </c>
      <c r="Y711" s="18">
        <f t="shared" si="376"/>
        <v>189</v>
      </c>
      <c r="Z711" s="18">
        <f t="shared" si="377"/>
        <v>0.984375</v>
      </c>
      <c r="AA711" s="16" t="s">
        <v>36</v>
      </c>
      <c r="AB711" s="26">
        <v>30</v>
      </c>
      <c r="AC711" s="26"/>
      <c r="AD711" s="26"/>
      <c r="AE711" s="147" t="str">
        <f t="shared" si="363"/>
        <v>0</v>
      </c>
      <c r="AF711" s="147" t="str">
        <f t="shared" si="364"/>
        <v>1</v>
      </c>
      <c r="AG711" s="147" t="str">
        <f t="shared" si="365"/>
        <v>0</v>
      </c>
      <c r="AH711" s="147" t="str">
        <f t="shared" si="358"/>
        <v>NO</v>
      </c>
      <c r="AI711" s="147" t="str">
        <f t="shared" si="359"/>
        <v>NO</v>
      </c>
      <c r="AJ711" s="147" t="str">
        <f t="shared" si="360"/>
        <v>NO</v>
      </c>
      <c r="AK711" s="147" t="str">
        <f t="shared" si="361"/>
        <v>NO</v>
      </c>
      <c r="AL711" s="21"/>
      <c r="AM711" s="21">
        <f>IF(H711="Y",AL711,((AB711*$O$902)-6000))</f>
        <v>8183.0999999999985</v>
      </c>
      <c r="AN711" s="27"/>
      <c r="AO711" s="21">
        <v>1</v>
      </c>
      <c r="AP711" s="21">
        <f t="shared" si="379"/>
        <v>0.984375</v>
      </c>
      <c r="AQ711" s="149">
        <f t="shared" si="380"/>
        <v>8055.2390624999989</v>
      </c>
      <c r="AR711" s="21">
        <v>8055.2390624999989</v>
      </c>
      <c r="AS711" s="610">
        <v>0</v>
      </c>
      <c r="AT711" s="112">
        <v>8055.2390624999989</v>
      </c>
      <c r="AU711" s="4"/>
      <c r="AV711" s="4"/>
      <c r="AW711" s="23" t="e">
        <f>VLOOKUP(K711,#REF!,8,FALSE)</f>
        <v>#REF!</v>
      </c>
      <c r="AX711" s="23" t="e">
        <f>VLOOKUP(K711,#REF!,8,FALSE)</f>
        <v>#REF!</v>
      </c>
      <c r="AY711" s="23" t="e">
        <f>VLOOKUP(K711,#REF!,8,FALSE)</f>
        <v>#REF!</v>
      </c>
      <c r="AZ711" s="4"/>
      <c r="BA711" s="272"/>
      <c r="BB711" s="318">
        <f t="shared" si="369"/>
        <v>0</v>
      </c>
      <c r="BC711" s="269">
        <f t="shared" si="370"/>
        <v>8055.2390624999989</v>
      </c>
      <c r="BD711" t="str">
        <f t="shared" si="385"/>
        <v/>
      </c>
      <c r="BP711" s="166">
        <f t="shared" si="375"/>
        <v>8055.2390624999989</v>
      </c>
      <c r="BS711" s="165"/>
      <c r="BX711" s="495">
        <f t="shared" si="381"/>
        <v>8055.2390624999989</v>
      </c>
      <c r="BZ711" s="636">
        <f t="shared" si="382"/>
        <v>0</v>
      </c>
      <c r="CA711" s="633">
        <f t="shared" si="383"/>
        <v>8055.2390624999989</v>
      </c>
    </row>
    <row r="712" spans="1:79" x14ac:dyDescent="0.2">
      <c r="A712" s="4">
        <v>1</v>
      </c>
      <c r="B712" s="4">
        <v>1</v>
      </c>
      <c r="C712" s="5">
        <f t="shared" si="384"/>
        <v>41208</v>
      </c>
      <c r="D712" s="6">
        <v>41208</v>
      </c>
      <c r="E712" s="121">
        <v>43012</v>
      </c>
      <c r="F712" s="6" t="s">
        <v>1606</v>
      </c>
      <c r="G712" s="7" t="s">
        <v>75</v>
      </c>
      <c r="H712" s="7"/>
      <c r="I712" s="7" t="s">
        <v>157</v>
      </c>
      <c r="J712" s="7"/>
      <c r="K712" s="29">
        <v>375624</v>
      </c>
      <c r="L712" s="10" t="s">
        <v>1454</v>
      </c>
      <c r="M712" s="10" t="s">
        <v>1524</v>
      </c>
      <c r="N712" s="10" t="s">
        <v>1525</v>
      </c>
      <c r="O712" s="11" t="s">
        <v>1526</v>
      </c>
      <c r="P712" s="12">
        <v>39861</v>
      </c>
      <c r="Q712" s="13">
        <f t="shared" ca="1" si="355"/>
        <v>16.594113620807665</v>
      </c>
      <c r="R712" s="14">
        <v>9</v>
      </c>
      <c r="S712" s="15">
        <v>872</v>
      </c>
      <c r="T712" s="8">
        <v>872</v>
      </c>
      <c r="U712" s="16">
        <v>45017</v>
      </c>
      <c r="V712" s="17">
        <v>1</v>
      </c>
      <c r="W712" s="16">
        <v>45382</v>
      </c>
      <c r="X712" s="14">
        <v>192</v>
      </c>
      <c r="Y712" s="18">
        <f t="shared" si="376"/>
        <v>192</v>
      </c>
      <c r="Z712" s="18">
        <f t="shared" si="377"/>
        <v>1</v>
      </c>
      <c r="AA712" s="18" t="s">
        <v>36</v>
      </c>
      <c r="AB712" s="26">
        <v>30</v>
      </c>
      <c r="AC712" s="26"/>
      <c r="AD712" s="26"/>
      <c r="AE712" s="147" t="str">
        <f t="shared" si="363"/>
        <v>0</v>
      </c>
      <c r="AF712" s="147" t="str">
        <f t="shared" si="364"/>
        <v>1</v>
      </c>
      <c r="AG712" s="147" t="str">
        <f t="shared" si="365"/>
        <v>0</v>
      </c>
      <c r="AH712" s="147" t="str">
        <f t="shared" si="358"/>
        <v>NO</v>
      </c>
      <c r="AI712" s="147" t="str">
        <f t="shared" si="359"/>
        <v>NO</v>
      </c>
      <c r="AJ712" s="147" t="str">
        <f t="shared" si="360"/>
        <v>NO</v>
      </c>
      <c r="AK712" s="147" t="str">
        <f t="shared" si="361"/>
        <v>NO</v>
      </c>
      <c r="AL712" s="21"/>
      <c r="AM712" s="21">
        <f>IF(H712="Y",AL712,((AB712*$O$902)-6000))</f>
        <v>8183.0999999999985</v>
      </c>
      <c r="AN712" s="27" t="s">
        <v>37</v>
      </c>
      <c r="AO712" s="21">
        <v>1</v>
      </c>
      <c r="AP712" s="21">
        <f t="shared" si="379"/>
        <v>1</v>
      </c>
      <c r="AQ712" s="149">
        <f t="shared" si="380"/>
        <v>8183.0999999999985</v>
      </c>
      <c r="AR712" s="21">
        <v>8183.0999999999985</v>
      </c>
      <c r="AS712" s="610">
        <v>8183.0999999999985</v>
      </c>
      <c r="AT712" s="112">
        <v>8183.0999999999985</v>
      </c>
      <c r="AU712" s="4"/>
      <c r="AV712" s="4"/>
      <c r="AW712" s="23" t="e">
        <f>VLOOKUP(K712,#REF!,8,FALSE)</f>
        <v>#REF!</v>
      </c>
      <c r="AX712" s="23" t="e">
        <f>VLOOKUP(K712,#REF!,8,FALSE)</f>
        <v>#REF!</v>
      </c>
      <c r="AY712" s="23" t="e">
        <f>VLOOKUP(K712,#REF!,8,FALSE)</f>
        <v>#REF!</v>
      </c>
      <c r="AZ712" s="4"/>
      <c r="BA712" s="272"/>
      <c r="BB712" s="318">
        <f t="shared" si="369"/>
        <v>0</v>
      </c>
      <c r="BC712" s="269">
        <f t="shared" si="370"/>
        <v>8183.0999999999985</v>
      </c>
      <c r="BD712" t="str">
        <f t="shared" si="385"/>
        <v/>
      </c>
      <c r="BP712" s="166">
        <f t="shared" ref="BP712:BP743" si="386">BC712+BO712</f>
        <v>8183.0999999999985</v>
      </c>
      <c r="BS712" s="165"/>
      <c r="BX712" s="495">
        <f t="shared" si="381"/>
        <v>8183.0999999999985</v>
      </c>
      <c r="BZ712" s="636">
        <f t="shared" si="382"/>
        <v>0</v>
      </c>
      <c r="CA712" s="633">
        <f t="shared" si="383"/>
        <v>0</v>
      </c>
    </row>
    <row r="713" spans="1:79" x14ac:dyDescent="0.2">
      <c r="A713" s="4">
        <v>1</v>
      </c>
      <c r="B713" s="4">
        <v>1</v>
      </c>
      <c r="C713" s="5">
        <f t="shared" si="384"/>
        <v>41208</v>
      </c>
      <c r="D713" s="6">
        <v>41208</v>
      </c>
      <c r="E713" s="121">
        <v>43012</v>
      </c>
      <c r="F713" s="6" t="s">
        <v>1606</v>
      </c>
      <c r="G713" s="7" t="s">
        <v>75</v>
      </c>
      <c r="H713" s="7"/>
      <c r="I713" s="7" t="s">
        <v>157</v>
      </c>
      <c r="J713" s="7"/>
      <c r="K713" s="29">
        <v>385104</v>
      </c>
      <c r="L713" s="10" t="s">
        <v>1454</v>
      </c>
      <c r="M713" s="10" t="s">
        <v>427</v>
      </c>
      <c r="N713" s="10" t="s">
        <v>1527</v>
      </c>
      <c r="O713" s="11" t="s">
        <v>1528</v>
      </c>
      <c r="P713" s="12">
        <v>40024</v>
      </c>
      <c r="Q713" s="13">
        <f t="shared" ref="Q713:Q776" ca="1" si="387">(TODAY()-P713)/365.25</f>
        <v>16.147843942505133</v>
      </c>
      <c r="R713" s="14">
        <v>9</v>
      </c>
      <c r="S713" s="15">
        <v>872</v>
      </c>
      <c r="T713" s="8">
        <v>872</v>
      </c>
      <c r="U713" s="16">
        <v>45017</v>
      </c>
      <c r="V713" s="17">
        <v>1</v>
      </c>
      <c r="W713" s="16">
        <v>45382</v>
      </c>
      <c r="X713" s="14">
        <v>192</v>
      </c>
      <c r="Y713" s="18">
        <f t="shared" si="376"/>
        <v>192</v>
      </c>
      <c r="Z713" s="18">
        <f t="shared" si="377"/>
        <v>1</v>
      </c>
      <c r="AA713" s="18" t="s">
        <v>36</v>
      </c>
      <c r="AB713" s="26">
        <v>30</v>
      </c>
      <c r="AC713" s="26"/>
      <c r="AD713" s="26"/>
      <c r="AE713" s="147" t="str">
        <f t="shared" si="363"/>
        <v>0</v>
      </c>
      <c r="AF713" s="147" t="str">
        <f t="shared" si="364"/>
        <v>1</v>
      </c>
      <c r="AG713" s="147" t="str">
        <f t="shared" si="365"/>
        <v>0</v>
      </c>
      <c r="AH713" s="147" t="str">
        <f t="shared" si="358"/>
        <v>NO</v>
      </c>
      <c r="AI713" s="147" t="str">
        <f t="shared" si="359"/>
        <v>NO</v>
      </c>
      <c r="AJ713" s="147" t="str">
        <f t="shared" si="360"/>
        <v>NO</v>
      </c>
      <c r="AK713" s="147" t="str">
        <f t="shared" si="361"/>
        <v>NO</v>
      </c>
      <c r="AL713" s="21"/>
      <c r="AM713" s="21">
        <f>IF(H713="Y",AL713,((AB713*$O$902)-6000))</f>
        <v>8183.0999999999985</v>
      </c>
      <c r="AN713" s="27" t="s">
        <v>43</v>
      </c>
      <c r="AO713" s="21">
        <v>1</v>
      </c>
      <c r="AP713" s="21">
        <f t="shared" si="379"/>
        <v>1</v>
      </c>
      <c r="AQ713" s="149">
        <f t="shared" si="380"/>
        <v>8183.0999999999985</v>
      </c>
      <c r="AR713" s="21">
        <v>8183.0999999999985</v>
      </c>
      <c r="AS713" s="610">
        <v>8183.0999999999985</v>
      </c>
      <c r="AT713" s="112">
        <v>8183.0999999999985</v>
      </c>
      <c r="AU713" s="4"/>
      <c r="AV713" s="4"/>
      <c r="AW713" s="23" t="e">
        <f>VLOOKUP(K713,#REF!,8,FALSE)</f>
        <v>#REF!</v>
      </c>
      <c r="AX713" s="23" t="e">
        <f>VLOOKUP(K713,#REF!,8,FALSE)</f>
        <v>#REF!</v>
      </c>
      <c r="AY713" s="23" t="e">
        <f>VLOOKUP(K713,#REF!,8,FALSE)</f>
        <v>#REF!</v>
      </c>
      <c r="AZ713" s="4"/>
      <c r="BA713" s="272"/>
      <c r="BB713" s="318">
        <f t="shared" si="369"/>
        <v>0</v>
      </c>
      <c r="BC713" s="269">
        <f t="shared" si="370"/>
        <v>8183.0999999999985</v>
      </c>
      <c r="BD713" t="str">
        <f t="shared" si="385"/>
        <v/>
      </c>
      <c r="BP713" s="166">
        <f t="shared" si="386"/>
        <v>8183.0999999999985</v>
      </c>
      <c r="BS713" s="165"/>
      <c r="BX713" s="495">
        <f t="shared" si="381"/>
        <v>8183.0999999999985</v>
      </c>
      <c r="BZ713" s="636">
        <f t="shared" si="382"/>
        <v>0</v>
      </c>
      <c r="CA713" s="633">
        <f t="shared" si="383"/>
        <v>0</v>
      </c>
    </row>
    <row r="714" spans="1:79" x14ac:dyDescent="0.2">
      <c r="A714" s="4">
        <v>1</v>
      </c>
      <c r="B714" s="4">
        <v>1</v>
      </c>
      <c r="C714" s="5">
        <f t="shared" si="384"/>
        <v>41208</v>
      </c>
      <c r="D714" s="6">
        <v>41208</v>
      </c>
      <c r="E714" s="121">
        <v>43012</v>
      </c>
      <c r="F714" s="6" t="s">
        <v>1606</v>
      </c>
      <c r="G714" s="7" t="s">
        <v>75</v>
      </c>
      <c r="H714" s="7"/>
      <c r="I714" s="7" t="s">
        <v>157</v>
      </c>
      <c r="J714" s="7"/>
      <c r="K714" s="29">
        <v>387144</v>
      </c>
      <c r="L714" s="10" t="s">
        <v>1454</v>
      </c>
      <c r="M714" s="10" t="s">
        <v>60</v>
      </c>
      <c r="N714" s="10" t="s">
        <v>962</v>
      </c>
      <c r="O714" s="11" t="str">
        <f>M714&amp;N714</f>
        <v>JayJones</v>
      </c>
      <c r="P714" s="12">
        <v>40205</v>
      </c>
      <c r="Q714" s="13">
        <f t="shared" ca="1" si="387"/>
        <v>15.652292950034223</v>
      </c>
      <c r="R714" s="14">
        <v>8</v>
      </c>
      <c r="S714" s="15">
        <v>872</v>
      </c>
      <c r="T714" s="8">
        <v>872</v>
      </c>
      <c r="U714" s="16">
        <v>45017</v>
      </c>
      <c r="V714" s="17">
        <v>1</v>
      </c>
      <c r="W714" s="16">
        <v>45382</v>
      </c>
      <c r="X714" s="14">
        <v>192</v>
      </c>
      <c r="Y714" s="18">
        <f t="shared" si="376"/>
        <v>192</v>
      </c>
      <c r="Z714" s="18">
        <f t="shared" si="377"/>
        <v>1</v>
      </c>
      <c r="AA714" s="18" t="s">
        <v>36</v>
      </c>
      <c r="AB714" s="26">
        <v>8807</v>
      </c>
      <c r="AC714" s="26"/>
      <c r="AD714" s="26"/>
      <c r="AE714" s="147" t="str">
        <f t="shared" si="363"/>
        <v>0</v>
      </c>
      <c r="AF714" s="147" t="str">
        <f t="shared" si="364"/>
        <v>0</v>
      </c>
      <c r="AG714" s="147" t="str">
        <f t="shared" si="365"/>
        <v>1</v>
      </c>
      <c r="AH714" s="147" t="str">
        <f t="shared" si="358"/>
        <v>NO</v>
      </c>
      <c r="AI714" s="147" t="str">
        <f t="shared" si="359"/>
        <v>NO</v>
      </c>
      <c r="AJ714" s="147" t="str">
        <f t="shared" si="360"/>
        <v>NO</v>
      </c>
      <c r="AK714" s="147" t="str">
        <f t="shared" si="361"/>
        <v>NO</v>
      </c>
      <c r="AL714" s="21"/>
      <c r="AM714" s="21">
        <v>8807</v>
      </c>
      <c r="AN714" s="27" t="s">
        <v>43</v>
      </c>
      <c r="AO714" s="21">
        <v>1</v>
      </c>
      <c r="AP714" s="21">
        <f t="shared" si="379"/>
        <v>1</v>
      </c>
      <c r="AQ714" s="149">
        <f t="shared" si="380"/>
        <v>8807</v>
      </c>
      <c r="AR714" s="21">
        <v>8807</v>
      </c>
      <c r="AS714" s="610">
        <v>8807</v>
      </c>
      <c r="AT714" s="112">
        <v>8807</v>
      </c>
      <c r="AU714" s="4"/>
      <c r="AV714" s="4"/>
      <c r="AW714" s="23" t="e">
        <f>VLOOKUP(K714,#REF!,8,FALSE)</f>
        <v>#REF!</v>
      </c>
      <c r="AX714" s="23" t="e">
        <f>VLOOKUP(K714,#REF!,8,FALSE)</f>
        <v>#REF!</v>
      </c>
      <c r="AY714" s="23" t="e">
        <f>VLOOKUP(K714,#REF!,8,FALSE)</f>
        <v>#REF!</v>
      </c>
      <c r="AZ714" s="4"/>
      <c r="BA714" s="272"/>
      <c r="BB714" s="318">
        <f t="shared" si="369"/>
        <v>0</v>
      </c>
      <c r="BC714" s="269">
        <f t="shared" si="370"/>
        <v>8807</v>
      </c>
      <c r="BD714" t="str">
        <f t="shared" si="385"/>
        <v/>
      </c>
      <c r="BP714" s="166">
        <f t="shared" si="386"/>
        <v>8807</v>
      </c>
      <c r="BS714" s="165"/>
      <c r="BX714" s="495">
        <f t="shared" si="381"/>
        <v>8807</v>
      </c>
      <c r="BZ714" s="636">
        <f t="shared" si="382"/>
        <v>0</v>
      </c>
      <c r="CA714" s="633">
        <f t="shared" si="383"/>
        <v>0</v>
      </c>
    </row>
    <row r="715" spans="1:79" x14ac:dyDescent="0.2">
      <c r="A715" s="4">
        <v>1</v>
      </c>
      <c r="B715" s="4">
        <v>1</v>
      </c>
      <c r="C715" s="5">
        <f t="shared" si="384"/>
        <v>41208</v>
      </c>
      <c r="D715" s="6">
        <v>41208</v>
      </c>
      <c r="E715" s="121">
        <v>43012</v>
      </c>
      <c r="F715" s="6" t="s">
        <v>1606</v>
      </c>
      <c r="G715" s="7" t="s">
        <v>75</v>
      </c>
      <c r="H715" s="7"/>
      <c r="I715" s="7" t="s">
        <v>157</v>
      </c>
      <c r="J715" s="7"/>
      <c r="K715" s="29">
        <v>419138</v>
      </c>
      <c r="L715" s="10" t="s">
        <v>1454</v>
      </c>
      <c r="M715" s="10" t="s">
        <v>1529</v>
      </c>
      <c r="N715" s="10" t="s">
        <v>1530</v>
      </c>
      <c r="O715" s="11" t="s">
        <v>1531</v>
      </c>
      <c r="P715" s="12">
        <v>39304</v>
      </c>
      <c r="Q715" s="13">
        <f t="shared" ca="1" si="387"/>
        <v>18.119096509240247</v>
      </c>
      <c r="R715" s="14">
        <v>11</v>
      </c>
      <c r="S715" s="15">
        <v>872</v>
      </c>
      <c r="T715" s="8">
        <v>872</v>
      </c>
      <c r="U715" s="16">
        <v>45017</v>
      </c>
      <c r="V715" s="17">
        <v>1</v>
      </c>
      <c r="W715" s="16">
        <v>45128</v>
      </c>
      <c r="X715" s="14">
        <v>63</v>
      </c>
      <c r="Y715" s="18">
        <f t="shared" si="376"/>
        <v>63</v>
      </c>
      <c r="Z715" s="18">
        <f t="shared" si="377"/>
        <v>0.328125</v>
      </c>
      <c r="AA715" s="16" t="s">
        <v>166</v>
      </c>
      <c r="AB715" s="26">
        <v>24</v>
      </c>
      <c r="AC715" s="26"/>
      <c r="AD715" s="26"/>
      <c r="AE715" s="147" t="str">
        <f t="shared" si="363"/>
        <v>1</v>
      </c>
      <c r="AF715" s="147" t="str">
        <f t="shared" si="364"/>
        <v>0</v>
      </c>
      <c r="AG715" s="147" t="str">
        <f t="shared" si="365"/>
        <v>0</v>
      </c>
      <c r="AH715" s="147" t="str">
        <f t="shared" si="358"/>
        <v>NO</v>
      </c>
      <c r="AI715" s="147" t="str">
        <f t="shared" si="359"/>
        <v>NO</v>
      </c>
      <c r="AJ715" s="147" t="str">
        <f t="shared" si="360"/>
        <v>NO</v>
      </c>
      <c r="AK715" s="147" t="str">
        <f t="shared" si="361"/>
        <v>NO</v>
      </c>
      <c r="AL715" s="21"/>
      <c r="AM715" s="21">
        <f>IF(H715="Y",AL715,((AB715*$O$902)-6000))</f>
        <v>5346.48</v>
      </c>
      <c r="AN715" s="27" t="s">
        <v>43</v>
      </c>
      <c r="AO715" s="21">
        <v>1</v>
      </c>
      <c r="AP715" s="21">
        <f t="shared" si="379"/>
        <v>0.328125</v>
      </c>
      <c r="AQ715" s="149">
        <f t="shared" si="380"/>
        <v>1754.3137499999998</v>
      </c>
      <c r="AR715" s="21">
        <v>1754.3137499999998</v>
      </c>
      <c r="AS715" s="610">
        <v>1754.3137499999998</v>
      </c>
      <c r="AT715" s="112">
        <v>1754.3137499999998</v>
      </c>
      <c r="AU715" s="4"/>
      <c r="AV715" s="4"/>
      <c r="AW715" s="23" t="e">
        <f>VLOOKUP(K715,#REF!,8,FALSE)</f>
        <v>#REF!</v>
      </c>
      <c r="AX715" s="23" t="e">
        <f>VLOOKUP(K715,#REF!,8,FALSE)</f>
        <v>#REF!</v>
      </c>
      <c r="AY715" s="266" t="s">
        <v>2241</v>
      </c>
      <c r="AZ715" s="268" t="s">
        <v>75</v>
      </c>
      <c r="BA715" s="274">
        <f>AM715/3*2</f>
        <v>3564.3199999999997</v>
      </c>
      <c r="BB715" s="318">
        <f t="shared" si="369"/>
        <v>0</v>
      </c>
      <c r="BC715" s="269">
        <f t="shared" si="370"/>
        <v>1754.3137499999998</v>
      </c>
      <c r="BD715" t="e">
        <f t="shared" si="385"/>
        <v>#REF!</v>
      </c>
      <c r="BI715" t="e">
        <f>VLOOKUP(K715,#REF!,8,FALSE)</f>
        <v>#REF!</v>
      </c>
      <c r="BK715" s="269"/>
      <c r="BN715" s="353" t="s">
        <v>75</v>
      </c>
      <c r="BO715" s="106"/>
      <c r="BP715" s="166">
        <f t="shared" si="386"/>
        <v>1754.3137499999998</v>
      </c>
      <c r="BQ715" t="s">
        <v>2351</v>
      </c>
      <c r="BS715" s="165"/>
      <c r="BX715" s="495">
        <f t="shared" si="381"/>
        <v>1754.3137499999998</v>
      </c>
      <c r="BZ715" s="636">
        <f t="shared" si="382"/>
        <v>0</v>
      </c>
      <c r="CA715" s="633">
        <f t="shared" si="383"/>
        <v>0</v>
      </c>
    </row>
    <row r="716" spans="1:79" x14ac:dyDescent="0.2">
      <c r="A716" s="4">
        <v>1</v>
      </c>
      <c r="B716" s="4">
        <v>1</v>
      </c>
      <c r="C716" s="5">
        <f t="shared" si="384"/>
        <v>41208</v>
      </c>
      <c r="D716" s="6">
        <v>41208</v>
      </c>
      <c r="E716" s="121">
        <v>43012</v>
      </c>
      <c r="F716" s="6" t="s">
        <v>1606</v>
      </c>
      <c r="G716" s="7" t="s">
        <v>75</v>
      </c>
      <c r="H716" s="7"/>
      <c r="I716" s="7" t="s">
        <v>157</v>
      </c>
      <c r="J716" s="7"/>
      <c r="K716" s="29">
        <v>397407</v>
      </c>
      <c r="L716" s="10" t="s">
        <v>1454</v>
      </c>
      <c r="M716" s="10" t="s">
        <v>777</v>
      </c>
      <c r="N716" s="10" t="s">
        <v>1532</v>
      </c>
      <c r="O716" s="11" t="s">
        <v>1533</v>
      </c>
      <c r="P716" s="12">
        <v>40683</v>
      </c>
      <c r="Q716" s="13">
        <f t="shared" ca="1" si="387"/>
        <v>14.343600273785079</v>
      </c>
      <c r="R716" s="14">
        <v>7</v>
      </c>
      <c r="S716" s="15">
        <v>872</v>
      </c>
      <c r="T716" s="8">
        <v>872</v>
      </c>
      <c r="U716" s="16">
        <v>45017</v>
      </c>
      <c r="V716" s="17">
        <v>1</v>
      </c>
      <c r="W716" s="16">
        <v>45382</v>
      </c>
      <c r="X716" s="14">
        <v>192</v>
      </c>
      <c r="Y716" s="18">
        <f t="shared" si="376"/>
        <v>192</v>
      </c>
      <c r="Z716" s="18">
        <f t="shared" si="377"/>
        <v>1</v>
      </c>
      <c r="AA716" s="16" t="s">
        <v>36</v>
      </c>
      <c r="AB716" s="26">
        <v>30</v>
      </c>
      <c r="AC716" s="26"/>
      <c r="AD716" s="26"/>
      <c r="AE716" s="147" t="str">
        <f t="shared" si="363"/>
        <v>0</v>
      </c>
      <c r="AF716" s="147" t="str">
        <f t="shared" si="364"/>
        <v>1</v>
      </c>
      <c r="AG716" s="147" t="str">
        <f t="shared" si="365"/>
        <v>0</v>
      </c>
      <c r="AH716" s="147" t="str">
        <f t="shared" si="358"/>
        <v>NO</v>
      </c>
      <c r="AI716" s="147" t="str">
        <f t="shared" si="359"/>
        <v>NO</v>
      </c>
      <c r="AJ716" s="147" t="str">
        <f t="shared" si="360"/>
        <v>NO</v>
      </c>
      <c r="AK716" s="147" t="str">
        <f t="shared" si="361"/>
        <v>NO</v>
      </c>
      <c r="AL716" s="21"/>
      <c r="AM716" s="21">
        <f>IF(H716="Y",AL716,((AB716*$O$902)-6000))</f>
        <v>8183.0999999999985</v>
      </c>
      <c r="AN716" s="27" t="s">
        <v>536</v>
      </c>
      <c r="AO716" s="21">
        <v>1</v>
      </c>
      <c r="AP716" s="21">
        <f t="shared" si="379"/>
        <v>1</v>
      </c>
      <c r="AQ716" s="149">
        <f t="shared" si="380"/>
        <v>8183.0999999999985</v>
      </c>
      <c r="AR716" s="21">
        <v>8183.0999999999985</v>
      </c>
      <c r="AS716" s="610">
        <v>0</v>
      </c>
      <c r="AT716" s="112">
        <v>8183.0999999999985</v>
      </c>
      <c r="AU716" s="4"/>
      <c r="AV716" s="4"/>
      <c r="AW716" s="23" t="e">
        <f>VLOOKUP(K716,#REF!,8,FALSE)</f>
        <v>#REF!</v>
      </c>
      <c r="AX716" s="23" t="e">
        <f>VLOOKUP(K716,#REF!,8,FALSE)</f>
        <v>#REF!</v>
      </c>
      <c r="AY716" s="23" t="e">
        <f>VLOOKUP(K716,#REF!,8,FALSE)</f>
        <v>#REF!</v>
      </c>
      <c r="AZ716" s="4"/>
      <c r="BA716" s="272"/>
      <c r="BB716" s="318">
        <f t="shared" si="369"/>
        <v>0</v>
      </c>
      <c r="BC716" s="269">
        <f t="shared" si="370"/>
        <v>8183.0999999999985</v>
      </c>
      <c r="BD716" t="str">
        <f t="shared" si="385"/>
        <v/>
      </c>
      <c r="BP716" s="166">
        <f t="shared" si="386"/>
        <v>8183.0999999999985</v>
      </c>
      <c r="BS716" s="165"/>
      <c r="BX716" s="495">
        <f t="shared" si="381"/>
        <v>8183.0999999999985</v>
      </c>
      <c r="BZ716" s="636">
        <f t="shared" si="382"/>
        <v>0</v>
      </c>
      <c r="CA716" s="633">
        <f t="shared" si="383"/>
        <v>8183.0999999999985</v>
      </c>
    </row>
    <row r="717" spans="1:79" x14ac:dyDescent="0.2">
      <c r="A717" s="4">
        <v>1</v>
      </c>
      <c r="B717" s="4">
        <v>1</v>
      </c>
      <c r="C717" s="5">
        <f t="shared" si="384"/>
        <v>41208</v>
      </c>
      <c r="D717" s="6">
        <v>41208</v>
      </c>
      <c r="E717" s="121">
        <v>43012</v>
      </c>
      <c r="F717" s="6" t="s">
        <v>1606</v>
      </c>
      <c r="G717" s="7" t="s">
        <v>75</v>
      </c>
      <c r="H717" s="7"/>
      <c r="I717" s="7" t="s">
        <v>157</v>
      </c>
      <c r="J717" s="7"/>
      <c r="K717" s="29">
        <v>401306</v>
      </c>
      <c r="L717" s="10" t="s">
        <v>1454</v>
      </c>
      <c r="M717" s="10" t="s">
        <v>777</v>
      </c>
      <c r="N717" s="10" t="s">
        <v>1534</v>
      </c>
      <c r="O717" s="11" t="s">
        <v>1535</v>
      </c>
      <c r="P717" s="12">
        <v>39289</v>
      </c>
      <c r="Q717" s="13">
        <f t="shared" ca="1" si="387"/>
        <v>18.160164271047229</v>
      </c>
      <c r="R717" s="14">
        <v>11</v>
      </c>
      <c r="S717" s="15">
        <v>872</v>
      </c>
      <c r="T717" s="8">
        <v>872</v>
      </c>
      <c r="U717" s="16">
        <v>45017</v>
      </c>
      <c r="V717" s="17">
        <v>1</v>
      </c>
      <c r="W717" s="16">
        <v>45128</v>
      </c>
      <c r="X717" s="14">
        <v>63</v>
      </c>
      <c r="Y717" s="18">
        <f t="shared" si="376"/>
        <v>63</v>
      </c>
      <c r="Z717" s="18">
        <f t="shared" si="377"/>
        <v>0.328125</v>
      </c>
      <c r="AA717" s="16" t="s">
        <v>166</v>
      </c>
      <c r="AB717" s="26">
        <v>26</v>
      </c>
      <c r="AC717" s="26"/>
      <c r="AD717" s="26"/>
      <c r="AE717" s="147" t="str">
        <f t="shared" si="363"/>
        <v>0</v>
      </c>
      <c r="AF717" s="147" t="str">
        <f t="shared" si="364"/>
        <v>1</v>
      </c>
      <c r="AG717" s="147" t="str">
        <f t="shared" si="365"/>
        <v>0</v>
      </c>
      <c r="AH717" s="147" t="str">
        <f t="shared" si="358"/>
        <v>NO</v>
      </c>
      <c r="AI717" s="147" t="str">
        <f t="shared" si="359"/>
        <v>NO</v>
      </c>
      <c r="AJ717" s="147" t="str">
        <f t="shared" si="360"/>
        <v>NO</v>
      </c>
      <c r="AK717" s="147" t="str">
        <f t="shared" si="361"/>
        <v>NO</v>
      </c>
      <c r="AL717" s="21"/>
      <c r="AM717" s="21">
        <f>IF(H717="Y",AL717,((AB717*$O$902)-6000))</f>
        <v>6292.02</v>
      </c>
      <c r="AN717" s="27" t="s">
        <v>43</v>
      </c>
      <c r="AO717" s="21">
        <v>1</v>
      </c>
      <c r="AP717" s="21">
        <f t="shared" si="379"/>
        <v>0.328125</v>
      </c>
      <c r="AQ717" s="149">
        <f t="shared" si="380"/>
        <v>2064.5690625000002</v>
      </c>
      <c r="AR717" s="21">
        <v>2064.5690625000002</v>
      </c>
      <c r="AS717" s="610">
        <v>2064.5690625000002</v>
      </c>
      <c r="AT717" s="112">
        <v>2064.5690625000002</v>
      </c>
      <c r="AU717" s="4"/>
      <c r="AV717" s="4"/>
      <c r="AW717" s="23" t="e">
        <f>VLOOKUP(K717,#REF!,8,FALSE)</f>
        <v>#REF!</v>
      </c>
      <c r="AX717" s="23" t="e">
        <f>VLOOKUP(K717,#REF!,8,FALSE)</f>
        <v>#REF!</v>
      </c>
      <c r="AY717" s="266" t="s">
        <v>2266</v>
      </c>
      <c r="AZ717" s="268" t="s">
        <v>75</v>
      </c>
      <c r="BA717" s="274">
        <f>AM717/3*2</f>
        <v>4194.68</v>
      </c>
      <c r="BB717" s="318">
        <f t="shared" si="369"/>
        <v>0</v>
      </c>
      <c r="BC717" s="269">
        <f t="shared" si="370"/>
        <v>2064.5690625000002</v>
      </c>
      <c r="BD717" t="e">
        <f t="shared" si="385"/>
        <v>#REF!</v>
      </c>
      <c r="BE717" t="s">
        <v>2351</v>
      </c>
      <c r="BI717" t="e">
        <f>VLOOKUP(K717,#REF!,8,FALSE)</f>
        <v>#REF!</v>
      </c>
      <c r="BK717" s="269"/>
      <c r="BN717" s="353" t="s">
        <v>75</v>
      </c>
      <c r="BO717" s="106"/>
      <c r="BP717" s="166">
        <f t="shared" si="386"/>
        <v>2064.5690625000002</v>
      </c>
      <c r="BQ717" t="s">
        <v>2351</v>
      </c>
      <c r="BS717" s="165"/>
      <c r="BX717" s="495">
        <f t="shared" si="381"/>
        <v>2064.5690625000002</v>
      </c>
      <c r="BZ717" s="636">
        <f t="shared" si="382"/>
        <v>0</v>
      </c>
      <c r="CA717" s="633">
        <f t="shared" si="383"/>
        <v>0</v>
      </c>
    </row>
    <row r="718" spans="1:79" x14ac:dyDescent="0.2">
      <c r="A718" s="4">
        <v>0</v>
      </c>
      <c r="B718" s="4">
        <v>1</v>
      </c>
      <c r="C718" s="5">
        <f t="shared" si="384"/>
        <v>41208</v>
      </c>
      <c r="D718" s="6">
        <v>41208</v>
      </c>
      <c r="E718" s="121">
        <v>43012</v>
      </c>
      <c r="F718" s="6" t="s">
        <v>1606</v>
      </c>
      <c r="G718" s="7" t="s">
        <v>75</v>
      </c>
      <c r="H718" s="7"/>
      <c r="I718" s="7" t="s">
        <v>157</v>
      </c>
      <c r="J718" s="7" t="s">
        <v>142</v>
      </c>
      <c r="K718" s="29">
        <v>401306</v>
      </c>
      <c r="L718" s="10" t="s">
        <v>1454</v>
      </c>
      <c r="M718" s="10" t="s">
        <v>777</v>
      </c>
      <c r="N718" s="10" t="s">
        <v>1534</v>
      </c>
      <c r="O718" s="11" t="s">
        <v>1535</v>
      </c>
      <c r="P718" s="12">
        <v>39289</v>
      </c>
      <c r="Q718" s="13">
        <f t="shared" ca="1" si="387"/>
        <v>18.160164271047229</v>
      </c>
      <c r="R718" s="14">
        <v>11</v>
      </c>
      <c r="S718" s="15">
        <v>872</v>
      </c>
      <c r="T718" s="8">
        <v>872</v>
      </c>
      <c r="U718" s="16">
        <v>45017</v>
      </c>
      <c r="V718" s="17">
        <v>1</v>
      </c>
      <c r="W718" s="16">
        <v>45128</v>
      </c>
      <c r="X718" s="14">
        <v>63</v>
      </c>
      <c r="Y718" s="18">
        <f t="shared" si="376"/>
        <v>63</v>
      </c>
      <c r="Z718" s="18">
        <f t="shared" si="377"/>
        <v>0.328125</v>
      </c>
      <c r="AA718" s="16" t="s">
        <v>166</v>
      </c>
      <c r="AB718" s="26">
        <v>16463.96</v>
      </c>
      <c r="AC718" s="26"/>
      <c r="AD718" s="26"/>
      <c r="AE718" s="147" t="str">
        <f t="shared" si="363"/>
        <v>0</v>
      </c>
      <c r="AF718" s="147" t="str">
        <f t="shared" si="364"/>
        <v>0</v>
      </c>
      <c r="AG718" s="147" t="str">
        <f t="shared" si="365"/>
        <v>1</v>
      </c>
      <c r="AH718" s="147" t="str">
        <f t="shared" si="358"/>
        <v>NO</v>
      </c>
      <c r="AI718" s="147" t="str">
        <f t="shared" si="359"/>
        <v>NO</v>
      </c>
      <c r="AJ718" s="147" t="str">
        <f t="shared" si="360"/>
        <v>NO</v>
      </c>
      <c r="AK718" s="147" t="str">
        <f t="shared" si="361"/>
        <v>NO</v>
      </c>
      <c r="AL718" s="21"/>
      <c r="AM718" s="21">
        <v>16463.96</v>
      </c>
      <c r="AN718" s="27" t="s">
        <v>43</v>
      </c>
      <c r="AO718" s="21">
        <v>1</v>
      </c>
      <c r="AP718" s="21">
        <f t="shared" si="379"/>
        <v>0.328125</v>
      </c>
      <c r="AQ718" s="149">
        <f t="shared" si="380"/>
        <v>5402.2368749999996</v>
      </c>
      <c r="AR718" s="21">
        <v>5402.2368749999996</v>
      </c>
      <c r="AS718" s="610">
        <v>5402.2368749999996</v>
      </c>
      <c r="AT718" s="112">
        <v>5402.2368749999996</v>
      </c>
      <c r="AU718" s="4"/>
      <c r="AV718" s="4"/>
      <c r="AW718" s="23" t="e">
        <f>VLOOKUP(K718,#REF!,8,FALSE)</f>
        <v>#REF!</v>
      </c>
      <c r="AX718" s="23" t="e">
        <f>VLOOKUP(K718,#REF!,8,FALSE)</f>
        <v>#REF!</v>
      </c>
      <c r="AY718" s="23" t="e">
        <f>VLOOKUP(K718,#REF!,8,FALSE)</f>
        <v>#REF!</v>
      </c>
      <c r="AZ718" s="4"/>
      <c r="BA718" s="272"/>
      <c r="BB718" s="318">
        <f t="shared" si="369"/>
        <v>0</v>
      </c>
      <c r="BC718" s="269">
        <f t="shared" si="370"/>
        <v>5402.2368749999996</v>
      </c>
      <c r="BD718" t="e">
        <f t="shared" si="385"/>
        <v>#REF!</v>
      </c>
      <c r="BE718" t="s">
        <v>2351</v>
      </c>
      <c r="BI718" t="e">
        <f>VLOOKUP(K718,#REF!,8,FALSE)</f>
        <v>#REF!</v>
      </c>
      <c r="BK718" s="269"/>
      <c r="BN718" s="353" t="s">
        <v>75</v>
      </c>
      <c r="BO718" s="106"/>
      <c r="BP718" s="166">
        <f t="shared" si="386"/>
        <v>5402.2368749999996</v>
      </c>
      <c r="BQ718" t="s">
        <v>2351</v>
      </c>
      <c r="BS718" s="165"/>
      <c r="BX718" s="495">
        <f t="shared" si="381"/>
        <v>5402.2368749999996</v>
      </c>
      <c r="BZ718" s="636">
        <f t="shared" si="382"/>
        <v>0</v>
      </c>
      <c r="CA718" s="633">
        <f t="shared" si="383"/>
        <v>0</v>
      </c>
    </row>
    <row r="719" spans="1:79" x14ac:dyDescent="0.2">
      <c r="A719" s="4">
        <v>1</v>
      </c>
      <c r="B719" s="4">
        <v>1</v>
      </c>
      <c r="C719" s="5">
        <f t="shared" si="384"/>
        <v>41208</v>
      </c>
      <c r="D719" s="6">
        <v>41208</v>
      </c>
      <c r="E719" s="121">
        <v>43012</v>
      </c>
      <c r="F719" s="6" t="s">
        <v>1606</v>
      </c>
      <c r="G719" s="7" t="s">
        <v>75</v>
      </c>
      <c r="H719" s="7"/>
      <c r="I719" s="7" t="s">
        <v>157</v>
      </c>
      <c r="J719" s="7"/>
      <c r="K719" s="29">
        <v>379399</v>
      </c>
      <c r="L719" s="10" t="s">
        <v>1454</v>
      </c>
      <c r="M719" s="10" t="s">
        <v>1536</v>
      </c>
      <c r="N719" s="10" t="s">
        <v>1537</v>
      </c>
      <c r="O719" s="11" t="s">
        <v>1538</v>
      </c>
      <c r="P719" s="12">
        <v>39734</v>
      </c>
      <c r="Q719" s="13">
        <f t="shared" ca="1" si="387"/>
        <v>16.941820670773442</v>
      </c>
      <c r="R719" s="14">
        <v>9</v>
      </c>
      <c r="S719" s="15">
        <v>872</v>
      </c>
      <c r="T719" s="8">
        <v>872</v>
      </c>
      <c r="U719" s="16">
        <v>45017</v>
      </c>
      <c r="V719" s="17">
        <v>1</v>
      </c>
      <c r="W719" s="16">
        <v>45382</v>
      </c>
      <c r="X719" s="14">
        <v>192</v>
      </c>
      <c r="Y719" s="18">
        <f t="shared" si="376"/>
        <v>192</v>
      </c>
      <c r="Z719" s="18">
        <f t="shared" si="377"/>
        <v>1</v>
      </c>
      <c r="AA719" s="18" t="s">
        <v>36</v>
      </c>
      <c r="AB719" s="26">
        <v>30</v>
      </c>
      <c r="AC719" s="26"/>
      <c r="AD719" s="26"/>
      <c r="AE719" s="147" t="str">
        <f t="shared" si="363"/>
        <v>0</v>
      </c>
      <c r="AF719" s="147" t="str">
        <f t="shared" si="364"/>
        <v>1</v>
      </c>
      <c r="AG719" s="147" t="str">
        <f t="shared" si="365"/>
        <v>0</v>
      </c>
      <c r="AH719" s="147" t="str">
        <f t="shared" si="358"/>
        <v>NO</v>
      </c>
      <c r="AI719" s="147" t="str">
        <f t="shared" si="359"/>
        <v>NO</v>
      </c>
      <c r="AJ719" s="147" t="str">
        <f t="shared" si="360"/>
        <v>NO</v>
      </c>
      <c r="AK719" s="147" t="str">
        <f t="shared" si="361"/>
        <v>NO</v>
      </c>
      <c r="AL719" s="21"/>
      <c r="AM719" s="21">
        <f>IF(H719="Y",AL719,((AB719*$O$902)-6000))</f>
        <v>8183.0999999999985</v>
      </c>
      <c r="AN719" s="27" t="s">
        <v>37</v>
      </c>
      <c r="AO719" s="21">
        <v>1</v>
      </c>
      <c r="AP719" s="21">
        <f t="shared" si="379"/>
        <v>1</v>
      </c>
      <c r="AQ719" s="149">
        <f t="shared" si="380"/>
        <v>8183.0999999999985</v>
      </c>
      <c r="AR719" s="21">
        <v>8183.0999999999985</v>
      </c>
      <c r="AS719" s="610">
        <v>8183.0999999999985</v>
      </c>
      <c r="AT719" s="112">
        <v>8183.0999999999985</v>
      </c>
      <c r="AU719" s="4"/>
      <c r="AV719" s="4"/>
      <c r="AW719" s="23" t="e">
        <f>VLOOKUP(K719,#REF!,8,FALSE)</f>
        <v>#REF!</v>
      </c>
      <c r="AX719" s="23" t="e">
        <f>VLOOKUP(K719,#REF!,8,FALSE)</f>
        <v>#REF!</v>
      </c>
      <c r="AY719" s="23" t="e">
        <f>VLOOKUP(K719,#REF!,8,FALSE)</f>
        <v>#REF!</v>
      </c>
      <c r="AZ719" s="4"/>
      <c r="BA719" s="272"/>
      <c r="BB719" s="318">
        <f t="shared" si="369"/>
        <v>0</v>
      </c>
      <c r="BC719" s="269">
        <f t="shared" si="370"/>
        <v>8183.0999999999985</v>
      </c>
      <c r="BD719" t="str">
        <f t="shared" si="385"/>
        <v/>
      </c>
      <c r="BP719" s="166">
        <f t="shared" si="386"/>
        <v>8183.0999999999985</v>
      </c>
      <c r="BS719" s="165"/>
      <c r="BX719" s="495">
        <f t="shared" si="381"/>
        <v>8183.0999999999985</v>
      </c>
      <c r="BZ719" s="636">
        <f t="shared" si="382"/>
        <v>0</v>
      </c>
      <c r="CA719" s="633">
        <f t="shared" si="383"/>
        <v>0</v>
      </c>
    </row>
    <row r="720" spans="1:79" x14ac:dyDescent="0.2">
      <c r="A720" s="4">
        <v>1</v>
      </c>
      <c r="B720" s="4">
        <v>1</v>
      </c>
      <c r="C720" s="5">
        <f t="shared" si="384"/>
        <v>41208</v>
      </c>
      <c r="D720" s="6">
        <v>41208</v>
      </c>
      <c r="E720" s="121">
        <v>43012</v>
      </c>
      <c r="F720" s="6" t="s">
        <v>1606</v>
      </c>
      <c r="G720" s="7" t="s">
        <v>75</v>
      </c>
      <c r="H720" s="7"/>
      <c r="I720" s="7" t="s">
        <v>157</v>
      </c>
      <c r="J720" s="7"/>
      <c r="K720" s="29">
        <v>427315</v>
      </c>
      <c r="L720" s="10" t="s">
        <v>1454</v>
      </c>
      <c r="M720" s="10" t="s">
        <v>942</v>
      </c>
      <c r="N720" s="10" t="s">
        <v>396</v>
      </c>
      <c r="O720" s="11" t="s">
        <v>1539</v>
      </c>
      <c r="P720" s="12">
        <v>39545</v>
      </c>
      <c r="Q720" s="13">
        <f t="shared" ca="1" si="387"/>
        <v>17.459274469541409</v>
      </c>
      <c r="R720" s="14">
        <v>10</v>
      </c>
      <c r="S720" s="15">
        <v>872</v>
      </c>
      <c r="T720" s="8">
        <v>872</v>
      </c>
      <c r="U720" s="16">
        <v>45017</v>
      </c>
      <c r="V720" s="17">
        <v>1</v>
      </c>
      <c r="W720" s="16">
        <v>45382</v>
      </c>
      <c r="X720" s="14">
        <v>192</v>
      </c>
      <c r="Y720" s="18">
        <f t="shared" si="376"/>
        <v>192</v>
      </c>
      <c r="Z720" s="18">
        <f t="shared" si="377"/>
        <v>1</v>
      </c>
      <c r="AA720" s="18" t="s">
        <v>36</v>
      </c>
      <c r="AB720" s="26">
        <v>25</v>
      </c>
      <c r="AC720" s="26"/>
      <c r="AD720" s="26"/>
      <c r="AE720" s="147" t="str">
        <f t="shared" si="363"/>
        <v>1</v>
      </c>
      <c r="AF720" s="147" t="str">
        <f t="shared" si="364"/>
        <v>0</v>
      </c>
      <c r="AG720" s="147" t="str">
        <f t="shared" si="365"/>
        <v>0</v>
      </c>
      <c r="AH720" s="147" t="str">
        <f t="shared" si="358"/>
        <v>NO</v>
      </c>
      <c r="AI720" s="147" t="str">
        <f t="shared" si="359"/>
        <v>NO</v>
      </c>
      <c r="AJ720" s="147" t="str">
        <f t="shared" si="360"/>
        <v>NO</v>
      </c>
      <c r="AK720" s="147" t="str">
        <f t="shared" si="361"/>
        <v>NO</v>
      </c>
      <c r="AL720" s="21"/>
      <c r="AM720" s="21">
        <f>IF(H720="Y",AL720,((AB720*$O$902)-6000))</f>
        <v>5819.25</v>
      </c>
      <c r="AN720" s="27" t="s">
        <v>43</v>
      </c>
      <c r="AO720" s="21">
        <v>1</v>
      </c>
      <c r="AP720" s="21">
        <f t="shared" si="379"/>
        <v>1</v>
      </c>
      <c r="AQ720" s="149">
        <f t="shared" si="380"/>
        <v>5819.25</v>
      </c>
      <c r="AR720" s="21">
        <v>5819.25</v>
      </c>
      <c r="AS720" s="610">
        <v>5819.25</v>
      </c>
      <c r="AT720" s="112">
        <v>5819.25</v>
      </c>
      <c r="AU720" s="4"/>
      <c r="AV720" s="4"/>
      <c r="AW720" s="23" t="e">
        <f>VLOOKUP(K720,#REF!,8,FALSE)</f>
        <v>#REF!</v>
      </c>
      <c r="AX720" s="23" t="e">
        <f>VLOOKUP(K720,#REF!,8,FALSE)</f>
        <v>#REF!</v>
      </c>
      <c r="AY720" s="23" t="e">
        <f>VLOOKUP(K720,#REF!,8,FALSE)</f>
        <v>#REF!</v>
      </c>
      <c r="AZ720" s="4"/>
      <c r="BA720" s="272"/>
      <c r="BB720" s="318">
        <f t="shared" si="369"/>
        <v>0</v>
      </c>
      <c r="BC720" s="269">
        <f t="shared" si="370"/>
        <v>5819.25</v>
      </c>
      <c r="BD720" t="str">
        <f t="shared" si="385"/>
        <v/>
      </c>
      <c r="BP720" s="166">
        <f t="shared" si="386"/>
        <v>5819.25</v>
      </c>
      <c r="BS720" s="165"/>
      <c r="BX720" s="495">
        <f t="shared" si="381"/>
        <v>5819.25</v>
      </c>
      <c r="BZ720" s="636">
        <f t="shared" si="382"/>
        <v>0</v>
      </c>
      <c r="CA720" s="633">
        <f t="shared" si="383"/>
        <v>0</v>
      </c>
    </row>
    <row r="721" spans="1:79" x14ac:dyDescent="0.2">
      <c r="A721" s="4">
        <v>1</v>
      </c>
      <c r="B721" s="4">
        <v>1</v>
      </c>
      <c r="C721" s="5">
        <f t="shared" si="384"/>
        <v>41208</v>
      </c>
      <c r="D721" s="6">
        <v>41208</v>
      </c>
      <c r="E721" s="121">
        <v>43012</v>
      </c>
      <c r="F721" s="6" t="s">
        <v>1606</v>
      </c>
      <c r="G721" s="7" t="s">
        <v>75</v>
      </c>
      <c r="H721" s="7"/>
      <c r="I721" s="7" t="s">
        <v>157</v>
      </c>
      <c r="J721" s="7"/>
      <c r="K721" s="29">
        <v>391847</v>
      </c>
      <c r="L721" s="10" t="s">
        <v>1454</v>
      </c>
      <c r="M721" s="10" t="s">
        <v>1540</v>
      </c>
      <c r="N721" s="10" t="s">
        <v>1541</v>
      </c>
      <c r="O721" s="11" t="s">
        <v>1542</v>
      </c>
      <c r="P721" s="12">
        <v>40034</v>
      </c>
      <c r="Q721" s="13">
        <f t="shared" ca="1" si="387"/>
        <v>16.120465434633811</v>
      </c>
      <c r="R721" s="14">
        <v>9</v>
      </c>
      <c r="S721" s="15">
        <v>872</v>
      </c>
      <c r="T721" s="8">
        <v>872</v>
      </c>
      <c r="U721" s="16">
        <v>45017</v>
      </c>
      <c r="V721" s="17">
        <v>1</v>
      </c>
      <c r="W721" s="16">
        <v>45382</v>
      </c>
      <c r="X721" s="14">
        <v>192</v>
      </c>
      <c r="Y721" s="18">
        <f t="shared" si="376"/>
        <v>192</v>
      </c>
      <c r="Z721" s="18">
        <f t="shared" si="377"/>
        <v>1</v>
      </c>
      <c r="AA721" s="18" t="s">
        <v>36</v>
      </c>
      <c r="AB721" s="26">
        <v>28</v>
      </c>
      <c r="AC721" s="26"/>
      <c r="AD721" s="26"/>
      <c r="AE721" s="147" t="str">
        <f t="shared" si="363"/>
        <v>0</v>
      </c>
      <c r="AF721" s="147" t="str">
        <f t="shared" si="364"/>
        <v>1</v>
      </c>
      <c r="AG721" s="147" t="str">
        <f t="shared" si="365"/>
        <v>0</v>
      </c>
      <c r="AH721" s="147" t="str">
        <f t="shared" si="358"/>
        <v>NO</v>
      </c>
      <c r="AI721" s="147" t="str">
        <f t="shared" si="359"/>
        <v>NO</v>
      </c>
      <c r="AJ721" s="147" t="str">
        <f t="shared" si="360"/>
        <v>NO</v>
      </c>
      <c r="AK721" s="147" t="str">
        <f t="shared" si="361"/>
        <v>NO</v>
      </c>
      <c r="AL721" s="21"/>
      <c r="AM721" s="21">
        <f>IF(H721="Y",AL721,((AB721*$O$902)-6000))</f>
        <v>7237.5599999999995</v>
      </c>
      <c r="AN721" s="27" t="s">
        <v>43</v>
      </c>
      <c r="AO721" s="21">
        <v>1</v>
      </c>
      <c r="AP721" s="21">
        <f t="shared" si="379"/>
        <v>1</v>
      </c>
      <c r="AQ721" s="149">
        <f t="shared" si="380"/>
        <v>7237.5599999999995</v>
      </c>
      <c r="AR721" s="21">
        <v>7237.5599999999995</v>
      </c>
      <c r="AS721" s="610">
        <v>7237.5599999999995</v>
      </c>
      <c r="AT721" s="112">
        <v>7237.5599999999995</v>
      </c>
      <c r="AU721" s="4"/>
      <c r="AV721" s="4"/>
      <c r="AW721" s="23" t="e">
        <f>VLOOKUP(K721,#REF!,8,FALSE)</f>
        <v>#REF!</v>
      </c>
      <c r="AX721" s="23" t="e">
        <f>VLOOKUP(K721,#REF!,8,FALSE)</f>
        <v>#REF!</v>
      </c>
      <c r="AY721" s="23" t="e">
        <f>VLOOKUP(K721,#REF!,8,FALSE)</f>
        <v>#REF!</v>
      </c>
      <c r="AZ721" s="4"/>
      <c r="BA721" s="272"/>
      <c r="BB721" s="318">
        <f t="shared" si="369"/>
        <v>0</v>
      </c>
      <c r="BC721" s="269">
        <f t="shared" si="370"/>
        <v>7237.5599999999995</v>
      </c>
      <c r="BD721" t="str">
        <f t="shared" si="385"/>
        <v/>
      </c>
      <c r="BP721" s="166">
        <f t="shared" si="386"/>
        <v>7237.5599999999995</v>
      </c>
      <c r="BS721" s="165"/>
      <c r="BX721" s="495">
        <f t="shared" si="381"/>
        <v>7237.5599999999995</v>
      </c>
      <c r="BZ721" s="636">
        <f t="shared" si="382"/>
        <v>0</v>
      </c>
      <c r="CA721" s="633">
        <f t="shared" si="383"/>
        <v>0</v>
      </c>
    </row>
    <row r="722" spans="1:79" x14ac:dyDescent="0.2">
      <c r="A722" s="4">
        <v>1</v>
      </c>
      <c r="B722" s="4">
        <v>1</v>
      </c>
      <c r="C722" s="5">
        <f t="shared" si="384"/>
        <v>41208</v>
      </c>
      <c r="D722" s="6">
        <v>41208</v>
      </c>
      <c r="E722" s="121">
        <v>43012</v>
      </c>
      <c r="F722" s="6" t="s">
        <v>1606</v>
      </c>
      <c r="G722" s="7" t="s">
        <v>75</v>
      </c>
      <c r="H722" s="7"/>
      <c r="I722" s="7" t="s">
        <v>157</v>
      </c>
      <c r="J722" s="7"/>
      <c r="K722" s="29">
        <v>389140</v>
      </c>
      <c r="L722" s="10" t="s">
        <v>1454</v>
      </c>
      <c r="M722" s="10" t="s">
        <v>1543</v>
      </c>
      <c r="N722" s="10" t="s">
        <v>1544</v>
      </c>
      <c r="O722" s="11" t="s">
        <v>1545</v>
      </c>
      <c r="P722" s="12">
        <v>40401</v>
      </c>
      <c r="Q722" s="13">
        <f t="shared" ca="1" si="387"/>
        <v>15.115674195756331</v>
      </c>
      <c r="R722" s="14">
        <v>8</v>
      </c>
      <c r="S722" s="15">
        <v>872</v>
      </c>
      <c r="T722" s="8">
        <v>872</v>
      </c>
      <c r="U722" s="16">
        <v>45017</v>
      </c>
      <c r="V722" s="17">
        <v>1</v>
      </c>
      <c r="W722" s="16">
        <v>45382</v>
      </c>
      <c r="X722" s="14">
        <v>192</v>
      </c>
      <c r="Y722" s="18">
        <f t="shared" si="376"/>
        <v>192</v>
      </c>
      <c r="Z722" s="18">
        <f t="shared" si="377"/>
        <v>1</v>
      </c>
      <c r="AA722" s="18" t="s">
        <v>36</v>
      </c>
      <c r="AB722" s="36">
        <v>3896.66</v>
      </c>
      <c r="AC722" s="36"/>
      <c r="AD722" s="36"/>
      <c r="AE722" s="147" t="str">
        <f t="shared" si="363"/>
        <v>0</v>
      </c>
      <c r="AF722" s="147" t="str">
        <f t="shared" si="364"/>
        <v>0</v>
      </c>
      <c r="AG722" s="147" t="str">
        <f t="shared" si="365"/>
        <v>1</v>
      </c>
      <c r="AH722" s="147" t="str">
        <f t="shared" si="358"/>
        <v>NO</v>
      </c>
      <c r="AI722" s="147" t="str">
        <f t="shared" si="359"/>
        <v>NO</v>
      </c>
      <c r="AJ722" s="147" t="str">
        <f t="shared" si="360"/>
        <v>NO</v>
      </c>
      <c r="AK722" s="147" t="str">
        <f t="shared" si="361"/>
        <v>NO</v>
      </c>
      <c r="AL722" s="21"/>
      <c r="AM722" s="21">
        <f>AB722</f>
        <v>3896.66</v>
      </c>
      <c r="AN722" s="27" t="s">
        <v>56</v>
      </c>
      <c r="AO722" s="21">
        <v>1</v>
      </c>
      <c r="AP722" s="21">
        <f t="shared" si="379"/>
        <v>1</v>
      </c>
      <c r="AQ722" s="149">
        <f t="shared" si="380"/>
        <v>3896.66</v>
      </c>
      <c r="AR722" s="21">
        <v>3896.66</v>
      </c>
      <c r="AS722" s="610">
        <v>3896.66</v>
      </c>
      <c r="AT722" s="112">
        <v>3896.66</v>
      </c>
      <c r="AU722" s="4"/>
      <c r="AV722" s="4"/>
      <c r="AW722" s="23" t="e">
        <f>VLOOKUP(K722,#REF!,8,FALSE)</f>
        <v>#REF!</v>
      </c>
      <c r="AX722" s="23" t="e">
        <f>VLOOKUP(K722,#REF!,8,FALSE)</f>
        <v>#REF!</v>
      </c>
      <c r="AY722" s="23" t="e">
        <f>VLOOKUP(K722,#REF!,8,FALSE)</f>
        <v>#REF!</v>
      </c>
      <c r="AZ722" s="4"/>
      <c r="BA722" s="272"/>
      <c r="BB722" s="318">
        <f t="shared" si="369"/>
        <v>0</v>
      </c>
      <c r="BC722" s="269">
        <f t="shared" si="370"/>
        <v>3896.66</v>
      </c>
      <c r="BD722" t="str">
        <f t="shared" si="385"/>
        <v/>
      </c>
      <c r="BP722" s="166">
        <f t="shared" si="386"/>
        <v>3896.66</v>
      </c>
      <c r="BS722" s="165"/>
      <c r="BX722" s="495">
        <f t="shared" si="381"/>
        <v>3896.66</v>
      </c>
      <c r="BZ722" s="636">
        <f t="shared" si="382"/>
        <v>0</v>
      </c>
      <c r="CA722" s="633">
        <f t="shared" si="383"/>
        <v>0</v>
      </c>
    </row>
    <row r="723" spans="1:79" x14ac:dyDescent="0.2">
      <c r="A723" s="4">
        <v>1</v>
      </c>
      <c r="B723" s="4">
        <v>1</v>
      </c>
      <c r="C723" s="5">
        <f t="shared" si="384"/>
        <v>41208</v>
      </c>
      <c r="D723" s="6">
        <v>41208</v>
      </c>
      <c r="E723" s="121">
        <v>43012</v>
      </c>
      <c r="F723" s="6" t="s">
        <v>1606</v>
      </c>
      <c r="G723" s="7" t="s">
        <v>75</v>
      </c>
      <c r="H723" s="7"/>
      <c r="I723" s="7" t="s">
        <v>157</v>
      </c>
      <c r="J723" s="7"/>
      <c r="K723" s="29">
        <v>390039</v>
      </c>
      <c r="L723" s="10" t="s">
        <v>1454</v>
      </c>
      <c r="M723" s="10" t="s">
        <v>446</v>
      </c>
      <c r="N723" s="10" t="s">
        <v>1546</v>
      </c>
      <c r="O723" s="11" t="str">
        <f>M723&amp;N723</f>
        <v>OllieMorrish</v>
      </c>
      <c r="P723" s="12">
        <v>40415</v>
      </c>
      <c r="Q723" s="13">
        <f t="shared" ca="1" si="387"/>
        <v>15.077344284736482</v>
      </c>
      <c r="R723" s="14">
        <v>8</v>
      </c>
      <c r="S723" s="15">
        <v>872</v>
      </c>
      <c r="T723" s="8">
        <v>872</v>
      </c>
      <c r="U723" s="16">
        <v>45017</v>
      </c>
      <c r="V723" s="17">
        <v>1</v>
      </c>
      <c r="W723" s="16">
        <v>45382</v>
      </c>
      <c r="X723" s="14">
        <v>192</v>
      </c>
      <c r="Y723" s="18">
        <f t="shared" si="376"/>
        <v>192</v>
      </c>
      <c r="Z723" s="18">
        <f t="shared" si="377"/>
        <v>1</v>
      </c>
      <c r="AA723" s="18" t="s">
        <v>36</v>
      </c>
      <c r="AB723" s="26">
        <v>8807</v>
      </c>
      <c r="AC723" s="26"/>
      <c r="AD723" s="26"/>
      <c r="AE723" s="147" t="str">
        <f t="shared" si="363"/>
        <v>0</v>
      </c>
      <c r="AF723" s="147" t="str">
        <f t="shared" si="364"/>
        <v>0</v>
      </c>
      <c r="AG723" s="147" t="str">
        <f t="shared" si="365"/>
        <v>1</v>
      </c>
      <c r="AH723" s="147" t="str">
        <f t="shared" ref="AH723:AH786" si="388">IF(AD723="BAND3","YES","NO")</f>
        <v>NO</v>
      </c>
      <c r="AI723" s="147" t="str">
        <f t="shared" ref="AI723:AI786" si="389">IF(AD723="BAND4","YES","NO")</f>
        <v>NO</v>
      </c>
      <c r="AJ723" s="147" t="str">
        <f t="shared" ref="AJ723:AJ786" si="390">IF(AD723="BAND5","YES","NO")</f>
        <v>NO</v>
      </c>
      <c r="AK723" s="147" t="str">
        <f t="shared" ref="AK723:AK786" si="391">IF(AD723="BAND6","YES","NO")</f>
        <v>NO</v>
      </c>
      <c r="AL723" s="21"/>
      <c r="AM723" s="21">
        <v>8807</v>
      </c>
      <c r="AN723" s="27" t="s">
        <v>43</v>
      </c>
      <c r="AO723" s="21">
        <v>1</v>
      </c>
      <c r="AP723" s="21">
        <f t="shared" si="379"/>
        <v>1</v>
      </c>
      <c r="AQ723" s="149">
        <f t="shared" si="380"/>
        <v>8807</v>
      </c>
      <c r="AR723" s="21">
        <v>8807</v>
      </c>
      <c r="AS723" s="610">
        <v>8807</v>
      </c>
      <c r="AT723" s="112">
        <v>8807</v>
      </c>
      <c r="AU723" s="4"/>
      <c r="AV723" s="4"/>
      <c r="AW723" s="23" t="e">
        <f>VLOOKUP(K723,#REF!,8,FALSE)</f>
        <v>#REF!</v>
      </c>
      <c r="AX723" s="23" t="e">
        <f>VLOOKUP(K723,#REF!,8,FALSE)</f>
        <v>#REF!</v>
      </c>
      <c r="AY723" s="23" t="e">
        <f>VLOOKUP(K723,#REF!,8,FALSE)</f>
        <v>#REF!</v>
      </c>
      <c r="AZ723" s="4"/>
      <c r="BA723" s="272"/>
      <c r="BB723" s="318">
        <f t="shared" si="369"/>
        <v>0</v>
      </c>
      <c r="BC723" s="269">
        <f t="shared" si="370"/>
        <v>8807</v>
      </c>
      <c r="BD723" t="str">
        <f t="shared" si="385"/>
        <v/>
      </c>
      <c r="BP723" s="166">
        <f t="shared" si="386"/>
        <v>8807</v>
      </c>
      <c r="BS723" s="165"/>
      <c r="BX723" s="495">
        <f t="shared" si="381"/>
        <v>8807</v>
      </c>
      <c r="BZ723" s="636">
        <f t="shared" si="382"/>
        <v>0</v>
      </c>
      <c r="CA723" s="633">
        <f t="shared" si="383"/>
        <v>0</v>
      </c>
    </row>
    <row r="724" spans="1:79" x14ac:dyDescent="0.2">
      <c r="A724" s="4">
        <v>1</v>
      </c>
      <c r="B724" s="4">
        <v>1</v>
      </c>
      <c r="C724" s="5">
        <f t="shared" si="384"/>
        <v>41208</v>
      </c>
      <c r="D724" s="6">
        <v>41208</v>
      </c>
      <c r="E724" s="121">
        <v>43012</v>
      </c>
      <c r="F724" s="6" t="s">
        <v>1606</v>
      </c>
      <c r="G724" s="7" t="s">
        <v>75</v>
      </c>
      <c r="H724" s="7"/>
      <c r="I724" s="7" t="s">
        <v>157</v>
      </c>
      <c r="J724" s="7"/>
      <c r="K724" s="29">
        <v>390166</v>
      </c>
      <c r="L724" s="10" t="s">
        <v>1454</v>
      </c>
      <c r="M724" s="10" t="s">
        <v>1547</v>
      </c>
      <c r="N724" s="10" t="s">
        <v>1548</v>
      </c>
      <c r="O724" s="11" t="s">
        <v>1549</v>
      </c>
      <c r="P724" s="12">
        <v>40300</v>
      </c>
      <c r="Q724" s="13">
        <f t="shared" ca="1" si="387"/>
        <v>15.392197125256674</v>
      </c>
      <c r="R724" s="14">
        <v>8</v>
      </c>
      <c r="S724" s="15">
        <v>872</v>
      </c>
      <c r="T724" s="8">
        <v>872</v>
      </c>
      <c r="U724" s="16">
        <v>45017</v>
      </c>
      <c r="V724" s="17">
        <v>1</v>
      </c>
      <c r="W724" s="16">
        <v>45382</v>
      </c>
      <c r="X724" s="14">
        <v>192</v>
      </c>
      <c r="Y724" s="18">
        <f t="shared" si="376"/>
        <v>192</v>
      </c>
      <c r="Z724" s="18">
        <f t="shared" si="377"/>
        <v>1</v>
      </c>
      <c r="AA724" s="18" t="s">
        <v>36</v>
      </c>
      <c r="AB724" s="26">
        <v>25</v>
      </c>
      <c r="AC724" s="26"/>
      <c r="AD724" s="26"/>
      <c r="AE724" s="147" t="str">
        <f t="shared" si="363"/>
        <v>1</v>
      </c>
      <c r="AF724" s="147" t="str">
        <f t="shared" si="364"/>
        <v>0</v>
      </c>
      <c r="AG724" s="147" t="str">
        <f t="shared" si="365"/>
        <v>0</v>
      </c>
      <c r="AH724" s="147" t="str">
        <f t="shared" si="388"/>
        <v>NO</v>
      </c>
      <c r="AI724" s="147" t="str">
        <f t="shared" si="389"/>
        <v>NO</v>
      </c>
      <c r="AJ724" s="147" t="str">
        <f t="shared" si="390"/>
        <v>NO</v>
      </c>
      <c r="AK724" s="147" t="str">
        <f t="shared" si="391"/>
        <v>NO</v>
      </c>
      <c r="AL724" s="21"/>
      <c r="AM724" s="21">
        <f>IF(H724="Y",AL724,((AB724*$O$902)-6000))</f>
        <v>5819.25</v>
      </c>
      <c r="AN724" s="27" t="s">
        <v>662</v>
      </c>
      <c r="AO724" s="21">
        <v>1</v>
      </c>
      <c r="AP724" s="21">
        <f t="shared" si="379"/>
        <v>1</v>
      </c>
      <c r="AQ724" s="149">
        <f t="shared" si="380"/>
        <v>5819.25</v>
      </c>
      <c r="AR724" s="21">
        <v>5819.25</v>
      </c>
      <c r="AS724" s="610">
        <v>5819.25</v>
      </c>
      <c r="AT724" s="112">
        <v>5819.25</v>
      </c>
      <c r="AU724" s="4"/>
      <c r="AV724" s="4"/>
      <c r="AW724" s="23" t="e">
        <f>VLOOKUP(K724,#REF!,8,FALSE)</f>
        <v>#REF!</v>
      </c>
      <c r="AX724" s="23" t="e">
        <f>VLOOKUP(K724,#REF!,8,FALSE)</f>
        <v>#REF!</v>
      </c>
      <c r="AY724" s="23" t="e">
        <f>VLOOKUP(K724,#REF!,8,FALSE)</f>
        <v>#REF!</v>
      </c>
      <c r="AZ724" s="4"/>
      <c r="BA724" s="272"/>
      <c r="BB724" s="318">
        <f t="shared" si="369"/>
        <v>0</v>
      </c>
      <c r="BC724" s="269">
        <f t="shared" si="370"/>
        <v>5819.25</v>
      </c>
      <c r="BD724" t="str">
        <f t="shared" si="385"/>
        <v/>
      </c>
      <c r="BP724" s="166">
        <f t="shared" si="386"/>
        <v>5819.25</v>
      </c>
      <c r="BS724" s="165"/>
      <c r="BX724" s="495">
        <f t="shared" si="381"/>
        <v>5819.25</v>
      </c>
      <c r="BZ724" s="636">
        <f t="shared" si="382"/>
        <v>0</v>
      </c>
      <c r="CA724" s="633">
        <f t="shared" si="383"/>
        <v>0</v>
      </c>
    </row>
    <row r="725" spans="1:79" x14ac:dyDescent="0.2">
      <c r="A725" s="4">
        <v>1</v>
      </c>
      <c r="B725" s="4">
        <v>1</v>
      </c>
      <c r="C725" s="5">
        <f t="shared" si="384"/>
        <v>41208</v>
      </c>
      <c r="D725" s="6">
        <v>41208</v>
      </c>
      <c r="E725" s="121">
        <v>43012</v>
      </c>
      <c r="F725" s="6" t="s">
        <v>1606</v>
      </c>
      <c r="G725" s="7" t="s">
        <v>75</v>
      </c>
      <c r="H725" s="7"/>
      <c r="I725" s="7" t="s">
        <v>157</v>
      </c>
      <c r="J725" s="7"/>
      <c r="K725" s="29">
        <v>376650</v>
      </c>
      <c r="L725" s="10" t="s">
        <v>1454</v>
      </c>
      <c r="M725" s="10" t="s">
        <v>1550</v>
      </c>
      <c r="N725" s="10" t="s">
        <v>1551</v>
      </c>
      <c r="O725" s="11" t="s">
        <v>1552</v>
      </c>
      <c r="P725" s="12">
        <v>39632</v>
      </c>
      <c r="Q725" s="13">
        <f t="shared" ca="1" si="387"/>
        <v>17.221081451060918</v>
      </c>
      <c r="R725" s="14">
        <v>10</v>
      </c>
      <c r="S725" s="15">
        <v>872</v>
      </c>
      <c r="T725" s="8">
        <v>872</v>
      </c>
      <c r="U725" s="16">
        <v>45017</v>
      </c>
      <c r="V725" s="17">
        <v>1</v>
      </c>
      <c r="W725" s="16">
        <v>45382</v>
      </c>
      <c r="X725" s="14">
        <v>192</v>
      </c>
      <c r="Y725" s="18">
        <f t="shared" si="376"/>
        <v>192</v>
      </c>
      <c r="Z725" s="18">
        <f t="shared" si="377"/>
        <v>1</v>
      </c>
      <c r="AA725" s="18" t="s">
        <v>36</v>
      </c>
      <c r="AB725" s="26">
        <v>30</v>
      </c>
      <c r="AC725" s="26"/>
      <c r="AD725" s="26"/>
      <c r="AE725" s="147" t="str">
        <f t="shared" si="363"/>
        <v>0</v>
      </c>
      <c r="AF725" s="147" t="str">
        <f t="shared" si="364"/>
        <v>1</v>
      </c>
      <c r="AG725" s="147" t="str">
        <f t="shared" si="365"/>
        <v>0</v>
      </c>
      <c r="AH725" s="147" t="str">
        <f t="shared" si="388"/>
        <v>NO</v>
      </c>
      <c r="AI725" s="147" t="str">
        <f t="shared" si="389"/>
        <v>NO</v>
      </c>
      <c r="AJ725" s="147" t="str">
        <f t="shared" si="390"/>
        <v>NO</v>
      </c>
      <c r="AK725" s="147" t="str">
        <f t="shared" si="391"/>
        <v>NO</v>
      </c>
      <c r="AL725" s="21"/>
      <c r="AM725" s="21">
        <f>IF(H725="Y",AL725,((AB725*$O$902)-6000))</f>
        <v>8183.0999999999985</v>
      </c>
      <c r="AN725" s="27" t="s">
        <v>254</v>
      </c>
      <c r="AO725" s="21">
        <v>1</v>
      </c>
      <c r="AP725" s="21">
        <f t="shared" si="379"/>
        <v>1</v>
      </c>
      <c r="AQ725" s="149">
        <f t="shared" si="380"/>
        <v>8183.0999999999985</v>
      </c>
      <c r="AR725" s="21">
        <v>8183.0999999999985</v>
      </c>
      <c r="AS725" s="610">
        <v>8183.0999999999985</v>
      </c>
      <c r="AT725" s="112">
        <v>8183.0999999999985</v>
      </c>
      <c r="AU725" s="4"/>
      <c r="AV725" s="4"/>
      <c r="AW725" s="23" t="e">
        <f>VLOOKUP(K725,#REF!,8,FALSE)</f>
        <v>#REF!</v>
      </c>
      <c r="AX725" s="23" t="e">
        <f>VLOOKUP(K725,#REF!,8,FALSE)</f>
        <v>#REF!</v>
      </c>
      <c r="AY725" s="23" t="e">
        <f>VLOOKUP(K725,#REF!,8,FALSE)</f>
        <v>#REF!</v>
      </c>
      <c r="AZ725" s="4"/>
      <c r="BA725" s="272"/>
      <c r="BB725" s="318">
        <f t="shared" si="369"/>
        <v>0</v>
      </c>
      <c r="BC725" s="269">
        <f t="shared" si="370"/>
        <v>8183.0999999999985</v>
      </c>
      <c r="BD725" t="str">
        <f t="shared" si="385"/>
        <v/>
      </c>
      <c r="BP725" s="166">
        <f t="shared" si="386"/>
        <v>8183.0999999999985</v>
      </c>
      <c r="BS725" s="165"/>
      <c r="BX725" s="495">
        <f t="shared" si="381"/>
        <v>8183.0999999999985</v>
      </c>
      <c r="BZ725" s="636">
        <f t="shared" si="382"/>
        <v>0</v>
      </c>
      <c r="CA725" s="633">
        <f t="shared" si="383"/>
        <v>0</v>
      </c>
    </row>
    <row r="726" spans="1:79" x14ac:dyDescent="0.2">
      <c r="A726" s="4">
        <v>1</v>
      </c>
      <c r="B726" s="4">
        <v>1</v>
      </c>
      <c r="C726" s="5">
        <f t="shared" si="384"/>
        <v>41208</v>
      </c>
      <c r="D726" s="6">
        <v>41208</v>
      </c>
      <c r="E726" s="121">
        <v>43012</v>
      </c>
      <c r="F726" s="6" t="s">
        <v>1606</v>
      </c>
      <c r="G726" s="7" t="s">
        <v>75</v>
      </c>
      <c r="H726" s="7"/>
      <c r="I726" s="7" t="s">
        <v>157</v>
      </c>
      <c r="J726" s="7"/>
      <c r="K726" s="29">
        <v>389561</v>
      </c>
      <c r="L726" s="10" t="s">
        <v>1454</v>
      </c>
      <c r="M726" s="10" t="s">
        <v>755</v>
      </c>
      <c r="N726" s="10" t="s">
        <v>1553</v>
      </c>
      <c r="O726" s="11" t="s">
        <v>1554</v>
      </c>
      <c r="P726" s="12">
        <v>40110</v>
      </c>
      <c r="Q726" s="13">
        <f t="shared" ca="1" si="387"/>
        <v>15.912388774811772</v>
      </c>
      <c r="R726" s="14">
        <v>8</v>
      </c>
      <c r="S726" s="15">
        <v>872</v>
      </c>
      <c r="T726" s="8">
        <v>872</v>
      </c>
      <c r="U726" s="16">
        <v>45017</v>
      </c>
      <c r="V726" s="17">
        <v>1</v>
      </c>
      <c r="W726" s="102">
        <v>45056</v>
      </c>
      <c r="X726" s="14">
        <v>16</v>
      </c>
      <c r="Y726" s="18">
        <f t="shared" si="376"/>
        <v>16</v>
      </c>
      <c r="Z726" s="18">
        <f t="shared" si="377"/>
        <v>8.3333333333333329E-2</v>
      </c>
      <c r="AA726" s="18" t="s">
        <v>36</v>
      </c>
      <c r="AB726" s="26">
        <v>30</v>
      </c>
      <c r="AC726" s="26"/>
      <c r="AD726" s="26"/>
      <c r="AE726" s="147" t="str">
        <f t="shared" si="363"/>
        <v>0</v>
      </c>
      <c r="AF726" s="147" t="str">
        <f t="shared" si="364"/>
        <v>1</v>
      </c>
      <c r="AG726" s="147" t="str">
        <f t="shared" si="365"/>
        <v>0</v>
      </c>
      <c r="AH726" s="147" t="str">
        <f t="shared" si="388"/>
        <v>NO</v>
      </c>
      <c r="AI726" s="147" t="str">
        <f t="shared" si="389"/>
        <v>NO</v>
      </c>
      <c r="AJ726" s="147" t="str">
        <f t="shared" si="390"/>
        <v>NO</v>
      </c>
      <c r="AK726" s="147" t="str">
        <f t="shared" si="391"/>
        <v>NO</v>
      </c>
      <c r="AL726" s="21"/>
      <c r="AM726" s="21">
        <f>IF(H726="Y",AL726,((AB726*$O$902)-6000))</f>
        <v>8183.0999999999985</v>
      </c>
      <c r="AN726" s="27" t="s">
        <v>185</v>
      </c>
      <c r="AO726" s="21">
        <v>1</v>
      </c>
      <c r="AP726" s="21">
        <f t="shared" si="379"/>
        <v>8.3333333333333329E-2</v>
      </c>
      <c r="AQ726" s="149">
        <f t="shared" si="380"/>
        <v>681.92499999999984</v>
      </c>
      <c r="AR726" s="21">
        <v>681.92499999999984</v>
      </c>
      <c r="AS726" s="610">
        <v>8183.0999999999985</v>
      </c>
      <c r="AT726" s="112">
        <v>8183.0999999999985</v>
      </c>
      <c r="AU726" s="4"/>
      <c r="AV726" s="4"/>
      <c r="AW726" s="23" t="e">
        <f>VLOOKUP(K726,#REF!,8,FALSE)</f>
        <v>#REF!</v>
      </c>
      <c r="AX726" s="23" t="e">
        <f>VLOOKUP(K726,#REF!,8,FALSE)</f>
        <v>#REF!</v>
      </c>
      <c r="AY726" s="23" t="e">
        <f>VLOOKUP(K726,#REF!,8,FALSE)</f>
        <v>#REF!</v>
      </c>
      <c r="AZ726" s="4"/>
      <c r="BA726" s="272"/>
      <c r="BB726" s="318">
        <f t="shared" si="369"/>
        <v>-7501.1749999999984</v>
      </c>
      <c r="BC726" s="269">
        <f t="shared" si="370"/>
        <v>681.92499999999984</v>
      </c>
      <c r="BD726" t="str">
        <f t="shared" si="385"/>
        <v/>
      </c>
      <c r="BP726" s="166">
        <f t="shared" si="386"/>
        <v>681.92499999999984</v>
      </c>
      <c r="BS726" s="165"/>
      <c r="BX726" s="495">
        <f t="shared" si="381"/>
        <v>681.92499999999984</v>
      </c>
      <c r="BZ726" s="636">
        <f t="shared" si="382"/>
        <v>0</v>
      </c>
      <c r="CA726" s="633">
        <f t="shared" si="383"/>
        <v>-7501.1749999999984</v>
      </c>
    </row>
    <row r="727" spans="1:79" x14ac:dyDescent="0.2">
      <c r="A727" s="4">
        <v>0</v>
      </c>
      <c r="B727" s="4">
        <v>1</v>
      </c>
      <c r="C727" s="5">
        <f t="shared" si="384"/>
        <v>41208</v>
      </c>
      <c r="D727" s="6">
        <v>41208</v>
      </c>
      <c r="E727" s="121">
        <v>43012</v>
      </c>
      <c r="F727" s="6" t="s">
        <v>1606</v>
      </c>
      <c r="G727" s="7" t="s">
        <v>75</v>
      </c>
      <c r="H727" s="7"/>
      <c r="I727" s="7" t="s">
        <v>157</v>
      </c>
      <c r="J727" s="7"/>
      <c r="K727" s="29">
        <v>389561</v>
      </c>
      <c r="L727" s="10" t="s">
        <v>1454</v>
      </c>
      <c r="M727" s="10" t="s">
        <v>755</v>
      </c>
      <c r="N727" s="10" t="s">
        <v>1553</v>
      </c>
      <c r="O727" s="11" t="s">
        <v>1554</v>
      </c>
      <c r="P727" s="12">
        <v>40110</v>
      </c>
      <c r="Q727" s="13">
        <f t="shared" ca="1" si="387"/>
        <v>15.912388774811772</v>
      </c>
      <c r="R727" s="14">
        <v>8</v>
      </c>
      <c r="S727" s="15">
        <v>872</v>
      </c>
      <c r="T727" s="8">
        <v>872</v>
      </c>
      <c r="U727" s="102">
        <v>45057</v>
      </c>
      <c r="V727" s="17">
        <v>18</v>
      </c>
      <c r="W727" s="16">
        <v>45382</v>
      </c>
      <c r="X727" s="14">
        <v>192</v>
      </c>
      <c r="Y727" s="18">
        <f t="shared" si="376"/>
        <v>175</v>
      </c>
      <c r="Z727" s="18">
        <f t="shared" si="377"/>
        <v>0.91145833333333337</v>
      </c>
      <c r="AA727" s="18" t="s">
        <v>36</v>
      </c>
      <c r="AB727" s="26">
        <v>7106.7</v>
      </c>
      <c r="AC727" s="26"/>
      <c r="AD727" s="26"/>
      <c r="AE727" s="147" t="str">
        <f t="shared" si="363"/>
        <v>0</v>
      </c>
      <c r="AF727" s="147" t="str">
        <f t="shared" si="364"/>
        <v>0</v>
      </c>
      <c r="AG727" s="147" t="str">
        <f t="shared" si="365"/>
        <v>1</v>
      </c>
      <c r="AH727" s="147" t="str">
        <f t="shared" si="388"/>
        <v>NO</v>
      </c>
      <c r="AI727" s="147" t="str">
        <f t="shared" si="389"/>
        <v>NO</v>
      </c>
      <c r="AJ727" s="147" t="str">
        <f t="shared" si="390"/>
        <v>NO</v>
      </c>
      <c r="AK727" s="147" t="str">
        <f t="shared" si="391"/>
        <v>NO</v>
      </c>
      <c r="AL727" s="21"/>
      <c r="AM727" s="21">
        <f>AB727</f>
        <v>7106.7</v>
      </c>
      <c r="AN727" s="27" t="s">
        <v>185</v>
      </c>
      <c r="AO727" s="21">
        <v>1</v>
      </c>
      <c r="AP727" s="21">
        <v>1</v>
      </c>
      <c r="AQ727" s="149">
        <f t="shared" si="380"/>
        <v>7106.7</v>
      </c>
      <c r="AR727" s="21">
        <v>7106.7</v>
      </c>
      <c r="AS727" s="610">
        <v>0</v>
      </c>
      <c r="AT727" s="112">
        <v>0</v>
      </c>
      <c r="AU727" s="4"/>
      <c r="AV727" s="4"/>
      <c r="AW727" s="23"/>
      <c r="AX727" s="23"/>
      <c r="AY727" s="23"/>
      <c r="AZ727" s="4"/>
      <c r="BA727" s="272"/>
      <c r="BB727" s="318">
        <f t="shared" si="369"/>
        <v>7106.7</v>
      </c>
      <c r="BC727" s="269">
        <f t="shared" si="370"/>
        <v>7106.7</v>
      </c>
      <c r="BP727" s="166">
        <f t="shared" si="386"/>
        <v>7106.7</v>
      </c>
      <c r="BS727" s="165"/>
      <c r="BX727" s="495">
        <f t="shared" si="381"/>
        <v>7106.7</v>
      </c>
      <c r="BZ727" s="636">
        <f t="shared" si="382"/>
        <v>0</v>
      </c>
      <c r="CA727" s="633">
        <f t="shared" si="383"/>
        <v>7106.7</v>
      </c>
    </row>
    <row r="728" spans="1:79" x14ac:dyDescent="0.2">
      <c r="A728" s="4">
        <v>1</v>
      </c>
      <c r="B728" s="4">
        <v>1</v>
      </c>
      <c r="C728" s="5">
        <f t="shared" si="384"/>
        <v>41208</v>
      </c>
      <c r="D728" s="6">
        <v>41208</v>
      </c>
      <c r="E728" s="121">
        <v>43012</v>
      </c>
      <c r="F728" s="6" t="s">
        <v>1606</v>
      </c>
      <c r="G728" s="7" t="s">
        <v>75</v>
      </c>
      <c r="H728" s="7"/>
      <c r="I728" s="7" t="s">
        <v>157</v>
      </c>
      <c r="J728" s="7"/>
      <c r="K728" s="29">
        <v>392700</v>
      </c>
      <c r="L728" s="10" t="s">
        <v>1454</v>
      </c>
      <c r="M728" s="10" t="s">
        <v>755</v>
      </c>
      <c r="N728" s="10" t="s">
        <v>1555</v>
      </c>
      <c r="O728" s="11" t="s">
        <v>1556</v>
      </c>
      <c r="P728" s="12">
        <v>40760</v>
      </c>
      <c r="Q728" s="13">
        <f t="shared" ca="1" si="387"/>
        <v>14.132785763175907</v>
      </c>
      <c r="R728" s="14">
        <v>7</v>
      </c>
      <c r="S728" s="15">
        <v>872</v>
      </c>
      <c r="T728" s="8">
        <v>872</v>
      </c>
      <c r="U728" s="16">
        <v>45017</v>
      </c>
      <c r="V728" s="17">
        <v>1</v>
      </c>
      <c r="W728" s="16">
        <v>45382</v>
      </c>
      <c r="X728" s="14">
        <v>192</v>
      </c>
      <c r="Y728" s="18">
        <f t="shared" si="376"/>
        <v>192</v>
      </c>
      <c r="Z728" s="18">
        <f t="shared" si="377"/>
        <v>1</v>
      </c>
      <c r="AA728" s="18" t="s">
        <v>36</v>
      </c>
      <c r="AB728" s="26">
        <v>26</v>
      </c>
      <c r="AC728" s="26"/>
      <c r="AD728" s="26"/>
      <c r="AE728" s="147" t="str">
        <f t="shared" ref="AE728:AE744" si="392">IF(AND(AB728&lt;=25,AB728&gt;=20),"1","0")</f>
        <v>0</v>
      </c>
      <c r="AF728" s="147" t="str">
        <f t="shared" ref="AF728:AF791" si="393">IF(AND(AB728&lt;=30,AB728&gt;=26),"1","0")</f>
        <v>1</v>
      </c>
      <c r="AG728" s="147" t="str">
        <f t="shared" ref="AG728:AG744" si="394">IF(AB728&gt;=31,"1","0")</f>
        <v>0</v>
      </c>
      <c r="AH728" s="147" t="str">
        <f t="shared" si="388"/>
        <v>NO</v>
      </c>
      <c r="AI728" s="147" t="str">
        <f t="shared" si="389"/>
        <v>NO</v>
      </c>
      <c r="AJ728" s="147" t="str">
        <f t="shared" si="390"/>
        <v>NO</v>
      </c>
      <c r="AK728" s="147" t="str">
        <f t="shared" si="391"/>
        <v>NO</v>
      </c>
      <c r="AL728" s="21"/>
      <c r="AM728" s="21">
        <f>IF(H728="Y",AL728,((AB728*$O$902)-6000))</f>
        <v>6292.02</v>
      </c>
      <c r="AN728" s="27" t="s">
        <v>43</v>
      </c>
      <c r="AO728" s="21">
        <v>1</v>
      </c>
      <c r="AP728" s="21">
        <f>AO728*Z728</f>
        <v>1</v>
      </c>
      <c r="AQ728" s="149">
        <f t="shared" si="380"/>
        <v>6292.02</v>
      </c>
      <c r="AR728" s="21">
        <v>6292.02</v>
      </c>
      <c r="AS728" s="610">
        <v>6292.02</v>
      </c>
      <c r="AT728" s="112">
        <v>6292.02</v>
      </c>
      <c r="AU728" s="4"/>
      <c r="AV728" s="4"/>
      <c r="AW728" s="23" t="e">
        <f>VLOOKUP(K728,#REF!,8,FALSE)</f>
        <v>#REF!</v>
      </c>
      <c r="AX728" s="23" t="e">
        <f>VLOOKUP(K728,#REF!,8,FALSE)</f>
        <v>#REF!</v>
      </c>
      <c r="AY728" s="23" t="e">
        <f>VLOOKUP(K728,#REF!,8,FALSE)</f>
        <v>#REF!</v>
      </c>
      <c r="AZ728" s="4"/>
      <c r="BA728" s="272"/>
      <c r="BB728" s="318">
        <f t="shared" si="369"/>
        <v>0</v>
      </c>
      <c r="BC728" s="269">
        <f t="shared" si="370"/>
        <v>6292.02</v>
      </c>
      <c r="BD728" t="str">
        <f t="shared" ref="BD728:BD744" si="395">BG728&amp;BH728&amp;BI728</f>
        <v/>
      </c>
      <c r="BP728" s="166">
        <f t="shared" si="386"/>
        <v>6292.02</v>
      </c>
      <c r="BS728" s="165"/>
      <c r="BX728" s="495">
        <f t="shared" si="381"/>
        <v>6292.02</v>
      </c>
      <c r="BZ728" s="636">
        <f t="shared" si="382"/>
        <v>0</v>
      </c>
      <c r="CA728" s="633">
        <f t="shared" si="383"/>
        <v>0</v>
      </c>
    </row>
    <row r="729" spans="1:79" x14ac:dyDescent="0.2">
      <c r="A729" s="4">
        <v>1</v>
      </c>
      <c r="B729" s="4">
        <v>1</v>
      </c>
      <c r="C729" s="5">
        <f t="shared" si="384"/>
        <v>41208</v>
      </c>
      <c r="D729" s="6">
        <v>41208</v>
      </c>
      <c r="E729" s="121">
        <v>43012</v>
      </c>
      <c r="F729" s="6" t="s">
        <v>1606</v>
      </c>
      <c r="G729" s="7" t="s">
        <v>75</v>
      </c>
      <c r="H729" s="7"/>
      <c r="I729" s="7" t="s">
        <v>157</v>
      </c>
      <c r="J729" s="7"/>
      <c r="K729" s="29">
        <v>378917</v>
      </c>
      <c r="L729" s="10" t="s">
        <v>1454</v>
      </c>
      <c r="M729" s="10" t="s">
        <v>293</v>
      </c>
      <c r="N729" s="10" t="s">
        <v>1557</v>
      </c>
      <c r="O729" s="11" t="s">
        <v>1558</v>
      </c>
      <c r="P729" s="12">
        <v>39764</v>
      </c>
      <c r="Q729" s="13">
        <f t="shared" ca="1" si="387"/>
        <v>16.859685147159478</v>
      </c>
      <c r="R729" s="14">
        <v>9</v>
      </c>
      <c r="S729" s="15">
        <v>872</v>
      </c>
      <c r="T729" s="8">
        <v>872</v>
      </c>
      <c r="U729" s="16">
        <v>45017</v>
      </c>
      <c r="V729" s="17">
        <v>1</v>
      </c>
      <c r="W729" s="16">
        <v>45382</v>
      </c>
      <c r="X729" s="14">
        <v>192</v>
      </c>
      <c r="Y729" s="18">
        <f t="shared" si="376"/>
        <v>192</v>
      </c>
      <c r="Z729" s="18">
        <f t="shared" si="377"/>
        <v>1</v>
      </c>
      <c r="AA729" s="18" t="s">
        <v>36</v>
      </c>
      <c r="AB729" s="26">
        <v>6403</v>
      </c>
      <c r="AC729" s="26"/>
      <c r="AD729" s="26"/>
      <c r="AE729" s="147" t="str">
        <f t="shared" si="392"/>
        <v>0</v>
      </c>
      <c r="AF729" s="147" t="str">
        <f t="shared" si="393"/>
        <v>0</v>
      </c>
      <c r="AG729" s="147" t="str">
        <f t="shared" si="394"/>
        <v>1</v>
      </c>
      <c r="AH729" s="147" t="str">
        <f t="shared" si="388"/>
        <v>NO</v>
      </c>
      <c r="AI729" s="147" t="str">
        <f t="shared" si="389"/>
        <v>NO</v>
      </c>
      <c r="AJ729" s="147" t="str">
        <f t="shared" si="390"/>
        <v>NO</v>
      </c>
      <c r="AK729" s="147" t="str">
        <f t="shared" si="391"/>
        <v>NO</v>
      </c>
      <c r="AL729" s="21"/>
      <c r="AM729" s="21">
        <v>6403</v>
      </c>
      <c r="AN729" s="27" t="s">
        <v>43</v>
      </c>
      <c r="AO729" s="21">
        <v>1</v>
      </c>
      <c r="AP729" s="21">
        <f>AO729*Z729</f>
        <v>1</v>
      </c>
      <c r="AQ729" s="149">
        <f t="shared" si="380"/>
        <v>6403</v>
      </c>
      <c r="AR729" s="21">
        <v>6403</v>
      </c>
      <c r="AS729" s="610">
        <v>0</v>
      </c>
      <c r="AT729" s="112">
        <v>6403</v>
      </c>
      <c r="AU729" s="4"/>
      <c r="AV729" s="4"/>
      <c r="AW729" s="23" t="e">
        <f>VLOOKUP(K729,#REF!,8,FALSE)</f>
        <v>#REF!</v>
      </c>
      <c r="AX729" s="23" t="e">
        <f>VLOOKUP(K729,#REF!,8,FALSE)</f>
        <v>#REF!</v>
      </c>
      <c r="AY729" s="23" t="e">
        <f>VLOOKUP(K729,#REF!,8,FALSE)</f>
        <v>#REF!</v>
      </c>
      <c r="AZ729" s="4"/>
      <c r="BA729" s="272"/>
      <c r="BB729" s="318">
        <f t="shared" si="369"/>
        <v>0</v>
      </c>
      <c r="BC729" s="269">
        <f t="shared" si="370"/>
        <v>6403</v>
      </c>
      <c r="BD729" t="str">
        <f t="shared" si="395"/>
        <v/>
      </c>
      <c r="BP729" s="166">
        <f t="shared" si="386"/>
        <v>6403</v>
      </c>
      <c r="BS729" s="165"/>
      <c r="BX729" s="495">
        <f t="shared" si="381"/>
        <v>6403</v>
      </c>
      <c r="BZ729" s="636">
        <f t="shared" si="382"/>
        <v>0</v>
      </c>
      <c r="CA729" s="633">
        <f t="shared" si="383"/>
        <v>6403</v>
      </c>
    </row>
    <row r="730" spans="1:79" x14ac:dyDescent="0.2">
      <c r="A730" s="4">
        <v>1</v>
      </c>
      <c r="B730" s="4">
        <v>1</v>
      </c>
      <c r="C730" s="5">
        <f t="shared" si="384"/>
        <v>41208</v>
      </c>
      <c r="D730" s="6">
        <v>41208</v>
      </c>
      <c r="E730" s="121">
        <v>43012</v>
      </c>
      <c r="F730" s="6" t="s">
        <v>1606</v>
      </c>
      <c r="G730" s="7" t="s">
        <v>75</v>
      </c>
      <c r="H730" s="7"/>
      <c r="I730" s="7" t="s">
        <v>157</v>
      </c>
      <c r="J730" s="7"/>
      <c r="K730" s="29">
        <v>379006</v>
      </c>
      <c r="L730" s="10" t="s">
        <v>1454</v>
      </c>
      <c r="M730" s="10" t="s">
        <v>1559</v>
      </c>
      <c r="N730" s="10" t="s">
        <v>1560</v>
      </c>
      <c r="O730" s="11" t="s">
        <v>1561</v>
      </c>
      <c r="P730" s="12">
        <v>39762</v>
      </c>
      <c r="Q730" s="13">
        <f t="shared" ca="1" si="387"/>
        <v>16.865160848733744</v>
      </c>
      <c r="R730" s="14">
        <v>9</v>
      </c>
      <c r="S730" s="15">
        <v>872</v>
      </c>
      <c r="T730" s="8">
        <v>872</v>
      </c>
      <c r="U730" s="16">
        <v>45017</v>
      </c>
      <c r="V730" s="17">
        <v>1</v>
      </c>
      <c r="W730" s="16">
        <v>45382</v>
      </c>
      <c r="X730" s="14">
        <v>192</v>
      </c>
      <c r="Y730" s="18">
        <f t="shared" si="376"/>
        <v>192</v>
      </c>
      <c r="Z730" s="18">
        <f t="shared" si="377"/>
        <v>1</v>
      </c>
      <c r="AA730" s="18" t="s">
        <v>36</v>
      </c>
      <c r="AB730" s="26">
        <v>30</v>
      </c>
      <c r="AC730" s="26"/>
      <c r="AD730" s="26"/>
      <c r="AE730" s="147" t="str">
        <f t="shared" si="392"/>
        <v>0</v>
      </c>
      <c r="AF730" s="147" t="str">
        <f t="shared" si="393"/>
        <v>1</v>
      </c>
      <c r="AG730" s="147" t="str">
        <f t="shared" si="394"/>
        <v>0</v>
      </c>
      <c r="AH730" s="147" t="str">
        <f t="shared" si="388"/>
        <v>NO</v>
      </c>
      <c r="AI730" s="147" t="str">
        <f t="shared" si="389"/>
        <v>NO</v>
      </c>
      <c r="AJ730" s="147" t="str">
        <f t="shared" si="390"/>
        <v>NO</v>
      </c>
      <c r="AK730" s="147" t="str">
        <f t="shared" si="391"/>
        <v>NO</v>
      </c>
      <c r="AL730" s="21"/>
      <c r="AM730" s="21">
        <f>IF(H730="Y",AL730,((AB730*$O$902)-6000))</f>
        <v>8183.0999999999985</v>
      </c>
      <c r="AN730" s="27" t="s">
        <v>43</v>
      </c>
      <c r="AO730" s="21">
        <v>1</v>
      </c>
      <c r="AP730" s="21">
        <f>AO730*Z730</f>
        <v>1</v>
      </c>
      <c r="AQ730" s="149">
        <f t="shared" si="380"/>
        <v>8183.0999999999985</v>
      </c>
      <c r="AR730" s="21">
        <v>8183.0999999999985</v>
      </c>
      <c r="AS730" s="610">
        <v>8183.0999999999985</v>
      </c>
      <c r="AT730" s="112">
        <v>8183.0999999999985</v>
      </c>
      <c r="AU730" s="4"/>
      <c r="AV730" s="4"/>
      <c r="AW730" s="23" t="e">
        <f>VLOOKUP(K730,#REF!,8,FALSE)</f>
        <v>#REF!</v>
      </c>
      <c r="AX730" s="23" t="e">
        <f>VLOOKUP(K730,#REF!,8,FALSE)</f>
        <v>#REF!</v>
      </c>
      <c r="AY730" s="23" t="e">
        <f>VLOOKUP(K730,#REF!,8,FALSE)</f>
        <v>#REF!</v>
      </c>
      <c r="AZ730" s="4"/>
      <c r="BA730" s="272"/>
      <c r="BB730" s="318">
        <f t="shared" si="369"/>
        <v>0</v>
      </c>
      <c r="BC730" s="269">
        <f t="shared" si="370"/>
        <v>8183.0999999999985</v>
      </c>
      <c r="BD730" t="str">
        <f t="shared" si="395"/>
        <v/>
      </c>
      <c r="BP730" s="166">
        <f t="shared" si="386"/>
        <v>8183.0999999999985</v>
      </c>
      <c r="BS730" s="165"/>
      <c r="BX730" s="495">
        <f t="shared" si="381"/>
        <v>8183.0999999999985</v>
      </c>
      <c r="BZ730" s="636">
        <f t="shared" si="382"/>
        <v>0</v>
      </c>
      <c r="CA730" s="633">
        <f t="shared" si="383"/>
        <v>0</v>
      </c>
    </row>
    <row r="731" spans="1:79" x14ac:dyDescent="0.2">
      <c r="A731" s="4">
        <v>0</v>
      </c>
      <c r="B731" s="4">
        <v>1</v>
      </c>
      <c r="C731" s="5">
        <f t="shared" si="384"/>
        <v>41208</v>
      </c>
      <c r="D731" s="6">
        <v>41208</v>
      </c>
      <c r="E731" s="121">
        <v>43012</v>
      </c>
      <c r="F731" s="6" t="s">
        <v>1606</v>
      </c>
      <c r="G731" s="7" t="s">
        <v>75</v>
      </c>
      <c r="H731" s="7"/>
      <c r="I731" s="7" t="s">
        <v>157</v>
      </c>
      <c r="J731" s="7"/>
      <c r="K731" s="29">
        <v>379006</v>
      </c>
      <c r="L731" s="10" t="s">
        <v>1454</v>
      </c>
      <c r="M731" s="10" t="s">
        <v>1559</v>
      </c>
      <c r="N731" s="10" t="s">
        <v>1560</v>
      </c>
      <c r="O731" s="11" t="s">
        <v>1561</v>
      </c>
      <c r="P731" s="12">
        <v>39762</v>
      </c>
      <c r="Q731" s="13">
        <f t="shared" ca="1" si="387"/>
        <v>16.865160848733744</v>
      </c>
      <c r="R731" s="14">
        <v>9</v>
      </c>
      <c r="S731" s="15">
        <v>872</v>
      </c>
      <c r="T731" s="8">
        <v>872</v>
      </c>
      <c r="U731" s="16">
        <v>45017</v>
      </c>
      <c r="V731" s="17">
        <v>1</v>
      </c>
      <c r="W731" s="16">
        <v>45017</v>
      </c>
      <c r="X731" s="14">
        <v>0</v>
      </c>
      <c r="Y731" s="18">
        <f t="shared" si="376"/>
        <v>0</v>
      </c>
      <c r="Z731" s="18">
        <v>1</v>
      </c>
      <c r="AA731" s="18" t="s">
        <v>2319</v>
      </c>
      <c r="AB731" s="26">
        <v>17130</v>
      </c>
      <c r="AC731" s="26"/>
      <c r="AD731" s="26"/>
      <c r="AE731" s="147" t="str">
        <f t="shared" si="392"/>
        <v>0</v>
      </c>
      <c r="AF731" s="147" t="str">
        <f t="shared" si="393"/>
        <v>0</v>
      </c>
      <c r="AG731" s="147" t="str">
        <f t="shared" si="394"/>
        <v>1</v>
      </c>
      <c r="AH731" s="147" t="str">
        <f t="shared" si="388"/>
        <v>NO</v>
      </c>
      <c r="AI731" s="147" t="str">
        <f t="shared" si="389"/>
        <v>NO</v>
      </c>
      <c r="AJ731" s="147" t="str">
        <f t="shared" si="390"/>
        <v>NO</v>
      </c>
      <c r="AK731" s="147" t="str">
        <f t="shared" si="391"/>
        <v>NO</v>
      </c>
      <c r="AL731" s="21"/>
      <c r="AM731" s="21">
        <f>AB731</f>
        <v>17130</v>
      </c>
      <c r="AN731" s="27" t="s">
        <v>43</v>
      </c>
      <c r="AO731" s="21">
        <v>1</v>
      </c>
      <c r="AP731" s="21">
        <v>1</v>
      </c>
      <c r="AQ731" s="149">
        <f t="shared" si="380"/>
        <v>17130</v>
      </c>
      <c r="AR731" s="21">
        <v>17130</v>
      </c>
      <c r="AS731" s="610">
        <v>0</v>
      </c>
      <c r="AT731" s="112"/>
      <c r="AU731" s="4"/>
      <c r="AV731" s="4"/>
      <c r="AW731" s="23"/>
      <c r="AX731" s="23"/>
      <c r="AY731" s="23"/>
      <c r="AZ731" s="4"/>
      <c r="BA731" s="272"/>
      <c r="BB731" s="318">
        <f t="shared" si="369"/>
        <v>17130</v>
      </c>
      <c r="BC731" s="269">
        <f t="shared" si="370"/>
        <v>17130</v>
      </c>
      <c r="BD731" t="str">
        <f t="shared" si="395"/>
        <v/>
      </c>
      <c r="BP731" s="166">
        <f t="shared" si="386"/>
        <v>17130</v>
      </c>
      <c r="BS731" s="165"/>
      <c r="BX731" s="495">
        <f t="shared" si="381"/>
        <v>17130</v>
      </c>
      <c r="BZ731" s="636">
        <f t="shared" si="382"/>
        <v>0</v>
      </c>
      <c r="CA731" s="633">
        <f t="shared" si="383"/>
        <v>17130</v>
      </c>
    </row>
    <row r="732" spans="1:79" x14ac:dyDescent="0.2">
      <c r="A732" s="4">
        <v>1</v>
      </c>
      <c r="B732" s="4">
        <v>1</v>
      </c>
      <c r="C732" s="5">
        <f t="shared" si="384"/>
        <v>41208</v>
      </c>
      <c r="D732" s="6">
        <v>41208</v>
      </c>
      <c r="E732" s="121">
        <v>43012</v>
      </c>
      <c r="F732" s="6" t="s">
        <v>1606</v>
      </c>
      <c r="G732" s="7" t="s">
        <v>75</v>
      </c>
      <c r="H732" s="7"/>
      <c r="I732" s="7" t="s">
        <v>157</v>
      </c>
      <c r="J732" s="7"/>
      <c r="K732" s="29">
        <v>370002</v>
      </c>
      <c r="L732" s="10" t="s">
        <v>1454</v>
      </c>
      <c r="M732" s="10" t="s">
        <v>72</v>
      </c>
      <c r="N732" s="10" t="s">
        <v>925</v>
      </c>
      <c r="O732" s="11" t="s">
        <v>1562</v>
      </c>
      <c r="P732" s="12">
        <v>39294</v>
      </c>
      <c r="Q732" s="13">
        <f t="shared" ca="1" si="387"/>
        <v>18.146475017111566</v>
      </c>
      <c r="R732" s="14">
        <v>11</v>
      </c>
      <c r="S732" s="15">
        <v>872</v>
      </c>
      <c r="T732" s="8">
        <v>872</v>
      </c>
      <c r="U732" s="16">
        <v>45017</v>
      </c>
      <c r="V732" s="17">
        <v>1</v>
      </c>
      <c r="W732" s="16">
        <v>45128</v>
      </c>
      <c r="X732" s="14">
        <v>63</v>
      </c>
      <c r="Y732" s="18">
        <f t="shared" si="376"/>
        <v>63</v>
      </c>
      <c r="Z732" s="18">
        <f t="shared" ref="Z732:Z763" si="396">Y732/192</f>
        <v>0.328125</v>
      </c>
      <c r="AA732" s="16" t="s">
        <v>166</v>
      </c>
      <c r="AB732" s="26">
        <v>23</v>
      </c>
      <c r="AC732" s="26"/>
      <c r="AD732" s="26"/>
      <c r="AE732" s="147" t="str">
        <f t="shared" si="392"/>
        <v>1</v>
      </c>
      <c r="AF732" s="147" t="str">
        <f t="shared" si="393"/>
        <v>0</v>
      </c>
      <c r="AG732" s="147" t="str">
        <f t="shared" si="394"/>
        <v>0</v>
      </c>
      <c r="AH732" s="147" t="str">
        <f t="shared" si="388"/>
        <v>NO</v>
      </c>
      <c r="AI732" s="147" t="str">
        <f t="shared" si="389"/>
        <v>NO</v>
      </c>
      <c r="AJ732" s="147" t="str">
        <f t="shared" si="390"/>
        <v>NO</v>
      </c>
      <c r="AK732" s="147" t="str">
        <f t="shared" si="391"/>
        <v>NO</v>
      </c>
      <c r="AL732" s="21"/>
      <c r="AM732" s="21">
        <f>IF(H732="Y",AL732,((AB732*$O$902)-6000))</f>
        <v>4873.7099999999991</v>
      </c>
      <c r="AN732" s="27" t="s">
        <v>37</v>
      </c>
      <c r="AO732" s="21">
        <v>1</v>
      </c>
      <c r="AP732" s="21">
        <f t="shared" ref="AP732:AP744" si="397">AO732*Z732</f>
        <v>0.328125</v>
      </c>
      <c r="AQ732" s="149">
        <f t="shared" si="380"/>
        <v>1599.1860937499996</v>
      </c>
      <c r="AR732" s="21">
        <v>1599.1860937499996</v>
      </c>
      <c r="AS732" s="610">
        <v>1599.1860937499996</v>
      </c>
      <c r="AT732" s="112">
        <v>1599.1860937499996</v>
      </c>
      <c r="AU732" s="4"/>
      <c r="AV732" s="4"/>
      <c r="AW732" s="23" t="e">
        <f>VLOOKUP(K732,#REF!,8,FALSE)</f>
        <v>#REF!</v>
      </c>
      <c r="AX732" s="23" t="e">
        <f>VLOOKUP(K732,#REF!,8,FALSE)</f>
        <v>#REF!</v>
      </c>
      <c r="AY732" s="266" t="s">
        <v>2235</v>
      </c>
      <c r="AZ732" s="268" t="s">
        <v>75</v>
      </c>
      <c r="BA732" s="274">
        <f>AM732/3*2</f>
        <v>3249.1399999999994</v>
      </c>
      <c r="BB732" s="318">
        <f t="shared" si="369"/>
        <v>0</v>
      </c>
      <c r="BC732" s="269">
        <f t="shared" si="370"/>
        <v>1599.1860937499996</v>
      </c>
      <c r="BD732" t="e">
        <f t="shared" si="395"/>
        <v>#REF!</v>
      </c>
      <c r="BE732" t="s">
        <v>2351</v>
      </c>
      <c r="BI732" t="e">
        <f>VLOOKUP(K732,#REF!,8,FALSE)</f>
        <v>#REF!</v>
      </c>
      <c r="BK732" s="269"/>
      <c r="BN732" s="353" t="s">
        <v>75</v>
      </c>
      <c r="BO732" s="106"/>
      <c r="BP732" s="166">
        <f t="shared" si="386"/>
        <v>1599.1860937499996</v>
      </c>
      <c r="BQ732" t="s">
        <v>2351</v>
      </c>
      <c r="BS732" s="165"/>
      <c r="BX732" s="495">
        <f t="shared" si="381"/>
        <v>1599.1860937499996</v>
      </c>
      <c r="BZ732" s="636">
        <f t="shared" si="382"/>
        <v>0</v>
      </c>
      <c r="CA732" s="633">
        <f t="shared" si="383"/>
        <v>0</v>
      </c>
    </row>
    <row r="733" spans="1:79" x14ac:dyDescent="0.2">
      <c r="A733" s="4">
        <v>1</v>
      </c>
      <c r="B733" s="4">
        <v>1</v>
      </c>
      <c r="C733" s="5">
        <f t="shared" si="384"/>
        <v>41208</v>
      </c>
      <c r="D733" s="6">
        <v>41208</v>
      </c>
      <c r="E733" s="121">
        <v>43012</v>
      </c>
      <c r="F733" s="6" t="s">
        <v>1606</v>
      </c>
      <c r="G733" s="7" t="s">
        <v>75</v>
      </c>
      <c r="H733" s="7"/>
      <c r="I733" s="7" t="s">
        <v>157</v>
      </c>
      <c r="J733" s="7"/>
      <c r="K733" s="29">
        <v>423502</v>
      </c>
      <c r="L733" s="10" t="s">
        <v>1454</v>
      </c>
      <c r="M733" s="10" t="s">
        <v>1563</v>
      </c>
      <c r="N733" s="10" t="s">
        <v>1564</v>
      </c>
      <c r="O733" s="11" t="s">
        <v>1565</v>
      </c>
      <c r="P733" s="12">
        <v>40758</v>
      </c>
      <c r="Q733" s="13">
        <f t="shared" ca="1" si="387"/>
        <v>14.138261464750171</v>
      </c>
      <c r="R733" s="14">
        <v>7</v>
      </c>
      <c r="S733" s="15">
        <v>872</v>
      </c>
      <c r="T733" s="8">
        <v>872</v>
      </c>
      <c r="U733" s="16">
        <v>45017</v>
      </c>
      <c r="V733" s="17">
        <v>1</v>
      </c>
      <c r="W733" s="16">
        <v>45017</v>
      </c>
      <c r="X733" s="14">
        <v>0</v>
      </c>
      <c r="Y733" s="18">
        <f t="shared" si="376"/>
        <v>0</v>
      </c>
      <c r="Z733" s="18">
        <f t="shared" si="396"/>
        <v>0</v>
      </c>
      <c r="AA733" s="18" t="s">
        <v>36</v>
      </c>
      <c r="AB733" s="26">
        <v>30</v>
      </c>
      <c r="AC733" s="26"/>
      <c r="AD733" s="26"/>
      <c r="AE733" s="147" t="str">
        <f t="shared" si="392"/>
        <v>0</v>
      </c>
      <c r="AF733" s="147" t="str">
        <f t="shared" si="393"/>
        <v>1</v>
      </c>
      <c r="AG733" s="147" t="str">
        <f t="shared" si="394"/>
        <v>0</v>
      </c>
      <c r="AH733" s="147" t="str">
        <f t="shared" si="388"/>
        <v>NO</v>
      </c>
      <c r="AI733" s="147" t="str">
        <f t="shared" si="389"/>
        <v>NO</v>
      </c>
      <c r="AJ733" s="147" t="str">
        <f t="shared" si="390"/>
        <v>NO</v>
      </c>
      <c r="AK733" s="147" t="str">
        <f t="shared" si="391"/>
        <v>NO</v>
      </c>
      <c r="AL733" s="21"/>
      <c r="AM733" s="21">
        <f>IF(H733="Y",AL733,((AB733*$O$902)-6000))</f>
        <v>8183.0999999999985</v>
      </c>
      <c r="AN733" s="27" t="s">
        <v>43</v>
      </c>
      <c r="AO733" s="21">
        <v>1</v>
      </c>
      <c r="AP733" s="21">
        <f t="shared" si="397"/>
        <v>0</v>
      </c>
      <c r="AQ733" s="149">
        <f t="shared" si="380"/>
        <v>0</v>
      </c>
      <c r="AR733" s="21">
        <v>8183.0999999999985</v>
      </c>
      <c r="AS733" s="610">
        <v>8183.0999999999985</v>
      </c>
      <c r="AT733" s="112">
        <v>8183.0999999999985</v>
      </c>
      <c r="AU733" s="4"/>
      <c r="AV733" s="4"/>
      <c r="AW733" s="23" t="e">
        <f>VLOOKUP(K733,#REF!,8,FALSE)</f>
        <v>#REF!</v>
      </c>
      <c r="AX733" s="23" t="e">
        <f>VLOOKUP(K733,#REF!,8,FALSE)</f>
        <v>#REF!</v>
      </c>
      <c r="AY733" s="23" t="e">
        <f>VLOOKUP(K733,#REF!,8,FALSE)</f>
        <v>#REF!</v>
      </c>
      <c r="AZ733" s="4"/>
      <c r="BA733" s="272"/>
      <c r="BB733" s="318">
        <f t="shared" si="369"/>
        <v>0</v>
      </c>
      <c r="BC733" s="269">
        <f t="shared" si="370"/>
        <v>8183.0999999999985</v>
      </c>
      <c r="BD733" t="str">
        <f t="shared" si="395"/>
        <v/>
      </c>
      <c r="BP733" s="166">
        <f t="shared" si="386"/>
        <v>8183.0999999999985</v>
      </c>
      <c r="BS733" s="165">
        <v>43601</v>
      </c>
      <c r="BT733" t="s">
        <v>2506</v>
      </c>
      <c r="BX733" s="495">
        <f t="shared" si="381"/>
        <v>0</v>
      </c>
      <c r="BY733" t="s">
        <v>2507</v>
      </c>
      <c r="BZ733" s="636">
        <f t="shared" si="382"/>
        <v>-8183.0999999999985</v>
      </c>
      <c r="CA733" s="633">
        <f t="shared" si="383"/>
        <v>-8183.0999999999985</v>
      </c>
    </row>
    <row r="734" spans="1:79" x14ac:dyDescent="0.2">
      <c r="A734" s="4">
        <v>0</v>
      </c>
      <c r="B734" s="4">
        <v>1</v>
      </c>
      <c r="C734" s="5">
        <f t="shared" si="384"/>
        <v>41208</v>
      </c>
      <c r="D734" s="6">
        <v>41208</v>
      </c>
      <c r="E734" s="121">
        <v>43012</v>
      </c>
      <c r="F734" s="6" t="s">
        <v>1606</v>
      </c>
      <c r="G734" s="7" t="s">
        <v>75</v>
      </c>
      <c r="H734" s="7"/>
      <c r="I734" s="7" t="s">
        <v>157</v>
      </c>
      <c r="J734" s="7" t="s">
        <v>142</v>
      </c>
      <c r="K734" s="29">
        <v>423502</v>
      </c>
      <c r="L734" s="10" t="s">
        <v>1454</v>
      </c>
      <c r="M734" s="10" t="s">
        <v>1563</v>
      </c>
      <c r="N734" s="10" t="s">
        <v>1564</v>
      </c>
      <c r="O734" s="11" t="s">
        <v>1565</v>
      </c>
      <c r="P734" s="12">
        <v>40758</v>
      </c>
      <c r="Q734" s="13">
        <f t="shared" ca="1" si="387"/>
        <v>14.138261464750171</v>
      </c>
      <c r="R734" s="14">
        <v>7</v>
      </c>
      <c r="S734" s="15">
        <v>872</v>
      </c>
      <c r="T734" s="8">
        <v>872</v>
      </c>
      <c r="U734" s="16">
        <v>45017</v>
      </c>
      <c r="V734" s="17">
        <v>1</v>
      </c>
      <c r="W734" s="16">
        <v>45017</v>
      </c>
      <c r="X734" s="14">
        <v>0</v>
      </c>
      <c r="Y734" s="18">
        <f t="shared" si="376"/>
        <v>0</v>
      </c>
      <c r="Z734" s="18">
        <f t="shared" si="396"/>
        <v>0</v>
      </c>
      <c r="AA734" s="18" t="s">
        <v>36</v>
      </c>
      <c r="AB734" s="26" t="s">
        <v>1566</v>
      </c>
      <c r="AC734" s="26" t="s">
        <v>1566</v>
      </c>
      <c r="AD734" s="26"/>
      <c r="AE734" s="147" t="str">
        <f t="shared" si="392"/>
        <v>0</v>
      </c>
      <c r="AF734" s="147" t="str">
        <f t="shared" si="393"/>
        <v>0</v>
      </c>
      <c r="AG734" s="147" t="str">
        <f t="shared" si="394"/>
        <v>1</v>
      </c>
      <c r="AH734" s="147" t="str">
        <f t="shared" si="388"/>
        <v>NO</v>
      </c>
      <c r="AI734" s="147" t="str">
        <f t="shared" si="389"/>
        <v>NO</v>
      </c>
      <c r="AJ734" s="147" t="str">
        <f t="shared" si="390"/>
        <v>NO</v>
      </c>
      <c r="AK734" s="147" t="str">
        <f t="shared" si="391"/>
        <v>NO</v>
      </c>
      <c r="AL734" s="21"/>
      <c r="AM734" s="21">
        <v>53057</v>
      </c>
      <c r="AN734" s="27" t="s">
        <v>43</v>
      </c>
      <c r="AO734" s="21">
        <v>1</v>
      </c>
      <c r="AP734" s="21">
        <f t="shared" si="397"/>
        <v>0</v>
      </c>
      <c r="AQ734" s="149">
        <f t="shared" si="380"/>
        <v>0</v>
      </c>
      <c r="AR734" s="21">
        <v>53057</v>
      </c>
      <c r="AS734" s="610">
        <v>53057</v>
      </c>
      <c r="AT734" s="112">
        <v>53057</v>
      </c>
      <c r="AU734" s="4"/>
      <c r="AV734" s="4"/>
      <c r="AW734" s="23" t="e">
        <f>VLOOKUP(K734,#REF!,8,FALSE)</f>
        <v>#REF!</v>
      </c>
      <c r="AX734" s="23" t="e">
        <f>VLOOKUP(K734,#REF!,8,FALSE)</f>
        <v>#REF!</v>
      </c>
      <c r="AY734" s="23" t="e">
        <f>VLOOKUP(K734,#REF!,8,FALSE)</f>
        <v>#REF!</v>
      </c>
      <c r="AZ734" s="4"/>
      <c r="BA734" s="272"/>
      <c r="BB734" s="318">
        <f t="shared" si="369"/>
        <v>0</v>
      </c>
      <c r="BC734" s="269">
        <f t="shared" si="370"/>
        <v>53057</v>
      </c>
      <c r="BD734" t="str">
        <f t="shared" si="395"/>
        <v/>
      </c>
      <c r="BP734" s="166">
        <f t="shared" si="386"/>
        <v>53057</v>
      </c>
      <c r="BS734" s="165">
        <v>43601</v>
      </c>
      <c r="BT734" t="s">
        <v>2506</v>
      </c>
      <c r="BX734" s="495">
        <f t="shared" si="381"/>
        <v>0</v>
      </c>
      <c r="BY734" t="s">
        <v>2507</v>
      </c>
      <c r="BZ734" s="636">
        <f t="shared" si="382"/>
        <v>-53057</v>
      </c>
      <c r="CA734" s="633">
        <f t="shared" si="383"/>
        <v>-53057</v>
      </c>
    </row>
    <row r="735" spans="1:79" x14ac:dyDescent="0.2">
      <c r="A735" s="4">
        <v>1</v>
      </c>
      <c r="B735" s="4">
        <v>1</v>
      </c>
      <c r="C735" s="5">
        <f t="shared" si="384"/>
        <v>41139</v>
      </c>
      <c r="D735" s="6">
        <v>41139</v>
      </c>
      <c r="E735" s="6">
        <v>43011</v>
      </c>
      <c r="F735" s="6" t="s">
        <v>1606</v>
      </c>
      <c r="G735" s="7"/>
      <c r="H735" s="7"/>
      <c r="I735" s="7" t="s">
        <v>32</v>
      </c>
      <c r="J735" s="7"/>
      <c r="K735" s="29">
        <v>434882</v>
      </c>
      <c r="L735" s="10" t="s">
        <v>1567</v>
      </c>
      <c r="M735" s="10" t="s">
        <v>1568</v>
      </c>
      <c r="N735" s="10" t="s">
        <v>1569</v>
      </c>
      <c r="O735" s="11" t="s">
        <v>1570</v>
      </c>
      <c r="P735" s="12">
        <v>42911</v>
      </c>
      <c r="Q735" s="13">
        <f t="shared" ca="1" si="387"/>
        <v>8.2436687200547567</v>
      </c>
      <c r="R735" s="14">
        <v>1</v>
      </c>
      <c r="S735" s="15">
        <v>872</v>
      </c>
      <c r="T735" s="8">
        <v>872</v>
      </c>
      <c r="U735" s="16">
        <v>45017</v>
      </c>
      <c r="V735" s="17">
        <v>1</v>
      </c>
      <c r="W735" s="16">
        <v>45382</v>
      </c>
      <c r="X735" s="14">
        <v>192</v>
      </c>
      <c r="Y735" s="18">
        <f t="shared" si="376"/>
        <v>192</v>
      </c>
      <c r="Z735" s="18">
        <f t="shared" si="396"/>
        <v>1</v>
      </c>
      <c r="AA735" s="18" t="s">
        <v>36</v>
      </c>
      <c r="AB735" s="26">
        <v>30</v>
      </c>
      <c r="AC735" s="26"/>
      <c r="AD735" s="26"/>
      <c r="AE735" s="147" t="str">
        <f t="shared" si="392"/>
        <v>0</v>
      </c>
      <c r="AF735" s="147" t="str">
        <f t="shared" si="393"/>
        <v>1</v>
      </c>
      <c r="AG735" s="147" t="str">
        <f t="shared" si="394"/>
        <v>0</v>
      </c>
      <c r="AH735" s="147" t="str">
        <f t="shared" si="388"/>
        <v>NO</v>
      </c>
      <c r="AI735" s="147" t="str">
        <f t="shared" si="389"/>
        <v>NO</v>
      </c>
      <c r="AJ735" s="147" t="str">
        <f t="shared" si="390"/>
        <v>NO</v>
      </c>
      <c r="AK735" s="147" t="str">
        <f t="shared" si="391"/>
        <v>NO</v>
      </c>
      <c r="AL735" s="21"/>
      <c r="AM735" s="21">
        <f>IF(H735="Y",AL735,((AB735*$O$902)-6000))</f>
        <v>8183.0999999999985</v>
      </c>
      <c r="AN735" s="27" t="s">
        <v>37</v>
      </c>
      <c r="AO735" s="21">
        <v>1</v>
      </c>
      <c r="AP735" s="21">
        <f t="shared" si="397"/>
        <v>1</v>
      </c>
      <c r="AQ735" s="149">
        <f t="shared" si="380"/>
        <v>8183.0999999999985</v>
      </c>
      <c r="AR735" s="21">
        <v>8183.0999999999985</v>
      </c>
      <c r="AS735" s="610">
        <v>8183.0999999999985</v>
      </c>
      <c r="AT735" s="112">
        <v>8183.0999999999985</v>
      </c>
      <c r="AU735" s="4"/>
      <c r="AV735" s="4"/>
      <c r="AW735" s="23" t="e">
        <f>VLOOKUP(K735,#REF!,8,FALSE)</f>
        <v>#REF!</v>
      </c>
      <c r="AX735" s="23" t="e">
        <f>VLOOKUP(K735,#REF!,8,FALSE)</f>
        <v>#REF!</v>
      </c>
      <c r="AY735" s="23" t="e">
        <f>VLOOKUP(K735,#REF!,8,FALSE)</f>
        <v>#REF!</v>
      </c>
      <c r="AZ735" s="4"/>
      <c r="BA735" s="272"/>
      <c r="BB735" s="318">
        <f t="shared" si="369"/>
        <v>0</v>
      </c>
      <c r="BC735" s="269">
        <f t="shared" si="370"/>
        <v>8183.0999999999985</v>
      </c>
      <c r="BD735" t="str">
        <f t="shared" si="395"/>
        <v/>
      </c>
      <c r="BP735" s="166">
        <f t="shared" si="386"/>
        <v>8183.0999999999985</v>
      </c>
      <c r="BS735" s="165"/>
      <c r="BX735" s="495">
        <f t="shared" si="381"/>
        <v>8183.0999999999985</v>
      </c>
      <c r="BZ735" s="636">
        <f t="shared" si="382"/>
        <v>0</v>
      </c>
      <c r="CA735" s="633">
        <f t="shared" si="383"/>
        <v>0</v>
      </c>
    </row>
    <row r="736" spans="1:79" x14ac:dyDescent="0.2">
      <c r="A736" s="4">
        <v>1</v>
      </c>
      <c r="B736" s="4">
        <v>1</v>
      </c>
      <c r="C736" s="5">
        <f t="shared" si="384"/>
        <v>41139</v>
      </c>
      <c r="D736" s="6">
        <v>41139</v>
      </c>
      <c r="E736" s="6">
        <v>43011</v>
      </c>
      <c r="F736" s="6" t="s">
        <v>1606</v>
      </c>
      <c r="G736" s="7"/>
      <c r="H736" s="7"/>
      <c r="I736" s="7" t="s">
        <v>32</v>
      </c>
      <c r="J736" s="7"/>
      <c r="K736" s="29">
        <v>405752</v>
      </c>
      <c r="L736" s="10" t="s">
        <v>1567</v>
      </c>
      <c r="M736" s="10" t="s">
        <v>904</v>
      </c>
      <c r="N736" s="10" t="s">
        <v>1571</v>
      </c>
      <c r="O736" s="11" t="s">
        <v>1572</v>
      </c>
      <c r="P736" s="12">
        <v>41605</v>
      </c>
      <c r="Q736" s="13">
        <f t="shared" ca="1" si="387"/>
        <v>11.819301848049282</v>
      </c>
      <c r="R736" s="14">
        <v>4</v>
      </c>
      <c r="S736" s="15">
        <v>872</v>
      </c>
      <c r="T736" s="8">
        <v>872</v>
      </c>
      <c r="U736" s="16">
        <v>45017</v>
      </c>
      <c r="V736" s="17">
        <v>1</v>
      </c>
      <c r="W736" s="16">
        <v>45382</v>
      </c>
      <c r="X736" s="14">
        <v>192</v>
      </c>
      <c r="Y736" s="18">
        <f t="shared" si="376"/>
        <v>192</v>
      </c>
      <c r="Z736" s="18">
        <f t="shared" si="396"/>
        <v>1</v>
      </c>
      <c r="AA736" s="18" t="s">
        <v>36</v>
      </c>
      <c r="AB736" s="26">
        <v>25</v>
      </c>
      <c r="AC736" s="26"/>
      <c r="AD736" s="26"/>
      <c r="AE736" s="147" t="str">
        <f t="shared" si="392"/>
        <v>1</v>
      </c>
      <c r="AF736" s="147" t="str">
        <f t="shared" si="393"/>
        <v>0</v>
      </c>
      <c r="AG736" s="147" t="str">
        <f t="shared" si="394"/>
        <v>0</v>
      </c>
      <c r="AH736" s="147" t="str">
        <f t="shared" si="388"/>
        <v>NO</v>
      </c>
      <c r="AI736" s="147" t="str">
        <f t="shared" si="389"/>
        <v>NO</v>
      </c>
      <c r="AJ736" s="147" t="str">
        <f t="shared" si="390"/>
        <v>NO</v>
      </c>
      <c r="AK736" s="147" t="str">
        <f t="shared" si="391"/>
        <v>NO</v>
      </c>
      <c r="AL736" s="21"/>
      <c r="AM736" s="21">
        <f>IF(H736="Y",AL736,((AB736*$O$902)-6000))</f>
        <v>5819.25</v>
      </c>
      <c r="AN736" s="27"/>
      <c r="AO736" s="21">
        <v>1</v>
      </c>
      <c r="AP736" s="21">
        <f t="shared" si="397"/>
        <v>1</v>
      </c>
      <c r="AQ736" s="149">
        <f t="shared" si="380"/>
        <v>5819.25</v>
      </c>
      <c r="AR736" s="21">
        <v>5819.25</v>
      </c>
      <c r="AS736" s="610">
        <v>5819.25</v>
      </c>
      <c r="AT736" s="112">
        <v>5819.25</v>
      </c>
      <c r="AU736" s="4"/>
      <c r="AV736" s="4"/>
      <c r="AW736" s="23" t="e">
        <f>VLOOKUP(K736,#REF!,8,FALSE)</f>
        <v>#REF!</v>
      </c>
      <c r="AX736" s="23" t="e">
        <f>VLOOKUP(K736,#REF!,8,FALSE)</f>
        <v>#REF!</v>
      </c>
      <c r="AY736" s="23" t="e">
        <f>VLOOKUP(K736,#REF!,8,FALSE)</f>
        <v>#REF!</v>
      </c>
      <c r="AZ736" s="4"/>
      <c r="BA736" s="272"/>
      <c r="BB736" s="318">
        <f t="shared" ref="BB736:BB799" si="398">BC736-AT736</f>
        <v>0</v>
      </c>
      <c r="BC736" s="269">
        <f t="shared" ref="BC736:BC799" si="399">AR736</f>
        <v>5819.25</v>
      </c>
      <c r="BD736" t="str">
        <f t="shared" si="395"/>
        <v/>
      </c>
      <c r="BP736" s="166">
        <f t="shared" si="386"/>
        <v>5819.25</v>
      </c>
      <c r="BS736" s="165"/>
      <c r="BX736" s="495">
        <f t="shared" si="381"/>
        <v>5819.25</v>
      </c>
      <c r="BZ736" s="636">
        <f t="shared" si="382"/>
        <v>0</v>
      </c>
      <c r="CA736" s="633">
        <f t="shared" si="383"/>
        <v>0</v>
      </c>
    </row>
    <row r="737" spans="1:79" x14ac:dyDescent="0.2">
      <c r="A737" s="4">
        <v>1</v>
      </c>
      <c r="B737" s="4">
        <v>1</v>
      </c>
      <c r="C737" s="5">
        <f t="shared" si="384"/>
        <v>41139</v>
      </c>
      <c r="D737" s="6">
        <v>41139</v>
      </c>
      <c r="E737" s="6">
        <v>43011</v>
      </c>
      <c r="F737" s="6" t="s">
        <v>1606</v>
      </c>
      <c r="G737" s="7"/>
      <c r="H737" s="7"/>
      <c r="I737" s="7" t="s">
        <v>32</v>
      </c>
      <c r="J737" s="7"/>
      <c r="K737" s="29">
        <v>434437</v>
      </c>
      <c r="L737" s="10" t="s">
        <v>1567</v>
      </c>
      <c r="M737" s="10" t="s">
        <v>1573</v>
      </c>
      <c r="N737" s="10" t="s">
        <v>1574</v>
      </c>
      <c r="O737" s="11" t="s">
        <v>1575</v>
      </c>
      <c r="P737" s="12">
        <v>42721</v>
      </c>
      <c r="Q737" s="13">
        <f t="shared" ca="1" si="387"/>
        <v>8.7638603696098567</v>
      </c>
      <c r="R737" s="14">
        <v>1</v>
      </c>
      <c r="S737" s="15">
        <v>872</v>
      </c>
      <c r="T737" s="8">
        <v>872</v>
      </c>
      <c r="U737" s="16">
        <v>45017</v>
      </c>
      <c r="V737" s="17">
        <v>1</v>
      </c>
      <c r="W737" s="16">
        <v>45382</v>
      </c>
      <c r="X737" s="14">
        <v>192</v>
      </c>
      <c r="Y737" s="18">
        <f t="shared" si="376"/>
        <v>192</v>
      </c>
      <c r="Z737" s="18">
        <f t="shared" si="396"/>
        <v>1</v>
      </c>
      <c r="AA737" s="18" t="s">
        <v>36</v>
      </c>
      <c r="AB737" s="26" t="s">
        <v>1576</v>
      </c>
      <c r="AC737" s="26"/>
      <c r="AD737" s="26"/>
      <c r="AE737" s="147" t="str">
        <f t="shared" si="392"/>
        <v>0</v>
      </c>
      <c r="AF737" s="147" t="str">
        <f t="shared" si="393"/>
        <v>0</v>
      </c>
      <c r="AG737" s="147" t="str">
        <f t="shared" si="394"/>
        <v>1</v>
      </c>
      <c r="AH737" s="147" t="str">
        <f t="shared" si="388"/>
        <v>NO</v>
      </c>
      <c r="AI737" s="147" t="str">
        <f t="shared" si="389"/>
        <v>NO</v>
      </c>
      <c r="AJ737" s="147" t="str">
        <f t="shared" si="390"/>
        <v>NO</v>
      </c>
      <c r="AK737" s="147" t="str">
        <f t="shared" si="391"/>
        <v>NO</v>
      </c>
      <c r="AL737" s="21"/>
      <c r="AM737" s="21">
        <f>31.75*472.77-6000</f>
        <v>9010.4475000000002</v>
      </c>
      <c r="AN737" s="27" t="s">
        <v>56</v>
      </c>
      <c r="AO737" s="21">
        <v>1</v>
      </c>
      <c r="AP737" s="21">
        <f t="shared" si="397"/>
        <v>1</v>
      </c>
      <c r="AQ737" s="149">
        <f t="shared" si="380"/>
        <v>9010.4475000000002</v>
      </c>
      <c r="AR737" s="21">
        <v>9010.4475000000002</v>
      </c>
      <c r="AS737" s="610">
        <v>9010.4475000000002</v>
      </c>
      <c r="AT737" s="112">
        <v>9010.4475000000002</v>
      </c>
      <c r="AU737" s="4"/>
      <c r="AV737" s="4"/>
      <c r="AW737" s="23" t="e">
        <f>VLOOKUP(K737,#REF!,8,FALSE)</f>
        <v>#REF!</v>
      </c>
      <c r="AX737" s="23" t="e">
        <f>VLOOKUP(K737,#REF!,8,FALSE)</f>
        <v>#REF!</v>
      </c>
      <c r="AY737" s="23" t="e">
        <f>VLOOKUP(K737,#REF!,8,FALSE)</f>
        <v>#REF!</v>
      </c>
      <c r="AZ737" s="4"/>
      <c r="BA737" s="272"/>
      <c r="BB737" s="318">
        <f t="shared" si="398"/>
        <v>0</v>
      </c>
      <c r="BC737" s="269">
        <f t="shared" si="399"/>
        <v>9010.4475000000002</v>
      </c>
      <c r="BD737" t="str">
        <f t="shared" si="395"/>
        <v/>
      </c>
      <c r="BP737" s="166">
        <f t="shared" si="386"/>
        <v>9010.4475000000002</v>
      </c>
      <c r="BS737" s="165"/>
      <c r="BX737" s="495">
        <f t="shared" si="381"/>
        <v>9010.4475000000002</v>
      </c>
      <c r="BZ737" s="636">
        <f t="shared" si="382"/>
        <v>0</v>
      </c>
      <c r="CA737" s="633">
        <f t="shared" si="383"/>
        <v>0</v>
      </c>
    </row>
    <row r="738" spans="1:79" x14ac:dyDescent="0.2">
      <c r="A738" s="4">
        <v>1</v>
      </c>
      <c r="B738" s="4">
        <v>1</v>
      </c>
      <c r="C738" s="5">
        <f t="shared" si="384"/>
        <v>41139</v>
      </c>
      <c r="D738" s="6">
        <v>41139</v>
      </c>
      <c r="E738" s="6">
        <v>43011</v>
      </c>
      <c r="F738" s="6" t="s">
        <v>1606</v>
      </c>
      <c r="G738" s="7"/>
      <c r="H738" s="7"/>
      <c r="I738" s="7" t="s">
        <v>32</v>
      </c>
      <c r="J738" s="7"/>
      <c r="K738" s="29">
        <v>430009</v>
      </c>
      <c r="L738" s="10" t="s">
        <v>1567</v>
      </c>
      <c r="M738" s="10" t="s">
        <v>704</v>
      </c>
      <c r="N738" s="10" t="s">
        <v>1577</v>
      </c>
      <c r="O738" s="11" t="s">
        <v>1578</v>
      </c>
      <c r="P738" s="12">
        <v>42577</v>
      </c>
      <c r="Q738" s="13">
        <f t="shared" ca="1" si="387"/>
        <v>9.158110882956878</v>
      </c>
      <c r="R738" s="14">
        <v>2</v>
      </c>
      <c r="S738" s="15">
        <v>872</v>
      </c>
      <c r="T738" s="8">
        <v>872</v>
      </c>
      <c r="U738" s="16">
        <v>45017</v>
      </c>
      <c r="V738" s="17">
        <v>1</v>
      </c>
      <c r="W738" s="16">
        <v>45382</v>
      </c>
      <c r="X738" s="14">
        <v>192</v>
      </c>
      <c r="Y738" s="18">
        <f t="shared" si="376"/>
        <v>192</v>
      </c>
      <c r="Z738" s="18">
        <f t="shared" si="396"/>
        <v>1</v>
      </c>
      <c r="AA738" s="18" t="s">
        <v>36</v>
      </c>
      <c r="AB738" s="26">
        <v>25</v>
      </c>
      <c r="AC738" s="26"/>
      <c r="AD738" s="26"/>
      <c r="AE738" s="147" t="str">
        <f t="shared" si="392"/>
        <v>1</v>
      </c>
      <c r="AF738" s="147" t="str">
        <f t="shared" si="393"/>
        <v>0</v>
      </c>
      <c r="AG738" s="147" t="str">
        <f t="shared" si="394"/>
        <v>0</v>
      </c>
      <c r="AH738" s="147" t="str">
        <f t="shared" si="388"/>
        <v>NO</v>
      </c>
      <c r="AI738" s="147" t="str">
        <f t="shared" si="389"/>
        <v>NO</v>
      </c>
      <c r="AJ738" s="147" t="str">
        <f t="shared" si="390"/>
        <v>NO</v>
      </c>
      <c r="AK738" s="147" t="str">
        <f t="shared" si="391"/>
        <v>NO</v>
      </c>
      <c r="AL738" s="21"/>
      <c r="AM738" s="21">
        <f t="shared" ref="AM738:AM744" si="400">IF(H738="Y",AL738,((AB738*$O$902)-6000))</f>
        <v>5819.25</v>
      </c>
      <c r="AN738" s="27" t="s">
        <v>37</v>
      </c>
      <c r="AO738" s="21">
        <v>1</v>
      </c>
      <c r="AP738" s="21">
        <f t="shared" si="397"/>
        <v>1</v>
      </c>
      <c r="AQ738" s="149">
        <f t="shared" si="380"/>
        <v>5819.25</v>
      </c>
      <c r="AR738" s="21">
        <v>5819.25</v>
      </c>
      <c r="AS738" s="610">
        <v>5819.25</v>
      </c>
      <c r="AT738" s="112">
        <v>5819.25</v>
      </c>
      <c r="AU738" s="4"/>
      <c r="AV738" s="4"/>
      <c r="AW738" s="23" t="e">
        <f>VLOOKUP(K738,#REF!,8,FALSE)</f>
        <v>#REF!</v>
      </c>
      <c r="AX738" s="23" t="e">
        <f>VLOOKUP(K738,#REF!,8,FALSE)</f>
        <v>#REF!</v>
      </c>
      <c r="AY738" s="23" t="e">
        <f>VLOOKUP(K738,#REF!,8,FALSE)</f>
        <v>#REF!</v>
      </c>
      <c r="AZ738" s="4"/>
      <c r="BA738" s="272"/>
      <c r="BB738" s="318">
        <f t="shared" si="398"/>
        <v>0</v>
      </c>
      <c r="BC738" s="269">
        <f t="shared" si="399"/>
        <v>5819.25</v>
      </c>
      <c r="BD738" t="str">
        <f t="shared" si="395"/>
        <v/>
      </c>
      <c r="BP738" s="166">
        <f t="shared" si="386"/>
        <v>5819.25</v>
      </c>
      <c r="BS738" s="165"/>
      <c r="BX738" s="495">
        <f t="shared" si="381"/>
        <v>5819.25</v>
      </c>
      <c r="BZ738" s="636">
        <f t="shared" si="382"/>
        <v>0</v>
      </c>
      <c r="CA738" s="633">
        <f t="shared" si="383"/>
        <v>0</v>
      </c>
    </row>
    <row r="739" spans="1:79" x14ac:dyDescent="0.2">
      <c r="A739" s="4">
        <v>1</v>
      </c>
      <c r="B739" s="4">
        <v>1</v>
      </c>
      <c r="C739" s="5">
        <f t="shared" si="384"/>
        <v>41139</v>
      </c>
      <c r="D739" s="6">
        <v>41139</v>
      </c>
      <c r="E739" s="6">
        <v>43011</v>
      </c>
      <c r="F739" s="6" t="s">
        <v>1606</v>
      </c>
      <c r="G739" s="7"/>
      <c r="H739" s="7"/>
      <c r="I739" s="7" t="s">
        <v>32</v>
      </c>
      <c r="J739" s="7"/>
      <c r="K739" s="29">
        <v>406158</v>
      </c>
      <c r="L739" s="10" t="s">
        <v>1567</v>
      </c>
      <c r="M739" s="10" t="s">
        <v>1579</v>
      </c>
      <c r="N739" s="10" t="s">
        <v>285</v>
      </c>
      <c r="O739" s="11" t="s">
        <v>1580</v>
      </c>
      <c r="P739" s="12">
        <v>41412</v>
      </c>
      <c r="Q739" s="13">
        <f t="shared" ca="1" si="387"/>
        <v>12.347707049965777</v>
      </c>
      <c r="R739" s="14">
        <v>5</v>
      </c>
      <c r="S739" s="15">
        <v>872</v>
      </c>
      <c r="T739" s="8">
        <v>872</v>
      </c>
      <c r="U739" s="16">
        <v>45017</v>
      </c>
      <c r="V739" s="17">
        <v>1</v>
      </c>
      <c r="W739" s="16">
        <v>45382</v>
      </c>
      <c r="X739" s="14">
        <v>192</v>
      </c>
      <c r="Y739" s="18">
        <f t="shared" si="376"/>
        <v>192</v>
      </c>
      <c r="Z739" s="18">
        <f t="shared" si="396"/>
        <v>1</v>
      </c>
      <c r="AA739" s="18" t="s">
        <v>36</v>
      </c>
      <c r="AB739" s="26">
        <v>25</v>
      </c>
      <c r="AC739" s="26"/>
      <c r="AD739" s="26"/>
      <c r="AE739" s="147" t="str">
        <f t="shared" si="392"/>
        <v>1</v>
      </c>
      <c r="AF739" s="147" t="str">
        <f t="shared" si="393"/>
        <v>0</v>
      </c>
      <c r="AG739" s="147" t="str">
        <f t="shared" si="394"/>
        <v>0</v>
      </c>
      <c r="AH739" s="147" t="str">
        <f t="shared" si="388"/>
        <v>NO</v>
      </c>
      <c r="AI739" s="147" t="str">
        <f t="shared" si="389"/>
        <v>NO</v>
      </c>
      <c r="AJ739" s="147" t="str">
        <f t="shared" si="390"/>
        <v>NO</v>
      </c>
      <c r="AK739" s="147" t="str">
        <f t="shared" si="391"/>
        <v>NO</v>
      </c>
      <c r="AL739" s="21"/>
      <c r="AM739" s="21">
        <f t="shared" si="400"/>
        <v>5819.25</v>
      </c>
      <c r="AN739" s="27" t="s">
        <v>56</v>
      </c>
      <c r="AO739" s="21">
        <v>1</v>
      </c>
      <c r="AP739" s="21">
        <f t="shared" si="397"/>
        <v>1</v>
      </c>
      <c r="AQ739" s="149">
        <f t="shared" si="380"/>
        <v>5819.25</v>
      </c>
      <c r="AR739" s="21">
        <v>5819.25</v>
      </c>
      <c r="AS739" s="610">
        <v>5819.25</v>
      </c>
      <c r="AT739" s="112">
        <v>5819.25</v>
      </c>
      <c r="AU739" s="4"/>
      <c r="AV739" s="4"/>
      <c r="AW739" s="23" t="e">
        <f>VLOOKUP(K739,#REF!,8,FALSE)</f>
        <v>#REF!</v>
      </c>
      <c r="AX739" s="23" t="e">
        <f>VLOOKUP(K739,#REF!,8,FALSE)</f>
        <v>#REF!</v>
      </c>
      <c r="AY739" s="23" t="e">
        <f>VLOOKUP(K739,#REF!,8,FALSE)</f>
        <v>#REF!</v>
      </c>
      <c r="AZ739" s="4"/>
      <c r="BA739" s="272"/>
      <c r="BB739" s="318">
        <f t="shared" si="398"/>
        <v>0</v>
      </c>
      <c r="BC739" s="269">
        <f t="shared" si="399"/>
        <v>5819.25</v>
      </c>
      <c r="BD739" t="str">
        <f t="shared" si="395"/>
        <v/>
      </c>
      <c r="BP739" s="166">
        <f t="shared" si="386"/>
        <v>5819.25</v>
      </c>
      <c r="BS739" s="165"/>
      <c r="BX739" s="495">
        <f t="shared" si="381"/>
        <v>5819.25</v>
      </c>
      <c r="BZ739" s="636">
        <f t="shared" si="382"/>
        <v>0</v>
      </c>
      <c r="CA739" s="633">
        <f t="shared" si="383"/>
        <v>0</v>
      </c>
    </row>
    <row r="740" spans="1:79" x14ac:dyDescent="0.2">
      <c r="A740" s="4">
        <v>1</v>
      </c>
      <c r="B740" s="4">
        <v>1</v>
      </c>
      <c r="C740" s="5">
        <f t="shared" si="384"/>
        <v>41139</v>
      </c>
      <c r="D740" s="6">
        <v>41139</v>
      </c>
      <c r="E740" s="6">
        <v>43011</v>
      </c>
      <c r="F740" s="6" t="s">
        <v>1606</v>
      </c>
      <c r="G740" s="7"/>
      <c r="H740" s="7"/>
      <c r="I740" s="7" t="s">
        <v>32</v>
      </c>
      <c r="J740" s="7"/>
      <c r="K740" s="29">
        <v>441883</v>
      </c>
      <c r="L740" s="10" t="s">
        <v>1567</v>
      </c>
      <c r="M740" s="10" t="s">
        <v>1581</v>
      </c>
      <c r="N740" s="10" t="s">
        <v>1582</v>
      </c>
      <c r="O740" s="11" t="s">
        <v>1583</v>
      </c>
      <c r="P740" s="12">
        <v>43038</v>
      </c>
      <c r="Q740" s="13">
        <f t="shared" ca="1" si="387"/>
        <v>7.8959616700889805</v>
      </c>
      <c r="R740" s="14">
        <v>0</v>
      </c>
      <c r="S740" s="15">
        <v>872</v>
      </c>
      <c r="T740" s="8">
        <v>872</v>
      </c>
      <c r="U740" s="16">
        <v>45017</v>
      </c>
      <c r="V740" s="17">
        <v>1</v>
      </c>
      <c r="W740" s="16">
        <v>45382</v>
      </c>
      <c r="X740" s="14">
        <v>192</v>
      </c>
      <c r="Y740" s="18">
        <f t="shared" si="376"/>
        <v>192</v>
      </c>
      <c r="Z740" s="18">
        <f t="shared" si="396"/>
        <v>1</v>
      </c>
      <c r="AA740" s="18" t="s">
        <v>36</v>
      </c>
      <c r="AB740" s="26">
        <v>30</v>
      </c>
      <c r="AC740" s="26"/>
      <c r="AD740" s="26"/>
      <c r="AE740" s="147" t="str">
        <f t="shared" si="392"/>
        <v>0</v>
      </c>
      <c r="AF740" s="147" t="str">
        <f t="shared" si="393"/>
        <v>1</v>
      </c>
      <c r="AG740" s="147" t="str">
        <f t="shared" si="394"/>
        <v>0</v>
      </c>
      <c r="AH740" s="147" t="str">
        <f t="shared" si="388"/>
        <v>NO</v>
      </c>
      <c r="AI740" s="147" t="str">
        <f t="shared" si="389"/>
        <v>NO</v>
      </c>
      <c r="AJ740" s="147" t="str">
        <f t="shared" si="390"/>
        <v>NO</v>
      </c>
      <c r="AK740" s="147" t="str">
        <f t="shared" si="391"/>
        <v>NO</v>
      </c>
      <c r="AL740" s="21"/>
      <c r="AM740" s="21">
        <f t="shared" si="400"/>
        <v>8183.0999999999985</v>
      </c>
      <c r="AN740" s="27"/>
      <c r="AO740" s="21">
        <v>1</v>
      </c>
      <c r="AP740" s="21">
        <f t="shared" si="397"/>
        <v>1</v>
      </c>
      <c r="AQ740" s="149">
        <f t="shared" si="380"/>
        <v>8183.0999999999985</v>
      </c>
      <c r="AR740" s="21">
        <v>8183.0999999999985</v>
      </c>
      <c r="AS740" s="610">
        <v>8183.0999999999985</v>
      </c>
      <c r="AT740" s="112">
        <v>8183.0999999999985</v>
      </c>
      <c r="AU740" s="4"/>
      <c r="AV740" s="4"/>
      <c r="AW740" s="23" t="e">
        <f>VLOOKUP(K740,#REF!,8,FALSE)</f>
        <v>#REF!</v>
      </c>
      <c r="AX740" s="23" t="e">
        <f>VLOOKUP(K740,#REF!,8,FALSE)</f>
        <v>#REF!</v>
      </c>
      <c r="AY740" s="23" t="e">
        <f>VLOOKUP(K740,#REF!,8,FALSE)</f>
        <v>#REF!</v>
      </c>
      <c r="AZ740" s="4"/>
      <c r="BA740" s="272"/>
      <c r="BB740" s="318">
        <f t="shared" si="398"/>
        <v>0</v>
      </c>
      <c r="BC740" s="269">
        <f t="shared" si="399"/>
        <v>8183.0999999999985</v>
      </c>
      <c r="BD740" t="str">
        <f t="shared" si="395"/>
        <v/>
      </c>
      <c r="BP740" s="166">
        <f t="shared" si="386"/>
        <v>8183.0999999999985</v>
      </c>
      <c r="BS740" s="165"/>
      <c r="BX740" s="495">
        <f t="shared" si="381"/>
        <v>8183.0999999999985</v>
      </c>
      <c r="BZ740" s="636">
        <f t="shared" si="382"/>
        <v>0</v>
      </c>
      <c r="CA740" s="633">
        <f t="shared" si="383"/>
        <v>0</v>
      </c>
    </row>
    <row r="741" spans="1:79" x14ac:dyDescent="0.2">
      <c r="A741" s="4">
        <v>1</v>
      </c>
      <c r="B741" s="4">
        <v>1</v>
      </c>
      <c r="C741" s="5">
        <f t="shared" si="384"/>
        <v>41139</v>
      </c>
      <c r="D741" s="6">
        <v>41139</v>
      </c>
      <c r="E741" s="6">
        <v>43011</v>
      </c>
      <c r="F741" s="6" t="s">
        <v>1606</v>
      </c>
      <c r="G741" s="7"/>
      <c r="H741" s="7"/>
      <c r="I741" s="7" t="s">
        <v>32</v>
      </c>
      <c r="J741" s="7"/>
      <c r="K741" s="29">
        <v>414249</v>
      </c>
      <c r="L741" s="10" t="s">
        <v>1567</v>
      </c>
      <c r="M741" s="10" t="s">
        <v>1584</v>
      </c>
      <c r="N741" s="10" t="s">
        <v>1585</v>
      </c>
      <c r="O741" s="11" t="s">
        <v>1586</v>
      </c>
      <c r="P741" s="12">
        <v>41969</v>
      </c>
      <c r="Q741" s="13">
        <f t="shared" ca="1" si="387"/>
        <v>10.822724161533197</v>
      </c>
      <c r="R741" s="14">
        <v>3</v>
      </c>
      <c r="S741" s="15">
        <v>872</v>
      </c>
      <c r="T741" s="8">
        <v>872</v>
      </c>
      <c r="U741" s="16">
        <v>45017</v>
      </c>
      <c r="V741" s="17">
        <v>1</v>
      </c>
      <c r="W741" s="16">
        <v>45382</v>
      </c>
      <c r="X741" s="14">
        <v>192</v>
      </c>
      <c r="Y741" s="18">
        <f t="shared" si="376"/>
        <v>192</v>
      </c>
      <c r="Z741" s="18">
        <f t="shared" si="396"/>
        <v>1</v>
      </c>
      <c r="AA741" s="18" t="s">
        <v>36</v>
      </c>
      <c r="AB741" s="26">
        <v>22</v>
      </c>
      <c r="AC741" s="26"/>
      <c r="AD741" s="26"/>
      <c r="AE741" s="147" t="str">
        <f t="shared" si="392"/>
        <v>1</v>
      </c>
      <c r="AF741" s="147" t="str">
        <f t="shared" si="393"/>
        <v>0</v>
      </c>
      <c r="AG741" s="147" t="str">
        <f t="shared" si="394"/>
        <v>0</v>
      </c>
      <c r="AH741" s="147" t="str">
        <f t="shared" si="388"/>
        <v>NO</v>
      </c>
      <c r="AI741" s="147" t="str">
        <f t="shared" si="389"/>
        <v>NO</v>
      </c>
      <c r="AJ741" s="147" t="str">
        <f t="shared" si="390"/>
        <v>NO</v>
      </c>
      <c r="AK741" s="147" t="str">
        <f t="shared" si="391"/>
        <v>NO</v>
      </c>
      <c r="AL741" s="21"/>
      <c r="AM741" s="21">
        <f t="shared" si="400"/>
        <v>4400.9399999999987</v>
      </c>
      <c r="AN741" s="27" t="s">
        <v>37</v>
      </c>
      <c r="AO741" s="21">
        <v>1</v>
      </c>
      <c r="AP741" s="21">
        <f t="shared" si="397"/>
        <v>1</v>
      </c>
      <c r="AQ741" s="149">
        <f t="shared" si="380"/>
        <v>4400.9399999999987</v>
      </c>
      <c r="AR741" s="21">
        <v>4400.9399999999987</v>
      </c>
      <c r="AS741" s="610">
        <v>4400.9399999999987</v>
      </c>
      <c r="AT741" s="112">
        <v>4400.9399999999987</v>
      </c>
      <c r="AU741" s="4"/>
      <c r="AV741" s="4"/>
      <c r="AW741" s="23" t="e">
        <f>VLOOKUP(K741,#REF!,8,FALSE)</f>
        <v>#REF!</v>
      </c>
      <c r="AX741" s="23" t="e">
        <f>VLOOKUP(K741,#REF!,8,FALSE)</f>
        <v>#REF!</v>
      </c>
      <c r="AY741" s="23" t="e">
        <f>VLOOKUP(K741,#REF!,8,FALSE)</f>
        <v>#REF!</v>
      </c>
      <c r="AZ741" s="4"/>
      <c r="BA741" s="272"/>
      <c r="BB741" s="318">
        <f t="shared" si="398"/>
        <v>0</v>
      </c>
      <c r="BC741" s="269">
        <f t="shared" si="399"/>
        <v>4400.9399999999987</v>
      </c>
      <c r="BD741" t="str">
        <f t="shared" si="395"/>
        <v/>
      </c>
      <c r="BP741" s="166">
        <f t="shared" si="386"/>
        <v>4400.9399999999987</v>
      </c>
      <c r="BS741" s="165"/>
      <c r="BX741" s="495">
        <f t="shared" si="381"/>
        <v>4400.9399999999987</v>
      </c>
      <c r="BZ741" s="636">
        <f t="shared" si="382"/>
        <v>0</v>
      </c>
      <c r="CA741" s="633">
        <f t="shared" si="383"/>
        <v>0</v>
      </c>
    </row>
    <row r="742" spans="1:79" x14ac:dyDescent="0.2">
      <c r="A742" s="4">
        <v>1</v>
      </c>
      <c r="B742" s="4">
        <v>1</v>
      </c>
      <c r="C742" s="5">
        <f t="shared" si="384"/>
        <v>41139</v>
      </c>
      <c r="D742" s="6">
        <v>41139</v>
      </c>
      <c r="E742" s="6">
        <v>43011</v>
      </c>
      <c r="F742" s="6" t="s">
        <v>1606</v>
      </c>
      <c r="G742" s="7"/>
      <c r="H742" s="7"/>
      <c r="I742" s="7" t="s">
        <v>32</v>
      </c>
      <c r="J742" s="7"/>
      <c r="K742" s="29">
        <v>414250</v>
      </c>
      <c r="L742" s="10" t="s">
        <v>1567</v>
      </c>
      <c r="M742" s="10" t="s">
        <v>286</v>
      </c>
      <c r="N742" s="10" t="s">
        <v>1585</v>
      </c>
      <c r="O742" s="11" t="s">
        <v>1587</v>
      </c>
      <c r="P742" s="12">
        <v>41969</v>
      </c>
      <c r="Q742" s="13">
        <f t="shared" ca="1" si="387"/>
        <v>10.822724161533197</v>
      </c>
      <c r="R742" s="14">
        <v>3</v>
      </c>
      <c r="S742" s="15">
        <v>872</v>
      </c>
      <c r="T742" s="8">
        <v>872</v>
      </c>
      <c r="U742" s="16">
        <v>45017</v>
      </c>
      <c r="V742" s="17">
        <v>1</v>
      </c>
      <c r="W742" s="16">
        <v>45382</v>
      </c>
      <c r="X742" s="14">
        <v>192</v>
      </c>
      <c r="Y742" s="18">
        <f t="shared" si="376"/>
        <v>192</v>
      </c>
      <c r="Z742" s="18">
        <f t="shared" si="396"/>
        <v>1</v>
      </c>
      <c r="AA742" s="18" t="s">
        <v>36</v>
      </c>
      <c r="AB742" s="26">
        <v>23</v>
      </c>
      <c r="AC742" s="26"/>
      <c r="AD742" s="26"/>
      <c r="AE742" s="147" t="str">
        <f t="shared" si="392"/>
        <v>1</v>
      </c>
      <c r="AF742" s="147" t="str">
        <f t="shared" si="393"/>
        <v>0</v>
      </c>
      <c r="AG742" s="147" t="str">
        <f t="shared" si="394"/>
        <v>0</v>
      </c>
      <c r="AH742" s="147" t="str">
        <f t="shared" si="388"/>
        <v>NO</v>
      </c>
      <c r="AI742" s="147" t="str">
        <f t="shared" si="389"/>
        <v>NO</v>
      </c>
      <c r="AJ742" s="147" t="str">
        <f t="shared" si="390"/>
        <v>NO</v>
      </c>
      <c r="AK742" s="147" t="str">
        <f t="shared" si="391"/>
        <v>NO</v>
      </c>
      <c r="AL742" s="21"/>
      <c r="AM742" s="21">
        <f t="shared" si="400"/>
        <v>4873.7099999999991</v>
      </c>
      <c r="AN742" s="27" t="s">
        <v>37</v>
      </c>
      <c r="AO742" s="21">
        <v>1</v>
      </c>
      <c r="AP742" s="21">
        <f t="shared" si="397"/>
        <v>1</v>
      </c>
      <c r="AQ742" s="149">
        <f t="shared" si="380"/>
        <v>4873.7099999999991</v>
      </c>
      <c r="AR742" s="21">
        <v>4873.7099999999991</v>
      </c>
      <c r="AS742" s="610">
        <v>4873.7099999999991</v>
      </c>
      <c r="AT742" s="112">
        <v>4873.7099999999991</v>
      </c>
      <c r="AU742" s="4"/>
      <c r="AV742" s="4"/>
      <c r="AW742" s="23" t="e">
        <f>VLOOKUP(K742,#REF!,8,FALSE)</f>
        <v>#REF!</v>
      </c>
      <c r="AX742" s="23" t="e">
        <f>VLOOKUP(K742,#REF!,8,FALSE)</f>
        <v>#REF!</v>
      </c>
      <c r="AY742" s="23" t="e">
        <f>VLOOKUP(K742,#REF!,8,FALSE)</f>
        <v>#REF!</v>
      </c>
      <c r="AZ742" s="4"/>
      <c r="BA742" s="272"/>
      <c r="BB742" s="318">
        <f t="shared" si="398"/>
        <v>0</v>
      </c>
      <c r="BC742" s="269">
        <f t="shared" si="399"/>
        <v>4873.7099999999991</v>
      </c>
      <c r="BD742" t="str">
        <f t="shared" si="395"/>
        <v/>
      </c>
      <c r="BP742" s="166">
        <f t="shared" si="386"/>
        <v>4873.7099999999991</v>
      </c>
      <c r="BS742" s="165"/>
      <c r="BX742" s="495">
        <f t="shared" si="381"/>
        <v>4873.7099999999991</v>
      </c>
      <c r="BZ742" s="636">
        <f t="shared" si="382"/>
        <v>0</v>
      </c>
      <c r="CA742" s="633">
        <f t="shared" si="383"/>
        <v>0</v>
      </c>
    </row>
    <row r="743" spans="1:79" x14ac:dyDescent="0.2">
      <c r="A743" s="4">
        <v>1</v>
      </c>
      <c r="B743" s="4">
        <v>1</v>
      </c>
      <c r="C743" s="5">
        <f t="shared" si="384"/>
        <v>41139</v>
      </c>
      <c r="D743" s="6">
        <v>41139</v>
      </c>
      <c r="E743" s="6">
        <v>43011</v>
      </c>
      <c r="F743" s="6" t="s">
        <v>1606</v>
      </c>
      <c r="G743" s="7"/>
      <c r="H743" s="7"/>
      <c r="I743" s="7" t="s">
        <v>32</v>
      </c>
      <c r="J743" s="7"/>
      <c r="K743" s="35">
        <v>435152</v>
      </c>
      <c r="L743" s="10" t="s">
        <v>1567</v>
      </c>
      <c r="M743" s="10" t="s">
        <v>777</v>
      </c>
      <c r="N743" s="10" t="s">
        <v>1588</v>
      </c>
      <c r="O743" s="11" t="s">
        <v>1589</v>
      </c>
      <c r="P743" s="12">
        <v>42805</v>
      </c>
      <c r="Q743" s="13">
        <f t="shared" ca="1" si="387"/>
        <v>8.5338809034907595</v>
      </c>
      <c r="R743" s="14">
        <v>1</v>
      </c>
      <c r="S743" s="15">
        <v>872</v>
      </c>
      <c r="T743" s="8">
        <v>872</v>
      </c>
      <c r="U743" s="16">
        <v>45017</v>
      </c>
      <c r="V743" s="17">
        <v>1</v>
      </c>
      <c r="W743" s="16">
        <v>45382</v>
      </c>
      <c r="X743" s="14">
        <v>192</v>
      </c>
      <c r="Y743" s="18">
        <f t="shared" si="376"/>
        <v>192</v>
      </c>
      <c r="Z743" s="18">
        <f t="shared" si="396"/>
        <v>1</v>
      </c>
      <c r="AA743" s="18" t="s">
        <v>36</v>
      </c>
      <c r="AB743" s="26">
        <v>25</v>
      </c>
      <c r="AC743" s="26"/>
      <c r="AD743" s="26"/>
      <c r="AE743" s="147" t="str">
        <f t="shared" si="392"/>
        <v>1</v>
      </c>
      <c r="AF743" s="147" t="str">
        <f t="shared" si="393"/>
        <v>0</v>
      </c>
      <c r="AG743" s="147" t="str">
        <f t="shared" si="394"/>
        <v>0</v>
      </c>
      <c r="AH743" s="147" t="str">
        <f t="shared" si="388"/>
        <v>NO</v>
      </c>
      <c r="AI743" s="147" t="str">
        <f t="shared" si="389"/>
        <v>NO</v>
      </c>
      <c r="AJ743" s="147" t="str">
        <f t="shared" si="390"/>
        <v>NO</v>
      </c>
      <c r="AK743" s="147" t="str">
        <f t="shared" si="391"/>
        <v>NO</v>
      </c>
      <c r="AL743" s="21"/>
      <c r="AM743" s="21">
        <f t="shared" si="400"/>
        <v>5819.25</v>
      </c>
      <c r="AN743" s="27" t="s">
        <v>37</v>
      </c>
      <c r="AO743" s="21">
        <v>1</v>
      </c>
      <c r="AP743" s="21">
        <f t="shared" si="397"/>
        <v>1</v>
      </c>
      <c r="AQ743" s="149">
        <f t="shared" si="380"/>
        <v>5819.25</v>
      </c>
      <c r="AR743" s="21">
        <v>5819.25</v>
      </c>
      <c r="AS743" s="610">
        <v>5819.25</v>
      </c>
      <c r="AT743" s="112">
        <v>5819.25</v>
      </c>
      <c r="AU743" s="4"/>
      <c r="AV743" s="4"/>
      <c r="AW743" s="23" t="e">
        <f>VLOOKUP(K743,#REF!,8,FALSE)</f>
        <v>#REF!</v>
      </c>
      <c r="AX743" s="23" t="e">
        <f>VLOOKUP(K743,#REF!,8,FALSE)</f>
        <v>#REF!</v>
      </c>
      <c r="AY743" s="23" t="e">
        <f>VLOOKUP(K743,#REF!,8,FALSE)</f>
        <v>#REF!</v>
      </c>
      <c r="AZ743" s="4"/>
      <c r="BA743" s="272"/>
      <c r="BB743" s="318">
        <f t="shared" si="398"/>
        <v>0</v>
      </c>
      <c r="BC743" s="269">
        <f t="shared" si="399"/>
        <v>5819.25</v>
      </c>
      <c r="BD743" t="str">
        <f t="shared" si="395"/>
        <v/>
      </c>
      <c r="BP743" s="166">
        <f t="shared" si="386"/>
        <v>5819.25</v>
      </c>
      <c r="BS743" s="165"/>
      <c r="BX743" s="495">
        <f t="shared" si="381"/>
        <v>5819.25</v>
      </c>
      <c r="BZ743" s="636">
        <f t="shared" si="382"/>
        <v>0</v>
      </c>
      <c r="CA743" s="633">
        <f t="shared" si="383"/>
        <v>0</v>
      </c>
    </row>
    <row r="744" spans="1:79" x14ac:dyDescent="0.2">
      <c r="A744" s="4">
        <v>1</v>
      </c>
      <c r="B744" s="4">
        <v>1</v>
      </c>
      <c r="C744" s="5">
        <f t="shared" si="384"/>
        <v>41139</v>
      </c>
      <c r="D744" s="6">
        <v>41139</v>
      </c>
      <c r="E744" s="6">
        <v>43011</v>
      </c>
      <c r="F744" s="6" t="s">
        <v>1606</v>
      </c>
      <c r="G744" s="7"/>
      <c r="H744" s="7"/>
      <c r="I744" s="7" t="s">
        <v>32</v>
      </c>
      <c r="J744" s="7"/>
      <c r="K744" s="35">
        <v>442277</v>
      </c>
      <c r="L744" s="10" t="s">
        <v>1567</v>
      </c>
      <c r="M744" s="10" t="s">
        <v>1590</v>
      </c>
      <c r="N744" s="10" t="s">
        <v>1591</v>
      </c>
      <c r="O744" s="11" t="s">
        <v>1592</v>
      </c>
      <c r="P744" s="12">
        <v>43206</v>
      </c>
      <c r="Q744" s="13">
        <f t="shared" ca="1" si="387"/>
        <v>7.4360027378507869</v>
      </c>
      <c r="R744" s="14">
        <v>0</v>
      </c>
      <c r="S744" s="15">
        <v>872</v>
      </c>
      <c r="T744" s="8">
        <v>872</v>
      </c>
      <c r="U744" s="16">
        <v>45017</v>
      </c>
      <c r="V744" s="17">
        <v>1</v>
      </c>
      <c r="W744" s="16">
        <v>45382</v>
      </c>
      <c r="X744" s="14">
        <v>192</v>
      </c>
      <c r="Y744" s="18">
        <f t="shared" si="376"/>
        <v>192</v>
      </c>
      <c r="Z744" s="18">
        <f t="shared" si="396"/>
        <v>1</v>
      </c>
      <c r="AA744" s="18" t="s">
        <v>36</v>
      </c>
      <c r="AB744" s="26">
        <v>30</v>
      </c>
      <c r="AC744" s="26"/>
      <c r="AD744" s="26"/>
      <c r="AE744" s="147" t="str">
        <f t="shared" si="392"/>
        <v>0</v>
      </c>
      <c r="AF744" s="147" t="str">
        <f t="shared" si="393"/>
        <v>1</v>
      </c>
      <c r="AG744" s="147" t="str">
        <f t="shared" si="394"/>
        <v>0</v>
      </c>
      <c r="AH744" s="147" t="str">
        <f t="shared" si="388"/>
        <v>NO</v>
      </c>
      <c r="AI744" s="147" t="str">
        <f t="shared" si="389"/>
        <v>NO</v>
      </c>
      <c r="AJ744" s="147" t="str">
        <f t="shared" si="390"/>
        <v>NO</v>
      </c>
      <c r="AK744" s="147" t="str">
        <f t="shared" si="391"/>
        <v>NO</v>
      </c>
      <c r="AL744" s="21"/>
      <c r="AM744" s="21">
        <f t="shared" si="400"/>
        <v>8183.0999999999985</v>
      </c>
      <c r="AN744" s="27"/>
      <c r="AO744" s="21">
        <v>1</v>
      </c>
      <c r="AP744" s="21">
        <f t="shared" si="397"/>
        <v>1</v>
      </c>
      <c r="AQ744" s="149">
        <f t="shared" si="380"/>
        <v>8183.0999999999985</v>
      </c>
      <c r="AR744" s="21">
        <v>8183.0999999999985</v>
      </c>
      <c r="AS744" s="610">
        <v>8183.0999999999985</v>
      </c>
      <c r="AT744" s="112">
        <v>8183.0999999999985</v>
      </c>
      <c r="AU744" s="4"/>
      <c r="AV744" s="4"/>
      <c r="AW744" s="23" t="e">
        <f>VLOOKUP(K744,#REF!,8,FALSE)</f>
        <v>#REF!</v>
      </c>
      <c r="AX744" s="23" t="e">
        <f>VLOOKUP(K744,#REF!,8,FALSE)</f>
        <v>#REF!</v>
      </c>
      <c r="AY744" s="23" t="e">
        <f>VLOOKUP(K744,#REF!,8,FALSE)</f>
        <v>#REF!</v>
      </c>
      <c r="AZ744" s="4"/>
      <c r="BA744" s="272"/>
      <c r="BB744" s="318">
        <f t="shared" si="398"/>
        <v>0</v>
      </c>
      <c r="BC744" s="269">
        <f t="shared" si="399"/>
        <v>8183.0999999999985</v>
      </c>
      <c r="BD744" t="str">
        <f t="shared" si="395"/>
        <v/>
      </c>
      <c r="BP744" s="166">
        <f t="shared" ref="BP744:BP775" si="401">BC744+BO744</f>
        <v>8183.0999999999985</v>
      </c>
      <c r="BS744" s="165"/>
      <c r="BX744" s="495">
        <f t="shared" si="381"/>
        <v>8183.0999999999985</v>
      </c>
      <c r="BZ744" s="636">
        <f t="shared" si="382"/>
        <v>0</v>
      </c>
      <c r="CA744" s="633">
        <f t="shared" si="383"/>
        <v>0</v>
      </c>
    </row>
    <row r="745" spans="1:79" x14ac:dyDescent="0.2">
      <c r="A745" s="4">
        <v>0</v>
      </c>
      <c r="B745" s="4">
        <v>1</v>
      </c>
      <c r="C745" s="5">
        <f t="shared" si="384"/>
        <v>41139</v>
      </c>
      <c r="D745" s="6">
        <v>41139</v>
      </c>
      <c r="E745" s="6">
        <v>43011</v>
      </c>
      <c r="F745" s="6" t="s">
        <v>1606</v>
      </c>
      <c r="G745" s="7"/>
      <c r="H745" s="7"/>
      <c r="I745" s="7" t="s">
        <v>32</v>
      </c>
      <c r="J745" s="7"/>
      <c r="K745" s="35">
        <v>442277</v>
      </c>
      <c r="L745" s="10" t="s">
        <v>1567</v>
      </c>
      <c r="M745" s="10" t="s">
        <v>1590</v>
      </c>
      <c r="N745" s="10" t="s">
        <v>1591</v>
      </c>
      <c r="O745" s="11" t="s">
        <v>1592</v>
      </c>
      <c r="P745" s="12">
        <v>43206</v>
      </c>
      <c r="Q745" s="13">
        <f t="shared" ca="1" si="387"/>
        <v>7.4360027378507869</v>
      </c>
      <c r="R745" s="14">
        <v>0</v>
      </c>
      <c r="S745" s="15">
        <v>872</v>
      </c>
      <c r="T745" s="8">
        <v>872</v>
      </c>
      <c r="U745" s="16">
        <v>45110</v>
      </c>
      <c r="V745" s="17">
        <v>49</v>
      </c>
      <c r="W745" s="16">
        <v>45117</v>
      </c>
      <c r="X745" s="14">
        <v>54</v>
      </c>
      <c r="Y745" s="18">
        <f t="shared" si="376"/>
        <v>6</v>
      </c>
      <c r="Z745" s="18">
        <f t="shared" si="396"/>
        <v>3.125E-2</v>
      </c>
      <c r="AA745" s="18" t="s">
        <v>36</v>
      </c>
      <c r="AB745" s="26">
        <v>3420</v>
      </c>
      <c r="AC745" s="26"/>
      <c r="AD745" s="26"/>
      <c r="AE745" s="147">
        <v>1</v>
      </c>
      <c r="AF745" s="147" t="str">
        <f t="shared" si="393"/>
        <v>0</v>
      </c>
      <c r="AG745" s="147">
        <v>0</v>
      </c>
      <c r="AH745" s="147" t="str">
        <f t="shared" si="388"/>
        <v>NO</v>
      </c>
      <c r="AI745" s="147" t="str">
        <f t="shared" si="389"/>
        <v>NO</v>
      </c>
      <c r="AJ745" s="147" t="str">
        <f t="shared" si="390"/>
        <v>NO</v>
      </c>
      <c r="AK745" s="147" t="str">
        <f t="shared" si="391"/>
        <v>NO</v>
      </c>
      <c r="AL745" s="21"/>
      <c r="AM745" s="21">
        <f>AB745</f>
        <v>3420</v>
      </c>
      <c r="AN745" s="27"/>
      <c r="AO745" s="21">
        <v>1</v>
      </c>
      <c r="AP745" s="21">
        <v>1</v>
      </c>
      <c r="AQ745" s="149">
        <f t="shared" si="380"/>
        <v>3420</v>
      </c>
      <c r="AR745" s="21">
        <v>0</v>
      </c>
      <c r="AS745" s="610">
        <v>0</v>
      </c>
      <c r="AT745" s="112">
        <v>0</v>
      </c>
      <c r="AU745" s="4"/>
      <c r="AV745" s="4"/>
      <c r="AW745" s="23" t="e">
        <f>VLOOKUP(K745,#REF!,8,FALSE)</f>
        <v>#REF!</v>
      </c>
      <c r="AX745" s="23" t="e">
        <f>VLOOKUP(K745,#REF!,8,FALSE)</f>
        <v>#REF!</v>
      </c>
      <c r="AY745" s="23" t="e">
        <f>VLOOKUP(K745,#REF!,8,FALSE)</f>
        <v>#REF!</v>
      </c>
      <c r="AZ745" s="4"/>
      <c r="BA745" s="272"/>
      <c r="BB745" s="318">
        <f t="shared" si="398"/>
        <v>0</v>
      </c>
      <c r="BC745" s="269">
        <f t="shared" si="399"/>
        <v>0</v>
      </c>
      <c r="BP745" s="166">
        <f t="shared" si="401"/>
        <v>0</v>
      </c>
      <c r="BS745" s="165"/>
      <c r="BX745" s="495">
        <f t="shared" si="381"/>
        <v>3420</v>
      </c>
      <c r="BY745" t="s">
        <v>2472</v>
      </c>
      <c r="BZ745" s="636">
        <f t="shared" si="382"/>
        <v>3420</v>
      </c>
      <c r="CA745" s="633">
        <f t="shared" si="383"/>
        <v>3420</v>
      </c>
    </row>
    <row r="746" spans="1:79" x14ac:dyDescent="0.2">
      <c r="A746" s="4">
        <v>1</v>
      </c>
      <c r="B746" s="4">
        <v>1</v>
      </c>
      <c r="C746" s="5">
        <f t="shared" si="384"/>
        <v>41139</v>
      </c>
      <c r="D746" s="6">
        <v>41139</v>
      </c>
      <c r="E746" s="6">
        <v>43011</v>
      </c>
      <c r="F746" s="6" t="s">
        <v>1606</v>
      </c>
      <c r="G746" s="7"/>
      <c r="H746" s="7"/>
      <c r="I746" s="7" t="s">
        <v>32</v>
      </c>
      <c r="J746" s="7"/>
      <c r="K746" s="35">
        <v>435362</v>
      </c>
      <c r="L746" s="10" t="s">
        <v>1567</v>
      </c>
      <c r="M746" s="10" t="s">
        <v>638</v>
      </c>
      <c r="N746" s="10" t="s">
        <v>1593</v>
      </c>
      <c r="O746" s="11" t="s">
        <v>1594</v>
      </c>
      <c r="P746" s="12">
        <v>42845</v>
      </c>
      <c r="Q746" s="13">
        <f t="shared" ca="1" si="387"/>
        <v>8.424366872005475</v>
      </c>
      <c r="R746" s="14">
        <v>1</v>
      </c>
      <c r="S746" s="15">
        <v>872</v>
      </c>
      <c r="T746" s="8">
        <v>872</v>
      </c>
      <c r="U746" s="16">
        <v>45017</v>
      </c>
      <c r="V746" s="17">
        <v>1</v>
      </c>
      <c r="W746" s="16">
        <v>45382</v>
      </c>
      <c r="X746" s="14">
        <v>192</v>
      </c>
      <c r="Y746" s="18">
        <f t="shared" si="376"/>
        <v>192</v>
      </c>
      <c r="Z746" s="18">
        <f t="shared" si="396"/>
        <v>1</v>
      </c>
      <c r="AA746" s="18" t="s">
        <v>36</v>
      </c>
      <c r="AB746" s="26">
        <v>30</v>
      </c>
      <c r="AC746" s="26"/>
      <c r="AD746" s="26"/>
      <c r="AE746" s="147" t="str">
        <f t="shared" ref="AE746:AE777" si="402">IF(AND(AB746&lt;=25,AB746&gt;=20),"1","0")</f>
        <v>0</v>
      </c>
      <c r="AF746" s="147" t="str">
        <f t="shared" si="393"/>
        <v>1</v>
      </c>
      <c r="AG746" s="147" t="str">
        <f t="shared" ref="AG746:AG777" si="403">IF(AB746&gt;=31,"1","0")</f>
        <v>0</v>
      </c>
      <c r="AH746" s="147" t="str">
        <f t="shared" si="388"/>
        <v>NO</v>
      </c>
      <c r="AI746" s="147" t="str">
        <f t="shared" si="389"/>
        <v>NO</v>
      </c>
      <c r="AJ746" s="147" t="str">
        <f t="shared" si="390"/>
        <v>NO</v>
      </c>
      <c r="AK746" s="147" t="str">
        <f t="shared" si="391"/>
        <v>NO</v>
      </c>
      <c r="AL746" s="21"/>
      <c r="AM746" s="21">
        <f t="shared" ref="AM746:AM764" si="404">IF(H746="Y",AL746,((AB746*$O$902)-6000))</f>
        <v>8183.0999999999985</v>
      </c>
      <c r="AN746" s="27"/>
      <c r="AO746" s="21">
        <v>1</v>
      </c>
      <c r="AP746" s="21">
        <f t="shared" ref="AP746:AP777" si="405">AO746*Z746</f>
        <v>1</v>
      </c>
      <c r="AQ746" s="149">
        <f t="shared" si="380"/>
        <v>8183.0999999999985</v>
      </c>
      <c r="AR746" s="21">
        <v>8183.0999999999985</v>
      </c>
      <c r="AS746" s="610">
        <v>8183.0999999999985</v>
      </c>
      <c r="AT746" s="112">
        <v>8183.0999999999985</v>
      </c>
      <c r="AU746" s="4"/>
      <c r="AV746" s="4"/>
      <c r="AW746" s="23" t="e">
        <f>VLOOKUP(K746,#REF!,8,FALSE)</f>
        <v>#REF!</v>
      </c>
      <c r="AX746" s="23" t="e">
        <f>VLOOKUP(K746,#REF!,8,FALSE)</f>
        <v>#REF!</v>
      </c>
      <c r="AY746" s="23" t="e">
        <f>VLOOKUP(K746,#REF!,8,FALSE)</f>
        <v>#REF!</v>
      </c>
      <c r="AZ746" s="4"/>
      <c r="BA746" s="272"/>
      <c r="BB746" s="318">
        <f t="shared" si="398"/>
        <v>0</v>
      </c>
      <c r="BC746" s="269">
        <f t="shared" si="399"/>
        <v>8183.0999999999985</v>
      </c>
      <c r="BD746" t="str">
        <f t="shared" ref="BD746:BD761" si="406">BG746&amp;BH746&amp;BI746</f>
        <v/>
      </c>
      <c r="BP746" s="166">
        <f t="shared" si="401"/>
        <v>8183.0999999999985</v>
      </c>
      <c r="BS746" s="165"/>
      <c r="BX746" s="495">
        <f t="shared" si="381"/>
        <v>8183.0999999999985</v>
      </c>
      <c r="BZ746" s="636">
        <f t="shared" si="382"/>
        <v>0</v>
      </c>
      <c r="CA746" s="633">
        <f t="shared" si="383"/>
        <v>0</v>
      </c>
    </row>
    <row r="747" spans="1:79" x14ac:dyDescent="0.2">
      <c r="A747" s="4">
        <v>1</v>
      </c>
      <c r="B747" s="4">
        <v>1</v>
      </c>
      <c r="C747" s="5">
        <f t="shared" si="384"/>
        <v>41139</v>
      </c>
      <c r="D747" s="6">
        <v>41139</v>
      </c>
      <c r="E747" s="6">
        <v>43011</v>
      </c>
      <c r="F747" s="6" t="s">
        <v>1606</v>
      </c>
      <c r="G747" s="7"/>
      <c r="H747" s="7"/>
      <c r="I747" s="7" t="s">
        <v>32</v>
      </c>
      <c r="J747" s="7"/>
      <c r="K747" s="29">
        <v>414239</v>
      </c>
      <c r="L747" s="10" t="s">
        <v>1567</v>
      </c>
      <c r="M747" s="10" t="s">
        <v>1595</v>
      </c>
      <c r="N747" s="10" t="s">
        <v>1339</v>
      </c>
      <c r="O747" s="11" t="s">
        <v>1596</v>
      </c>
      <c r="P747" s="12">
        <v>41686</v>
      </c>
      <c r="Q747" s="13">
        <f t="shared" ca="1" si="387"/>
        <v>11.597535934291582</v>
      </c>
      <c r="R747" s="14">
        <v>4</v>
      </c>
      <c r="S747" s="15">
        <v>872</v>
      </c>
      <c r="T747" s="8">
        <v>872</v>
      </c>
      <c r="U747" s="16">
        <v>45017</v>
      </c>
      <c r="V747" s="17">
        <v>1</v>
      </c>
      <c r="W747" s="16">
        <v>45382</v>
      </c>
      <c r="X747" s="14">
        <v>192</v>
      </c>
      <c r="Y747" s="18">
        <f t="shared" si="376"/>
        <v>192</v>
      </c>
      <c r="Z747" s="18">
        <f t="shared" si="396"/>
        <v>1</v>
      </c>
      <c r="AA747" s="18" t="s">
        <v>36</v>
      </c>
      <c r="AB747" s="26">
        <v>25</v>
      </c>
      <c r="AC747" s="26"/>
      <c r="AD747" s="26"/>
      <c r="AE747" s="147" t="str">
        <f t="shared" si="402"/>
        <v>1</v>
      </c>
      <c r="AF747" s="147" t="str">
        <f t="shared" si="393"/>
        <v>0</v>
      </c>
      <c r="AG747" s="147" t="str">
        <f t="shared" si="403"/>
        <v>0</v>
      </c>
      <c r="AH747" s="147" t="str">
        <f t="shared" si="388"/>
        <v>NO</v>
      </c>
      <c r="AI747" s="147" t="str">
        <f t="shared" si="389"/>
        <v>NO</v>
      </c>
      <c r="AJ747" s="147" t="str">
        <f t="shared" si="390"/>
        <v>NO</v>
      </c>
      <c r="AK747" s="147" t="str">
        <f t="shared" si="391"/>
        <v>NO</v>
      </c>
      <c r="AL747" s="21"/>
      <c r="AM747" s="21">
        <f t="shared" si="404"/>
        <v>5819.25</v>
      </c>
      <c r="AN747" s="27" t="s">
        <v>56</v>
      </c>
      <c r="AO747" s="21">
        <v>1</v>
      </c>
      <c r="AP747" s="21">
        <f t="shared" si="405"/>
        <v>1</v>
      </c>
      <c r="AQ747" s="149">
        <f t="shared" si="380"/>
        <v>5819.25</v>
      </c>
      <c r="AR747" s="21">
        <v>5819.25</v>
      </c>
      <c r="AS747" s="610">
        <v>5819.25</v>
      </c>
      <c r="AT747" s="112">
        <v>5819.25</v>
      </c>
      <c r="AU747" s="4"/>
      <c r="AV747" s="4"/>
      <c r="AW747" s="23" t="e">
        <f>VLOOKUP(K747,#REF!,8,FALSE)</f>
        <v>#REF!</v>
      </c>
      <c r="AX747" s="23" t="e">
        <f>VLOOKUP(K747,#REF!,8,FALSE)</f>
        <v>#REF!</v>
      </c>
      <c r="AY747" s="23" t="e">
        <f>VLOOKUP(K747,#REF!,8,FALSE)</f>
        <v>#REF!</v>
      </c>
      <c r="AZ747" s="4"/>
      <c r="BA747" s="272"/>
      <c r="BB747" s="318">
        <f t="shared" si="398"/>
        <v>0</v>
      </c>
      <c r="BC747" s="269">
        <f t="shared" si="399"/>
        <v>5819.25</v>
      </c>
      <c r="BD747" t="str">
        <f t="shared" si="406"/>
        <v/>
      </c>
      <c r="BP747" s="166">
        <f t="shared" si="401"/>
        <v>5819.25</v>
      </c>
      <c r="BS747" s="165"/>
      <c r="BX747" s="495">
        <f t="shared" si="381"/>
        <v>5819.25</v>
      </c>
      <c r="BZ747" s="636">
        <f t="shared" si="382"/>
        <v>0</v>
      </c>
      <c r="CA747" s="633">
        <f t="shared" si="383"/>
        <v>0</v>
      </c>
    </row>
    <row r="748" spans="1:79" x14ac:dyDescent="0.2">
      <c r="A748" s="4">
        <v>1</v>
      </c>
      <c r="B748" s="4">
        <v>1</v>
      </c>
      <c r="C748" s="5">
        <f t="shared" si="384"/>
        <v>41139</v>
      </c>
      <c r="D748" s="6">
        <v>41139</v>
      </c>
      <c r="E748" s="6">
        <v>43011</v>
      </c>
      <c r="F748" s="6" t="s">
        <v>1606</v>
      </c>
      <c r="G748" s="7"/>
      <c r="H748" s="7"/>
      <c r="I748" s="7" t="s">
        <v>32</v>
      </c>
      <c r="J748" s="7"/>
      <c r="K748" s="29">
        <v>415120</v>
      </c>
      <c r="L748" s="10" t="s">
        <v>1567</v>
      </c>
      <c r="M748" s="10" t="s">
        <v>1002</v>
      </c>
      <c r="N748" s="10" t="s">
        <v>288</v>
      </c>
      <c r="O748" s="11" t="str">
        <f>M748&amp;N748</f>
        <v>RobertKing</v>
      </c>
      <c r="P748" s="12">
        <v>41682</v>
      </c>
      <c r="Q748" s="13">
        <f t="shared" ca="1" si="387"/>
        <v>11.60848733744011</v>
      </c>
      <c r="R748" s="14">
        <v>4</v>
      </c>
      <c r="S748" s="15">
        <v>872</v>
      </c>
      <c r="T748" s="8">
        <v>872</v>
      </c>
      <c r="U748" s="16">
        <v>45017</v>
      </c>
      <c r="V748" s="17">
        <v>1</v>
      </c>
      <c r="W748" s="16">
        <v>45382</v>
      </c>
      <c r="X748" s="14">
        <v>192</v>
      </c>
      <c r="Y748" s="18">
        <f t="shared" si="376"/>
        <v>192</v>
      </c>
      <c r="Z748" s="18">
        <f t="shared" si="396"/>
        <v>1</v>
      </c>
      <c r="AA748" s="18" t="s">
        <v>36</v>
      </c>
      <c r="AB748" s="26">
        <v>22</v>
      </c>
      <c r="AC748" s="26"/>
      <c r="AD748" s="26"/>
      <c r="AE748" s="147" t="str">
        <f t="shared" si="402"/>
        <v>1</v>
      </c>
      <c r="AF748" s="147" t="str">
        <f t="shared" si="393"/>
        <v>0</v>
      </c>
      <c r="AG748" s="147" t="str">
        <f t="shared" si="403"/>
        <v>0</v>
      </c>
      <c r="AH748" s="147" t="str">
        <f t="shared" si="388"/>
        <v>NO</v>
      </c>
      <c r="AI748" s="147" t="str">
        <f t="shared" si="389"/>
        <v>NO</v>
      </c>
      <c r="AJ748" s="147" t="str">
        <f t="shared" si="390"/>
        <v>NO</v>
      </c>
      <c r="AK748" s="147" t="str">
        <f t="shared" si="391"/>
        <v>NO</v>
      </c>
      <c r="AL748" s="21"/>
      <c r="AM748" s="21">
        <f t="shared" si="404"/>
        <v>4400.9399999999987</v>
      </c>
      <c r="AN748" s="27" t="s">
        <v>43</v>
      </c>
      <c r="AO748" s="21">
        <v>1</v>
      </c>
      <c r="AP748" s="21">
        <f t="shared" si="405"/>
        <v>1</v>
      </c>
      <c r="AQ748" s="149">
        <f t="shared" si="380"/>
        <v>4400.9399999999987</v>
      </c>
      <c r="AR748" s="21">
        <v>4400.9399999999987</v>
      </c>
      <c r="AS748" s="610">
        <v>4400.9399999999987</v>
      </c>
      <c r="AT748" s="112">
        <v>4400.9399999999987</v>
      </c>
      <c r="AU748" s="4"/>
      <c r="AV748" s="4"/>
      <c r="AW748" s="23" t="e">
        <f>VLOOKUP(K748,#REF!,8,FALSE)</f>
        <v>#REF!</v>
      </c>
      <c r="AX748" s="23" t="e">
        <f>VLOOKUP(K748,#REF!,8,FALSE)</f>
        <v>#REF!</v>
      </c>
      <c r="AY748" s="23" t="e">
        <f>VLOOKUP(K748,#REF!,8,FALSE)</f>
        <v>#REF!</v>
      </c>
      <c r="AZ748" s="4"/>
      <c r="BA748" s="272"/>
      <c r="BB748" s="318">
        <f t="shared" si="398"/>
        <v>0</v>
      </c>
      <c r="BC748" s="269">
        <f t="shared" si="399"/>
        <v>4400.9399999999987</v>
      </c>
      <c r="BD748" t="str">
        <f t="shared" si="406"/>
        <v/>
      </c>
      <c r="BP748" s="166">
        <f t="shared" si="401"/>
        <v>4400.9399999999987</v>
      </c>
      <c r="BS748" s="165"/>
      <c r="BX748" s="495">
        <f t="shared" si="381"/>
        <v>4400.9399999999987</v>
      </c>
      <c r="BZ748" s="636">
        <f t="shared" si="382"/>
        <v>0</v>
      </c>
      <c r="CA748" s="633">
        <f t="shared" si="383"/>
        <v>0</v>
      </c>
    </row>
    <row r="749" spans="1:79" x14ac:dyDescent="0.2">
      <c r="A749" s="4">
        <v>1</v>
      </c>
      <c r="B749" s="4">
        <v>1</v>
      </c>
      <c r="C749" s="5">
        <f t="shared" si="384"/>
        <v>41139</v>
      </c>
      <c r="D749" s="6">
        <v>41139</v>
      </c>
      <c r="E749" s="6">
        <v>43011</v>
      </c>
      <c r="F749" s="6" t="s">
        <v>1606</v>
      </c>
      <c r="G749" s="7"/>
      <c r="H749" s="7"/>
      <c r="I749" s="7" t="s">
        <v>32</v>
      </c>
      <c r="J749" s="7"/>
      <c r="K749" s="29">
        <v>433156</v>
      </c>
      <c r="L749" s="10" t="s">
        <v>1567</v>
      </c>
      <c r="M749" s="10" t="s">
        <v>788</v>
      </c>
      <c r="N749" s="10" t="s">
        <v>339</v>
      </c>
      <c r="O749" s="11" t="s">
        <v>1597</v>
      </c>
      <c r="P749" s="12">
        <v>42754</v>
      </c>
      <c r="Q749" s="13">
        <f t="shared" ca="1" si="387"/>
        <v>8.6735112936344976</v>
      </c>
      <c r="R749" s="14">
        <v>1</v>
      </c>
      <c r="S749" s="15">
        <v>872</v>
      </c>
      <c r="T749" s="8">
        <v>872</v>
      </c>
      <c r="U749" s="16">
        <v>45017</v>
      </c>
      <c r="V749" s="17">
        <v>1</v>
      </c>
      <c r="W749" s="16">
        <v>45382</v>
      </c>
      <c r="X749" s="14">
        <v>192</v>
      </c>
      <c r="Y749" s="18">
        <f t="shared" si="376"/>
        <v>192</v>
      </c>
      <c r="Z749" s="18">
        <f t="shared" si="396"/>
        <v>1</v>
      </c>
      <c r="AA749" s="18" t="s">
        <v>36</v>
      </c>
      <c r="AB749" s="26">
        <v>30</v>
      </c>
      <c r="AC749" s="26"/>
      <c r="AD749" s="26"/>
      <c r="AE749" s="147" t="str">
        <f t="shared" si="402"/>
        <v>0</v>
      </c>
      <c r="AF749" s="147" t="str">
        <f t="shared" si="393"/>
        <v>1</v>
      </c>
      <c r="AG749" s="147" t="str">
        <f t="shared" si="403"/>
        <v>0</v>
      </c>
      <c r="AH749" s="147" t="str">
        <f t="shared" si="388"/>
        <v>NO</v>
      </c>
      <c r="AI749" s="147" t="str">
        <f t="shared" si="389"/>
        <v>NO</v>
      </c>
      <c r="AJ749" s="147" t="str">
        <f t="shared" si="390"/>
        <v>NO</v>
      </c>
      <c r="AK749" s="147" t="str">
        <f t="shared" si="391"/>
        <v>NO</v>
      </c>
      <c r="AL749" s="21"/>
      <c r="AM749" s="21">
        <f t="shared" si="404"/>
        <v>8183.0999999999985</v>
      </c>
      <c r="AN749" s="27" t="s">
        <v>56</v>
      </c>
      <c r="AO749" s="21">
        <v>1</v>
      </c>
      <c r="AP749" s="21">
        <f t="shared" si="405"/>
        <v>1</v>
      </c>
      <c r="AQ749" s="149">
        <f t="shared" si="380"/>
        <v>8183.0999999999985</v>
      </c>
      <c r="AR749" s="21">
        <v>8183.0999999999985</v>
      </c>
      <c r="AS749" s="610">
        <v>8183.0999999999985</v>
      </c>
      <c r="AT749" s="112">
        <v>8183.0999999999985</v>
      </c>
      <c r="AU749" s="4"/>
      <c r="AV749" s="4"/>
      <c r="AW749" s="23" t="e">
        <f>VLOOKUP(K749,#REF!,8,FALSE)</f>
        <v>#REF!</v>
      </c>
      <c r="AX749" s="23" t="e">
        <f>VLOOKUP(K749,#REF!,8,FALSE)</f>
        <v>#REF!</v>
      </c>
      <c r="AY749" s="23" t="e">
        <f>VLOOKUP(K749,#REF!,8,FALSE)</f>
        <v>#REF!</v>
      </c>
      <c r="AZ749" s="4"/>
      <c r="BA749" s="272"/>
      <c r="BB749" s="318">
        <f t="shared" si="398"/>
        <v>0</v>
      </c>
      <c r="BC749" s="269">
        <f t="shared" si="399"/>
        <v>8183.0999999999985</v>
      </c>
      <c r="BD749" t="str">
        <f t="shared" si="406"/>
        <v/>
      </c>
      <c r="BP749" s="166">
        <f t="shared" si="401"/>
        <v>8183.0999999999985</v>
      </c>
      <c r="BS749" s="165"/>
      <c r="BX749" s="495">
        <f t="shared" si="381"/>
        <v>8183.0999999999985</v>
      </c>
      <c r="BZ749" s="636">
        <f t="shared" si="382"/>
        <v>0</v>
      </c>
      <c r="CA749" s="633">
        <f t="shared" si="383"/>
        <v>0</v>
      </c>
    </row>
    <row r="750" spans="1:79" x14ac:dyDescent="0.2">
      <c r="A750" s="4">
        <v>1</v>
      </c>
      <c r="B750" s="4">
        <v>1</v>
      </c>
      <c r="C750" s="5">
        <f t="shared" si="384"/>
        <v>41139</v>
      </c>
      <c r="D750" s="6">
        <v>41139</v>
      </c>
      <c r="E750" s="6">
        <v>43011</v>
      </c>
      <c r="F750" s="6" t="s">
        <v>1606</v>
      </c>
      <c r="G750" s="7"/>
      <c r="H750" s="7"/>
      <c r="I750" s="7" t="s">
        <v>32</v>
      </c>
      <c r="J750" s="68"/>
      <c r="K750" s="69">
        <v>437165</v>
      </c>
      <c r="L750" s="10" t="s">
        <v>1567</v>
      </c>
      <c r="M750" s="10" t="s">
        <v>1598</v>
      </c>
      <c r="N750" s="10" t="s">
        <v>206</v>
      </c>
      <c r="O750" s="11" t="s">
        <v>1599</v>
      </c>
      <c r="P750" s="12">
        <v>43020</v>
      </c>
      <c r="Q750" s="13">
        <f t="shared" ca="1" si="387"/>
        <v>7.9452429842573578</v>
      </c>
      <c r="R750" s="14">
        <v>0</v>
      </c>
      <c r="S750" s="15">
        <v>872</v>
      </c>
      <c r="T750" s="8">
        <v>872</v>
      </c>
      <c r="U750" s="16">
        <v>45017</v>
      </c>
      <c r="V750" s="17">
        <v>1</v>
      </c>
      <c r="W750" s="16">
        <v>45382</v>
      </c>
      <c r="X750" s="14">
        <v>192</v>
      </c>
      <c r="Y750" s="18">
        <f t="shared" si="376"/>
        <v>192</v>
      </c>
      <c r="Z750" s="18">
        <f t="shared" si="396"/>
        <v>1</v>
      </c>
      <c r="AA750" s="18" t="s">
        <v>36</v>
      </c>
      <c r="AB750" s="26">
        <v>30</v>
      </c>
      <c r="AC750" s="26"/>
      <c r="AD750" s="26"/>
      <c r="AE750" s="147" t="str">
        <f t="shared" si="402"/>
        <v>0</v>
      </c>
      <c r="AF750" s="147" t="str">
        <f t="shared" si="393"/>
        <v>1</v>
      </c>
      <c r="AG750" s="147" t="str">
        <f t="shared" si="403"/>
        <v>0</v>
      </c>
      <c r="AH750" s="147" t="str">
        <f t="shared" si="388"/>
        <v>NO</v>
      </c>
      <c r="AI750" s="147" t="str">
        <f t="shared" si="389"/>
        <v>NO</v>
      </c>
      <c r="AJ750" s="147" t="str">
        <f t="shared" si="390"/>
        <v>NO</v>
      </c>
      <c r="AK750" s="147" t="str">
        <f t="shared" si="391"/>
        <v>NO</v>
      </c>
      <c r="AL750" s="21"/>
      <c r="AM750" s="21">
        <f t="shared" si="404"/>
        <v>8183.0999999999985</v>
      </c>
      <c r="AN750" s="27"/>
      <c r="AO750" s="21">
        <v>1</v>
      </c>
      <c r="AP750" s="21">
        <f t="shared" si="405"/>
        <v>1</v>
      </c>
      <c r="AQ750" s="149">
        <f t="shared" si="380"/>
        <v>8183.0999999999985</v>
      </c>
      <c r="AR750" s="21">
        <v>8183.0999999999985</v>
      </c>
      <c r="AS750" s="610">
        <v>8183.0999999999985</v>
      </c>
      <c r="AT750" s="112">
        <v>8183.0999999999985</v>
      </c>
      <c r="AU750" s="4"/>
      <c r="AV750" s="4"/>
      <c r="AW750" s="23" t="e">
        <f>VLOOKUP(K750,#REF!,8,FALSE)</f>
        <v>#REF!</v>
      </c>
      <c r="AX750" s="23" t="e">
        <f>VLOOKUP(K750,#REF!,8,FALSE)</f>
        <v>#REF!</v>
      </c>
      <c r="AY750" s="23" t="e">
        <f>VLOOKUP(K750,#REF!,8,FALSE)</f>
        <v>#REF!</v>
      </c>
      <c r="AZ750" s="4"/>
      <c r="BA750" s="272"/>
      <c r="BB750" s="318">
        <f t="shared" si="398"/>
        <v>0</v>
      </c>
      <c r="BC750" s="269">
        <f t="shared" si="399"/>
        <v>8183.0999999999985</v>
      </c>
      <c r="BD750" t="str">
        <f t="shared" si="406"/>
        <v/>
      </c>
      <c r="BP750" s="166">
        <f t="shared" si="401"/>
        <v>8183.0999999999985</v>
      </c>
      <c r="BS750" s="165"/>
      <c r="BX750" s="495">
        <f t="shared" si="381"/>
        <v>8183.0999999999985</v>
      </c>
      <c r="BZ750" s="636">
        <f t="shared" si="382"/>
        <v>0</v>
      </c>
      <c r="CA750" s="633">
        <f t="shared" si="383"/>
        <v>0</v>
      </c>
    </row>
    <row r="751" spans="1:79" x14ac:dyDescent="0.2">
      <c r="A751" s="4">
        <v>1</v>
      </c>
      <c r="B751" s="4">
        <v>1</v>
      </c>
      <c r="C751" s="5">
        <f t="shared" si="384"/>
        <v>41139</v>
      </c>
      <c r="D751" s="6">
        <v>41139</v>
      </c>
      <c r="E751" s="6">
        <v>43011</v>
      </c>
      <c r="F751" s="6" t="s">
        <v>1606</v>
      </c>
      <c r="G751" s="7"/>
      <c r="H751" s="7"/>
      <c r="I751" s="7" t="s">
        <v>32</v>
      </c>
      <c r="J751" s="68"/>
      <c r="K751" s="69">
        <v>428292</v>
      </c>
      <c r="L751" s="10" t="s">
        <v>1567</v>
      </c>
      <c r="M751" s="10" t="s">
        <v>1600</v>
      </c>
      <c r="N751" s="10" t="s">
        <v>1601</v>
      </c>
      <c r="O751" s="11" t="str">
        <f>M751&amp;N751</f>
        <v>YusufOkuducu</v>
      </c>
      <c r="P751" s="12">
        <v>42611</v>
      </c>
      <c r="Q751" s="13">
        <f t="shared" ca="1" si="387"/>
        <v>9.0650239561943877</v>
      </c>
      <c r="R751" s="14">
        <v>1</v>
      </c>
      <c r="S751" s="15">
        <v>872</v>
      </c>
      <c r="T751" s="8">
        <v>872</v>
      </c>
      <c r="U751" s="16">
        <v>45017</v>
      </c>
      <c r="V751" s="17">
        <v>1</v>
      </c>
      <c r="W751" s="16">
        <v>45382</v>
      </c>
      <c r="X751" s="14">
        <v>192</v>
      </c>
      <c r="Y751" s="18">
        <f t="shared" si="376"/>
        <v>192</v>
      </c>
      <c r="Z751" s="18">
        <f t="shared" si="396"/>
        <v>1</v>
      </c>
      <c r="AA751" s="18" t="s">
        <v>36</v>
      </c>
      <c r="AB751" s="26">
        <v>24.25</v>
      </c>
      <c r="AC751" s="26"/>
      <c r="AD751" s="26"/>
      <c r="AE751" s="147" t="str">
        <f t="shared" si="402"/>
        <v>1</v>
      </c>
      <c r="AF751" s="147" t="str">
        <f t="shared" si="393"/>
        <v>0</v>
      </c>
      <c r="AG751" s="147" t="str">
        <f t="shared" si="403"/>
        <v>0</v>
      </c>
      <c r="AH751" s="147" t="str">
        <f t="shared" si="388"/>
        <v>NO</v>
      </c>
      <c r="AI751" s="147" t="str">
        <f t="shared" si="389"/>
        <v>NO</v>
      </c>
      <c r="AJ751" s="147" t="str">
        <f t="shared" si="390"/>
        <v>NO</v>
      </c>
      <c r="AK751" s="147" t="str">
        <f t="shared" si="391"/>
        <v>NO</v>
      </c>
      <c r="AL751" s="21"/>
      <c r="AM751" s="21">
        <f t="shared" si="404"/>
        <v>5464.6724999999988</v>
      </c>
      <c r="AN751" s="27"/>
      <c r="AO751" s="21">
        <v>1</v>
      </c>
      <c r="AP751" s="21">
        <f t="shared" si="405"/>
        <v>1</v>
      </c>
      <c r="AQ751" s="149">
        <f t="shared" si="380"/>
        <v>5464.6724999999988</v>
      </c>
      <c r="AR751" s="21">
        <v>5464.6724999999988</v>
      </c>
      <c r="AS751" s="610">
        <v>5464.6724999999988</v>
      </c>
      <c r="AT751" s="112">
        <v>5464.6724999999988</v>
      </c>
      <c r="AU751" s="4"/>
      <c r="AV751" s="4"/>
      <c r="AW751" s="23" t="e">
        <f>VLOOKUP(K751,#REF!,8,FALSE)</f>
        <v>#REF!</v>
      </c>
      <c r="AX751" s="23" t="e">
        <f>VLOOKUP(K751,#REF!,8,FALSE)</f>
        <v>#REF!</v>
      </c>
      <c r="AY751" s="23" t="e">
        <f>VLOOKUP(K751,#REF!,8,FALSE)</f>
        <v>#REF!</v>
      </c>
      <c r="AZ751" s="4"/>
      <c r="BA751" s="272"/>
      <c r="BB751" s="318">
        <f t="shared" si="398"/>
        <v>0</v>
      </c>
      <c r="BC751" s="269">
        <f t="shared" si="399"/>
        <v>5464.6724999999988</v>
      </c>
      <c r="BD751" t="str">
        <f t="shared" si="406"/>
        <v/>
      </c>
      <c r="BP751" s="166">
        <f t="shared" si="401"/>
        <v>5464.6724999999988</v>
      </c>
      <c r="BS751" s="165"/>
      <c r="BX751" s="495">
        <f t="shared" si="381"/>
        <v>5464.6724999999988</v>
      </c>
      <c r="BZ751" s="636">
        <f t="shared" si="382"/>
        <v>0</v>
      </c>
      <c r="CA751" s="633">
        <f t="shared" si="383"/>
        <v>0</v>
      </c>
    </row>
    <row r="752" spans="1:79" x14ac:dyDescent="0.2">
      <c r="A752" s="4">
        <v>1</v>
      </c>
      <c r="B752" s="4">
        <v>1</v>
      </c>
      <c r="C752" s="5">
        <f t="shared" si="384"/>
        <v>41140</v>
      </c>
      <c r="D752" s="6">
        <v>41140</v>
      </c>
      <c r="E752" s="121">
        <v>43012</v>
      </c>
      <c r="F752" s="6" t="s">
        <v>1606</v>
      </c>
      <c r="G752" s="7" t="s">
        <v>75</v>
      </c>
      <c r="H752" s="7"/>
      <c r="I752" s="7" t="s">
        <v>32</v>
      </c>
      <c r="J752" s="68"/>
      <c r="K752" s="69">
        <v>437533</v>
      </c>
      <c r="L752" s="10" t="s">
        <v>1602</v>
      </c>
      <c r="M752" s="10" t="s">
        <v>1603</v>
      </c>
      <c r="N752" s="10" t="s">
        <v>1604</v>
      </c>
      <c r="O752" s="11" t="s">
        <v>1605</v>
      </c>
      <c r="P752" s="12">
        <v>42992</v>
      </c>
      <c r="Q752" s="13">
        <f t="shared" ca="1" si="387"/>
        <v>8.0219028062970565</v>
      </c>
      <c r="R752" s="14">
        <v>0</v>
      </c>
      <c r="S752" s="15">
        <v>872</v>
      </c>
      <c r="T752" s="8">
        <v>872</v>
      </c>
      <c r="U752" s="16">
        <v>45017</v>
      </c>
      <c r="V752" s="17">
        <v>1</v>
      </c>
      <c r="W752" s="16">
        <v>45382</v>
      </c>
      <c r="X752" s="14">
        <v>192</v>
      </c>
      <c r="Y752" s="18">
        <f t="shared" si="376"/>
        <v>192</v>
      </c>
      <c r="Z752" s="18">
        <f t="shared" si="396"/>
        <v>1</v>
      </c>
      <c r="AA752" s="18" t="s">
        <v>36</v>
      </c>
      <c r="AB752" s="38">
        <v>40</v>
      </c>
      <c r="AC752" s="38"/>
      <c r="AD752" s="38"/>
      <c r="AE752" s="147" t="str">
        <f t="shared" si="402"/>
        <v>0</v>
      </c>
      <c r="AF752" s="147" t="str">
        <f t="shared" si="393"/>
        <v>0</v>
      </c>
      <c r="AG752" s="147" t="str">
        <f t="shared" si="403"/>
        <v>1</v>
      </c>
      <c r="AH752" s="147" t="str">
        <f t="shared" si="388"/>
        <v>NO</v>
      </c>
      <c r="AI752" s="147" t="str">
        <f t="shared" si="389"/>
        <v>NO</v>
      </c>
      <c r="AJ752" s="147" t="str">
        <f t="shared" si="390"/>
        <v>NO</v>
      </c>
      <c r="AK752" s="147" t="str">
        <f t="shared" si="391"/>
        <v>NO</v>
      </c>
      <c r="AL752" s="21"/>
      <c r="AM752" s="21">
        <f t="shared" si="404"/>
        <v>12910.8</v>
      </c>
      <c r="AN752" s="27" t="s">
        <v>56</v>
      </c>
      <c r="AO752" s="21">
        <v>1</v>
      </c>
      <c r="AP752" s="21">
        <f t="shared" si="405"/>
        <v>1</v>
      </c>
      <c r="AQ752" s="149">
        <f t="shared" si="380"/>
        <v>12910.8</v>
      </c>
      <c r="AR752" s="21">
        <v>12910.8</v>
      </c>
      <c r="AS752" s="610">
        <v>12910.8</v>
      </c>
      <c r="AT752" s="112">
        <v>12910.8</v>
      </c>
      <c r="AU752" s="4"/>
      <c r="AV752" s="4"/>
      <c r="AW752" s="23" t="e">
        <f>VLOOKUP(K752,#REF!,8,FALSE)</f>
        <v>#REF!</v>
      </c>
      <c r="AX752" s="23" t="e">
        <f>VLOOKUP(K752,#REF!,8,FALSE)</f>
        <v>#REF!</v>
      </c>
      <c r="AY752" s="23" t="e">
        <f>VLOOKUP(K752,#REF!,8,FALSE)</f>
        <v>#REF!</v>
      </c>
      <c r="AZ752" s="4"/>
      <c r="BA752" s="272"/>
      <c r="BB752" s="318">
        <f t="shared" si="398"/>
        <v>0</v>
      </c>
      <c r="BC752" s="269">
        <f t="shared" si="399"/>
        <v>12910.8</v>
      </c>
      <c r="BD752" t="str">
        <f t="shared" si="406"/>
        <v/>
      </c>
      <c r="BP752" s="166">
        <f t="shared" si="401"/>
        <v>12910.8</v>
      </c>
      <c r="BS752" s="165"/>
      <c r="BX752" s="495">
        <f t="shared" si="381"/>
        <v>12910.8</v>
      </c>
      <c r="BZ752" s="636">
        <f t="shared" si="382"/>
        <v>0</v>
      </c>
      <c r="CA752" s="633">
        <f t="shared" si="383"/>
        <v>0</v>
      </c>
    </row>
    <row r="753" spans="1:79" x14ac:dyDescent="0.2">
      <c r="A753" s="4">
        <v>1</v>
      </c>
      <c r="B753" s="4">
        <v>1</v>
      </c>
      <c r="C753" s="5">
        <v>41141</v>
      </c>
      <c r="D753" s="6">
        <v>41141</v>
      </c>
      <c r="E753" s="6">
        <v>43011</v>
      </c>
      <c r="F753" s="6" t="s">
        <v>1606</v>
      </c>
      <c r="G753" s="7"/>
      <c r="H753" s="7"/>
      <c r="I753" s="7" t="s">
        <v>32</v>
      </c>
      <c r="J753" s="68"/>
      <c r="K753" s="69">
        <v>409747</v>
      </c>
      <c r="L753" s="10" t="s">
        <v>1607</v>
      </c>
      <c r="M753" s="10" t="s">
        <v>1171</v>
      </c>
      <c r="N753" s="10" t="s">
        <v>1608</v>
      </c>
      <c r="O753" s="11" t="s">
        <v>1609</v>
      </c>
      <c r="P753" s="12">
        <v>41438</v>
      </c>
      <c r="Q753" s="13">
        <f t="shared" ca="1" si="387"/>
        <v>12.276522929500342</v>
      </c>
      <c r="R753" s="14">
        <v>5</v>
      </c>
      <c r="S753" s="15">
        <v>872</v>
      </c>
      <c r="T753" s="8">
        <v>872</v>
      </c>
      <c r="U753" s="16">
        <v>45017</v>
      </c>
      <c r="V753" s="17">
        <v>1</v>
      </c>
      <c r="W753" s="16">
        <v>45382</v>
      </c>
      <c r="X753" s="14">
        <v>192</v>
      </c>
      <c r="Y753" s="18">
        <f t="shared" ref="Y753:Y816" si="407">X753-V753+1</f>
        <v>192</v>
      </c>
      <c r="Z753" s="18">
        <f t="shared" si="396"/>
        <v>1</v>
      </c>
      <c r="AA753" s="18" t="s">
        <v>36</v>
      </c>
      <c r="AB753" s="26">
        <v>25</v>
      </c>
      <c r="AC753" s="26"/>
      <c r="AD753" s="26"/>
      <c r="AE753" s="147" t="str">
        <f t="shared" si="402"/>
        <v>1</v>
      </c>
      <c r="AF753" s="147" t="str">
        <f t="shared" si="393"/>
        <v>0</v>
      </c>
      <c r="AG753" s="147" t="str">
        <f t="shared" si="403"/>
        <v>0</v>
      </c>
      <c r="AH753" s="147" t="str">
        <f t="shared" si="388"/>
        <v>NO</v>
      </c>
      <c r="AI753" s="147" t="str">
        <f t="shared" si="389"/>
        <v>NO</v>
      </c>
      <c r="AJ753" s="147" t="str">
        <f t="shared" si="390"/>
        <v>NO</v>
      </c>
      <c r="AK753" s="147" t="str">
        <f t="shared" si="391"/>
        <v>NO</v>
      </c>
      <c r="AL753" s="21"/>
      <c r="AM753" s="21">
        <f t="shared" si="404"/>
        <v>5819.25</v>
      </c>
      <c r="AN753" s="27"/>
      <c r="AO753" s="21">
        <v>1</v>
      </c>
      <c r="AP753" s="21">
        <f t="shared" si="405"/>
        <v>1</v>
      </c>
      <c r="AQ753" s="149">
        <f t="shared" si="380"/>
        <v>5819.25</v>
      </c>
      <c r="AR753" s="21">
        <v>5819.25</v>
      </c>
      <c r="AS753" s="610">
        <v>5819.25</v>
      </c>
      <c r="AT753" s="112">
        <v>5819.25</v>
      </c>
      <c r="AU753" s="4"/>
      <c r="AV753" s="4"/>
      <c r="AW753" s="23" t="e">
        <f>VLOOKUP(K753,#REF!,8,FALSE)</f>
        <v>#REF!</v>
      </c>
      <c r="AX753" s="23" t="e">
        <f>VLOOKUP(K753,#REF!,8,FALSE)</f>
        <v>#REF!</v>
      </c>
      <c r="AY753" s="23" t="e">
        <f>VLOOKUP(K753,#REF!,8,FALSE)</f>
        <v>#REF!</v>
      </c>
      <c r="AZ753" s="4"/>
      <c r="BA753" s="272"/>
      <c r="BB753" s="318">
        <f t="shared" si="398"/>
        <v>0</v>
      </c>
      <c r="BC753" s="269">
        <f t="shared" si="399"/>
        <v>5819.25</v>
      </c>
      <c r="BD753" t="str">
        <f t="shared" si="406"/>
        <v/>
      </c>
      <c r="BP753" s="166">
        <f t="shared" si="401"/>
        <v>5819.25</v>
      </c>
      <c r="BS753" s="165"/>
      <c r="BX753" s="495">
        <f t="shared" si="381"/>
        <v>5819.25</v>
      </c>
      <c r="BZ753" s="636">
        <f t="shared" si="382"/>
        <v>0</v>
      </c>
      <c r="CA753" s="633">
        <f t="shared" si="383"/>
        <v>0</v>
      </c>
    </row>
    <row r="754" spans="1:79" x14ac:dyDescent="0.2">
      <c r="A754" s="4">
        <v>1</v>
      </c>
      <c r="B754" s="4">
        <v>1</v>
      </c>
      <c r="C754" s="5">
        <v>41141</v>
      </c>
      <c r="D754" s="6">
        <v>41141</v>
      </c>
      <c r="E754" s="6">
        <v>43011</v>
      </c>
      <c r="F754" s="6" t="s">
        <v>1606</v>
      </c>
      <c r="G754" s="7"/>
      <c r="H754" s="7"/>
      <c r="I754" s="7" t="s">
        <v>32</v>
      </c>
      <c r="J754" s="68"/>
      <c r="K754" s="69">
        <v>418152</v>
      </c>
      <c r="L754" s="10" t="s">
        <v>1607</v>
      </c>
      <c r="M754" s="10" t="s">
        <v>1296</v>
      </c>
      <c r="N754" s="10" t="s">
        <v>1610</v>
      </c>
      <c r="O754" s="11" t="s">
        <v>1611</v>
      </c>
      <c r="P754" s="12">
        <v>41842</v>
      </c>
      <c r="Q754" s="13">
        <f t="shared" ca="1" si="387"/>
        <v>11.170431211498974</v>
      </c>
      <c r="R754" s="14">
        <v>4</v>
      </c>
      <c r="S754" s="15">
        <v>872</v>
      </c>
      <c r="T754" s="8">
        <v>872</v>
      </c>
      <c r="U754" s="16">
        <v>45017</v>
      </c>
      <c r="V754" s="17">
        <v>1</v>
      </c>
      <c r="W754" s="16">
        <v>45382</v>
      </c>
      <c r="X754" s="14">
        <v>192</v>
      </c>
      <c r="Y754" s="18">
        <f t="shared" si="407"/>
        <v>192</v>
      </c>
      <c r="Z754" s="18">
        <f t="shared" si="396"/>
        <v>1</v>
      </c>
      <c r="AA754" s="18" t="s">
        <v>36</v>
      </c>
      <c r="AB754" s="26">
        <v>27</v>
      </c>
      <c r="AC754" s="26"/>
      <c r="AD754" s="26"/>
      <c r="AE754" s="147" t="str">
        <f t="shared" si="402"/>
        <v>0</v>
      </c>
      <c r="AF754" s="147" t="str">
        <f t="shared" si="393"/>
        <v>1</v>
      </c>
      <c r="AG754" s="147" t="str">
        <f t="shared" si="403"/>
        <v>0</v>
      </c>
      <c r="AH754" s="147" t="str">
        <f t="shared" si="388"/>
        <v>NO</v>
      </c>
      <c r="AI754" s="147" t="str">
        <f t="shared" si="389"/>
        <v>NO</v>
      </c>
      <c r="AJ754" s="147" t="str">
        <f t="shared" si="390"/>
        <v>NO</v>
      </c>
      <c r="AK754" s="147" t="str">
        <f t="shared" si="391"/>
        <v>NO</v>
      </c>
      <c r="AL754" s="21"/>
      <c r="AM754" s="21">
        <f t="shared" si="404"/>
        <v>6764.7899999999991</v>
      </c>
      <c r="AN754" s="27" t="s">
        <v>173</v>
      </c>
      <c r="AO754" s="21">
        <v>1</v>
      </c>
      <c r="AP754" s="21">
        <f t="shared" si="405"/>
        <v>1</v>
      </c>
      <c r="AQ754" s="149">
        <f t="shared" si="380"/>
        <v>6764.7899999999991</v>
      </c>
      <c r="AR754" s="21">
        <v>6764.7899999999991</v>
      </c>
      <c r="AS754" s="610">
        <v>6764.7899999999991</v>
      </c>
      <c r="AT754" s="112">
        <v>6764.7899999999991</v>
      </c>
      <c r="AU754" s="4"/>
      <c r="AV754" s="4"/>
      <c r="AW754" s="23" t="e">
        <f>VLOOKUP(K754,#REF!,8,FALSE)</f>
        <v>#REF!</v>
      </c>
      <c r="AX754" s="23" t="e">
        <f>VLOOKUP(K754,#REF!,8,FALSE)</f>
        <v>#REF!</v>
      </c>
      <c r="AY754" s="23" t="e">
        <f>VLOOKUP(K754,#REF!,8,FALSE)</f>
        <v>#REF!</v>
      </c>
      <c r="AZ754" s="4"/>
      <c r="BA754" s="272"/>
      <c r="BB754" s="318">
        <f t="shared" si="398"/>
        <v>0</v>
      </c>
      <c r="BC754" s="269">
        <f t="shared" si="399"/>
        <v>6764.7899999999991</v>
      </c>
      <c r="BD754" t="str">
        <f t="shared" si="406"/>
        <v/>
      </c>
      <c r="BP754" s="166">
        <f t="shared" si="401"/>
        <v>6764.7899999999991</v>
      </c>
      <c r="BS754" s="165"/>
      <c r="BX754" s="495">
        <f t="shared" si="381"/>
        <v>6764.7899999999991</v>
      </c>
      <c r="BZ754" s="636">
        <f t="shared" si="382"/>
        <v>0</v>
      </c>
      <c r="CA754" s="633">
        <f t="shared" si="383"/>
        <v>0</v>
      </c>
    </row>
    <row r="755" spans="1:79" x14ac:dyDescent="0.2">
      <c r="A755" s="4">
        <v>1</v>
      </c>
      <c r="B755" s="4">
        <v>1</v>
      </c>
      <c r="C755" s="5">
        <v>41143</v>
      </c>
      <c r="D755" s="6">
        <v>41143</v>
      </c>
      <c r="E755" s="121">
        <v>43012</v>
      </c>
      <c r="F755" s="6" t="s">
        <v>1606</v>
      </c>
      <c r="G755" s="7" t="s">
        <v>75</v>
      </c>
      <c r="H755" s="7"/>
      <c r="I755" s="7" t="s">
        <v>32</v>
      </c>
      <c r="J755" s="68"/>
      <c r="K755" s="69">
        <v>438894</v>
      </c>
      <c r="L755" s="10" t="s">
        <v>1612</v>
      </c>
      <c r="M755" s="10" t="s">
        <v>1613</v>
      </c>
      <c r="N755" s="10" t="s">
        <v>1614</v>
      </c>
      <c r="O755" s="11" t="s">
        <v>1615</v>
      </c>
      <c r="P755" s="12">
        <v>43126</v>
      </c>
      <c r="Q755" s="13">
        <f t="shared" ca="1" si="387"/>
        <v>7.655030800821355</v>
      </c>
      <c r="R755" s="14">
        <v>0</v>
      </c>
      <c r="S755" s="15">
        <v>872</v>
      </c>
      <c r="T755" s="8">
        <v>872</v>
      </c>
      <c r="U755" s="16">
        <v>45017</v>
      </c>
      <c r="V755" s="17">
        <v>1</v>
      </c>
      <c r="W755" s="16">
        <v>45382</v>
      </c>
      <c r="X755" s="14">
        <v>192</v>
      </c>
      <c r="Y755" s="18">
        <f t="shared" si="407"/>
        <v>192</v>
      </c>
      <c r="Z755" s="18">
        <f t="shared" si="396"/>
        <v>1</v>
      </c>
      <c r="AA755" s="18" t="s">
        <v>36</v>
      </c>
      <c r="AB755" s="26">
        <v>25</v>
      </c>
      <c r="AC755" s="26"/>
      <c r="AD755" s="26"/>
      <c r="AE755" s="147" t="str">
        <f t="shared" si="402"/>
        <v>1</v>
      </c>
      <c r="AF755" s="147" t="str">
        <f t="shared" si="393"/>
        <v>0</v>
      </c>
      <c r="AG755" s="147" t="str">
        <f t="shared" si="403"/>
        <v>0</v>
      </c>
      <c r="AH755" s="147" t="str">
        <f t="shared" si="388"/>
        <v>NO</v>
      </c>
      <c r="AI755" s="147" t="str">
        <f t="shared" si="389"/>
        <v>NO</v>
      </c>
      <c r="AJ755" s="147" t="str">
        <f t="shared" si="390"/>
        <v>NO</v>
      </c>
      <c r="AK755" s="147" t="str">
        <f t="shared" si="391"/>
        <v>NO</v>
      </c>
      <c r="AL755" s="21"/>
      <c r="AM755" s="21">
        <f t="shared" si="404"/>
        <v>5819.25</v>
      </c>
      <c r="AN755" s="27" t="s">
        <v>37</v>
      </c>
      <c r="AO755" s="21">
        <v>1</v>
      </c>
      <c r="AP755" s="21">
        <f t="shared" si="405"/>
        <v>1</v>
      </c>
      <c r="AQ755" s="149">
        <f t="shared" si="380"/>
        <v>5819.25</v>
      </c>
      <c r="AR755" s="21">
        <v>5819.25</v>
      </c>
      <c r="AS755" s="610">
        <v>5819.25</v>
      </c>
      <c r="AT755" s="112">
        <v>5819.25</v>
      </c>
      <c r="AU755" s="4"/>
      <c r="AV755" s="4"/>
      <c r="AW755" s="23" t="e">
        <f>VLOOKUP(K755,#REF!,8,FALSE)</f>
        <v>#REF!</v>
      </c>
      <c r="AX755" s="23" t="e">
        <f>VLOOKUP(K755,#REF!,8,FALSE)</f>
        <v>#REF!</v>
      </c>
      <c r="AY755" s="23" t="e">
        <f>VLOOKUP(K755,#REF!,8,FALSE)</f>
        <v>#REF!</v>
      </c>
      <c r="AZ755" s="4"/>
      <c r="BA755" s="272"/>
      <c r="BB755" s="318">
        <f t="shared" si="398"/>
        <v>0</v>
      </c>
      <c r="BC755" s="269">
        <f t="shared" si="399"/>
        <v>5819.25</v>
      </c>
      <c r="BD755" t="str">
        <f t="shared" si="406"/>
        <v/>
      </c>
      <c r="BP755" s="166">
        <f t="shared" si="401"/>
        <v>5819.25</v>
      </c>
      <c r="BS755" s="165"/>
      <c r="BX755" s="495">
        <f t="shared" si="381"/>
        <v>5819.25</v>
      </c>
      <c r="BZ755" s="636">
        <f t="shared" si="382"/>
        <v>0</v>
      </c>
      <c r="CA755" s="633">
        <f t="shared" si="383"/>
        <v>0</v>
      </c>
    </row>
    <row r="756" spans="1:79" x14ac:dyDescent="0.2">
      <c r="A756" s="4">
        <v>1</v>
      </c>
      <c r="B756" s="4">
        <v>1</v>
      </c>
      <c r="C756" s="5">
        <v>41143</v>
      </c>
      <c r="D756" s="6">
        <v>41143</v>
      </c>
      <c r="E756" s="121">
        <v>43012</v>
      </c>
      <c r="F756" s="6" t="s">
        <v>1606</v>
      </c>
      <c r="G756" s="7" t="s">
        <v>75</v>
      </c>
      <c r="H756" s="7"/>
      <c r="I756" s="7" t="s">
        <v>32</v>
      </c>
      <c r="J756" s="68"/>
      <c r="K756" s="69">
        <v>421867</v>
      </c>
      <c r="L756" s="10" t="s">
        <v>1612</v>
      </c>
      <c r="M756" s="10" t="s">
        <v>657</v>
      </c>
      <c r="N756" s="10" t="s">
        <v>2320</v>
      </c>
      <c r="O756" s="11" t="s">
        <v>2321</v>
      </c>
      <c r="P756" s="12">
        <v>42181</v>
      </c>
      <c r="Q756" s="13">
        <f t="shared" ca="1" si="387"/>
        <v>10.242299794661191</v>
      </c>
      <c r="R756" s="14">
        <v>3</v>
      </c>
      <c r="S756" s="15">
        <v>872</v>
      </c>
      <c r="T756" s="8">
        <v>872</v>
      </c>
      <c r="U756" s="16">
        <v>45017</v>
      </c>
      <c r="V756" s="17">
        <v>1</v>
      </c>
      <c r="W756" s="16">
        <v>45382</v>
      </c>
      <c r="X756" s="14">
        <v>192</v>
      </c>
      <c r="Y756" s="18">
        <f t="shared" si="407"/>
        <v>192</v>
      </c>
      <c r="Z756" s="18">
        <f t="shared" si="396"/>
        <v>1</v>
      </c>
      <c r="AA756" s="18" t="s">
        <v>36</v>
      </c>
      <c r="AB756" s="26">
        <v>28</v>
      </c>
      <c r="AC756" s="26"/>
      <c r="AD756" s="26"/>
      <c r="AE756" s="147" t="str">
        <f t="shared" si="402"/>
        <v>0</v>
      </c>
      <c r="AF756" s="147" t="str">
        <f t="shared" si="393"/>
        <v>1</v>
      </c>
      <c r="AG756" s="147" t="str">
        <f t="shared" si="403"/>
        <v>0</v>
      </c>
      <c r="AH756" s="147" t="str">
        <f t="shared" si="388"/>
        <v>NO</v>
      </c>
      <c r="AI756" s="147" t="str">
        <f t="shared" si="389"/>
        <v>NO</v>
      </c>
      <c r="AJ756" s="147" t="str">
        <f t="shared" si="390"/>
        <v>NO</v>
      </c>
      <c r="AK756" s="147" t="str">
        <f t="shared" si="391"/>
        <v>NO</v>
      </c>
      <c r="AL756" s="21"/>
      <c r="AM756" s="21">
        <f t="shared" si="404"/>
        <v>7237.5599999999995</v>
      </c>
      <c r="AN756" s="27"/>
      <c r="AO756" s="21">
        <v>1</v>
      </c>
      <c r="AP756" s="21">
        <f t="shared" si="405"/>
        <v>1</v>
      </c>
      <c r="AQ756" s="149">
        <f t="shared" si="380"/>
        <v>7237.5599999999995</v>
      </c>
      <c r="AR756" s="21">
        <v>7237.5599999999995</v>
      </c>
      <c r="AS756" s="610">
        <v>0</v>
      </c>
      <c r="AT756" s="112">
        <v>0</v>
      </c>
      <c r="AU756" s="4"/>
      <c r="AV756" s="4"/>
      <c r="AW756" s="23"/>
      <c r="AX756" s="23"/>
      <c r="AY756" s="23"/>
      <c r="AZ756" s="4"/>
      <c r="BA756" s="272"/>
      <c r="BB756" s="318">
        <f t="shared" si="398"/>
        <v>7237.5599999999995</v>
      </c>
      <c r="BC756" s="269">
        <f t="shared" si="399"/>
        <v>7237.5599999999995</v>
      </c>
      <c r="BD756" t="str">
        <f t="shared" si="406"/>
        <v/>
      </c>
      <c r="BP756" s="166">
        <f t="shared" si="401"/>
        <v>7237.5599999999995</v>
      </c>
      <c r="BS756" s="165"/>
      <c r="BX756" s="495">
        <f t="shared" si="381"/>
        <v>7237.5599999999995</v>
      </c>
      <c r="BZ756" s="636">
        <f t="shared" si="382"/>
        <v>0</v>
      </c>
      <c r="CA756" s="633">
        <f t="shared" si="383"/>
        <v>7237.5599999999995</v>
      </c>
    </row>
    <row r="757" spans="1:79" x14ac:dyDescent="0.2">
      <c r="A757" s="4">
        <v>1</v>
      </c>
      <c r="B757" s="4">
        <v>1</v>
      </c>
      <c r="C757" s="5">
        <f t="shared" ref="C757:C788" si="408">D757*1</f>
        <v>41142</v>
      </c>
      <c r="D757" s="6">
        <v>41142</v>
      </c>
      <c r="E757" s="121">
        <v>43012</v>
      </c>
      <c r="F757" s="6" t="s">
        <v>1606</v>
      </c>
      <c r="G757" s="7" t="s">
        <v>75</v>
      </c>
      <c r="H757" s="7"/>
      <c r="I757" s="7" t="s">
        <v>32</v>
      </c>
      <c r="J757" s="7"/>
      <c r="K757" s="29">
        <v>402116</v>
      </c>
      <c r="L757" s="10" t="s">
        <v>1616</v>
      </c>
      <c r="M757" s="10" t="s">
        <v>1617</v>
      </c>
      <c r="N757" s="10" t="s">
        <v>482</v>
      </c>
      <c r="O757" s="11" t="s">
        <v>1618</v>
      </c>
      <c r="P757" s="12">
        <v>41340</v>
      </c>
      <c r="Q757" s="13">
        <f t="shared" ca="1" si="387"/>
        <v>12.544832306639288</v>
      </c>
      <c r="R757" s="14">
        <v>5</v>
      </c>
      <c r="S757" s="15">
        <v>872</v>
      </c>
      <c r="T757" s="8">
        <v>872</v>
      </c>
      <c r="U757" s="16">
        <v>45017</v>
      </c>
      <c r="V757" s="17">
        <v>1</v>
      </c>
      <c r="W757" s="16">
        <v>45382</v>
      </c>
      <c r="X757" s="14">
        <v>192</v>
      </c>
      <c r="Y757" s="18">
        <f t="shared" si="407"/>
        <v>192</v>
      </c>
      <c r="Z757" s="18">
        <f t="shared" si="396"/>
        <v>1</v>
      </c>
      <c r="AA757" s="18" t="s">
        <v>36</v>
      </c>
      <c r="AB757" s="26">
        <v>26</v>
      </c>
      <c r="AC757" s="26"/>
      <c r="AD757" s="26"/>
      <c r="AE757" s="147" t="str">
        <f t="shared" si="402"/>
        <v>0</v>
      </c>
      <c r="AF757" s="147" t="str">
        <f t="shared" si="393"/>
        <v>1</v>
      </c>
      <c r="AG757" s="147" t="str">
        <f t="shared" si="403"/>
        <v>0</v>
      </c>
      <c r="AH757" s="147" t="str">
        <f t="shared" si="388"/>
        <v>NO</v>
      </c>
      <c r="AI757" s="147" t="str">
        <f t="shared" si="389"/>
        <v>NO</v>
      </c>
      <c r="AJ757" s="147" t="str">
        <f t="shared" si="390"/>
        <v>NO</v>
      </c>
      <c r="AK757" s="147" t="str">
        <f t="shared" si="391"/>
        <v>NO</v>
      </c>
      <c r="AL757" s="21"/>
      <c r="AM757" s="21">
        <f t="shared" si="404"/>
        <v>6292.02</v>
      </c>
      <c r="AN757" s="27" t="s">
        <v>1619</v>
      </c>
      <c r="AO757" s="21">
        <v>1</v>
      </c>
      <c r="AP757" s="21">
        <f t="shared" si="405"/>
        <v>1</v>
      </c>
      <c r="AQ757" s="149">
        <f t="shared" si="380"/>
        <v>6292.02</v>
      </c>
      <c r="AR757" s="21">
        <v>6292.02</v>
      </c>
      <c r="AS757" s="610">
        <v>6292.02</v>
      </c>
      <c r="AT757" s="112">
        <v>6292.02</v>
      </c>
      <c r="AU757" s="4"/>
      <c r="AV757" s="4"/>
      <c r="AW757" s="23" t="e">
        <f>VLOOKUP(K757,#REF!,8,FALSE)</f>
        <v>#REF!</v>
      </c>
      <c r="AX757" s="23" t="e">
        <f>VLOOKUP(K757,#REF!,8,FALSE)</f>
        <v>#REF!</v>
      </c>
      <c r="AY757" s="23" t="e">
        <f>VLOOKUP(K757,#REF!,8,FALSE)</f>
        <v>#REF!</v>
      </c>
      <c r="AZ757" s="4"/>
      <c r="BA757" s="272"/>
      <c r="BB757" s="318">
        <f t="shared" si="398"/>
        <v>0</v>
      </c>
      <c r="BC757" s="269">
        <f t="shared" si="399"/>
        <v>6292.02</v>
      </c>
      <c r="BD757" t="str">
        <f t="shared" si="406"/>
        <v/>
      </c>
      <c r="BP757" s="166">
        <f t="shared" si="401"/>
        <v>6292.02</v>
      </c>
      <c r="BS757" s="165"/>
      <c r="BX757" s="495">
        <f t="shared" si="381"/>
        <v>6292.02</v>
      </c>
      <c r="BZ757" s="636">
        <f t="shared" si="382"/>
        <v>0</v>
      </c>
      <c r="CA757" s="633">
        <f t="shared" si="383"/>
        <v>0</v>
      </c>
    </row>
    <row r="758" spans="1:79" x14ac:dyDescent="0.2">
      <c r="A758" s="4">
        <v>1</v>
      </c>
      <c r="B758" s="4">
        <v>1</v>
      </c>
      <c r="C758" s="5">
        <f t="shared" si="408"/>
        <v>41142</v>
      </c>
      <c r="D758" s="6">
        <v>41142</v>
      </c>
      <c r="E758" s="121">
        <v>43012</v>
      </c>
      <c r="F758" s="6" t="s">
        <v>1606</v>
      </c>
      <c r="G758" s="7" t="s">
        <v>75</v>
      </c>
      <c r="H758" s="7"/>
      <c r="I758" s="7" t="s">
        <v>32</v>
      </c>
      <c r="J758" s="7"/>
      <c r="K758" s="29">
        <v>433726</v>
      </c>
      <c r="L758" s="10" t="s">
        <v>1616</v>
      </c>
      <c r="M758" s="10" t="s">
        <v>1620</v>
      </c>
      <c r="N758" s="10" t="s">
        <v>1621</v>
      </c>
      <c r="O758" s="11" t="s">
        <v>1622</v>
      </c>
      <c r="P758" s="12">
        <v>42300</v>
      </c>
      <c r="Q758" s="13">
        <f t="shared" ca="1" si="387"/>
        <v>9.9164955509924706</v>
      </c>
      <c r="R758" s="14">
        <v>2</v>
      </c>
      <c r="S758" s="15">
        <v>872</v>
      </c>
      <c r="T758" s="8">
        <v>872</v>
      </c>
      <c r="U758" s="16">
        <v>45017</v>
      </c>
      <c r="V758" s="17">
        <v>1</v>
      </c>
      <c r="W758" s="16">
        <v>45382</v>
      </c>
      <c r="X758" s="14">
        <v>192</v>
      </c>
      <c r="Y758" s="18">
        <f t="shared" si="407"/>
        <v>192</v>
      </c>
      <c r="Z758" s="18">
        <f t="shared" si="396"/>
        <v>1</v>
      </c>
      <c r="AA758" s="18" t="s">
        <v>36</v>
      </c>
      <c r="AB758" s="26">
        <v>30</v>
      </c>
      <c r="AC758" s="26"/>
      <c r="AD758" s="26"/>
      <c r="AE758" s="147" t="str">
        <f t="shared" si="402"/>
        <v>0</v>
      </c>
      <c r="AF758" s="147" t="str">
        <f t="shared" si="393"/>
        <v>1</v>
      </c>
      <c r="AG758" s="147" t="str">
        <f t="shared" si="403"/>
        <v>0</v>
      </c>
      <c r="AH758" s="147" t="str">
        <f t="shared" si="388"/>
        <v>NO</v>
      </c>
      <c r="AI758" s="147" t="str">
        <f t="shared" si="389"/>
        <v>NO</v>
      </c>
      <c r="AJ758" s="147" t="str">
        <f t="shared" si="390"/>
        <v>NO</v>
      </c>
      <c r="AK758" s="147" t="str">
        <f t="shared" si="391"/>
        <v>NO</v>
      </c>
      <c r="AL758" s="21"/>
      <c r="AM758" s="21">
        <f t="shared" si="404"/>
        <v>8183.0999999999985</v>
      </c>
      <c r="AN758" s="27" t="s">
        <v>81</v>
      </c>
      <c r="AO758" s="21">
        <v>1</v>
      </c>
      <c r="AP758" s="21">
        <f t="shared" si="405"/>
        <v>1</v>
      </c>
      <c r="AQ758" s="149">
        <f t="shared" si="380"/>
        <v>8183.0999999999985</v>
      </c>
      <c r="AR758" s="21">
        <v>8183.0999999999985</v>
      </c>
      <c r="AS758" s="610">
        <v>8183.0999999999985</v>
      </c>
      <c r="AT758" s="112">
        <v>8183.0999999999985</v>
      </c>
      <c r="AU758" s="4"/>
      <c r="AV758" s="4"/>
      <c r="AW758" s="23" t="e">
        <f>VLOOKUP(K758,#REF!,8,FALSE)</f>
        <v>#REF!</v>
      </c>
      <c r="AX758" s="23" t="e">
        <f>VLOOKUP(K758,#REF!,8,FALSE)</f>
        <v>#REF!</v>
      </c>
      <c r="AY758" s="23" t="e">
        <f>VLOOKUP(K758,#REF!,8,FALSE)</f>
        <v>#REF!</v>
      </c>
      <c r="AZ758" s="4"/>
      <c r="BA758" s="272"/>
      <c r="BB758" s="318">
        <f t="shared" si="398"/>
        <v>0</v>
      </c>
      <c r="BC758" s="269">
        <f t="shared" si="399"/>
        <v>8183.0999999999985</v>
      </c>
      <c r="BD758" t="str">
        <f t="shared" si="406"/>
        <v/>
      </c>
      <c r="BP758" s="166">
        <f t="shared" si="401"/>
        <v>8183.0999999999985</v>
      </c>
      <c r="BS758" s="165"/>
      <c r="BX758" s="495">
        <f t="shared" si="381"/>
        <v>8183.0999999999985</v>
      </c>
      <c r="BZ758" s="636">
        <f t="shared" si="382"/>
        <v>0</v>
      </c>
      <c r="CA758" s="633">
        <f t="shared" si="383"/>
        <v>0</v>
      </c>
    </row>
    <row r="759" spans="1:79" x14ac:dyDescent="0.2">
      <c r="A759" s="4">
        <v>1</v>
      </c>
      <c r="B759" s="4">
        <v>1</v>
      </c>
      <c r="C759" s="5">
        <f t="shared" si="408"/>
        <v>41209</v>
      </c>
      <c r="D759" s="6">
        <v>41209</v>
      </c>
      <c r="E759" s="121">
        <v>43012</v>
      </c>
      <c r="F759" s="6" t="s">
        <v>1606</v>
      </c>
      <c r="G759" s="7" t="s">
        <v>75</v>
      </c>
      <c r="H759" s="7"/>
      <c r="I759" s="7" t="s">
        <v>157</v>
      </c>
      <c r="J759" s="7"/>
      <c r="K759" s="29">
        <v>383920</v>
      </c>
      <c r="L759" s="10" t="s">
        <v>1623</v>
      </c>
      <c r="M759" s="10" t="s">
        <v>725</v>
      </c>
      <c r="N759" s="10" t="s">
        <v>302</v>
      </c>
      <c r="O759" s="11" t="s">
        <v>1624</v>
      </c>
      <c r="P759" s="12">
        <v>39976</v>
      </c>
      <c r="Q759" s="13">
        <f t="shared" ca="1" si="387"/>
        <v>16.279260780287473</v>
      </c>
      <c r="R759" s="14">
        <v>9</v>
      </c>
      <c r="S759" s="15">
        <v>872</v>
      </c>
      <c r="T759" s="8">
        <v>872</v>
      </c>
      <c r="U759" s="16">
        <v>45017</v>
      </c>
      <c r="V759" s="17">
        <v>1</v>
      </c>
      <c r="W759" s="16">
        <v>45382</v>
      </c>
      <c r="X759" s="14">
        <v>192</v>
      </c>
      <c r="Y759" s="18">
        <f t="shared" si="407"/>
        <v>192</v>
      </c>
      <c r="Z759" s="18">
        <f t="shared" si="396"/>
        <v>1</v>
      </c>
      <c r="AA759" s="18" t="s">
        <v>36</v>
      </c>
      <c r="AB759" s="26">
        <v>28</v>
      </c>
      <c r="AC759" s="26"/>
      <c r="AD759" s="26"/>
      <c r="AE759" s="147" t="str">
        <f t="shared" si="402"/>
        <v>0</v>
      </c>
      <c r="AF759" s="147" t="str">
        <f t="shared" si="393"/>
        <v>1</v>
      </c>
      <c r="AG759" s="147" t="str">
        <f t="shared" si="403"/>
        <v>0</v>
      </c>
      <c r="AH759" s="147" t="str">
        <f t="shared" si="388"/>
        <v>NO</v>
      </c>
      <c r="AI759" s="147" t="str">
        <f t="shared" si="389"/>
        <v>NO</v>
      </c>
      <c r="AJ759" s="147" t="str">
        <f t="shared" si="390"/>
        <v>NO</v>
      </c>
      <c r="AK759" s="147" t="str">
        <f t="shared" si="391"/>
        <v>NO</v>
      </c>
      <c r="AL759" s="21"/>
      <c r="AM759" s="21">
        <f t="shared" si="404"/>
        <v>7237.5599999999995</v>
      </c>
      <c r="AN759" s="27" t="s">
        <v>43</v>
      </c>
      <c r="AO759" s="21">
        <v>1</v>
      </c>
      <c r="AP759" s="21">
        <f t="shared" si="405"/>
        <v>1</v>
      </c>
      <c r="AQ759" s="149">
        <f t="shared" si="380"/>
        <v>7237.5599999999995</v>
      </c>
      <c r="AR759" s="21">
        <v>7237.5599999999995</v>
      </c>
      <c r="AS759" s="610">
        <v>7237.5599999999995</v>
      </c>
      <c r="AT759" s="112">
        <v>7237.5599999999995</v>
      </c>
      <c r="AU759" s="4"/>
      <c r="AV759" s="4"/>
      <c r="AW759" s="23" t="e">
        <f>VLOOKUP(K759,#REF!,8,FALSE)</f>
        <v>#REF!</v>
      </c>
      <c r="AX759" s="23" t="e">
        <f>VLOOKUP(K759,#REF!,8,FALSE)</f>
        <v>#REF!</v>
      </c>
      <c r="AY759" s="23" t="e">
        <f>VLOOKUP(K759,#REF!,8,FALSE)</f>
        <v>#REF!</v>
      </c>
      <c r="AZ759" s="4"/>
      <c r="BA759" s="272"/>
      <c r="BB759" s="318">
        <f t="shared" si="398"/>
        <v>0</v>
      </c>
      <c r="BC759" s="269">
        <f t="shared" si="399"/>
        <v>7237.5599999999995</v>
      </c>
      <c r="BD759" t="str">
        <f t="shared" si="406"/>
        <v/>
      </c>
      <c r="BP759" s="166">
        <f t="shared" si="401"/>
        <v>7237.5599999999995</v>
      </c>
      <c r="BS759" s="165"/>
      <c r="BX759" s="495">
        <f t="shared" si="381"/>
        <v>7237.5599999999995</v>
      </c>
      <c r="BZ759" s="636">
        <f t="shared" si="382"/>
        <v>0</v>
      </c>
      <c r="CA759" s="633">
        <f t="shared" si="383"/>
        <v>0</v>
      </c>
    </row>
    <row r="760" spans="1:79" x14ac:dyDescent="0.2">
      <c r="A760" s="4">
        <v>1</v>
      </c>
      <c r="B760" s="4">
        <v>1</v>
      </c>
      <c r="C760" s="5">
        <f t="shared" si="408"/>
        <v>41209</v>
      </c>
      <c r="D760" s="6">
        <v>41209</v>
      </c>
      <c r="E760" s="121">
        <v>43012</v>
      </c>
      <c r="F760" s="6" t="s">
        <v>1606</v>
      </c>
      <c r="G760" s="7" t="s">
        <v>75</v>
      </c>
      <c r="H760" s="7"/>
      <c r="I760" s="7" t="s">
        <v>157</v>
      </c>
      <c r="J760" s="7"/>
      <c r="K760" s="29">
        <v>397980</v>
      </c>
      <c r="L760" s="10" t="s">
        <v>1623</v>
      </c>
      <c r="M760" s="10" t="s">
        <v>115</v>
      </c>
      <c r="N760" s="10" t="s">
        <v>1625</v>
      </c>
      <c r="O760" s="11" t="s">
        <v>1626</v>
      </c>
      <c r="P760" s="12">
        <v>40684</v>
      </c>
      <c r="Q760" s="13">
        <f t="shared" ca="1" si="387"/>
        <v>14.340862422997947</v>
      </c>
      <c r="R760" s="14">
        <v>7</v>
      </c>
      <c r="S760" s="15">
        <v>872</v>
      </c>
      <c r="T760" s="8">
        <v>872</v>
      </c>
      <c r="U760" s="16">
        <v>45017</v>
      </c>
      <c r="V760" s="17">
        <v>1</v>
      </c>
      <c r="W760" s="16">
        <v>45382</v>
      </c>
      <c r="X760" s="14">
        <v>192</v>
      </c>
      <c r="Y760" s="18">
        <f t="shared" si="407"/>
        <v>192</v>
      </c>
      <c r="Z760" s="18">
        <f t="shared" si="396"/>
        <v>1</v>
      </c>
      <c r="AA760" s="18" t="s">
        <v>36</v>
      </c>
      <c r="AB760" s="26">
        <v>23</v>
      </c>
      <c r="AC760" s="26"/>
      <c r="AD760" s="26"/>
      <c r="AE760" s="147" t="str">
        <f t="shared" si="402"/>
        <v>1</v>
      </c>
      <c r="AF760" s="147" t="str">
        <f t="shared" si="393"/>
        <v>0</v>
      </c>
      <c r="AG760" s="147" t="str">
        <f t="shared" si="403"/>
        <v>0</v>
      </c>
      <c r="AH760" s="147" t="str">
        <f t="shared" si="388"/>
        <v>NO</v>
      </c>
      <c r="AI760" s="147" t="str">
        <f t="shared" si="389"/>
        <v>NO</v>
      </c>
      <c r="AJ760" s="147" t="str">
        <f t="shared" si="390"/>
        <v>NO</v>
      </c>
      <c r="AK760" s="147" t="str">
        <f t="shared" si="391"/>
        <v>NO</v>
      </c>
      <c r="AL760" s="21"/>
      <c r="AM760" s="21">
        <f t="shared" si="404"/>
        <v>4873.7099999999991</v>
      </c>
      <c r="AN760" s="27" t="s">
        <v>173</v>
      </c>
      <c r="AO760" s="21">
        <v>1</v>
      </c>
      <c r="AP760" s="21">
        <f t="shared" si="405"/>
        <v>1</v>
      </c>
      <c r="AQ760" s="149">
        <f t="shared" si="380"/>
        <v>4873.7099999999991</v>
      </c>
      <c r="AR760" s="21">
        <v>4873.7099999999991</v>
      </c>
      <c r="AS760" s="610">
        <v>4873.7099999999991</v>
      </c>
      <c r="AT760" s="112">
        <v>4873.7099999999991</v>
      </c>
      <c r="AU760" s="4"/>
      <c r="AV760" s="4"/>
      <c r="AW760" s="23" t="e">
        <f>VLOOKUP(K760,#REF!,8,FALSE)</f>
        <v>#REF!</v>
      </c>
      <c r="AX760" s="23" t="e">
        <f>VLOOKUP(K760,#REF!,8,FALSE)</f>
        <v>#REF!</v>
      </c>
      <c r="AY760" s="23" t="e">
        <f>VLOOKUP(K760,#REF!,8,FALSE)</f>
        <v>#REF!</v>
      </c>
      <c r="AZ760" s="4"/>
      <c r="BA760" s="272"/>
      <c r="BB760" s="318">
        <f t="shared" si="398"/>
        <v>0</v>
      </c>
      <c r="BC760" s="269">
        <f t="shared" si="399"/>
        <v>4873.7099999999991</v>
      </c>
      <c r="BD760" t="str">
        <f t="shared" si="406"/>
        <v/>
      </c>
      <c r="BP760" s="166">
        <f t="shared" si="401"/>
        <v>4873.7099999999991</v>
      </c>
      <c r="BS760" s="165"/>
      <c r="BX760" s="495">
        <f t="shared" si="381"/>
        <v>4873.7099999999991</v>
      </c>
      <c r="BZ760" s="636">
        <f t="shared" si="382"/>
        <v>0</v>
      </c>
      <c r="CA760" s="633">
        <f t="shared" si="383"/>
        <v>0</v>
      </c>
    </row>
    <row r="761" spans="1:79" x14ac:dyDescent="0.2">
      <c r="A761" s="4">
        <v>1</v>
      </c>
      <c r="B761" s="4">
        <v>1</v>
      </c>
      <c r="C761" s="5">
        <f t="shared" si="408"/>
        <v>41209</v>
      </c>
      <c r="D761" s="6">
        <v>41209</v>
      </c>
      <c r="E761" s="121">
        <v>43012</v>
      </c>
      <c r="F761" s="6" t="s">
        <v>1606</v>
      </c>
      <c r="G761" s="7" t="s">
        <v>75</v>
      </c>
      <c r="H761" s="7"/>
      <c r="I761" s="7" t="s">
        <v>157</v>
      </c>
      <c r="J761" s="7"/>
      <c r="K761" s="29">
        <v>383947</v>
      </c>
      <c r="L761" s="10" t="s">
        <v>1623</v>
      </c>
      <c r="M761" s="10" t="s">
        <v>115</v>
      </c>
      <c r="N761" s="10" t="s">
        <v>1627</v>
      </c>
      <c r="O761" s="11" t="s">
        <v>1628</v>
      </c>
      <c r="P761" s="12">
        <v>39931</v>
      </c>
      <c r="Q761" s="13">
        <f t="shared" ca="1" si="387"/>
        <v>16.402464065708418</v>
      </c>
      <c r="R761" s="14">
        <v>9</v>
      </c>
      <c r="S761" s="15">
        <v>872</v>
      </c>
      <c r="T761" s="8">
        <v>872</v>
      </c>
      <c r="U761" s="16">
        <v>45017</v>
      </c>
      <c r="V761" s="17">
        <v>1</v>
      </c>
      <c r="W761" s="16">
        <v>45382</v>
      </c>
      <c r="X761" s="14">
        <v>192</v>
      </c>
      <c r="Y761" s="18">
        <f t="shared" si="407"/>
        <v>192</v>
      </c>
      <c r="Z761" s="18">
        <f t="shared" si="396"/>
        <v>1</v>
      </c>
      <c r="AA761" s="18" t="s">
        <v>36</v>
      </c>
      <c r="AB761" s="26">
        <v>25</v>
      </c>
      <c r="AC761" s="26"/>
      <c r="AD761" s="26"/>
      <c r="AE761" s="147" t="str">
        <f t="shared" si="402"/>
        <v>1</v>
      </c>
      <c r="AF761" s="147" t="str">
        <f t="shared" si="393"/>
        <v>0</v>
      </c>
      <c r="AG761" s="147" t="str">
        <f t="shared" si="403"/>
        <v>0</v>
      </c>
      <c r="AH761" s="147" t="str">
        <f t="shared" si="388"/>
        <v>NO</v>
      </c>
      <c r="AI761" s="147" t="str">
        <f t="shared" si="389"/>
        <v>NO</v>
      </c>
      <c r="AJ761" s="147" t="str">
        <f t="shared" si="390"/>
        <v>NO</v>
      </c>
      <c r="AK761" s="147" t="str">
        <f t="shared" si="391"/>
        <v>NO</v>
      </c>
      <c r="AL761" s="21"/>
      <c r="AM761" s="21">
        <f t="shared" si="404"/>
        <v>5819.25</v>
      </c>
      <c r="AN761" s="27" t="s">
        <v>43</v>
      </c>
      <c r="AO761" s="21">
        <v>1</v>
      </c>
      <c r="AP761" s="21">
        <f t="shared" si="405"/>
        <v>1</v>
      </c>
      <c r="AQ761" s="149">
        <f t="shared" si="380"/>
        <v>5819.25</v>
      </c>
      <c r="AR761" s="21">
        <v>5819.25</v>
      </c>
      <c r="AS761" s="610">
        <v>5819.25</v>
      </c>
      <c r="AT761" s="112">
        <v>5819.25</v>
      </c>
      <c r="AU761" s="4"/>
      <c r="AV761" s="4"/>
      <c r="AW761" s="23" t="e">
        <f>VLOOKUP(K761,#REF!,8,FALSE)</f>
        <v>#REF!</v>
      </c>
      <c r="AX761" s="23" t="e">
        <f>VLOOKUP(K761,#REF!,8,FALSE)</f>
        <v>#REF!</v>
      </c>
      <c r="AY761" s="23" t="e">
        <f>VLOOKUP(K761,#REF!,8,FALSE)</f>
        <v>#REF!</v>
      </c>
      <c r="AZ761" s="4"/>
      <c r="BA761" s="272"/>
      <c r="BB761" s="318">
        <f t="shared" si="398"/>
        <v>0</v>
      </c>
      <c r="BC761" s="269">
        <f t="shared" si="399"/>
        <v>5819.25</v>
      </c>
      <c r="BD761" t="str">
        <f t="shared" si="406"/>
        <v/>
      </c>
      <c r="BP761" s="166">
        <f t="shared" si="401"/>
        <v>5819.25</v>
      </c>
      <c r="BS761" s="165"/>
      <c r="BX761" s="495">
        <f t="shared" si="381"/>
        <v>5819.25</v>
      </c>
      <c r="BZ761" s="636">
        <f t="shared" si="382"/>
        <v>0</v>
      </c>
      <c r="CA761" s="633">
        <f t="shared" si="383"/>
        <v>0</v>
      </c>
    </row>
    <row r="762" spans="1:79" x14ac:dyDescent="0.2">
      <c r="A762" s="4">
        <v>1</v>
      </c>
      <c r="B762" s="4">
        <v>1</v>
      </c>
      <c r="C762" s="5">
        <f t="shared" si="408"/>
        <v>41209</v>
      </c>
      <c r="D762" s="6">
        <v>41209</v>
      </c>
      <c r="E762" s="121">
        <v>43012</v>
      </c>
      <c r="F762" s="6" t="s">
        <v>1606</v>
      </c>
      <c r="G762" s="7" t="s">
        <v>75</v>
      </c>
      <c r="H762" s="7"/>
      <c r="I762" s="7" t="s">
        <v>157</v>
      </c>
      <c r="J762" s="7"/>
      <c r="K762" s="29">
        <v>369082</v>
      </c>
      <c r="L762" s="10" t="s">
        <v>1623</v>
      </c>
      <c r="M762" s="10" t="s">
        <v>1629</v>
      </c>
      <c r="N762" s="10" t="s">
        <v>1630</v>
      </c>
      <c r="O762" s="11" t="s">
        <v>1631</v>
      </c>
      <c r="P762" s="12">
        <v>39144</v>
      </c>
      <c r="Q762" s="13">
        <f t="shared" ca="1" si="387"/>
        <v>18.557152635181382</v>
      </c>
      <c r="R762" s="14">
        <v>11</v>
      </c>
      <c r="S762" s="15">
        <v>872</v>
      </c>
      <c r="T762" s="8">
        <v>872</v>
      </c>
      <c r="U762" s="16">
        <v>45017</v>
      </c>
      <c r="V762" s="17">
        <v>1</v>
      </c>
      <c r="W762" s="16">
        <v>45128</v>
      </c>
      <c r="X762" s="14">
        <v>63</v>
      </c>
      <c r="Y762" s="18">
        <f t="shared" si="407"/>
        <v>63</v>
      </c>
      <c r="Z762" s="18">
        <f t="shared" si="396"/>
        <v>0.328125</v>
      </c>
      <c r="AA762" s="16" t="s">
        <v>166</v>
      </c>
      <c r="AB762" s="26">
        <v>25</v>
      </c>
      <c r="AC762" s="26"/>
      <c r="AD762" s="26"/>
      <c r="AE762" s="147" t="str">
        <f t="shared" si="402"/>
        <v>1</v>
      </c>
      <c r="AF762" s="147" t="str">
        <f t="shared" si="393"/>
        <v>0</v>
      </c>
      <c r="AG762" s="147" t="str">
        <f t="shared" si="403"/>
        <v>0</v>
      </c>
      <c r="AH762" s="147" t="str">
        <f t="shared" si="388"/>
        <v>NO</v>
      </c>
      <c r="AI762" s="147" t="str">
        <f t="shared" si="389"/>
        <v>NO</v>
      </c>
      <c r="AJ762" s="147" t="str">
        <f t="shared" si="390"/>
        <v>NO</v>
      </c>
      <c r="AK762" s="147" t="str">
        <f t="shared" si="391"/>
        <v>NO</v>
      </c>
      <c r="AL762" s="21"/>
      <c r="AM762" s="21">
        <f t="shared" si="404"/>
        <v>5819.25</v>
      </c>
      <c r="AN762" s="27" t="s">
        <v>536</v>
      </c>
      <c r="AO762" s="21">
        <v>1</v>
      </c>
      <c r="AP762" s="21">
        <f t="shared" si="405"/>
        <v>0.328125</v>
      </c>
      <c r="AQ762" s="149">
        <f t="shared" si="380"/>
        <v>1909.44140625</v>
      </c>
      <c r="AR762" s="21">
        <v>1909.44140625</v>
      </c>
      <c r="AS762" s="610">
        <v>1909.44140625</v>
      </c>
      <c r="AT762" s="112">
        <v>1909.44140625</v>
      </c>
      <c r="AU762" s="4"/>
      <c r="AV762" s="4"/>
      <c r="AW762" s="23" t="e">
        <f>VLOOKUP(K762,#REF!,8,FALSE)</f>
        <v>#REF!</v>
      </c>
      <c r="AX762" s="23" t="e">
        <f>VLOOKUP(K762,#REF!,8,FALSE)</f>
        <v>#REF!</v>
      </c>
      <c r="AY762" s="266" t="s">
        <v>2235</v>
      </c>
      <c r="AZ762" s="268" t="s">
        <v>75</v>
      </c>
      <c r="BA762" s="274">
        <f>AM762/3*2</f>
        <v>3879.5</v>
      </c>
      <c r="BB762" s="318">
        <f t="shared" si="398"/>
        <v>0</v>
      </c>
      <c r="BC762" s="269">
        <f t="shared" si="399"/>
        <v>1909.44140625</v>
      </c>
      <c r="BD762" s="110" t="s">
        <v>2405</v>
      </c>
      <c r="BJ762">
        <f>AB762</f>
        <v>25</v>
      </c>
      <c r="BK762" s="269">
        <f>AM762</f>
        <v>5819.25</v>
      </c>
      <c r="BO762" s="106">
        <f>BK762/192*127</f>
        <v>3849.19140625</v>
      </c>
      <c r="BP762" s="166">
        <f t="shared" si="401"/>
        <v>5758.6328125</v>
      </c>
      <c r="BS762" s="165"/>
      <c r="BX762" s="495">
        <f t="shared" si="381"/>
        <v>5758.6328125</v>
      </c>
      <c r="BZ762" s="636">
        <f t="shared" si="382"/>
        <v>0</v>
      </c>
      <c r="CA762" s="633">
        <f t="shared" si="383"/>
        <v>3849.19140625</v>
      </c>
    </row>
    <row r="763" spans="1:79" x14ac:dyDescent="0.2">
      <c r="A763" s="4">
        <v>1</v>
      </c>
      <c r="B763" s="4">
        <v>1</v>
      </c>
      <c r="C763" s="5">
        <f t="shared" si="408"/>
        <v>41209</v>
      </c>
      <c r="D763" s="6">
        <v>41209</v>
      </c>
      <c r="E763" s="121">
        <v>43012</v>
      </c>
      <c r="F763" s="6" t="s">
        <v>1606</v>
      </c>
      <c r="G763" s="7" t="s">
        <v>75</v>
      </c>
      <c r="H763" s="7"/>
      <c r="I763" s="7" t="s">
        <v>157</v>
      </c>
      <c r="J763" s="7"/>
      <c r="K763" s="29">
        <v>383955</v>
      </c>
      <c r="L763" s="10" t="s">
        <v>1623</v>
      </c>
      <c r="M763" s="10" t="s">
        <v>1632</v>
      </c>
      <c r="N763" s="10" t="s">
        <v>428</v>
      </c>
      <c r="O763" s="11" t="s">
        <v>1633</v>
      </c>
      <c r="P763" s="12">
        <v>39719</v>
      </c>
      <c r="Q763" s="13">
        <f t="shared" ca="1" si="387"/>
        <v>16.982888432580424</v>
      </c>
      <c r="R763" s="14">
        <v>9</v>
      </c>
      <c r="S763" s="15">
        <v>872</v>
      </c>
      <c r="T763" s="8">
        <v>872</v>
      </c>
      <c r="U763" s="16">
        <v>45017</v>
      </c>
      <c r="V763" s="17">
        <v>1</v>
      </c>
      <c r="W763" s="16">
        <v>45382</v>
      </c>
      <c r="X763" s="14">
        <v>192</v>
      </c>
      <c r="Y763" s="18">
        <f t="shared" si="407"/>
        <v>192</v>
      </c>
      <c r="Z763" s="18">
        <f t="shared" si="396"/>
        <v>1</v>
      </c>
      <c r="AA763" s="18" t="s">
        <v>36</v>
      </c>
      <c r="AB763" s="26">
        <v>25</v>
      </c>
      <c r="AC763" s="26"/>
      <c r="AD763" s="26"/>
      <c r="AE763" s="147" t="str">
        <f t="shared" si="402"/>
        <v>1</v>
      </c>
      <c r="AF763" s="147" t="str">
        <f t="shared" si="393"/>
        <v>0</v>
      </c>
      <c r="AG763" s="147" t="str">
        <f t="shared" si="403"/>
        <v>0</v>
      </c>
      <c r="AH763" s="147" t="str">
        <f t="shared" si="388"/>
        <v>NO</v>
      </c>
      <c r="AI763" s="147" t="str">
        <f t="shared" si="389"/>
        <v>NO</v>
      </c>
      <c r="AJ763" s="147" t="str">
        <f t="shared" si="390"/>
        <v>NO</v>
      </c>
      <c r="AK763" s="147" t="str">
        <f t="shared" si="391"/>
        <v>NO</v>
      </c>
      <c r="AL763" s="21"/>
      <c r="AM763" s="21">
        <f t="shared" si="404"/>
        <v>5819.25</v>
      </c>
      <c r="AN763" s="27" t="s">
        <v>81</v>
      </c>
      <c r="AO763" s="21">
        <v>1</v>
      </c>
      <c r="AP763" s="21">
        <f t="shared" si="405"/>
        <v>1</v>
      </c>
      <c r="AQ763" s="149">
        <f t="shared" si="380"/>
        <v>5819.25</v>
      </c>
      <c r="AR763" s="21">
        <v>5819.25</v>
      </c>
      <c r="AS763" s="610">
        <v>5819.25</v>
      </c>
      <c r="AT763" s="112">
        <v>5819.25</v>
      </c>
      <c r="AU763" s="4"/>
      <c r="AV763" s="4"/>
      <c r="AW763" s="23" t="e">
        <f>VLOOKUP(K763,#REF!,8,FALSE)</f>
        <v>#REF!</v>
      </c>
      <c r="AX763" s="23" t="e">
        <f>VLOOKUP(K763,#REF!,8,FALSE)</f>
        <v>#REF!</v>
      </c>
      <c r="AY763" s="23" t="e">
        <f>VLOOKUP(K763,#REF!,8,FALSE)</f>
        <v>#REF!</v>
      </c>
      <c r="AZ763" s="4"/>
      <c r="BA763" s="272"/>
      <c r="BB763" s="318">
        <f t="shared" si="398"/>
        <v>0</v>
      </c>
      <c r="BC763" s="269">
        <f t="shared" si="399"/>
        <v>5819.25</v>
      </c>
      <c r="BD763" t="str">
        <f t="shared" ref="BD763:BD772" si="409">BG763&amp;BH763&amp;BI763</f>
        <v/>
      </c>
      <c r="BP763" s="166">
        <f t="shared" si="401"/>
        <v>5819.25</v>
      </c>
      <c r="BS763" s="165"/>
      <c r="BX763" s="495">
        <f t="shared" si="381"/>
        <v>5819.25</v>
      </c>
      <c r="BZ763" s="636">
        <f t="shared" si="382"/>
        <v>0</v>
      </c>
      <c r="CA763" s="633">
        <f t="shared" si="383"/>
        <v>0</v>
      </c>
    </row>
    <row r="764" spans="1:79" x14ac:dyDescent="0.2">
      <c r="A764" s="4">
        <v>1</v>
      </c>
      <c r="B764" s="4">
        <v>1</v>
      </c>
      <c r="C764" s="5">
        <f t="shared" si="408"/>
        <v>41209</v>
      </c>
      <c r="D764" s="6">
        <v>41209</v>
      </c>
      <c r="E764" s="121">
        <v>43012</v>
      </c>
      <c r="F764" s="6" t="s">
        <v>1606</v>
      </c>
      <c r="G764" s="7" t="s">
        <v>75</v>
      </c>
      <c r="H764" s="7"/>
      <c r="I764" s="7" t="s">
        <v>157</v>
      </c>
      <c r="J764" s="7"/>
      <c r="K764" s="29">
        <v>379178</v>
      </c>
      <c r="L764" s="46" t="s">
        <v>1623</v>
      </c>
      <c r="M764" s="10" t="s">
        <v>1634</v>
      </c>
      <c r="N764" s="10" t="s">
        <v>1635</v>
      </c>
      <c r="O764" s="11" t="s">
        <v>1636</v>
      </c>
      <c r="P764" s="12">
        <v>39805</v>
      </c>
      <c r="Q764" s="13">
        <f t="shared" ca="1" si="387"/>
        <v>16.747433264887064</v>
      </c>
      <c r="R764" s="14">
        <v>9</v>
      </c>
      <c r="S764" s="15">
        <v>872</v>
      </c>
      <c r="T764" s="8">
        <v>872</v>
      </c>
      <c r="U764" s="16">
        <v>45017</v>
      </c>
      <c r="V764" s="17">
        <v>1</v>
      </c>
      <c r="W764" s="16">
        <v>45382</v>
      </c>
      <c r="X764" s="14">
        <v>192</v>
      </c>
      <c r="Y764" s="18">
        <f t="shared" si="407"/>
        <v>192</v>
      </c>
      <c r="Z764" s="18">
        <f t="shared" ref="Z764:Z792" si="410">Y764/192</f>
        <v>1</v>
      </c>
      <c r="AA764" s="18" t="s">
        <v>36</v>
      </c>
      <c r="AB764" s="26">
        <v>25</v>
      </c>
      <c r="AC764" s="26"/>
      <c r="AD764" s="26"/>
      <c r="AE764" s="147" t="str">
        <f t="shared" si="402"/>
        <v>1</v>
      </c>
      <c r="AF764" s="147" t="str">
        <f t="shared" si="393"/>
        <v>0</v>
      </c>
      <c r="AG764" s="147" t="str">
        <f t="shared" si="403"/>
        <v>0</v>
      </c>
      <c r="AH764" s="147" t="str">
        <f t="shared" si="388"/>
        <v>NO</v>
      </c>
      <c r="AI764" s="147" t="str">
        <f t="shared" si="389"/>
        <v>NO</v>
      </c>
      <c r="AJ764" s="147" t="str">
        <f t="shared" si="390"/>
        <v>NO</v>
      </c>
      <c r="AK764" s="147" t="str">
        <f t="shared" si="391"/>
        <v>NO</v>
      </c>
      <c r="AL764" s="21"/>
      <c r="AM764" s="21">
        <f t="shared" si="404"/>
        <v>5819.25</v>
      </c>
      <c r="AN764" s="27" t="s">
        <v>536</v>
      </c>
      <c r="AO764" s="21">
        <v>1</v>
      </c>
      <c r="AP764" s="21">
        <f t="shared" si="405"/>
        <v>1</v>
      </c>
      <c r="AQ764" s="149">
        <f t="shared" si="380"/>
        <v>5819.25</v>
      </c>
      <c r="AR764" s="21">
        <v>5819.25</v>
      </c>
      <c r="AS764" s="610">
        <v>5819.25</v>
      </c>
      <c r="AT764" s="112">
        <v>5819.25</v>
      </c>
      <c r="AU764" s="4"/>
      <c r="AV764" s="4"/>
      <c r="AW764" s="23" t="e">
        <f>VLOOKUP(K764,#REF!,8,FALSE)</f>
        <v>#REF!</v>
      </c>
      <c r="AX764" s="23" t="e">
        <f>VLOOKUP(K764,#REF!,8,FALSE)</f>
        <v>#REF!</v>
      </c>
      <c r="AY764" s="23" t="e">
        <f>VLOOKUP(K764,#REF!,8,FALSE)</f>
        <v>#REF!</v>
      </c>
      <c r="AZ764" s="4"/>
      <c r="BA764" s="272"/>
      <c r="BB764" s="318">
        <f t="shared" si="398"/>
        <v>0</v>
      </c>
      <c r="BC764" s="269">
        <f t="shared" si="399"/>
        <v>5819.25</v>
      </c>
      <c r="BD764" t="str">
        <f t="shared" si="409"/>
        <v/>
      </c>
      <c r="BP764" s="166">
        <f t="shared" si="401"/>
        <v>5819.25</v>
      </c>
      <c r="BS764" s="165"/>
      <c r="BX764" s="495">
        <f t="shared" si="381"/>
        <v>5819.25</v>
      </c>
      <c r="BZ764" s="636">
        <f t="shared" si="382"/>
        <v>0</v>
      </c>
      <c r="CA764" s="633">
        <f t="shared" si="383"/>
        <v>0</v>
      </c>
    </row>
    <row r="765" spans="1:79" x14ac:dyDescent="0.2">
      <c r="A765" s="4">
        <v>1</v>
      </c>
      <c r="B765" s="4">
        <v>1</v>
      </c>
      <c r="C765" s="5">
        <f t="shared" si="408"/>
        <v>41209</v>
      </c>
      <c r="D765" s="6">
        <v>41209</v>
      </c>
      <c r="E765" s="121">
        <v>43012</v>
      </c>
      <c r="F765" s="6" t="s">
        <v>1606</v>
      </c>
      <c r="G765" s="7" t="s">
        <v>75</v>
      </c>
      <c r="H765" s="7"/>
      <c r="I765" s="7" t="s">
        <v>157</v>
      </c>
      <c r="J765" s="7"/>
      <c r="K765" s="29">
        <v>370288</v>
      </c>
      <c r="L765" s="46" t="s">
        <v>1623</v>
      </c>
      <c r="M765" s="10" t="s">
        <v>800</v>
      </c>
      <c r="N765" s="10" t="s">
        <v>252</v>
      </c>
      <c r="O765" s="11" t="s">
        <v>1637</v>
      </c>
      <c r="P765" s="12">
        <v>39302</v>
      </c>
      <c r="Q765" s="13">
        <f t="shared" ca="1" si="387"/>
        <v>18.12457221081451</v>
      </c>
      <c r="R765" s="14">
        <v>11</v>
      </c>
      <c r="S765" s="15">
        <v>872</v>
      </c>
      <c r="T765" s="8">
        <v>872</v>
      </c>
      <c r="U765" s="16">
        <v>45017</v>
      </c>
      <c r="V765" s="17">
        <v>1</v>
      </c>
      <c r="W765" s="16">
        <v>45128</v>
      </c>
      <c r="X765" s="14">
        <v>63</v>
      </c>
      <c r="Y765" s="18">
        <f t="shared" si="407"/>
        <v>63</v>
      </c>
      <c r="Z765" s="18">
        <f t="shared" si="410"/>
        <v>0.328125</v>
      </c>
      <c r="AA765" s="16" t="s">
        <v>166</v>
      </c>
      <c r="AB765" s="26">
        <v>20941.2</v>
      </c>
      <c r="AC765" s="26"/>
      <c r="AD765" s="26"/>
      <c r="AE765" s="147" t="str">
        <f t="shared" si="402"/>
        <v>0</v>
      </c>
      <c r="AF765" s="147" t="str">
        <f t="shared" si="393"/>
        <v>0</v>
      </c>
      <c r="AG765" s="147" t="str">
        <f t="shared" si="403"/>
        <v>1</v>
      </c>
      <c r="AH765" s="147" t="str">
        <f t="shared" si="388"/>
        <v>NO</v>
      </c>
      <c r="AI765" s="147" t="str">
        <f t="shared" si="389"/>
        <v>NO</v>
      </c>
      <c r="AJ765" s="147" t="str">
        <f t="shared" si="390"/>
        <v>NO</v>
      </c>
      <c r="AK765" s="147" t="str">
        <f t="shared" si="391"/>
        <v>NO</v>
      </c>
      <c r="AL765" s="21"/>
      <c r="AM765" s="21">
        <v>20941.2</v>
      </c>
      <c r="AN765" s="27" t="s">
        <v>66</v>
      </c>
      <c r="AO765" s="21">
        <v>1</v>
      </c>
      <c r="AP765" s="21">
        <f t="shared" si="405"/>
        <v>0.328125</v>
      </c>
      <c r="AQ765" s="149">
        <f t="shared" si="380"/>
        <v>6871.3312500000002</v>
      </c>
      <c r="AR765" s="21">
        <v>6871.3312500000002</v>
      </c>
      <c r="AS765" s="610">
        <v>6871.3312500000002</v>
      </c>
      <c r="AT765" s="112">
        <v>6871.3312500000002</v>
      </c>
      <c r="AU765" s="4"/>
      <c r="AV765" s="4"/>
      <c r="AW765" s="23" t="e">
        <f>VLOOKUP(K765,#REF!,8,FALSE)</f>
        <v>#REF!</v>
      </c>
      <c r="AX765" s="23" t="e">
        <f>VLOOKUP(K765,#REF!,8,FALSE)</f>
        <v>#REF!</v>
      </c>
      <c r="AY765" s="266" t="s">
        <v>2239</v>
      </c>
      <c r="AZ765" s="268" t="s">
        <v>75</v>
      </c>
      <c r="BA765" s="274">
        <f>AM765/3*2</f>
        <v>13960.800000000001</v>
      </c>
      <c r="BB765" s="318">
        <f t="shared" si="398"/>
        <v>0</v>
      </c>
      <c r="BC765" s="269">
        <f t="shared" si="399"/>
        <v>6871.3312500000002</v>
      </c>
      <c r="BD765" t="e">
        <f t="shared" si="409"/>
        <v>#REF!</v>
      </c>
      <c r="BE765" t="s">
        <v>2398</v>
      </c>
      <c r="BI765" t="e">
        <f>VLOOKUP(K765,#REF!,8,FALSE)</f>
        <v>#REF!</v>
      </c>
      <c r="BK765" s="269"/>
      <c r="BN765" s="353" t="s">
        <v>75</v>
      </c>
      <c r="BO765" s="106"/>
      <c r="BP765" s="166">
        <f t="shared" si="401"/>
        <v>6871.3312500000002</v>
      </c>
      <c r="BQ765" t="s">
        <v>2351</v>
      </c>
      <c r="BS765" s="165"/>
      <c r="BX765" s="495">
        <f t="shared" si="381"/>
        <v>6871.3312500000002</v>
      </c>
      <c r="BZ765" s="636">
        <f t="shared" si="382"/>
        <v>0</v>
      </c>
      <c r="CA765" s="633">
        <f t="shared" si="383"/>
        <v>0</v>
      </c>
    </row>
    <row r="766" spans="1:79" x14ac:dyDescent="0.2">
      <c r="A766" s="4">
        <v>1</v>
      </c>
      <c r="B766" s="4">
        <v>1</v>
      </c>
      <c r="C766" s="5">
        <f t="shared" si="408"/>
        <v>41209</v>
      </c>
      <c r="D766" s="6">
        <v>41209</v>
      </c>
      <c r="E766" s="121">
        <v>43012</v>
      </c>
      <c r="F766" s="6" t="s">
        <v>1606</v>
      </c>
      <c r="G766" s="7" t="s">
        <v>75</v>
      </c>
      <c r="H766" s="7"/>
      <c r="I766" s="7" t="s">
        <v>157</v>
      </c>
      <c r="J766" s="7"/>
      <c r="K766" s="29">
        <v>387854</v>
      </c>
      <c r="L766" s="46" t="s">
        <v>1623</v>
      </c>
      <c r="M766" s="10" t="s">
        <v>657</v>
      </c>
      <c r="N766" s="10" t="s">
        <v>1638</v>
      </c>
      <c r="O766" s="11" t="s">
        <v>1639</v>
      </c>
      <c r="P766" s="12">
        <v>40268</v>
      </c>
      <c r="Q766" s="13">
        <f t="shared" ca="1" si="387"/>
        <v>15.4798083504449</v>
      </c>
      <c r="R766" s="14">
        <v>8</v>
      </c>
      <c r="S766" s="15">
        <v>872</v>
      </c>
      <c r="T766" s="8">
        <v>872</v>
      </c>
      <c r="U766" s="16">
        <v>45017</v>
      </c>
      <c r="V766" s="17">
        <v>1</v>
      </c>
      <c r="W766" s="16">
        <v>45382</v>
      </c>
      <c r="X766" s="14">
        <v>192</v>
      </c>
      <c r="Y766" s="18">
        <f t="shared" si="407"/>
        <v>192</v>
      </c>
      <c r="Z766" s="18">
        <f t="shared" si="410"/>
        <v>1</v>
      </c>
      <c r="AA766" s="18" t="s">
        <v>36</v>
      </c>
      <c r="AB766" s="26">
        <v>21</v>
      </c>
      <c r="AC766" s="26"/>
      <c r="AD766" s="26"/>
      <c r="AE766" s="147" t="str">
        <f t="shared" si="402"/>
        <v>1</v>
      </c>
      <c r="AF766" s="147" t="str">
        <f t="shared" si="393"/>
        <v>0</v>
      </c>
      <c r="AG766" s="147" t="str">
        <f t="shared" si="403"/>
        <v>0</v>
      </c>
      <c r="AH766" s="147" t="str">
        <f t="shared" si="388"/>
        <v>NO</v>
      </c>
      <c r="AI766" s="147" t="str">
        <f t="shared" si="389"/>
        <v>NO</v>
      </c>
      <c r="AJ766" s="147" t="str">
        <f t="shared" si="390"/>
        <v>NO</v>
      </c>
      <c r="AK766" s="147" t="str">
        <f t="shared" si="391"/>
        <v>NO</v>
      </c>
      <c r="AL766" s="21"/>
      <c r="AM766" s="21">
        <f t="shared" ref="AM766:AM786" si="411">IF(H766="Y",AL766,((AB766*$O$902)-6000))</f>
        <v>3928.17</v>
      </c>
      <c r="AN766" s="27" t="s">
        <v>56</v>
      </c>
      <c r="AO766" s="21">
        <v>1</v>
      </c>
      <c r="AP766" s="21">
        <f t="shared" si="405"/>
        <v>1</v>
      </c>
      <c r="AQ766" s="149">
        <f t="shared" si="380"/>
        <v>3928.17</v>
      </c>
      <c r="AR766" s="21">
        <v>3928.17</v>
      </c>
      <c r="AS766" s="610">
        <v>3928.17</v>
      </c>
      <c r="AT766" s="112">
        <v>3928.17</v>
      </c>
      <c r="AU766" s="4"/>
      <c r="AV766" s="4"/>
      <c r="AW766" s="23" t="e">
        <f>VLOOKUP(K766,#REF!,8,FALSE)</f>
        <v>#REF!</v>
      </c>
      <c r="AX766" s="23" t="e">
        <f>VLOOKUP(K766,#REF!,8,FALSE)</f>
        <v>#REF!</v>
      </c>
      <c r="AY766" s="23" t="e">
        <f>VLOOKUP(K766,#REF!,8,FALSE)</f>
        <v>#REF!</v>
      </c>
      <c r="AZ766" s="4"/>
      <c r="BA766" s="272"/>
      <c r="BB766" s="318">
        <f t="shared" si="398"/>
        <v>0</v>
      </c>
      <c r="BC766" s="269">
        <f t="shared" si="399"/>
        <v>3928.17</v>
      </c>
      <c r="BD766" t="str">
        <f t="shared" si="409"/>
        <v/>
      </c>
      <c r="BP766" s="166">
        <f t="shared" si="401"/>
        <v>3928.17</v>
      </c>
      <c r="BS766" s="165"/>
      <c r="BX766" s="495">
        <f t="shared" si="381"/>
        <v>3928.17</v>
      </c>
      <c r="BZ766" s="636">
        <f t="shared" si="382"/>
        <v>0</v>
      </c>
      <c r="CA766" s="633">
        <f t="shared" si="383"/>
        <v>0</v>
      </c>
    </row>
    <row r="767" spans="1:79" x14ac:dyDescent="0.2">
      <c r="A767" s="4">
        <v>1</v>
      </c>
      <c r="B767" s="4">
        <v>1</v>
      </c>
      <c r="C767" s="5">
        <f t="shared" si="408"/>
        <v>41209</v>
      </c>
      <c r="D767" s="6">
        <v>41209</v>
      </c>
      <c r="E767" s="121">
        <v>43012</v>
      </c>
      <c r="F767" s="6" t="s">
        <v>1606</v>
      </c>
      <c r="G767" s="7" t="s">
        <v>75</v>
      </c>
      <c r="H767" s="7"/>
      <c r="I767" s="7" t="s">
        <v>157</v>
      </c>
      <c r="J767" s="7"/>
      <c r="K767" s="29">
        <v>384471</v>
      </c>
      <c r="L767" s="10" t="s">
        <v>1623</v>
      </c>
      <c r="M767" s="10" t="s">
        <v>1640</v>
      </c>
      <c r="N767" s="10" t="s">
        <v>1641</v>
      </c>
      <c r="O767" s="11" t="s">
        <v>1642</v>
      </c>
      <c r="P767" s="12">
        <v>39829</v>
      </c>
      <c r="Q767" s="13">
        <f t="shared" ca="1" si="387"/>
        <v>16.681724845995895</v>
      </c>
      <c r="R767" s="14">
        <v>9</v>
      </c>
      <c r="S767" s="15">
        <v>872</v>
      </c>
      <c r="T767" s="8">
        <v>872</v>
      </c>
      <c r="U767" s="16">
        <v>45017</v>
      </c>
      <c r="V767" s="17">
        <v>1</v>
      </c>
      <c r="W767" s="16">
        <v>45382</v>
      </c>
      <c r="X767" s="14">
        <v>192</v>
      </c>
      <c r="Y767" s="18">
        <f t="shared" si="407"/>
        <v>192</v>
      </c>
      <c r="Z767" s="18">
        <f t="shared" si="410"/>
        <v>1</v>
      </c>
      <c r="AA767" s="18" t="s">
        <v>36</v>
      </c>
      <c r="AB767" s="26">
        <v>26</v>
      </c>
      <c r="AC767" s="26"/>
      <c r="AD767" s="26"/>
      <c r="AE767" s="147" t="str">
        <f t="shared" si="402"/>
        <v>0</v>
      </c>
      <c r="AF767" s="147" t="str">
        <f t="shared" si="393"/>
        <v>1</v>
      </c>
      <c r="AG767" s="147" t="str">
        <f t="shared" si="403"/>
        <v>0</v>
      </c>
      <c r="AH767" s="147" t="str">
        <f t="shared" si="388"/>
        <v>NO</v>
      </c>
      <c r="AI767" s="147" t="str">
        <f t="shared" si="389"/>
        <v>NO</v>
      </c>
      <c r="AJ767" s="147" t="str">
        <f t="shared" si="390"/>
        <v>NO</v>
      </c>
      <c r="AK767" s="147" t="str">
        <f t="shared" si="391"/>
        <v>NO</v>
      </c>
      <c r="AL767" s="21"/>
      <c r="AM767" s="21">
        <f t="shared" si="411"/>
        <v>6292.02</v>
      </c>
      <c r="AN767" s="27" t="s">
        <v>56</v>
      </c>
      <c r="AO767" s="21">
        <v>1</v>
      </c>
      <c r="AP767" s="21">
        <f t="shared" si="405"/>
        <v>1</v>
      </c>
      <c r="AQ767" s="149">
        <f t="shared" si="380"/>
        <v>6292.02</v>
      </c>
      <c r="AR767" s="21">
        <v>6292.02</v>
      </c>
      <c r="AS767" s="610">
        <v>6292.02</v>
      </c>
      <c r="AT767" s="112">
        <v>6292.02</v>
      </c>
      <c r="AU767" s="4"/>
      <c r="AV767" s="4"/>
      <c r="AW767" s="23" t="e">
        <f>VLOOKUP(K767,#REF!,8,FALSE)</f>
        <v>#REF!</v>
      </c>
      <c r="AX767" s="23" t="e">
        <f>VLOOKUP(K767,#REF!,8,FALSE)</f>
        <v>#REF!</v>
      </c>
      <c r="AY767" s="23" t="e">
        <f>VLOOKUP(K767,#REF!,8,FALSE)</f>
        <v>#REF!</v>
      </c>
      <c r="AZ767" s="4"/>
      <c r="BA767" s="272"/>
      <c r="BB767" s="318">
        <f t="shared" si="398"/>
        <v>0</v>
      </c>
      <c r="BC767" s="269">
        <f t="shared" si="399"/>
        <v>6292.02</v>
      </c>
      <c r="BD767" t="str">
        <f t="shared" si="409"/>
        <v/>
      </c>
      <c r="BP767" s="166">
        <f t="shared" si="401"/>
        <v>6292.02</v>
      </c>
      <c r="BS767" s="165"/>
      <c r="BX767" s="495">
        <f t="shared" si="381"/>
        <v>6292.02</v>
      </c>
      <c r="BZ767" s="636">
        <f t="shared" si="382"/>
        <v>0</v>
      </c>
      <c r="CA767" s="633">
        <f t="shared" si="383"/>
        <v>0</v>
      </c>
    </row>
    <row r="768" spans="1:79" x14ac:dyDescent="0.2">
      <c r="A768" s="4">
        <v>1</v>
      </c>
      <c r="B768" s="4">
        <v>1</v>
      </c>
      <c r="C768" s="5">
        <f t="shared" si="408"/>
        <v>41209</v>
      </c>
      <c r="D768" s="6">
        <v>41209</v>
      </c>
      <c r="E768" s="121">
        <v>43012</v>
      </c>
      <c r="F768" s="6" t="s">
        <v>1606</v>
      </c>
      <c r="G768" s="7" t="s">
        <v>75</v>
      </c>
      <c r="H768" s="7"/>
      <c r="I768" s="7" t="s">
        <v>157</v>
      </c>
      <c r="J768" s="7"/>
      <c r="K768" s="29">
        <v>375988</v>
      </c>
      <c r="L768" s="10" t="s">
        <v>1623</v>
      </c>
      <c r="M768" s="10" t="s">
        <v>1643</v>
      </c>
      <c r="N768" s="10" t="s">
        <v>1348</v>
      </c>
      <c r="O768" s="11" t="s">
        <v>1644</v>
      </c>
      <c r="P768" s="12">
        <v>39552</v>
      </c>
      <c r="Q768" s="13">
        <f t="shared" ca="1" si="387"/>
        <v>17.440109514031484</v>
      </c>
      <c r="R768" s="14">
        <v>10</v>
      </c>
      <c r="S768" s="15">
        <v>872</v>
      </c>
      <c r="T768" s="8">
        <v>872</v>
      </c>
      <c r="U768" s="16">
        <v>45017</v>
      </c>
      <c r="V768" s="17">
        <v>1</v>
      </c>
      <c r="W768" s="16">
        <v>45382</v>
      </c>
      <c r="X768" s="14">
        <v>192</v>
      </c>
      <c r="Y768" s="18">
        <f t="shared" si="407"/>
        <v>192</v>
      </c>
      <c r="Z768" s="18">
        <f t="shared" si="410"/>
        <v>1</v>
      </c>
      <c r="AA768" s="18" t="s">
        <v>36</v>
      </c>
      <c r="AB768" s="26">
        <v>27</v>
      </c>
      <c r="AC768" s="26"/>
      <c r="AD768" s="26"/>
      <c r="AE768" s="147" t="str">
        <f t="shared" si="402"/>
        <v>0</v>
      </c>
      <c r="AF768" s="147" t="str">
        <f t="shared" si="393"/>
        <v>1</v>
      </c>
      <c r="AG768" s="147" t="str">
        <f t="shared" si="403"/>
        <v>0</v>
      </c>
      <c r="AH768" s="147" t="str">
        <f t="shared" si="388"/>
        <v>NO</v>
      </c>
      <c r="AI768" s="147" t="str">
        <f t="shared" si="389"/>
        <v>NO</v>
      </c>
      <c r="AJ768" s="147" t="str">
        <f t="shared" si="390"/>
        <v>NO</v>
      </c>
      <c r="AK768" s="147" t="str">
        <f t="shared" si="391"/>
        <v>NO</v>
      </c>
      <c r="AL768" s="21"/>
      <c r="AM768" s="21">
        <f t="shared" si="411"/>
        <v>6764.7899999999991</v>
      </c>
      <c r="AN768" s="27" t="s">
        <v>56</v>
      </c>
      <c r="AO768" s="21">
        <v>1</v>
      </c>
      <c r="AP768" s="21">
        <f t="shared" si="405"/>
        <v>1</v>
      </c>
      <c r="AQ768" s="149">
        <f t="shared" ref="AQ768:AQ831" si="412">AP768*AM768</f>
        <v>6764.7899999999991</v>
      </c>
      <c r="AR768" s="21">
        <v>6764.7899999999991</v>
      </c>
      <c r="AS768" s="610">
        <v>6764.7899999999991</v>
      </c>
      <c r="AT768" s="112">
        <v>6764.7899999999991</v>
      </c>
      <c r="AU768" s="4"/>
      <c r="AV768" s="4"/>
      <c r="AW768" s="23" t="e">
        <f>VLOOKUP(K768,#REF!,8,FALSE)</f>
        <v>#REF!</v>
      </c>
      <c r="AX768" s="23" t="e">
        <f>VLOOKUP(K768,#REF!,8,FALSE)</f>
        <v>#REF!</v>
      </c>
      <c r="AY768" s="23" t="e">
        <f>VLOOKUP(K768,#REF!,8,FALSE)</f>
        <v>#REF!</v>
      </c>
      <c r="AZ768" s="4"/>
      <c r="BA768" s="272"/>
      <c r="BB768" s="318">
        <f t="shared" si="398"/>
        <v>0</v>
      </c>
      <c r="BC768" s="269">
        <f t="shared" si="399"/>
        <v>6764.7899999999991</v>
      </c>
      <c r="BD768" t="str">
        <f t="shared" si="409"/>
        <v/>
      </c>
      <c r="BP768" s="166">
        <f t="shared" si="401"/>
        <v>6764.7899999999991</v>
      </c>
      <c r="BS768" s="165"/>
      <c r="BX768" s="495">
        <f t="shared" si="381"/>
        <v>6764.7899999999991</v>
      </c>
      <c r="BZ768" s="636">
        <f t="shared" si="382"/>
        <v>0</v>
      </c>
      <c r="CA768" s="633">
        <f t="shared" si="383"/>
        <v>0</v>
      </c>
    </row>
    <row r="769" spans="1:79" x14ac:dyDescent="0.2">
      <c r="A769" s="4">
        <v>1</v>
      </c>
      <c r="B769" s="4">
        <v>1</v>
      </c>
      <c r="C769" s="5">
        <f t="shared" si="408"/>
        <v>41209</v>
      </c>
      <c r="D769" s="6">
        <v>41209</v>
      </c>
      <c r="E769" s="121">
        <v>43012</v>
      </c>
      <c r="F769" s="6" t="s">
        <v>1606</v>
      </c>
      <c r="G769" s="7" t="s">
        <v>75</v>
      </c>
      <c r="H769" s="7"/>
      <c r="I769" s="7" t="s">
        <v>157</v>
      </c>
      <c r="J769" s="7"/>
      <c r="K769" s="29">
        <v>376703</v>
      </c>
      <c r="L769" s="46" t="s">
        <v>1623</v>
      </c>
      <c r="M769" s="10" t="s">
        <v>924</v>
      </c>
      <c r="N769" s="10" t="s">
        <v>1645</v>
      </c>
      <c r="O769" s="11" t="s">
        <v>1646</v>
      </c>
      <c r="P769" s="12">
        <v>39610</v>
      </c>
      <c r="Q769" s="13">
        <f t="shared" ca="1" si="387"/>
        <v>17.281314168377822</v>
      </c>
      <c r="R769" s="14">
        <v>10</v>
      </c>
      <c r="S769" s="15">
        <v>872</v>
      </c>
      <c r="T769" s="8">
        <v>872</v>
      </c>
      <c r="U769" s="16">
        <v>45017</v>
      </c>
      <c r="V769" s="17">
        <v>1</v>
      </c>
      <c r="W769" s="16">
        <v>45382</v>
      </c>
      <c r="X769" s="14">
        <v>192</v>
      </c>
      <c r="Y769" s="18">
        <f t="shared" si="407"/>
        <v>192</v>
      </c>
      <c r="Z769" s="18">
        <f t="shared" si="410"/>
        <v>1</v>
      </c>
      <c r="AA769" s="18" t="s">
        <v>36</v>
      </c>
      <c r="AB769" s="26">
        <v>22</v>
      </c>
      <c r="AC769" s="26"/>
      <c r="AD769" s="26"/>
      <c r="AE769" s="147" t="str">
        <f t="shared" si="402"/>
        <v>1</v>
      </c>
      <c r="AF769" s="147" t="str">
        <f t="shared" si="393"/>
        <v>0</v>
      </c>
      <c r="AG769" s="147" t="str">
        <f t="shared" si="403"/>
        <v>0</v>
      </c>
      <c r="AH769" s="147" t="str">
        <f t="shared" si="388"/>
        <v>NO</v>
      </c>
      <c r="AI769" s="147" t="str">
        <f t="shared" si="389"/>
        <v>NO</v>
      </c>
      <c r="AJ769" s="147" t="str">
        <f t="shared" si="390"/>
        <v>NO</v>
      </c>
      <c r="AK769" s="147" t="str">
        <f t="shared" si="391"/>
        <v>NO</v>
      </c>
      <c r="AL769" s="21"/>
      <c r="AM769" s="21">
        <f t="shared" si="411"/>
        <v>4400.9399999999987</v>
      </c>
      <c r="AN769" s="27" t="s">
        <v>536</v>
      </c>
      <c r="AO769" s="21">
        <v>1</v>
      </c>
      <c r="AP769" s="21">
        <f t="shared" si="405"/>
        <v>1</v>
      </c>
      <c r="AQ769" s="149">
        <f t="shared" si="412"/>
        <v>4400.9399999999987</v>
      </c>
      <c r="AR769" s="21">
        <v>4400.9399999999987</v>
      </c>
      <c r="AS769" s="610">
        <v>4400.9399999999987</v>
      </c>
      <c r="AT769" s="112">
        <v>4400.9399999999987</v>
      </c>
      <c r="AU769" s="4"/>
      <c r="AV769" s="4"/>
      <c r="AW769" s="23" t="e">
        <f>VLOOKUP(K769,#REF!,8,FALSE)</f>
        <v>#REF!</v>
      </c>
      <c r="AX769" s="23" t="e">
        <f>VLOOKUP(K769,#REF!,8,FALSE)</f>
        <v>#REF!</v>
      </c>
      <c r="AY769" s="23" t="e">
        <f>VLOOKUP(K769,#REF!,8,FALSE)</f>
        <v>#REF!</v>
      </c>
      <c r="AZ769" s="4"/>
      <c r="BA769" s="272"/>
      <c r="BB769" s="318">
        <f t="shared" si="398"/>
        <v>0</v>
      </c>
      <c r="BC769" s="269">
        <f t="shared" si="399"/>
        <v>4400.9399999999987</v>
      </c>
      <c r="BD769" t="str">
        <f t="shared" si="409"/>
        <v/>
      </c>
      <c r="BP769" s="166">
        <f t="shared" si="401"/>
        <v>4400.9399999999987</v>
      </c>
      <c r="BS769" s="165"/>
      <c r="BX769" s="495">
        <f t="shared" ref="BX769:BX832" si="413">AQ769+BO769+BU769</f>
        <v>4400.9399999999987</v>
      </c>
      <c r="BZ769" s="636">
        <f t="shared" si="382"/>
        <v>0</v>
      </c>
      <c r="CA769" s="633">
        <f t="shared" si="383"/>
        <v>0</v>
      </c>
    </row>
    <row r="770" spans="1:79" x14ac:dyDescent="0.2">
      <c r="A770" s="4">
        <v>1</v>
      </c>
      <c r="B770" s="4">
        <v>1</v>
      </c>
      <c r="C770" s="5">
        <f t="shared" si="408"/>
        <v>41209</v>
      </c>
      <c r="D770" s="6">
        <v>41209</v>
      </c>
      <c r="E770" s="121">
        <v>43012</v>
      </c>
      <c r="F770" s="6" t="s">
        <v>1606</v>
      </c>
      <c r="G770" s="7" t="s">
        <v>75</v>
      </c>
      <c r="H770" s="7"/>
      <c r="I770" s="7" t="s">
        <v>157</v>
      </c>
      <c r="J770" s="7"/>
      <c r="K770" s="29">
        <v>387741</v>
      </c>
      <c r="L770" s="46" t="s">
        <v>1623</v>
      </c>
      <c r="M770" s="10" t="s">
        <v>1079</v>
      </c>
      <c r="N770" s="10" t="s">
        <v>1647</v>
      </c>
      <c r="O770" s="11" t="s">
        <v>1648</v>
      </c>
      <c r="P770" s="12">
        <v>40197</v>
      </c>
      <c r="Q770" s="13">
        <f t="shared" ca="1" si="387"/>
        <v>15.674195756331279</v>
      </c>
      <c r="R770" s="14">
        <v>8</v>
      </c>
      <c r="S770" s="15">
        <v>872</v>
      </c>
      <c r="T770" s="8">
        <v>872</v>
      </c>
      <c r="U770" s="16">
        <v>45017</v>
      </c>
      <c r="V770" s="17">
        <v>1</v>
      </c>
      <c r="W770" s="16">
        <v>45382</v>
      </c>
      <c r="X770" s="14">
        <v>192</v>
      </c>
      <c r="Y770" s="18">
        <f t="shared" si="407"/>
        <v>192</v>
      </c>
      <c r="Z770" s="18">
        <f t="shared" si="410"/>
        <v>1</v>
      </c>
      <c r="AA770" s="18" t="s">
        <v>36</v>
      </c>
      <c r="AB770" s="26">
        <v>25</v>
      </c>
      <c r="AC770" s="26"/>
      <c r="AD770" s="26"/>
      <c r="AE770" s="147" t="str">
        <f t="shared" si="402"/>
        <v>1</v>
      </c>
      <c r="AF770" s="147" t="str">
        <f t="shared" si="393"/>
        <v>0</v>
      </c>
      <c r="AG770" s="147" t="str">
        <f t="shared" si="403"/>
        <v>0</v>
      </c>
      <c r="AH770" s="147" t="str">
        <f t="shared" si="388"/>
        <v>NO</v>
      </c>
      <c r="AI770" s="147" t="str">
        <f t="shared" si="389"/>
        <v>NO</v>
      </c>
      <c r="AJ770" s="147" t="str">
        <f t="shared" si="390"/>
        <v>NO</v>
      </c>
      <c r="AK770" s="147" t="str">
        <f t="shared" si="391"/>
        <v>NO</v>
      </c>
      <c r="AL770" s="21"/>
      <c r="AM770" s="21">
        <f t="shared" si="411"/>
        <v>5819.25</v>
      </c>
      <c r="AN770" s="27" t="s">
        <v>66</v>
      </c>
      <c r="AO770" s="21">
        <v>1</v>
      </c>
      <c r="AP770" s="21">
        <f t="shared" si="405"/>
        <v>1</v>
      </c>
      <c r="AQ770" s="149">
        <f t="shared" si="412"/>
        <v>5819.25</v>
      </c>
      <c r="AR770" s="21">
        <v>5819.25</v>
      </c>
      <c r="AS770" s="610">
        <v>5819.25</v>
      </c>
      <c r="AT770" s="112">
        <v>5819.25</v>
      </c>
      <c r="AU770" s="4"/>
      <c r="AV770" s="4"/>
      <c r="AW770" s="23" t="e">
        <f>VLOOKUP(K770,#REF!,8,FALSE)</f>
        <v>#REF!</v>
      </c>
      <c r="AX770" s="23" t="e">
        <f>VLOOKUP(K770,#REF!,8,FALSE)</f>
        <v>#REF!</v>
      </c>
      <c r="AY770" s="23" t="e">
        <f>VLOOKUP(K770,#REF!,8,FALSE)</f>
        <v>#REF!</v>
      </c>
      <c r="AZ770" s="4"/>
      <c r="BA770" s="272"/>
      <c r="BB770" s="318">
        <f t="shared" si="398"/>
        <v>0</v>
      </c>
      <c r="BC770" s="269">
        <f t="shared" si="399"/>
        <v>5819.25</v>
      </c>
      <c r="BD770" t="str">
        <f t="shared" si="409"/>
        <v/>
      </c>
      <c r="BP770" s="166">
        <f t="shared" si="401"/>
        <v>5819.25</v>
      </c>
      <c r="BS770" s="165"/>
      <c r="BX770" s="495">
        <f t="shared" si="413"/>
        <v>5819.25</v>
      </c>
      <c r="BZ770" s="636">
        <f t="shared" si="382"/>
        <v>0</v>
      </c>
      <c r="CA770" s="633">
        <f t="shared" si="383"/>
        <v>0</v>
      </c>
    </row>
    <row r="771" spans="1:79" x14ac:dyDescent="0.2">
      <c r="A771" s="4">
        <v>1</v>
      </c>
      <c r="B771" s="4">
        <v>1</v>
      </c>
      <c r="C771" s="59">
        <f t="shared" si="408"/>
        <v>41209</v>
      </c>
      <c r="D771" s="60">
        <v>41209</v>
      </c>
      <c r="E771" s="121">
        <v>43012</v>
      </c>
      <c r="F771" s="60" t="s">
        <v>1606</v>
      </c>
      <c r="G771" s="61" t="s">
        <v>75</v>
      </c>
      <c r="H771" s="61"/>
      <c r="I771" s="61" t="s">
        <v>157</v>
      </c>
      <c r="J771" s="61"/>
      <c r="K771" s="28">
        <v>373783</v>
      </c>
      <c r="L771" s="99" t="s">
        <v>1623</v>
      </c>
      <c r="M771" s="10" t="s">
        <v>1649</v>
      </c>
      <c r="N771" s="10" t="s">
        <v>1650</v>
      </c>
      <c r="O771" s="25" t="s">
        <v>1651</v>
      </c>
      <c r="P771" s="12">
        <v>39415</v>
      </c>
      <c r="Q771" s="13">
        <f t="shared" ca="1" si="387"/>
        <v>17.815195071868583</v>
      </c>
      <c r="R771" s="14">
        <v>10</v>
      </c>
      <c r="S771" s="62">
        <v>872</v>
      </c>
      <c r="T771" s="63">
        <v>872</v>
      </c>
      <c r="U771" s="39">
        <v>45017</v>
      </c>
      <c r="V771" s="17">
        <v>1</v>
      </c>
      <c r="W771" s="39">
        <v>45138</v>
      </c>
      <c r="X771" s="14">
        <v>63</v>
      </c>
      <c r="Y771" s="64">
        <f t="shared" si="407"/>
        <v>63</v>
      </c>
      <c r="Z771" s="64">
        <f t="shared" si="410"/>
        <v>0.328125</v>
      </c>
      <c r="AA771" s="39">
        <v>45138</v>
      </c>
      <c r="AB771" s="26">
        <v>21</v>
      </c>
      <c r="AC771" s="26"/>
      <c r="AD771" s="26"/>
      <c r="AE771" s="147" t="str">
        <f t="shared" si="402"/>
        <v>1</v>
      </c>
      <c r="AF771" s="147" t="str">
        <f t="shared" si="393"/>
        <v>0</v>
      </c>
      <c r="AG771" s="147" t="str">
        <f t="shared" si="403"/>
        <v>0</v>
      </c>
      <c r="AH771" s="147" t="str">
        <f t="shared" si="388"/>
        <v>NO</v>
      </c>
      <c r="AI771" s="147" t="str">
        <f t="shared" si="389"/>
        <v>NO</v>
      </c>
      <c r="AJ771" s="147" t="str">
        <f t="shared" si="390"/>
        <v>NO</v>
      </c>
      <c r="AK771" s="147" t="str">
        <f t="shared" si="391"/>
        <v>NO</v>
      </c>
      <c r="AL771" s="48"/>
      <c r="AM771" s="48">
        <f t="shared" si="411"/>
        <v>3928.17</v>
      </c>
      <c r="AN771" s="65" t="s">
        <v>56</v>
      </c>
      <c r="AO771" s="48">
        <v>1</v>
      </c>
      <c r="AP771" s="48">
        <f t="shared" si="405"/>
        <v>0.328125</v>
      </c>
      <c r="AQ771" s="149">
        <f t="shared" si="412"/>
        <v>1288.9307812500001</v>
      </c>
      <c r="AR771" s="48">
        <v>1288.9307812500001</v>
      </c>
      <c r="AS771" s="611">
        <v>1288.9307812500001</v>
      </c>
      <c r="AT771" s="112">
        <v>1288.9307812500001</v>
      </c>
      <c r="AU771" s="4" t="s">
        <v>2193</v>
      </c>
      <c r="AV771" s="4">
        <v>16449.5</v>
      </c>
      <c r="AW771" s="23" t="e">
        <f>VLOOKUP(K771,#REF!,8,FALSE)</f>
        <v>#REF!</v>
      </c>
      <c r="AX771" s="23" t="e">
        <f>VLOOKUP(K771,#REF!,8,FALSE)</f>
        <v>#REF!</v>
      </c>
      <c r="AY771" s="23" t="e">
        <f>VLOOKUP(K771,#REF!,8,FALSE)</f>
        <v>#REF!</v>
      </c>
      <c r="AZ771" s="4"/>
      <c r="BA771" s="272"/>
      <c r="BB771" s="318">
        <f t="shared" si="398"/>
        <v>0</v>
      </c>
      <c r="BC771" s="269">
        <f t="shared" si="399"/>
        <v>1288.9307812500001</v>
      </c>
      <c r="BD771" t="str">
        <f t="shared" si="409"/>
        <v/>
      </c>
      <c r="BJ771">
        <f>AB771</f>
        <v>21</v>
      </c>
      <c r="BK771" s="269">
        <f>AM771</f>
        <v>3928.17</v>
      </c>
      <c r="BO771" s="106">
        <f>BK771/192*127</f>
        <v>2598.32078125</v>
      </c>
      <c r="BP771" s="166">
        <f t="shared" si="401"/>
        <v>3887.2515625000001</v>
      </c>
      <c r="BS771" s="165"/>
      <c r="BX771" s="495">
        <f t="shared" si="413"/>
        <v>3887.2515625000001</v>
      </c>
      <c r="BZ771" s="636">
        <f t="shared" ref="BZ771:BZ834" si="414">BX771-BP771</f>
        <v>0</v>
      </c>
      <c r="CA771" s="633">
        <f t="shared" ref="CA771:CA834" si="415">BX771-AS771</f>
        <v>2598.32078125</v>
      </c>
    </row>
    <row r="772" spans="1:79" x14ac:dyDescent="0.2">
      <c r="A772" s="4">
        <v>1</v>
      </c>
      <c r="B772" s="4">
        <v>1</v>
      </c>
      <c r="C772" s="5">
        <f t="shared" si="408"/>
        <v>41209</v>
      </c>
      <c r="D772" s="6">
        <v>41209</v>
      </c>
      <c r="E772" s="121">
        <v>43012</v>
      </c>
      <c r="F772" s="6" t="s">
        <v>1606</v>
      </c>
      <c r="G772" s="7" t="s">
        <v>75</v>
      </c>
      <c r="H772" s="7"/>
      <c r="I772" s="7" t="s">
        <v>157</v>
      </c>
      <c r="J772" s="7"/>
      <c r="K772" s="29">
        <v>372320</v>
      </c>
      <c r="L772" s="46" t="s">
        <v>1623</v>
      </c>
      <c r="M772" s="10" t="s">
        <v>1536</v>
      </c>
      <c r="N772" s="10" t="s">
        <v>1652</v>
      </c>
      <c r="O772" s="11" t="s">
        <v>1653</v>
      </c>
      <c r="P772" s="12">
        <v>39330</v>
      </c>
      <c r="Q772" s="13">
        <f t="shared" ca="1" si="387"/>
        <v>18.047912388774812</v>
      </c>
      <c r="R772" s="14">
        <v>10</v>
      </c>
      <c r="S772" s="15">
        <v>872</v>
      </c>
      <c r="T772" s="8">
        <v>872</v>
      </c>
      <c r="U772" s="16">
        <v>45017</v>
      </c>
      <c r="V772" s="17">
        <v>1</v>
      </c>
      <c r="W772" s="16">
        <v>45382</v>
      </c>
      <c r="X772" s="14">
        <v>192</v>
      </c>
      <c r="Y772" s="18">
        <f t="shared" si="407"/>
        <v>192</v>
      </c>
      <c r="Z772" s="18">
        <f t="shared" si="410"/>
        <v>1</v>
      </c>
      <c r="AA772" s="18" t="s">
        <v>36</v>
      </c>
      <c r="AB772" s="26">
        <v>24</v>
      </c>
      <c r="AC772" s="26"/>
      <c r="AD772" s="26"/>
      <c r="AE772" s="147" t="str">
        <f t="shared" si="402"/>
        <v>1</v>
      </c>
      <c r="AF772" s="147" t="str">
        <f t="shared" si="393"/>
        <v>0</v>
      </c>
      <c r="AG772" s="147" t="str">
        <f t="shared" si="403"/>
        <v>0</v>
      </c>
      <c r="AH772" s="147" t="str">
        <f t="shared" si="388"/>
        <v>NO</v>
      </c>
      <c r="AI772" s="147" t="str">
        <f t="shared" si="389"/>
        <v>NO</v>
      </c>
      <c r="AJ772" s="147" t="str">
        <f t="shared" si="390"/>
        <v>NO</v>
      </c>
      <c r="AK772" s="147" t="str">
        <f t="shared" si="391"/>
        <v>NO</v>
      </c>
      <c r="AL772" s="21"/>
      <c r="AM772" s="21">
        <f t="shared" si="411"/>
        <v>5346.48</v>
      </c>
      <c r="AN772" s="27" t="s">
        <v>37</v>
      </c>
      <c r="AO772" s="21">
        <v>1</v>
      </c>
      <c r="AP772" s="21">
        <f t="shared" si="405"/>
        <v>1</v>
      </c>
      <c r="AQ772" s="149">
        <f t="shared" si="412"/>
        <v>5346.48</v>
      </c>
      <c r="AR772" s="21">
        <v>5346.48</v>
      </c>
      <c r="AS772" s="610">
        <v>5346.48</v>
      </c>
      <c r="AT772" s="112">
        <v>5346.48</v>
      </c>
      <c r="AU772" s="4"/>
      <c r="AV772" s="4"/>
      <c r="AW772" s="23" t="e">
        <f>VLOOKUP(K772,#REF!,8,FALSE)</f>
        <v>#REF!</v>
      </c>
      <c r="AX772" s="23" t="e">
        <f>VLOOKUP(K772,#REF!,8,FALSE)</f>
        <v>#REF!</v>
      </c>
      <c r="AY772" s="23" t="e">
        <f>VLOOKUP(K772,#REF!,8,FALSE)</f>
        <v>#REF!</v>
      </c>
      <c r="AZ772" s="4"/>
      <c r="BA772" s="272"/>
      <c r="BB772" s="318">
        <f t="shared" si="398"/>
        <v>0</v>
      </c>
      <c r="BC772" s="269">
        <f t="shared" si="399"/>
        <v>5346.48</v>
      </c>
      <c r="BD772" t="str">
        <f t="shared" si="409"/>
        <v/>
      </c>
      <c r="BP772" s="166">
        <f t="shared" si="401"/>
        <v>5346.48</v>
      </c>
      <c r="BS772" s="165"/>
      <c r="BX772" s="495">
        <f t="shared" si="413"/>
        <v>5346.48</v>
      </c>
      <c r="BZ772" s="636">
        <f t="shared" si="414"/>
        <v>0</v>
      </c>
      <c r="CA772" s="633">
        <f t="shared" si="415"/>
        <v>0</v>
      </c>
    </row>
    <row r="773" spans="1:79" x14ac:dyDescent="0.2">
      <c r="A773" s="4">
        <v>1</v>
      </c>
      <c r="B773" s="4">
        <v>1</v>
      </c>
      <c r="C773" s="5">
        <f t="shared" si="408"/>
        <v>41209</v>
      </c>
      <c r="D773" s="6">
        <v>41209</v>
      </c>
      <c r="E773" s="121">
        <v>43012</v>
      </c>
      <c r="F773" s="6" t="s">
        <v>1606</v>
      </c>
      <c r="G773" s="7" t="s">
        <v>75</v>
      </c>
      <c r="H773" s="7"/>
      <c r="I773" s="33" t="s">
        <v>270</v>
      </c>
      <c r="J773" s="33"/>
      <c r="K773" s="29">
        <v>357674</v>
      </c>
      <c r="L773" s="46" t="s">
        <v>1623</v>
      </c>
      <c r="M773" s="10" t="s">
        <v>1654</v>
      </c>
      <c r="N773" s="10" t="s">
        <v>1655</v>
      </c>
      <c r="O773" s="11" t="s">
        <v>1656</v>
      </c>
      <c r="P773" s="12">
        <v>38383</v>
      </c>
      <c r="Q773" s="13">
        <f t="shared" ca="1" si="387"/>
        <v>20.640657084188913</v>
      </c>
      <c r="R773" s="14">
        <v>13</v>
      </c>
      <c r="S773" s="15">
        <v>872</v>
      </c>
      <c r="T773" s="8">
        <v>872</v>
      </c>
      <c r="U773" s="16">
        <v>45017</v>
      </c>
      <c r="V773" s="17">
        <v>1</v>
      </c>
      <c r="W773" s="16">
        <v>45128</v>
      </c>
      <c r="X773" s="14">
        <v>63</v>
      </c>
      <c r="Y773" s="18">
        <f t="shared" si="407"/>
        <v>63</v>
      </c>
      <c r="Z773" s="18">
        <f t="shared" si="410"/>
        <v>0.328125</v>
      </c>
      <c r="AA773" s="16" t="s">
        <v>270</v>
      </c>
      <c r="AB773" s="26">
        <v>30</v>
      </c>
      <c r="AC773" s="26"/>
      <c r="AD773" s="26"/>
      <c r="AE773" s="147" t="str">
        <f t="shared" si="402"/>
        <v>0</v>
      </c>
      <c r="AF773" s="147" t="str">
        <f t="shared" si="393"/>
        <v>1</v>
      </c>
      <c r="AG773" s="147" t="str">
        <f t="shared" si="403"/>
        <v>0</v>
      </c>
      <c r="AH773" s="147" t="str">
        <f t="shared" si="388"/>
        <v>NO</v>
      </c>
      <c r="AI773" s="147" t="str">
        <f t="shared" si="389"/>
        <v>NO</v>
      </c>
      <c r="AJ773" s="147" t="str">
        <f t="shared" si="390"/>
        <v>NO</v>
      </c>
      <c r="AK773" s="147" t="str">
        <f t="shared" si="391"/>
        <v>NO</v>
      </c>
      <c r="AL773" s="21"/>
      <c r="AM773" s="21">
        <f t="shared" si="411"/>
        <v>8183.0999999999985</v>
      </c>
      <c r="AN773" s="27"/>
      <c r="AO773" s="21">
        <v>1</v>
      </c>
      <c r="AP773" s="21">
        <f t="shared" si="405"/>
        <v>0.328125</v>
      </c>
      <c r="AQ773" s="149">
        <f t="shared" si="412"/>
        <v>2685.0796874999996</v>
      </c>
      <c r="AR773" s="21">
        <v>2685.0796874999996</v>
      </c>
      <c r="AS773" s="610">
        <v>2685.0796874999996</v>
      </c>
      <c r="AT773" s="112">
        <v>2685.0796874999996</v>
      </c>
      <c r="AU773" s="4"/>
      <c r="AV773" s="4"/>
      <c r="AW773" s="23" t="e">
        <f>VLOOKUP(K773,#REF!,8,FALSE)</f>
        <v>#REF!</v>
      </c>
      <c r="AX773" s="23" t="e">
        <f>VLOOKUP(K773,#REF!,8,FALSE)</f>
        <v>#REF!</v>
      </c>
      <c r="AY773" s="23" t="e">
        <f>VLOOKUP(K773,#REF!,8,FALSE)</f>
        <v>#REF!</v>
      </c>
      <c r="AZ773" s="4"/>
      <c r="BA773" s="272"/>
      <c r="BB773" s="318">
        <f t="shared" si="398"/>
        <v>0</v>
      </c>
      <c r="BC773" s="269">
        <f t="shared" si="399"/>
        <v>2685.0796874999996</v>
      </c>
      <c r="BD773" s="110" t="s">
        <v>2405</v>
      </c>
      <c r="BJ773">
        <f>AB773</f>
        <v>30</v>
      </c>
      <c r="BK773" s="269">
        <f>AM773</f>
        <v>8183.0999999999985</v>
      </c>
      <c r="BO773" s="106">
        <f>BK773/192*127</f>
        <v>5412.7796874999985</v>
      </c>
      <c r="BP773" s="166">
        <f t="shared" si="401"/>
        <v>8097.8593749999982</v>
      </c>
      <c r="BS773" s="165"/>
      <c r="BX773" s="495">
        <f t="shared" si="413"/>
        <v>8097.8593749999982</v>
      </c>
      <c r="BZ773" s="636">
        <f t="shared" si="414"/>
        <v>0</v>
      </c>
      <c r="CA773" s="633">
        <f t="shared" si="415"/>
        <v>5412.7796874999985</v>
      </c>
    </row>
    <row r="774" spans="1:79" x14ac:dyDescent="0.2">
      <c r="A774" s="4">
        <v>1</v>
      </c>
      <c r="B774" s="4">
        <v>1</v>
      </c>
      <c r="C774" s="5">
        <f t="shared" si="408"/>
        <v>41209</v>
      </c>
      <c r="D774" s="6">
        <v>41209</v>
      </c>
      <c r="E774" s="121">
        <v>43012</v>
      </c>
      <c r="F774" s="6" t="s">
        <v>1606</v>
      </c>
      <c r="G774" s="7" t="s">
        <v>75</v>
      </c>
      <c r="H774" s="7"/>
      <c r="I774" s="7" t="s">
        <v>157</v>
      </c>
      <c r="J774" s="7"/>
      <c r="K774" s="29">
        <v>380269</v>
      </c>
      <c r="L774" s="10" t="s">
        <v>1623</v>
      </c>
      <c r="M774" s="10" t="s">
        <v>1657</v>
      </c>
      <c r="N774" s="10" t="s">
        <v>1658</v>
      </c>
      <c r="O774" s="11" t="s">
        <v>1659</v>
      </c>
      <c r="P774" s="12">
        <v>39885</v>
      </c>
      <c r="Q774" s="13">
        <f t="shared" ca="1" si="387"/>
        <v>16.528405201916495</v>
      </c>
      <c r="R774" s="14">
        <v>9</v>
      </c>
      <c r="S774" s="15">
        <v>872</v>
      </c>
      <c r="T774" s="8">
        <v>872</v>
      </c>
      <c r="U774" s="16">
        <v>45017</v>
      </c>
      <c r="V774" s="17">
        <v>1</v>
      </c>
      <c r="W774" s="16">
        <v>45382</v>
      </c>
      <c r="X774" s="14">
        <v>192</v>
      </c>
      <c r="Y774" s="18">
        <f t="shared" si="407"/>
        <v>192</v>
      </c>
      <c r="Z774" s="18">
        <f t="shared" si="410"/>
        <v>1</v>
      </c>
      <c r="AA774" s="18" t="s">
        <v>36</v>
      </c>
      <c r="AB774" s="26">
        <v>25</v>
      </c>
      <c r="AC774" s="26"/>
      <c r="AD774" s="26"/>
      <c r="AE774" s="147" t="str">
        <f t="shared" si="402"/>
        <v>1</v>
      </c>
      <c r="AF774" s="147" t="str">
        <f t="shared" si="393"/>
        <v>0</v>
      </c>
      <c r="AG774" s="147" t="str">
        <f t="shared" si="403"/>
        <v>0</v>
      </c>
      <c r="AH774" s="147" t="str">
        <f t="shared" si="388"/>
        <v>NO</v>
      </c>
      <c r="AI774" s="147" t="str">
        <f t="shared" si="389"/>
        <v>NO</v>
      </c>
      <c r="AJ774" s="147" t="str">
        <f t="shared" si="390"/>
        <v>NO</v>
      </c>
      <c r="AK774" s="147" t="str">
        <f t="shared" si="391"/>
        <v>NO</v>
      </c>
      <c r="AL774" s="21"/>
      <c r="AM774" s="21">
        <f t="shared" si="411"/>
        <v>5819.25</v>
      </c>
      <c r="AN774" s="27" t="s">
        <v>66</v>
      </c>
      <c r="AO774" s="21">
        <v>1</v>
      </c>
      <c r="AP774" s="21">
        <f t="shared" si="405"/>
        <v>1</v>
      </c>
      <c r="AQ774" s="149">
        <f t="shared" si="412"/>
        <v>5819.25</v>
      </c>
      <c r="AR774" s="21">
        <v>5819.25</v>
      </c>
      <c r="AS774" s="610">
        <v>5819.25</v>
      </c>
      <c r="AT774" s="112">
        <v>5819.25</v>
      </c>
      <c r="AU774" s="4"/>
      <c r="AV774" s="4"/>
      <c r="AW774" s="23" t="e">
        <f>VLOOKUP(K774,#REF!,8,FALSE)</f>
        <v>#REF!</v>
      </c>
      <c r="AX774" s="23" t="e">
        <f>VLOOKUP(K774,#REF!,8,FALSE)</f>
        <v>#REF!</v>
      </c>
      <c r="AY774" s="23" t="e">
        <f>VLOOKUP(K774,#REF!,8,FALSE)</f>
        <v>#REF!</v>
      </c>
      <c r="AZ774" s="4"/>
      <c r="BA774" s="272"/>
      <c r="BB774" s="318">
        <f t="shared" si="398"/>
        <v>0</v>
      </c>
      <c r="BC774" s="269">
        <f t="shared" si="399"/>
        <v>5819.25</v>
      </c>
      <c r="BD774" t="str">
        <f t="shared" ref="BD774:BD779" si="416">BG774&amp;BH774&amp;BI774</f>
        <v/>
      </c>
      <c r="BP774" s="166">
        <f t="shared" si="401"/>
        <v>5819.25</v>
      </c>
      <c r="BS774" s="165"/>
      <c r="BX774" s="495">
        <f t="shared" si="413"/>
        <v>5819.25</v>
      </c>
      <c r="BZ774" s="636">
        <f t="shared" si="414"/>
        <v>0</v>
      </c>
      <c r="CA774" s="633">
        <f t="shared" si="415"/>
        <v>0</v>
      </c>
    </row>
    <row r="775" spans="1:79" x14ac:dyDescent="0.2">
      <c r="A775" s="4">
        <v>1</v>
      </c>
      <c r="B775" s="4">
        <v>1</v>
      </c>
      <c r="C775" s="5">
        <f t="shared" si="408"/>
        <v>41209</v>
      </c>
      <c r="D775" s="6">
        <v>41209</v>
      </c>
      <c r="E775" s="121">
        <v>43012</v>
      </c>
      <c r="F775" s="6" t="s">
        <v>1606</v>
      </c>
      <c r="G775" s="7" t="s">
        <v>75</v>
      </c>
      <c r="H775" s="7"/>
      <c r="I775" s="7" t="s">
        <v>157</v>
      </c>
      <c r="J775" s="7"/>
      <c r="K775" s="29">
        <v>392619</v>
      </c>
      <c r="L775" s="10" t="s">
        <v>1623</v>
      </c>
      <c r="M775" s="10" t="s">
        <v>1660</v>
      </c>
      <c r="N775" s="10" t="s">
        <v>1661</v>
      </c>
      <c r="O775" s="11" t="s">
        <v>1662</v>
      </c>
      <c r="P775" s="12">
        <v>40534</v>
      </c>
      <c r="Q775" s="13">
        <f t="shared" ca="1" si="387"/>
        <v>14.751540041067761</v>
      </c>
      <c r="R775" s="14">
        <v>7</v>
      </c>
      <c r="S775" s="15">
        <v>872</v>
      </c>
      <c r="T775" s="8">
        <v>872</v>
      </c>
      <c r="U775" s="16">
        <v>45017</v>
      </c>
      <c r="V775" s="17">
        <v>1</v>
      </c>
      <c r="W775" s="16">
        <v>45382</v>
      </c>
      <c r="X775" s="14">
        <v>192</v>
      </c>
      <c r="Y775" s="18">
        <f t="shared" si="407"/>
        <v>192</v>
      </c>
      <c r="Z775" s="18">
        <f t="shared" si="410"/>
        <v>1</v>
      </c>
      <c r="AA775" s="18" t="s">
        <v>36</v>
      </c>
      <c r="AB775" s="26">
        <v>25</v>
      </c>
      <c r="AC775" s="26"/>
      <c r="AD775" s="26"/>
      <c r="AE775" s="147" t="str">
        <f t="shared" si="402"/>
        <v>1</v>
      </c>
      <c r="AF775" s="147" t="str">
        <f t="shared" si="393"/>
        <v>0</v>
      </c>
      <c r="AG775" s="147" t="str">
        <f t="shared" si="403"/>
        <v>0</v>
      </c>
      <c r="AH775" s="147" t="str">
        <f t="shared" si="388"/>
        <v>NO</v>
      </c>
      <c r="AI775" s="147" t="str">
        <f t="shared" si="389"/>
        <v>NO</v>
      </c>
      <c r="AJ775" s="147" t="str">
        <f t="shared" si="390"/>
        <v>NO</v>
      </c>
      <c r="AK775" s="147" t="str">
        <f t="shared" si="391"/>
        <v>NO</v>
      </c>
      <c r="AL775" s="21"/>
      <c r="AM775" s="21">
        <f t="shared" si="411"/>
        <v>5819.25</v>
      </c>
      <c r="AN775" s="27" t="s">
        <v>43</v>
      </c>
      <c r="AO775" s="21">
        <v>1</v>
      </c>
      <c r="AP775" s="21">
        <f t="shared" si="405"/>
        <v>1</v>
      </c>
      <c r="AQ775" s="149">
        <f t="shared" si="412"/>
        <v>5819.25</v>
      </c>
      <c r="AR775" s="21">
        <v>5819.25</v>
      </c>
      <c r="AS775" s="610">
        <v>5819.25</v>
      </c>
      <c r="AT775" s="112">
        <v>5819.25</v>
      </c>
      <c r="AU775" s="4"/>
      <c r="AV775" s="4"/>
      <c r="AW775" s="23" t="e">
        <f>VLOOKUP(K775,#REF!,8,FALSE)</f>
        <v>#REF!</v>
      </c>
      <c r="AX775" s="23" t="e">
        <f>VLOOKUP(K775,#REF!,8,FALSE)</f>
        <v>#REF!</v>
      </c>
      <c r="AY775" s="23" t="e">
        <f>VLOOKUP(K775,#REF!,8,FALSE)</f>
        <v>#REF!</v>
      </c>
      <c r="AZ775" s="4"/>
      <c r="BA775" s="272"/>
      <c r="BB775" s="318">
        <f t="shared" si="398"/>
        <v>0</v>
      </c>
      <c r="BC775" s="269">
        <f t="shared" si="399"/>
        <v>5819.25</v>
      </c>
      <c r="BD775" t="str">
        <f t="shared" si="416"/>
        <v/>
      </c>
      <c r="BP775" s="166">
        <f t="shared" si="401"/>
        <v>5819.25</v>
      </c>
      <c r="BS775" s="165"/>
      <c r="BX775" s="495">
        <f t="shared" si="413"/>
        <v>5819.25</v>
      </c>
      <c r="BZ775" s="636">
        <f t="shared" si="414"/>
        <v>0</v>
      </c>
      <c r="CA775" s="633">
        <f t="shared" si="415"/>
        <v>0</v>
      </c>
    </row>
    <row r="776" spans="1:79" x14ac:dyDescent="0.2">
      <c r="A776" s="4">
        <v>1</v>
      </c>
      <c r="B776" s="4">
        <v>1</v>
      </c>
      <c r="C776" s="5">
        <f t="shared" si="408"/>
        <v>41209</v>
      </c>
      <c r="D776" s="6">
        <v>41209</v>
      </c>
      <c r="E776" s="121">
        <v>43012</v>
      </c>
      <c r="F776" s="6" t="s">
        <v>1606</v>
      </c>
      <c r="G776" s="7" t="s">
        <v>75</v>
      </c>
      <c r="H776" s="7"/>
      <c r="I776" s="7" t="s">
        <v>157</v>
      </c>
      <c r="J776" s="7"/>
      <c r="K776" s="29">
        <v>380270</v>
      </c>
      <c r="L776" s="10" t="s">
        <v>1623</v>
      </c>
      <c r="M776" s="10" t="s">
        <v>1663</v>
      </c>
      <c r="N776" s="10" t="s">
        <v>1658</v>
      </c>
      <c r="O776" s="11" t="s">
        <v>1664</v>
      </c>
      <c r="P776" s="12">
        <v>39885</v>
      </c>
      <c r="Q776" s="13">
        <f t="shared" ca="1" si="387"/>
        <v>16.528405201916495</v>
      </c>
      <c r="R776" s="14">
        <v>9</v>
      </c>
      <c r="S776" s="15">
        <v>872</v>
      </c>
      <c r="T776" s="8">
        <v>872</v>
      </c>
      <c r="U776" s="16">
        <v>45017</v>
      </c>
      <c r="V776" s="17">
        <v>1</v>
      </c>
      <c r="W776" s="16">
        <v>45382</v>
      </c>
      <c r="X776" s="14">
        <v>192</v>
      </c>
      <c r="Y776" s="18">
        <f t="shared" si="407"/>
        <v>192</v>
      </c>
      <c r="Z776" s="18">
        <f t="shared" si="410"/>
        <v>1</v>
      </c>
      <c r="AA776" s="18" t="s">
        <v>36</v>
      </c>
      <c r="AB776" s="26">
        <v>30</v>
      </c>
      <c r="AC776" s="26"/>
      <c r="AD776" s="26"/>
      <c r="AE776" s="147" t="str">
        <f t="shared" si="402"/>
        <v>0</v>
      </c>
      <c r="AF776" s="147" t="str">
        <f t="shared" si="393"/>
        <v>1</v>
      </c>
      <c r="AG776" s="147" t="str">
        <f t="shared" si="403"/>
        <v>0</v>
      </c>
      <c r="AH776" s="147" t="str">
        <f t="shared" si="388"/>
        <v>NO</v>
      </c>
      <c r="AI776" s="147" t="str">
        <f t="shared" si="389"/>
        <v>NO</v>
      </c>
      <c r="AJ776" s="147" t="str">
        <f t="shared" si="390"/>
        <v>NO</v>
      </c>
      <c r="AK776" s="147" t="str">
        <f t="shared" si="391"/>
        <v>NO</v>
      </c>
      <c r="AL776" s="21"/>
      <c r="AM776" s="21">
        <f t="shared" si="411"/>
        <v>8183.0999999999985</v>
      </c>
      <c r="AN776" s="27" t="s">
        <v>56</v>
      </c>
      <c r="AO776" s="21">
        <v>1</v>
      </c>
      <c r="AP776" s="21">
        <f t="shared" si="405"/>
        <v>1</v>
      </c>
      <c r="AQ776" s="149">
        <f t="shared" si="412"/>
        <v>8183.0999999999985</v>
      </c>
      <c r="AR776" s="21">
        <v>8183.0999999999985</v>
      </c>
      <c r="AS776" s="610">
        <v>8183.0999999999985</v>
      </c>
      <c r="AT776" s="112">
        <v>8183.0999999999985</v>
      </c>
      <c r="AU776" s="4"/>
      <c r="AV776" s="4"/>
      <c r="AW776" s="23" t="e">
        <f>VLOOKUP(K776,#REF!,8,FALSE)</f>
        <v>#REF!</v>
      </c>
      <c r="AX776" s="23" t="e">
        <f>VLOOKUP(K776,#REF!,8,FALSE)</f>
        <v>#REF!</v>
      </c>
      <c r="AY776" s="23" t="e">
        <f>VLOOKUP(K776,#REF!,8,FALSE)</f>
        <v>#REF!</v>
      </c>
      <c r="AZ776" s="4"/>
      <c r="BA776" s="272"/>
      <c r="BB776" s="318">
        <f t="shared" si="398"/>
        <v>0</v>
      </c>
      <c r="BC776" s="269">
        <f t="shared" si="399"/>
        <v>8183.0999999999985</v>
      </c>
      <c r="BD776" t="str">
        <f t="shared" si="416"/>
        <v/>
      </c>
      <c r="BP776" s="166">
        <f t="shared" ref="BP776:BP807" si="417">BC776+BO776</f>
        <v>8183.0999999999985</v>
      </c>
      <c r="BS776" s="165"/>
      <c r="BX776" s="495">
        <f t="shared" si="413"/>
        <v>8183.0999999999985</v>
      </c>
      <c r="BZ776" s="636">
        <f t="shared" si="414"/>
        <v>0</v>
      </c>
      <c r="CA776" s="633">
        <f t="shared" si="415"/>
        <v>0</v>
      </c>
    </row>
    <row r="777" spans="1:79" x14ac:dyDescent="0.2">
      <c r="A777" s="4">
        <v>1</v>
      </c>
      <c r="B777" s="4">
        <v>1</v>
      </c>
      <c r="C777" s="5">
        <f t="shared" si="408"/>
        <v>41209</v>
      </c>
      <c r="D777" s="6">
        <v>41209</v>
      </c>
      <c r="E777" s="121">
        <v>43012</v>
      </c>
      <c r="F777" s="6" t="s">
        <v>1606</v>
      </c>
      <c r="G777" s="7" t="s">
        <v>75</v>
      </c>
      <c r="H777" s="7"/>
      <c r="I777" s="7" t="s">
        <v>157</v>
      </c>
      <c r="J777" s="7"/>
      <c r="K777" s="29">
        <v>379123</v>
      </c>
      <c r="L777" s="10" t="s">
        <v>1623</v>
      </c>
      <c r="M777" s="10" t="s">
        <v>2133</v>
      </c>
      <c r="N777" s="10" t="s">
        <v>2132</v>
      </c>
      <c r="O777" s="11" t="s">
        <v>2322</v>
      </c>
      <c r="P777" s="12">
        <v>39729</v>
      </c>
      <c r="Q777" s="13">
        <f t="shared" ref="Q777:Q840" ca="1" si="418">(TODAY()-P777)/365.25</f>
        <v>16.955509924709105</v>
      </c>
      <c r="R777" s="14">
        <v>9</v>
      </c>
      <c r="S777" s="15">
        <v>872</v>
      </c>
      <c r="T777" s="8">
        <v>872</v>
      </c>
      <c r="U777" s="16">
        <v>45070</v>
      </c>
      <c r="V777" s="17">
        <v>27</v>
      </c>
      <c r="W777" s="16">
        <v>45382</v>
      </c>
      <c r="X777" s="14">
        <v>192</v>
      </c>
      <c r="Y777" s="18">
        <f t="shared" si="407"/>
        <v>166</v>
      </c>
      <c r="Z777" s="18">
        <f t="shared" si="410"/>
        <v>0.86458333333333337</v>
      </c>
      <c r="AA777" s="18" t="s">
        <v>36</v>
      </c>
      <c r="AB777" s="26">
        <v>25</v>
      </c>
      <c r="AC777" s="26"/>
      <c r="AD777" s="26"/>
      <c r="AE777" s="147" t="str">
        <f t="shared" si="402"/>
        <v>1</v>
      </c>
      <c r="AF777" s="147" t="str">
        <f t="shared" si="393"/>
        <v>0</v>
      </c>
      <c r="AG777" s="147" t="str">
        <f t="shared" si="403"/>
        <v>0</v>
      </c>
      <c r="AH777" s="147" t="str">
        <f t="shared" si="388"/>
        <v>NO</v>
      </c>
      <c r="AI777" s="147" t="str">
        <f t="shared" si="389"/>
        <v>NO</v>
      </c>
      <c r="AJ777" s="147" t="str">
        <f t="shared" si="390"/>
        <v>NO</v>
      </c>
      <c r="AK777" s="147" t="str">
        <f t="shared" si="391"/>
        <v>NO</v>
      </c>
      <c r="AL777" s="21"/>
      <c r="AM777" s="21">
        <f t="shared" si="411"/>
        <v>5819.25</v>
      </c>
      <c r="AN777" s="27" t="s">
        <v>43</v>
      </c>
      <c r="AO777" s="21">
        <v>1</v>
      </c>
      <c r="AP777" s="21">
        <f t="shared" si="405"/>
        <v>0.86458333333333337</v>
      </c>
      <c r="AQ777" s="149">
        <f t="shared" si="412"/>
        <v>5031.2265625</v>
      </c>
      <c r="AR777" s="21">
        <v>5031.2265625</v>
      </c>
      <c r="AS777" s="610">
        <v>0</v>
      </c>
      <c r="AT777" s="112">
        <v>0</v>
      </c>
      <c r="AU777" s="4"/>
      <c r="AV777" s="4"/>
      <c r="AW777" s="23"/>
      <c r="AX777" s="23"/>
      <c r="AY777" s="23"/>
      <c r="AZ777" s="4"/>
      <c r="BA777" s="272"/>
      <c r="BB777" s="318">
        <f t="shared" si="398"/>
        <v>5031.2265625</v>
      </c>
      <c r="BC777" s="269">
        <f t="shared" si="399"/>
        <v>5031.2265625</v>
      </c>
      <c r="BD777" t="str">
        <f t="shared" si="416"/>
        <v/>
      </c>
      <c r="BP777" s="166">
        <f t="shared" si="417"/>
        <v>5031.2265625</v>
      </c>
      <c r="BS777" s="165"/>
      <c r="BX777" s="495">
        <f t="shared" si="413"/>
        <v>5031.2265625</v>
      </c>
      <c r="BZ777" s="636">
        <f t="shared" si="414"/>
        <v>0</v>
      </c>
      <c r="CA777" s="633">
        <f t="shared" si="415"/>
        <v>5031.2265625</v>
      </c>
    </row>
    <row r="778" spans="1:79" x14ac:dyDescent="0.2">
      <c r="A778" s="4">
        <v>1</v>
      </c>
      <c r="B778" s="4">
        <v>1</v>
      </c>
      <c r="C778" s="5">
        <f t="shared" si="408"/>
        <v>41209</v>
      </c>
      <c r="D778" s="6">
        <v>41209</v>
      </c>
      <c r="E778" s="121">
        <v>43012</v>
      </c>
      <c r="F778" s="6" t="s">
        <v>1606</v>
      </c>
      <c r="G778" s="7" t="s">
        <v>75</v>
      </c>
      <c r="H778" s="7"/>
      <c r="I778" s="7" t="s">
        <v>157</v>
      </c>
      <c r="J778" s="7"/>
      <c r="K778" s="29">
        <v>367538</v>
      </c>
      <c r="L778" s="10" t="s">
        <v>1623</v>
      </c>
      <c r="M778" s="10" t="s">
        <v>1665</v>
      </c>
      <c r="N778" s="10" t="s">
        <v>1666</v>
      </c>
      <c r="O778" s="11" t="s">
        <v>1667</v>
      </c>
      <c r="P778" s="12">
        <v>38987</v>
      </c>
      <c r="Q778" s="13">
        <f t="shared" ca="1" si="418"/>
        <v>18.986995208761122</v>
      </c>
      <c r="R778" s="14">
        <v>11</v>
      </c>
      <c r="S778" s="15">
        <v>872</v>
      </c>
      <c r="T778" s="8">
        <v>872</v>
      </c>
      <c r="U778" s="16">
        <v>45017</v>
      </c>
      <c r="V778" s="17">
        <v>1</v>
      </c>
      <c r="W778" s="16">
        <v>45128</v>
      </c>
      <c r="X778" s="14">
        <v>63</v>
      </c>
      <c r="Y778" s="18">
        <f t="shared" si="407"/>
        <v>63</v>
      </c>
      <c r="Z778" s="18">
        <f t="shared" si="410"/>
        <v>0.328125</v>
      </c>
      <c r="AA778" s="16" t="s">
        <v>166</v>
      </c>
      <c r="AB778" s="26">
        <v>25</v>
      </c>
      <c r="AC778" s="26"/>
      <c r="AD778" s="26"/>
      <c r="AE778" s="147" t="str">
        <f t="shared" ref="AE778:AE809" si="419">IF(AND(AB778&lt;=25,AB778&gt;=20),"1","0")</f>
        <v>1</v>
      </c>
      <c r="AF778" s="147" t="str">
        <f t="shared" si="393"/>
        <v>0</v>
      </c>
      <c r="AG778" s="147" t="str">
        <f t="shared" ref="AG778:AG809" si="420">IF(AB778&gt;=31,"1","0")</f>
        <v>0</v>
      </c>
      <c r="AH778" s="147" t="str">
        <f t="shared" si="388"/>
        <v>NO</v>
      </c>
      <c r="AI778" s="147" t="str">
        <f t="shared" si="389"/>
        <v>NO</v>
      </c>
      <c r="AJ778" s="147" t="str">
        <f t="shared" si="390"/>
        <v>NO</v>
      </c>
      <c r="AK778" s="147" t="str">
        <f t="shared" si="391"/>
        <v>NO</v>
      </c>
      <c r="AL778" s="21"/>
      <c r="AM778" s="21">
        <f t="shared" si="411"/>
        <v>5819.25</v>
      </c>
      <c r="AN778" s="27" t="s">
        <v>66</v>
      </c>
      <c r="AO778" s="21">
        <v>1</v>
      </c>
      <c r="AP778" s="21">
        <f t="shared" ref="AP778:AP809" si="421">AO778*Z778</f>
        <v>0.328125</v>
      </c>
      <c r="AQ778" s="149">
        <f t="shared" si="412"/>
        <v>1909.44140625</v>
      </c>
      <c r="AR778" s="21">
        <v>1909.44140625</v>
      </c>
      <c r="AS778" s="610">
        <v>1909.44140625</v>
      </c>
      <c r="AT778" s="112">
        <v>1909.44140625</v>
      </c>
      <c r="AU778" s="4"/>
      <c r="AV778" s="4"/>
      <c r="AW778" s="23" t="e">
        <f>VLOOKUP(K778,#REF!,8,FALSE)</f>
        <v>#REF!</v>
      </c>
      <c r="AX778" s="23" t="e">
        <f>VLOOKUP(K778,#REF!,8,FALSE)</f>
        <v>#REF!</v>
      </c>
      <c r="AY778" s="266" t="s">
        <v>2235</v>
      </c>
      <c r="AZ778" s="268" t="s">
        <v>75</v>
      </c>
      <c r="BA778" s="274">
        <f>AM778/3*2</f>
        <v>3879.5</v>
      </c>
      <c r="BB778" s="318">
        <f t="shared" si="398"/>
        <v>0</v>
      </c>
      <c r="BC778" s="269">
        <f t="shared" si="399"/>
        <v>1909.44140625</v>
      </c>
      <c r="BD778" t="e">
        <f t="shared" si="416"/>
        <v>#REF!</v>
      </c>
      <c r="BE778" t="s">
        <v>2351</v>
      </c>
      <c r="BI778" t="e">
        <f>VLOOKUP(K778,#REF!,8,FALSE)</f>
        <v>#REF!</v>
      </c>
      <c r="BK778" s="269"/>
      <c r="BN778" s="353" t="s">
        <v>75</v>
      </c>
      <c r="BO778" s="106"/>
      <c r="BP778" s="166">
        <f t="shared" si="417"/>
        <v>1909.44140625</v>
      </c>
      <c r="BQ778" t="s">
        <v>2351</v>
      </c>
      <c r="BS778" s="165"/>
      <c r="BX778" s="495">
        <f t="shared" si="413"/>
        <v>1909.44140625</v>
      </c>
      <c r="BZ778" s="636">
        <f t="shared" si="414"/>
        <v>0</v>
      </c>
      <c r="CA778" s="633">
        <f t="shared" si="415"/>
        <v>0</v>
      </c>
    </row>
    <row r="779" spans="1:79" x14ac:dyDescent="0.2">
      <c r="A779" s="4">
        <v>1</v>
      </c>
      <c r="B779" s="4">
        <v>1</v>
      </c>
      <c r="C779" s="5">
        <f t="shared" si="408"/>
        <v>41209</v>
      </c>
      <c r="D779" s="6">
        <v>41209</v>
      </c>
      <c r="E779" s="121">
        <v>43012</v>
      </c>
      <c r="F779" s="6" t="s">
        <v>1606</v>
      </c>
      <c r="G779" s="7" t="s">
        <v>75</v>
      </c>
      <c r="H779" s="7"/>
      <c r="I779" s="7" t="s">
        <v>157</v>
      </c>
      <c r="J779" s="7"/>
      <c r="K779" s="29">
        <v>396105</v>
      </c>
      <c r="L779" s="10" t="s">
        <v>1623</v>
      </c>
      <c r="M779" s="10" t="s">
        <v>788</v>
      </c>
      <c r="N779" s="10" t="s">
        <v>1668</v>
      </c>
      <c r="O779" s="11" t="s">
        <v>1669</v>
      </c>
      <c r="P779" s="12">
        <v>40732</v>
      </c>
      <c r="Q779" s="13">
        <f t="shared" ca="1" si="418"/>
        <v>14.209445585215606</v>
      </c>
      <c r="R779" s="14">
        <v>7</v>
      </c>
      <c r="S779" s="15">
        <v>872</v>
      </c>
      <c r="T779" s="8">
        <v>872</v>
      </c>
      <c r="U779" s="16">
        <v>45017</v>
      </c>
      <c r="V779" s="17">
        <v>1</v>
      </c>
      <c r="W779" s="16">
        <v>45382</v>
      </c>
      <c r="X779" s="14">
        <v>192</v>
      </c>
      <c r="Y779" s="18">
        <f t="shared" si="407"/>
        <v>192</v>
      </c>
      <c r="Z779" s="18">
        <f t="shared" si="410"/>
        <v>1</v>
      </c>
      <c r="AA779" s="18" t="s">
        <v>36</v>
      </c>
      <c r="AB779" s="26">
        <v>22</v>
      </c>
      <c r="AC779" s="26"/>
      <c r="AD779" s="26"/>
      <c r="AE779" s="147" t="str">
        <f t="shared" si="419"/>
        <v>1</v>
      </c>
      <c r="AF779" s="147" t="str">
        <f t="shared" si="393"/>
        <v>0</v>
      </c>
      <c r="AG779" s="147" t="str">
        <f t="shared" si="420"/>
        <v>0</v>
      </c>
      <c r="AH779" s="147" t="str">
        <f t="shared" si="388"/>
        <v>NO</v>
      </c>
      <c r="AI779" s="147" t="str">
        <f t="shared" si="389"/>
        <v>NO</v>
      </c>
      <c r="AJ779" s="147" t="str">
        <f t="shared" si="390"/>
        <v>NO</v>
      </c>
      <c r="AK779" s="147" t="str">
        <f t="shared" si="391"/>
        <v>NO</v>
      </c>
      <c r="AL779" s="21"/>
      <c r="AM779" s="21">
        <f t="shared" si="411"/>
        <v>4400.9399999999987</v>
      </c>
      <c r="AN779" s="27" t="s">
        <v>43</v>
      </c>
      <c r="AO779" s="21">
        <v>1</v>
      </c>
      <c r="AP779" s="21">
        <f t="shared" si="421"/>
        <v>1</v>
      </c>
      <c r="AQ779" s="149">
        <f t="shared" si="412"/>
        <v>4400.9399999999987</v>
      </c>
      <c r="AR779" s="21">
        <v>4400.9399999999987</v>
      </c>
      <c r="AS779" s="610">
        <v>4400.9399999999987</v>
      </c>
      <c r="AT779" s="112">
        <v>4400.9399999999987</v>
      </c>
      <c r="AU779" s="4"/>
      <c r="AV779" s="4"/>
      <c r="AW779" s="23" t="e">
        <f>VLOOKUP(K779,#REF!,8,FALSE)</f>
        <v>#REF!</v>
      </c>
      <c r="AX779" s="23" t="e">
        <f>VLOOKUP(K779,#REF!,8,FALSE)</f>
        <v>#REF!</v>
      </c>
      <c r="AY779" s="23" t="e">
        <f>VLOOKUP(K779,#REF!,8,FALSE)</f>
        <v>#REF!</v>
      </c>
      <c r="AZ779" s="4"/>
      <c r="BA779" s="272"/>
      <c r="BB779" s="318">
        <f t="shared" si="398"/>
        <v>0</v>
      </c>
      <c r="BC779" s="269">
        <f t="shared" si="399"/>
        <v>4400.9399999999987</v>
      </c>
      <c r="BD779" t="str">
        <f t="shared" si="416"/>
        <v/>
      </c>
      <c r="BP779" s="166">
        <f t="shared" si="417"/>
        <v>4400.9399999999987</v>
      </c>
      <c r="BS779" s="165"/>
      <c r="BX779" s="495">
        <f t="shared" si="413"/>
        <v>4400.9399999999987</v>
      </c>
      <c r="BZ779" s="636">
        <f t="shared" si="414"/>
        <v>0</v>
      </c>
      <c r="CA779" s="633">
        <f t="shared" si="415"/>
        <v>0</v>
      </c>
    </row>
    <row r="780" spans="1:79" x14ac:dyDescent="0.2">
      <c r="A780" s="4">
        <v>0</v>
      </c>
      <c r="B780" s="4">
        <v>1</v>
      </c>
      <c r="C780" s="5">
        <f t="shared" si="408"/>
        <v>41209</v>
      </c>
      <c r="D780" s="6">
        <v>41209</v>
      </c>
      <c r="E780" s="121">
        <v>43012</v>
      </c>
      <c r="F780" s="6" t="s">
        <v>1606</v>
      </c>
      <c r="G780" s="7" t="s">
        <v>75</v>
      </c>
      <c r="H780" s="7"/>
      <c r="I780" s="33" t="s">
        <v>270</v>
      </c>
      <c r="J780" s="33"/>
      <c r="K780" s="29">
        <v>359238</v>
      </c>
      <c r="L780" s="10" t="s">
        <v>1623</v>
      </c>
      <c r="M780" s="10" t="s">
        <v>1670</v>
      </c>
      <c r="N780" s="10" t="s">
        <v>1671</v>
      </c>
      <c r="O780" s="11" t="s">
        <v>1672</v>
      </c>
      <c r="P780" s="12">
        <v>38464</v>
      </c>
      <c r="Q780" s="13">
        <f t="shared" ca="1" si="418"/>
        <v>20.418891170431213</v>
      </c>
      <c r="R780" s="14">
        <v>13</v>
      </c>
      <c r="S780" s="15">
        <v>872</v>
      </c>
      <c r="T780" s="8">
        <v>872</v>
      </c>
      <c r="U780" s="16">
        <v>45017</v>
      </c>
      <c r="V780" s="17">
        <v>1</v>
      </c>
      <c r="W780" s="16">
        <v>45017</v>
      </c>
      <c r="X780" s="14">
        <v>0</v>
      </c>
      <c r="Y780" s="18">
        <f t="shared" si="407"/>
        <v>0</v>
      </c>
      <c r="Z780" s="18">
        <f t="shared" si="410"/>
        <v>0</v>
      </c>
      <c r="AA780" s="16" t="s">
        <v>270</v>
      </c>
      <c r="AB780" s="26">
        <v>30</v>
      </c>
      <c r="AC780" s="26"/>
      <c r="AD780" s="26"/>
      <c r="AE780" s="147" t="str">
        <f t="shared" si="419"/>
        <v>0</v>
      </c>
      <c r="AF780" s="147" t="str">
        <f t="shared" si="393"/>
        <v>1</v>
      </c>
      <c r="AG780" s="147" t="str">
        <f t="shared" si="420"/>
        <v>0</v>
      </c>
      <c r="AH780" s="147" t="str">
        <f t="shared" si="388"/>
        <v>NO</v>
      </c>
      <c r="AI780" s="147" t="str">
        <f t="shared" si="389"/>
        <v>NO</v>
      </c>
      <c r="AJ780" s="147" t="str">
        <f t="shared" si="390"/>
        <v>NO</v>
      </c>
      <c r="AK780" s="147" t="str">
        <f t="shared" si="391"/>
        <v>NO</v>
      </c>
      <c r="AL780" s="21"/>
      <c r="AM780" s="21">
        <f t="shared" si="411"/>
        <v>8183.0999999999985</v>
      </c>
      <c r="AN780" s="27" t="s">
        <v>37</v>
      </c>
      <c r="AO780" s="21">
        <v>1</v>
      </c>
      <c r="AP780" s="21">
        <f t="shared" si="421"/>
        <v>0</v>
      </c>
      <c r="AQ780" s="149">
        <f t="shared" si="412"/>
        <v>0</v>
      </c>
      <c r="AR780" s="21">
        <v>0</v>
      </c>
      <c r="AS780" s="610">
        <v>2685.0796874999996</v>
      </c>
      <c r="AT780" s="112">
        <v>0</v>
      </c>
      <c r="AU780" s="4"/>
      <c r="AV780" s="4"/>
      <c r="AW780" s="23" t="e">
        <f>VLOOKUP(K780,#REF!,8,FALSE)</f>
        <v>#REF!</v>
      </c>
      <c r="AX780" s="23" t="e">
        <f>VLOOKUP(K780,#REF!,8,FALSE)</f>
        <v>#REF!</v>
      </c>
      <c r="AY780" s="23" t="e">
        <f>VLOOKUP(K780,#REF!,8,FALSE)</f>
        <v>#REF!</v>
      </c>
      <c r="AZ780" s="4"/>
      <c r="BA780" s="272"/>
      <c r="BB780" s="318">
        <f t="shared" si="398"/>
        <v>0</v>
      </c>
      <c r="BC780" s="269">
        <f t="shared" si="399"/>
        <v>0</v>
      </c>
      <c r="BD780" s="110" t="s">
        <v>2405</v>
      </c>
      <c r="BP780" s="166">
        <f t="shared" si="417"/>
        <v>0</v>
      </c>
      <c r="BS780" s="165"/>
      <c r="BX780" s="495">
        <f t="shared" si="413"/>
        <v>0</v>
      </c>
      <c r="BZ780" s="636">
        <f t="shared" si="414"/>
        <v>0</v>
      </c>
      <c r="CA780" s="633">
        <f t="shared" si="415"/>
        <v>-2685.0796874999996</v>
      </c>
    </row>
    <row r="781" spans="1:79" x14ac:dyDescent="0.2">
      <c r="A781" s="4">
        <v>1</v>
      </c>
      <c r="B781" s="4">
        <v>1</v>
      </c>
      <c r="C781" s="5">
        <f t="shared" si="408"/>
        <v>41144</v>
      </c>
      <c r="D781" s="6">
        <v>41144</v>
      </c>
      <c r="E781" s="6">
        <v>43011</v>
      </c>
      <c r="F781" s="6" t="s">
        <v>1876</v>
      </c>
      <c r="G781" s="7"/>
      <c r="H781" s="7"/>
      <c r="I781" s="7" t="s">
        <v>32</v>
      </c>
      <c r="J781" s="7"/>
      <c r="K781" s="29">
        <v>427958</v>
      </c>
      <c r="L781" s="10" t="s">
        <v>1673</v>
      </c>
      <c r="M781" s="10" t="s">
        <v>1674</v>
      </c>
      <c r="N781" s="10" t="s">
        <v>638</v>
      </c>
      <c r="O781" s="11" t="s">
        <v>1675</v>
      </c>
      <c r="P781" s="12">
        <v>42599</v>
      </c>
      <c r="Q781" s="13">
        <f t="shared" ca="1" si="418"/>
        <v>9.0978781656399725</v>
      </c>
      <c r="R781" s="14">
        <v>2</v>
      </c>
      <c r="S781" s="15">
        <v>872</v>
      </c>
      <c r="T781" s="8">
        <v>872</v>
      </c>
      <c r="U781" s="16">
        <v>45017</v>
      </c>
      <c r="V781" s="17">
        <v>1</v>
      </c>
      <c r="W781" s="16">
        <v>45128</v>
      </c>
      <c r="X781" s="14">
        <v>63</v>
      </c>
      <c r="Y781" s="18">
        <f t="shared" si="407"/>
        <v>63</v>
      </c>
      <c r="Z781" s="18">
        <f t="shared" si="410"/>
        <v>0.328125</v>
      </c>
      <c r="AA781" s="16" t="s">
        <v>405</v>
      </c>
      <c r="AB781" s="26">
        <v>30</v>
      </c>
      <c r="AC781" s="26"/>
      <c r="AD781" s="26"/>
      <c r="AE781" s="147" t="str">
        <f t="shared" si="419"/>
        <v>0</v>
      </c>
      <c r="AF781" s="147" t="str">
        <f t="shared" si="393"/>
        <v>1</v>
      </c>
      <c r="AG781" s="147" t="str">
        <f t="shared" si="420"/>
        <v>0</v>
      </c>
      <c r="AH781" s="147" t="str">
        <f t="shared" si="388"/>
        <v>NO</v>
      </c>
      <c r="AI781" s="147" t="str">
        <f t="shared" si="389"/>
        <v>NO</v>
      </c>
      <c r="AJ781" s="147" t="str">
        <f t="shared" si="390"/>
        <v>NO</v>
      </c>
      <c r="AK781" s="147" t="str">
        <f t="shared" si="391"/>
        <v>NO</v>
      </c>
      <c r="AL781" s="21"/>
      <c r="AM781" s="21">
        <f t="shared" si="411"/>
        <v>8183.0999999999985</v>
      </c>
      <c r="AN781" s="27"/>
      <c r="AO781" s="21">
        <v>1</v>
      </c>
      <c r="AP781" s="21">
        <f t="shared" si="421"/>
        <v>0.328125</v>
      </c>
      <c r="AQ781" s="149">
        <f t="shared" si="412"/>
        <v>2685.0796874999996</v>
      </c>
      <c r="AR781" s="21">
        <v>2685.0796874999996</v>
      </c>
      <c r="AS781" s="610">
        <v>2685.0796874999996</v>
      </c>
      <c r="AT781" s="112">
        <v>2685.0796874999996</v>
      </c>
      <c r="AU781" s="4"/>
      <c r="AV781" s="4"/>
      <c r="AW781" s="23" t="e">
        <f>VLOOKUP(K781,#REF!,8,FALSE)</f>
        <v>#REF!</v>
      </c>
      <c r="AX781" s="23" t="e">
        <f>VLOOKUP(K781,#REF!,8,FALSE)</f>
        <v>#REF!</v>
      </c>
      <c r="AY781" s="23" t="e">
        <f>VLOOKUP(K781,#REF!,8,FALSE)</f>
        <v>#REF!</v>
      </c>
      <c r="AZ781" s="4"/>
      <c r="BA781" s="272"/>
      <c r="BB781" s="318">
        <f t="shared" si="398"/>
        <v>0</v>
      </c>
      <c r="BC781" s="269">
        <f t="shared" si="399"/>
        <v>2685.0796874999996</v>
      </c>
      <c r="BD781" s="110" t="s">
        <v>2405</v>
      </c>
      <c r="BJ781">
        <f>AB781</f>
        <v>30</v>
      </c>
      <c r="BK781" s="269">
        <f>AM781</f>
        <v>8183.0999999999985</v>
      </c>
      <c r="BO781" s="106">
        <f>BK781/192*127</f>
        <v>5412.7796874999985</v>
      </c>
      <c r="BP781" s="166">
        <f t="shared" si="417"/>
        <v>8097.8593749999982</v>
      </c>
      <c r="BS781" s="165" t="s">
        <v>1495</v>
      </c>
      <c r="BT781" t="s">
        <v>1495</v>
      </c>
      <c r="BX781" s="495">
        <f t="shared" si="413"/>
        <v>8097.8593749999982</v>
      </c>
      <c r="BZ781" s="636">
        <f t="shared" si="414"/>
        <v>0</v>
      </c>
      <c r="CA781" s="633">
        <f t="shared" si="415"/>
        <v>5412.7796874999985</v>
      </c>
    </row>
    <row r="782" spans="1:79" x14ac:dyDescent="0.2">
      <c r="A782" s="4">
        <v>1</v>
      </c>
      <c r="B782" s="4">
        <v>1</v>
      </c>
      <c r="C782" s="5">
        <f t="shared" si="408"/>
        <v>41144</v>
      </c>
      <c r="D782" s="6">
        <v>41144</v>
      </c>
      <c r="E782" s="6">
        <v>43011</v>
      </c>
      <c r="F782" s="6" t="s">
        <v>1876</v>
      </c>
      <c r="G782" s="7"/>
      <c r="H782" s="7"/>
      <c r="I782" s="7" t="s">
        <v>32</v>
      </c>
      <c r="J782" s="7"/>
      <c r="K782" s="29">
        <v>432880</v>
      </c>
      <c r="L782" s="10" t="s">
        <v>1673</v>
      </c>
      <c r="M782" s="10" t="s">
        <v>1044</v>
      </c>
      <c r="N782" s="10" t="s">
        <v>1501</v>
      </c>
      <c r="O782" s="11" t="s">
        <v>1676</v>
      </c>
      <c r="P782" s="12">
        <v>42790</v>
      </c>
      <c r="Q782" s="13">
        <f t="shared" ca="1" si="418"/>
        <v>8.5749486652977414</v>
      </c>
      <c r="R782" s="14">
        <v>1</v>
      </c>
      <c r="S782" s="15">
        <v>872</v>
      </c>
      <c r="T782" s="8">
        <v>872</v>
      </c>
      <c r="U782" s="16">
        <v>45017</v>
      </c>
      <c r="V782" s="17">
        <v>1</v>
      </c>
      <c r="W782" s="16">
        <v>45382</v>
      </c>
      <c r="X782" s="14">
        <v>192</v>
      </c>
      <c r="Y782" s="18">
        <f t="shared" si="407"/>
        <v>192</v>
      </c>
      <c r="Z782" s="18">
        <f t="shared" si="410"/>
        <v>1</v>
      </c>
      <c r="AA782" s="18" t="s">
        <v>36</v>
      </c>
      <c r="AB782" s="26">
        <v>23</v>
      </c>
      <c r="AC782" s="26"/>
      <c r="AD782" s="26"/>
      <c r="AE782" s="147" t="str">
        <f t="shared" si="419"/>
        <v>1</v>
      </c>
      <c r="AF782" s="147" t="str">
        <f t="shared" si="393"/>
        <v>0</v>
      </c>
      <c r="AG782" s="147" t="str">
        <f t="shared" si="420"/>
        <v>0</v>
      </c>
      <c r="AH782" s="147" t="str">
        <f t="shared" si="388"/>
        <v>NO</v>
      </c>
      <c r="AI782" s="147" t="str">
        <f t="shared" si="389"/>
        <v>NO</v>
      </c>
      <c r="AJ782" s="147" t="str">
        <f t="shared" si="390"/>
        <v>NO</v>
      </c>
      <c r="AK782" s="147" t="str">
        <f t="shared" si="391"/>
        <v>NO</v>
      </c>
      <c r="AL782" s="21"/>
      <c r="AM782" s="21">
        <f t="shared" si="411"/>
        <v>4873.7099999999991</v>
      </c>
      <c r="AN782" s="27" t="s">
        <v>37</v>
      </c>
      <c r="AO782" s="21">
        <v>1</v>
      </c>
      <c r="AP782" s="21">
        <f t="shared" si="421"/>
        <v>1</v>
      </c>
      <c r="AQ782" s="149">
        <f t="shared" si="412"/>
        <v>4873.7099999999991</v>
      </c>
      <c r="AR782" s="21">
        <v>4873.7099999999991</v>
      </c>
      <c r="AS782" s="610">
        <v>4873.7099999999991</v>
      </c>
      <c r="AT782" s="112">
        <v>4873.7099999999991</v>
      </c>
      <c r="AU782" s="4"/>
      <c r="AV782" s="4"/>
      <c r="AW782" s="23" t="e">
        <f>VLOOKUP(K782,#REF!,8,FALSE)</f>
        <v>#REF!</v>
      </c>
      <c r="AX782" s="23" t="e">
        <f>VLOOKUP(K782,#REF!,8,FALSE)</f>
        <v>#REF!</v>
      </c>
      <c r="AY782" s="23" t="e">
        <f>VLOOKUP(K782,#REF!,8,FALSE)</f>
        <v>#REF!</v>
      </c>
      <c r="AZ782" s="4"/>
      <c r="BA782" s="272"/>
      <c r="BB782" s="318">
        <f t="shared" si="398"/>
        <v>0</v>
      </c>
      <c r="BC782" s="269">
        <f t="shared" si="399"/>
        <v>4873.7099999999991</v>
      </c>
      <c r="BD782" t="str">
        <f>BG782&amp;BH782&amp;BI782</f>
        <v/>
      </c>
      <c r="BP782" s="166">
        <f t="shared" si="417"/>
        <v>4873.7099999999991</v>
      </c>
      <c r="BS782" s="165"/>
      <c r="BX782" s="495">
        <f t="shared" si="413"/>
        <v>4873.7099999999991</v>
      </c>
      <c r="BZ782" s="636">
        <f t="shared" si="414"/>
        <v>0</v>
      </c>
      <c r="CA782" s="633">
        <f t="shared" si="415"/>
        <v>0</v>
      </c>
    </row>
    <row r="783" spans="1:79" x14ac:dyDescent="0.2">
      <c r="A783" s="4">
        <v>1</v>
      </c>
      <c r="B783" s="4">
        <v>1</v>
      </c>
      <c r="C783" s="5">
        <f t="shared" si="408"/>
        <v>41144</v>
      </c>
      <c r="D783" s="6">
        <v>41144</v>
      </c>
      <c r="E783" s="6">
        <v>43011</v>
      </c>
      <c r="F783" s="6" t="s">
        <v>1876</v>
      </c>
      <c r="G783" s="7"/>
      <c r="H783" s="7"/>
      <c r="I783" s="7" t="s">
        <v>32</v>
      </c>
      <c r="J783" s="7"/>
      <c r="K783" s="29">
        <v>434639</v>
      </c>
      <c r="L783" s="10" t="s">
        <v>1673</v>
      </c>
      <c r="M783" s="10" t="s">
        <v>768</v>
      </c>
      <c r="N783" s="10" t="s">
        <v>1677</v>
      </c>
      <c r="O783" s="11" t="s">
        <v>1678</v>
      </c>
      <c r="P783" s="12">
        <v>42826</v>
      </c>
      <c r="Q783" s="13">
        <f t="shared" ca="1" si="418"/>
        <v>8.4763860369609851</v>
      </c>
      <c r="R783" s="14">
        <v>1</v>
      </c>
      <c r="S783" s="15">
        <v>872</v>
      </c>
      <c r="T783" s="8">
        <v>872</v>
      </c>
      <c r="U783" s="16">
        <v>45017</v>
      </c>
      <c r="V783" s="17">
        <v>1</v>
      </c>
      <c r="W783" s="16">
        <v>45382</v>
      </c>
      <c r="X783" s="14">
        <v>192</v>
      </c>
      <c r="Y783" s="18">
        <f t="shared" si="407"/>
        <v>192</v>
      </c>
      <c r="Z783" s="18">
        <f t="shared" si="410"/>
        <v>1</v>
      </c>
      <c r="AA783" s="18" t="s">
        <v>36</v>
      </c>
      <c r="AB783" s="26">
        <v>25</v>
      </c>
      <c r="AC783" s="26"/>
      <c r="AD783" s="26"/>
      <c r="AE783" s="147" t="str">
        <f t="shared" si="419"/>
        <v>1</v>
      </c>
      <c r="AF783" s="147" t="str">
        <f t="shared" si="393"/>
        <v>0</v>
      </c>
      <c r="AG783" s="147" t="str">
        <f t="shared" si="420"/>
        <v>0</v>
      </c>
      <c r="AH783" s="147" t="str">
        <f t="shared" si="388"/>
        <v>NO</v>
      </c>
      <c r="AI783" s="147" t="str">
        <f t="shared" si="389"/>
        <v>NO</v>
      </c>
      <c r="AJ783" s="147" t="str">
        <f t="shared" si="390"/>
        <v>NO</v>
      </c>
      <c r="AK783" s="147" t="str">
        <f t="shared" si="391"/>
        <v>NO</v>
      </c>
      <c r="AL783" s="21"/>
      <c r="AM783" s="21">
        <f t="shared" si="411"/>
        <v>5819.25</v>
      </c>
      <c r="AN783" s="27" t="s">
        <v>37</v>
      </c>
      <c r="AO783" s="21">
        <v>1</v>
      </c>
      <c r="AP783" s="21">
        <f t="shared" si="421"/>
        <v>1</v>
      </c>
      <c r="AQ783" s="149">
        <f t="shared" si="412"/>
        <v>5819.25</v>
      </c>
      <c r="AR783" s="21">
        <v>5819.25</v>
      </c>
      <c r="AS783" s="610">
        <v>5819.25</v>
      </c>
      <c r="AT783" s="112">
        <v>5819.25</v>
      </c>
      <c r="AU783" s="4"/>
      <c r="AV783" s="4"/>
      <c r="AW783" s="23" t="e">
        <f>VLOOKUP(K783,#REF!,8,FALSE)</f>
        <v>#REF!</v>
      </c>
      <c r="AX783" s="23" t="e">
        <f>VLOOKUP(K783,#REF!,8,FALSE)</f>
        <v>#REF!</v>
      </c>
      <c r="AY783" s="23" t="e">
        <f>VLOOKUP(K783,#REF!,8,FALSE)</f>
        <v>#REF!</v>
      </c>
      <c r="AZ783" s="4"/>
      <c r="BA783" s="272"/>
      <c r="BB783" s="318">
        <f t="shared" si="398"/>
        <v>0</v>
      </c>
      <c r="BC783" s="269">
        <f t="shared" si="399"/>
        <v>5819.25</v>
      </c>
      <c r="BD783" t="str">
        <f>BG783&amp;BH783&amp;BI783</f>
        <v/>
      </c>
      <c r="BP783" s="166">
        <f t="shared" si="417"/>
        <v>5819.25</v>
      </c>
      <c r="BS783" s="165"/>
      <c r="BX783" s="495">
        <f t="shared" si="413"/>
        <v>5819.25</v>
      </c>
      <c r="BZ783" s="636">
        <f t="shared" si="414"/>
        <v>0</v>
      </c>
      <c r="CA783" s="633">
        <f t="shared" si="415"/>
        <v>0</v>
      </c>
    </row>
    <row r="784" spans="1:79" x14ac:dyDescent="0.2">
      <c r="A784" s="4">
        <v>1</v>
      </c>
      <c r="B784" s="4">
        <v>1</v>
      </c>
      <c r="C784" s="5">
        <f t="shared" si="408"/>
        <v>41144</v>
      </c>
      <c r="D784" s="6">
        <v>41144</v>
      </c>
      <c r="E784" s="6">
        <v>43011</v>
      </c>
      <c r="F784" s="6" t="s">
        <v>1876</v>
      </c>
      <c r="G784" s="7"/>
      <c r="H784" s="7"/>
      <c r="I784" s="7" t="s">
        <v>32</v>
      </c>
      <c r="J784" s="7"/>
      <c r="K784" s="29">
        <v>434322</v>
      </c>
      <c r="L784" s="10" t="s">
        <v>1673</v>
      </c>
      <c r="M784" s="10" t="s">
        <v>1679</v>
      </c>
      <c r="N784" s="10" t="s">
        <v>1680</v>
      </c>
      <c r="O784" s="11" t="s">
        <v>1681</v>
      </c>
      <c r="P784" s="12">
        <v>42888</v>
      </c>
      <c r="Q784" s="13">
        <f t="shared" ca="1" si="418"/>
        <v>8.3066392881587952</v>
      </c>
      <c r="R784" s="14">
        <v>1</v>
      </c>
      <c r="S784" s="15">
        <v>872</v>
      </c>
      <c r="T784" s="8">
        <v>872</v>
      </c>
      <c r="U784" s="16">
        <v>45017</v>
      </c>
      <c r="V784" s="17">
        <v>1</v>
      </c>
      <c r="W784" s="16">
        <v>45382</v>
      </c>
      <c r="X784" s="14">
        <v>192</v>
      </c>
      <c r="Y784" s="18">
        <f t="shared" si="407"/>
        <v>192</v>
      </c>
      <c r="Z784" s="18">
        <f t="shared" si="410"/>
        <v>1</v>
      </c>
      <c r="AA784" s="18" t="s">
        <v>36</v>
      </c>
      <c r="AB784" s="26">
        <v>30</v>
      </c>
      <c r="AC784" s="26"/>
      <c r="AD784" s="26"/>
      <c r="AE784" s="147" t="str">
        <f t="shared" si="419"/>
        <v>0</v>
      </c>
      <c r="AF784" s="147" t="str">
        <f t="shared" si="393"/>
        <v>1</v>
      </c>
      <c r="AG784" s="147" t="str">
        <f t="shared" si="420"/>
        <v>0</v>
      </c>
      <c r="AH784" s="147" t="str">
        <f t="shared" si="388"/>
        <v>NO</v>
      </c>
      <c r="AI784" s="147" t="str">
        <f t="shared" si="389"/>
        <v>NO</v>
      </c>
      <c r="AJ784" s="147" t="str">
        <f t="shared" si="390"/>
        <v>NO</v>
      </c>
      <c r="AK784" s="147" t="str">
        <f t="shared" si="391"/>
        <v>NO</v>
      </c>
      <c r="AL784" s="48"/>
      <c r="AM784" s="21">
        <f t="shared" si="411"/>
        <v>8183.0999999999985</v>
      </c>
      <c r="AN784" s="27" t="s">
        <v>37</v>
      </c>
      <c r="AO784" s="21">
        <v>1</v>
      </c>
      <c r="AP784" s="21">
        <f t="shared" si="421"/>
        <v>1</v>
      </c>
      <c r="AQ784" s="149">
        <f t="shared" si="412"/>
        <v>8183.0999999999985</v>
      </c>
      <c r="AR784" s="21">
        <v>8183.0999999999985</v>
      </c>
      <c r="AS784" s="610">
        <v>8183.0999999999985</v>
      </c>
      <c r="AT784" s="112">
        <v>8183.0999999999985</v>
      </c>
      <c r="AU784" s="4"/>
      <c r="AV784" s="4"/>
      <c r="AW784" s="23" t="e">
        <f>VLOOKUP(K784,#REF!,8,FALSE)</f>
        <v>#REF!</v>
      </c>
      <c r="AX784" s="23" t="e">
        <f>VLOOKUP(K784,#REF!,8,FALSE)</f>
        <v>#REF!</v>
      </c>
      <c r="AY784" s="23" t="e">
        <f>VLOOKUP(K784,#REF!,8,FALSE)</f>
        <v>#REF!</v>
      </c>
      <c r="AZ784" s="4"/>
      <c r="BA784" s="272"/>
      <c r="BB784" s="318">
        <f t="shared" si="398"/>
        <v>0</v>
      </c>
      <c r="BC784" s="269">
        <f t="shared" si="399"/>
        <v>8183.0999999999985</v>
      </c>
      <c r="BD784" t="str">
        <f>BG784&amp;BH784&amp;BI784</f>
        <v/>
      </c>
      <c r="BP784" s="166">
        <f t="shared" si="417"/>
        <v>8183.0999999999985</v>
      </c>
      <c r="BS784" s="165"/>
      <c r="BX784" s="495">
        <f t="shared" si="413"/>
        <v>8183.0999999999985</v>
      </c>
      <c r="BZ784" s="636">
        <f t="shared" si="414"/>
        <v>0</v>
      </c>
      <c r="CA784" s="633">
        <f t="shared" si="415"/>
        <v>0</v>
      </c>
    </row>
    <row r="785" spans="1:79" x14ac:dyDescent="0.2">
      <c r="A785" s="4">
        <v>1</v>
      </c>
      <c r="B785" s="4">
        <v>1</v>
      </c>
      <c r="C785" s="5">
        <f t="shared" si="408"/>
        <v>41144</v>
      </c>
      <c r="D785" s="6">
        <v>41144</v>
      </c>
      <c r="E785" s="6">
        <v>43011</v>
      </c>
      <c r="F785" s="6" t="s">
        <v>1876</v>
      </c>
      <c r="G785" s="7"/>
      <c r="H785" s="7"/>
      <c r="I785" s="7" t="s">
        <v>32</v>
      </c>
      <c r="J785" s="7"/>
      <c r="K785" s="29">
        <v>441621</v>
      </c>
      <c r="L785" s="10" t="s">
        <v>1673</v>
      </c>
      <c r="M785" s="10" t="s">
        <v>105</v>
      </c>
      <c r="N785" s="10" t="s">
        <v>2476</v>
      </c>
      <c r="O785" s="11" t="s">
        <v>2477</v>
      </c>
      <c r="P785" s="12">
        <v>43206</v>
      </c>
      <c r="Q785" s="13">
        <f t="shared" ca="1" si="418"/>
        <v>7.4360027378507869</v>
      </c>
      <c r="R785" s="14">
        <v>0</v>
      </c>
      <c r="S785" s="15">
        <v>872</v>
      </c>
      <c r="T785" s="8">
        <v>872</v>
      </c>
      <c r="U785" s="16">
        <v>45017</v>
      </c>
      <c r="V785" s="17">
        <v>1</v>
      </c>
      <c r="W785" s="16">
        <v>45382</v>
      </c>
      <c r="X785" s="14">
        <v>192</v>
      </c>
      <c r="Y785" s="18">
        <f t="shared" si="407"/>
        <v>192</v>
      </c>
      <c r="Z785" s="18">
        <f t="shared" si="410"/>
        <v>1</v>
      </c>
      <c r="AA785" s="18" t="s">
        <v>36</v>
      </c>
      <c r="AB785" s="26">
        <v>25</v>
      </c>
      <c r="AC785" s="26"/>
      <c r="AD785" s="26"/>
      <c r="AE785" s="147" t="str">
        <f t="shared" si="419"/>
        <v>1</v>
      </c>
      <c r="AF785" s="147" t="str">
        <f t="shared" si="393"/>
        <v>0</v>
      </c>
      <c r="AG785" s="147" t="str">
        <f t="shared" si="420"/>
        <v>0</v>
      </c>
      <c r="AH785" s="147" t="str">
        <f t="shared" si="388"/>
        <v>NO</v>
      </c>
      <c r="AI785" s="147" t="str">
        <f t="shared" si="389"/>
        <v>NO</v>
      </c>
      <c r="AJ785" s="147" t="str">
        <f t="shared" si="390"/>
        <v>NO</v>
      </c>
      <c r="AK785" s="147" t="str">
        <f t="shared" si="391"/>
        <v>NO</v>
      </c>
      <c r="AL785" s="48"/>
      <c r="AM785" s="21">
        <f t="shared" si="411"/>
        <v>5819.25</v>
      </c>
      <c r="AN785" s="27" t="s">
        <v>37</v>
      </c>
      <c r="AO785" s="21">
        <v>1</v>
      </c>
      <c r="AP785" s="21">
        <f t="shared" si="421"/>
        <v>1</v>
      </c>
      <c r="AQ785" s="149">
        <f t="shared" si="412"/>
        <v>5819.25</v>
      </c>
      <c r="AR785" s="21">
        <v>0</v>
      </c>
      <c r="AS785" s="610">
        <v>0</v>
      </c>
      <c r="AT785" s="112">
        <v>0</v>
      </c>
      <c r="AU785" s="4"/>
      <c r="AV785" s="4"/>
      <c r="AW785" s="23" t="e">
        <f>VLOOKUP(K785,#REF!,8,FALSE)</f>
        <v>#REF!</v>
      </c>
      <c r="AX785" s="23" t="e">
        <f>VLOOKUP(K785,#REF!,8,FALSE)</f>
        <v>#REF!</v>
      </c>
      <c r="AY785" s="23" t="e">
        <f>VLOOKUP(K785,#REF!,8,FALSE)</f>
        <v>#REF!</v>
      </c>
      <c r="AZ785" s="4"/>
      <c r="BA785" s="272"/>
      <c r="BB785" s="318">
        <f t="shared" si="398"/>
        <v>0</v>
      </c>
      <c r="BC785" s="269">
        <f t="shared" si="399"/>
        <v>0</v>
      </c>
      <c r="BP785" s="166">
        <f t="shared" si="417"/>
        <v>0</v>
      </c>
      <c r="BS785" s="165"/>
      <c r="BX785" s="495">
        <f t="shared" si="413"/>
        <v>5819.25</v>
      </c>
      <c r="BY785" t="s">
        <v>2478</v>
      </c>
      <c r="BZ785" s="636">
        <f t="shared" si="414"/>
        <v>5819.25</v>
      </c>
      <c r="CA785" s="633">
        <f t="shared" si="415"/>
        <v>5819.25</v>
      </c>
    </row>
    <row r="786" spans="1:79" x14ac:dyDescent="0.2">
      <c r="A786" s="4">
        <v>1</v>
      </c>
      <c r="B786" s="4">
        <v>1</v>
      </c>
      <c r="C786" s="5">
        <f t="shared" si="408"/>
        <v>41144</v>
      </c>
      <c r="D786" s="6">
        <v>41144</v>
      </c>
      <c r="E786" s="6">
        <v>43011</v>
      </c>
      <c r="F786" s="6" t="s">
        <v>1876</v>
      </c>
      <c r="G786" s="7"/>
      <c r="H786" s="7"/>
      <c r="I786" s="7" t="s">
        <v>32</v>
      </c>
      <c r="J786" s="7"/>
      <c r="K786" s="29">
        <v>434305</v>
      </c>
      <c r="L786" s="10" t="s">
        <v>1673</v>
      </c>
      <c r="M786" s="10" t="s">
        <v>1682</v>
      </c>
      <c r="N786" s="10" t="s">
        <v>1683</v>
      </c>
      <c r="O786" s="11" t="s">
        <v>1684</v>
      </c>
      <c r="P786" s="12">
        <v>42754</v>
      </c>
      <c r="Q786" s="13">
        <f t="shared" ca="1" si="418"/>
        <v>8.6735112936344976</v>
      </c>
      <c r="R786" s="14">
        <v>0</v>
      </c>
      <c r="S786" s="15">
        <v>872</v>
      </c>
      <c r="T786" s="8">
        <v>872</v>
      </c>
      <c r="U786" s="16">
        <v>45017</v>
      </c>
      <c r="V786" s="17">
        <v>1</v>
      </c>
      <c r="W786" s="16">
        <v>45382</v>
      </c>
      <c r="X786" s="14">
        <v>192</v>
      </c>
      <c r="Y786" s="18">
        <f t="shared" si="407"/>
        <v>192</v>
      </c>
      <c r="Z786" s="18">
        <f t="shared" si="410"/>
        <v>1</v>
      </c>
      <c r="AA786" s="18" t="s">
        <v>36</v>
      </c>
      <c r="AB786" s="26">
        <v>32.5</v>
      </c>
      <c r="AC786" s="26"/>
      <c r="AD786" s="26"/>
      <c r="AE786" s="147" t="str">
        <f t="shared" si="419"/>
        <v>0</v>
      </c>
      <c r="AF786" s="147" t="str">
        <f t="shared" si="393"/>
        <v>0</v>
      </c>
      <c r="AG786" s="147" t="str">
        <f t="shared" si="420"/>
        <v>1</v>
      </c>
      <c r="AH786" s="147" t="str">
        <f t="shared" si="388"/>
        <v>NO</v>
      </c>
      <c r="AI786" s="147" t="str">
        <f t="shared" si="389"/>
        <v>NO</v>
      </c>
      <c r="AJ786" s="147" t="str">
        <f t="shared" si="390"/>
        <v>NO</v>
      </c>
      <c r="AK786" s="147" t="str">
        <f t="shared" si="391"/>
        <v>NO</v>
      </c>
      <c r="AL786" s="48"/>
      <c r="AM786" s="21">
        <f t="shared" si="411"/>
        <v>9365.0249999999996</v>
      </c>
      <c r="AN786" s="27" t="s">
        <v>43</v>
      </c>
      <c r="AO786" s="21">
        <v>1</v>
      </c>
      <c r="AP786" s="21">
        <f t="shared" si="421"/>
        <v>1</v>
      </c>
      <c r="AQ786" s="149">
        <f t="shared" si="412"/>
        <v>9365.0249999999996</v>
      </c>
      <c r="AR786" s="21">
        <v>9365.0249999999996</v>
      </c>
      <c r="AS786" s="610">
        <v>9365.0249999999996</v>
      </c>
      <c r="AT786" s="112">
        <v>9365.0249999999996</v>
      </c>
      <c r="AU786" s="4"/>
      <c r="AV786" s="4"/>
      <c r="AW786" s="23" t="e">
        <f>VLOOKUP(K786,#REF!,8,FALSE)</f>
        <v>#REF!</v>
      </c>
      <c r="AX786" s="23" t="e">
        <f>VLOOKUP(K786,#REF!,8,FALSE)</f>
        <v>#REF!</v>
      </c>
      <c r="AY786" s="23" t="e">
        <f>VLOOKUP(K786,#REF!,8,FALSE)</f>
        <v>#REF!</v>
      </c>
      <c r="AZ786" s="4"/>
      <c r="BA786" s="272"/>
      <c r="BB786" s="318">
        <f t="shared" si="398"/>
        <v>0</v>
      </c>
      <c r="BC786" s="269">
        <f t="shared" si="399"/>
        <v>9365.0249999999996</v>
      </c>
      <c r="BD786" t="str">
        <f t="shared" ref="BD786:BD822" si="422">BG786&amp;BH786&amp;BI786</f>
        <v/>
      </c>
      <c r="BP786" s="166">
        <f t="shared" si="417"/>
        <v>9365.0249999999996</v>
      </c>
      <c r="BS786" s="165"/>
      <c r="BX786" s="495">
        <f t="shared" si="413"/>
        <v>9365.0249999999996</v>
      </c>
      <c r="BZ786" s="636">
        <f t="shared" si="414"/>
        <v>0</v>
      </c>
      <c r="CA786" s="633">
        <f t="shared" si="415"/>
        <v>0</v>
      </c>
    </row>
    <row r="787" spans="1:79" x14ac:dyDescent="0.2">
      <c r="A787" s="4">
        <v>1</v>
      </c>
      <c r="B787" s="4">
        <v>1</v>
      </c>
      <c r="C787" s="5">
        <f t="shared" si="408"/>
        <v>41145</v>
      </c>
      <c r="D787" s="6">
        <v>41145</v>
      </c>
      <c r="E787" s="121">
        <v>43015</v>
      </c>
      <c r="F787" s="6" t="s">
        <v>1876</v>
      </c>
      <c r="G787" s="7" t="s">
        <v>75</v>
      </c>
      <c r="H787" s="7" t="s">
        <v>75</v>
      </c>
      <c r="I787" s="7" t="s">
        <v>32</v>
      </c>
      <c r="J787" s="7"/>
      <c r="K787" s="29">
        <v>439190</v>
      </c>
      <c r="L787" s="10" t="s">
        <v>1685</v>
      </c>
      <c r="M787" s="10" t="s">
        <v>1686</v>
      </c>
      <c r="N787" s="10" t="s">
        <v>1687</v>
      </c>
      <c r="O787" s="11" t="s">
        <v>1688</v>
      </c>
      <c r="P787" s="12">
        <v>42956</v>
      </c>
      <c r="Q787" s="13">
        <f t="shared" ca="1" si="418"/>
        <v>8.1204654346338128</v>
      </c>
      <c r="R787" s="14">
        <v>1</v>
      </c>
      <c r="S787" s="15">
        <v>872</v>
      </c>
      <c r="T787" s="8">
        <v>872</v>
      </c>
      <c r="U787" s="16">
        <v>45017</v>
      </c>
      <c r="V787" s="17">
        <v>1</v>
      </c>
      <c r="W787" s="16">
        <v>45382</v>
      </c>
      <c r="X787" s="14">
        <v>192</v>
      </c>
      <c r="Y787" s="18">
        <f t="shared" si="407"/>
        <v>192</v>
      </c>
      <c r="Z787" s="18">
        <f t="shared" si="410"/>
        <v>1</v>
      </c>
      <c r="AA787" s="18" t="s">
        <v>36</v>
      </c>
      <c r="AB787" s="26" t="s">
        <v>1689</v>
      </c>
      <c r="AC787" s="26" t="s">
        <v>1689</v>
      </c>
      <c r="AD787" s="26" t="s">
        <v>1895</v>
      </c>
      <c r="AE787" s="147" t="str">
        <f t="shared" si="419"/>
        <v>0</v>
      </c>
      <c r="AF787" s="147" t="str">
        <f t="shared" si="393"/>
        <v>0</v>
      </c>
      <c r="AG787" s="147" t="str">
        <f t="shared" si="420"/>
        <v>1</v>
      </c>
      <c r="AH787" s="147" t="str">
        <f t="shared" ref="AH787:AH850" si="423">IF(AD787="BAND3","YES","NO")</f>
        <v>NO</v>
      </c>
      <c r="AI787" s="147" t="str">
        <f t="shared" ref="AI787:AI850" si="424">IF(AD787="BAND4","YES","NO")</f>
        <v>NO</v>
      </c>
      <c r="AJ787" s="147" t="str">
        <f t="shared" ref="AJ787:AJ850" si="425">IF(AD787="BAND5","YES","NO")</f>
        <v>NO</v>
      </c>
      <c r="AK787" s="147" t="str">
        <f t="shared" ref="AK787:AK850" si="426">IF(AD787="BAND6","YES","NO")</f>
        <v>YES</v>
      </c>
      <c r="AL787" s="48">
        <f>22008</f>
        <v>22008</v>
      </c>
      <c r="AM787" s="21">
        <f>AL787</f>
        <v>22008</v>
      </c>
      <c r="AN787" s="27"/>
      <c r="AO787" s="21">
        <v>1</v>
      </c>
      <c r="AP787" s="21">
        <f t="shared" si="421"/>
        <v>1</v>
      </c>
      <c r="AQ787" s="149">
        <f t="shared" si="412"/>
        <v>22008</v>
      </c>
      <c r="AR787" s="21">
        <v>22008</v>
      </c>
      <c r="AS787" s="610">
        <v>22008</v>
      </c>
      <c r="AT787" s="112">
        <v>22008</v>
      </c>
      <c r="AU787" s="4"/>
      <c r="AV787" s="4"/>
      <c r="AW787" s="23" t="e">
        <f>VLOOKUP(K787,#REF!,8,FALSE)</f>
        <v>#REF!</v>
      </c>
      <c r="AX787" s="23" t="e">
        <f>VLOOKUP(K787,#REF!,8,FALSE)</f>
        <v>#REF!</v>
      </c>
      <c r="AY787" s="23" t="e">
        <f>VLOOKUP(K787,#REF!,8,FALSE)</f>
        <v>#REF!</v>
      </c>
      <c r="AZ787" s="4"/>
      <c r="BA787" s="272"/>
      <c r="BB787" s="318">
        <f t="shared" si="398"/>
        <v>0</v>
      </c>
      <c r="BC787" s="269">
        <f t="shared" si="399"/>
        <v>22008</v>
      </c>
      <c r="BD787" t="str">
        <f t="shared" si="422"/>
        <v/>
      </c>
      <c r="BP787" s="166">
        <f t="shared" si="417"/>
        <v>22008</v>
      </c>
      <c r="BS787" s="165"/>
      <c r="BX787" s="495">
        <f t="shared" si="413"/>
        <v>22008</v>
      </c>
      <c r="BZ787" s="636">
        <f t="shared" si="414"/>
        <v>0</v>
      </c>
      <c r="CA787" s="633">
        <f t="shared" si="415"/>
        <v>0</v>
      </c>
    </row>
    <row r="788" spans="1:79" x14ac:dyDescent="0.2">
      <c r="A788" s="4">
        <v>0</v>
      </c>
      <c r="B788" s="4">
        <v>1</v>
      </c>
      <c r="C788" s="5">
        <f t="shared" si="408"/>
        <v>41145</v>
      </c>
      <c r="D788" s="6">
        <v>41145</v>
      </c>
      <c r="E788" s="121">
        <v>43015</v>
      </c>
      <c r="F788" s="6" t="s">
        <v>1876</v>
      </c>
      <c r="G788" s="7" t="s">
        <v>75</v>
      </c>
      <c r="H788" s="52" t="s">
        <v>75</v>
      </c>
      <c r="I788" s="7" t="s">
        <v>32</v>
      </c>
      <c r="J788" s="7" t="s">
        <v>142</v>
      </c>
      <c r="K788" s="29">
        <v>439190</v>
      </c>
      <c r="L788" s="10" t="s">
        <v>1685</v>
      </c>
      <c r="M788" s="10" t="s">
        <v>1686</v>
      </c>
      <c r="N788" s="10" t="s">
        <v>1687</v>
      </c>
      <c r="O788" s="11" t="s">
        <v>1688</v>
      </c>
      <c r="P788" s="12">
        <v>42956</v>
      </c>
      <c r="Q788" s="13">
        <f t="shared" ca="1" si="418"/>
        <v>8.1204654346338128</v>
      </c>
      <c r="R788" s="14">
        <v>1</v>
      </c>
      <c r="S788" s="56">
        <v>872</v>
      </c>
      <c r="T788" s="57">
        <v>872</v>
      </c>
      <c r="U788" s="16">
        <v>45017</v>
      </c>
      <c r="V788" s="17">
        <v>1</v>
      </c>
      <c r="W788" s="16">
        <v>45382</v>
      </c>
      <c r="X788" s="14">
        <v>192</v>
      </c>
      <c r="Y788" s="18">
        <f t="shared" si="407"/>
        <v>192</v>
      </c>
      <c r="Z788" s="18">
        <f t="shared" si="410"/>
        <v>1</v>
      </c>
      <c r="AA788" s="18" t="s">
        <v>36</v>
      </c>
      <c r="AB788" s="26"/>
      <c r="AC788" s="26" t="s">
        <v>1689</v>
      </c>
      <c r="AD788" s="26"/>
      <c r="AE788" s="147" t="str">
        <f t="shared" si="419"/>
        <v>0</v>
      </c>
      <c r="AF788" s="147" t="str">
        <f t="shared" si="393"/>
        <v>0</v>
      </c>
      <c r="AG788" s="147" t="str">
        <f t="shared" si="420"/>
        <v>0</v>
      </c>
      <c r="AH788" s="147" t="str">
        <f t="shared" si="423"/>
        <v>NO</v>
      </c>
      <c r="AI788" s="147" t="str">
        <f t="shared" si="424"/>
        <v>NO</v>
      </c>
      <c r="AJ788" s="147" t="str">
        <f t="shared" si="425"/>
        <v>NO</v>
      </c>
      <c r="AK788" s="147" t="str">
        <f t="shared" si="426"/>
        <v>NO</v>
      </c>
      <c r="AL788" s="70">
        <v>472.33</v>
      </c>
      <c r="AM788" s="21">
        <f>IF(H788="Y",AL788,((AB788*$O$902)-6000))</f>
        <v>472.33</v>
      </c>
      <c r="AN788" s="27"/>
      <c r="AO788" s="21">
        <v>1</v>
      </c>
      <c r="AP788" s="21">
        <f t="shared" si="421"/>
        <v>1</v>
      </c>
      <c r="AQ788" s="149">
        <f t="shared" si="412"/>
        <v>472.33</v>
      </c>
      <c r="AR788" s="21">
        <v>472.33</v>
      </c>
      <c r="AS788" s="610">
        <v>472.33</v>
      </c>
      <c r="AT788" s="112">
        <v>472.33</v>
      </c>
      <c r="AU788" s="4"/>
      <c r="AV788" s="4"/>
      <c r="AW788" s="23" t="e">
        <f>VLOOKUP(K788,#REF!,8,FALSE)</f>
        <v>#REF!</v>
      </c>
      <c r="AX788" s="23" t="e">
        <f>VLOOKUP(K788,#REF!,8,FALSE)</f>
        <v>#REF!</v>
      </c>
      <c r="AY788" s="23" t="e">
        <f>VLOOKUP(K788,#REF!,8,FALSE)</f>
        <v>#REF!</v>
      </c>
      <c r="AZ788" s="4"/>
      <c r="BA788" s="272"/>
      <c r="BB788" s="318">
        <f t="shared" si="398"/>
        <v>0</v>
      </c>
      <c r="BC788" s="269">
        <f t="shared" si="399"/>
        <v>472.33</v>
      </c>
      <c r="BD788" t="str">
        <f t="shared" si="422"/>
        <v/>
      </c>
      <c r="BP788" s="166">
        <f t="shared" si="417"/>
        <v>472.33</v>
      </c>
      <c r="BS788" s="165"/>
      <c r="BX788" s="495">
        <f t="shared" si="413"/>
        <v>472.33</v>
      </c>
      <c r="BZ788" s="636">
        <f t="shared" si="414"/>
        <v>0</v>
      </c>
      <c r="CA788" s="633">
        <f t="shared" si="415"/>
        <v>0</v>
      </c>
    </row>
    <row r="789" spans="1:79" x14ac:dyDescent="0.2">
      <c r="A789" s="4">
        <v>0</v>
      </c>
      <c r="B789" s="4">
        <v>1</v>
      </c>
      <c r="C789" s="5">
        <f t="shared" ref="C789:C820" si="427">D789*1</f>
        <v>41145</v>
      </c>
      <c r="D789" s="6">
        <v>41145</v>
      </c>
      <c r="E789" s="121">
        <v>43015</v>
      </c>
      <c r="F789" s="6" t="s">
        <v>1876</v>
      </c>
      <c r="G789" s="7" t="s">
        <v>75</v>
      </c>
      <c r="H789" s="52" t="s">
        <v>75</v>
      </c>
      <c r="I789" s="7" t="s">
        <v>32</v>
      </c>
      <c r="J789" s="7" t="s">
        <v>142</v>
      </c>
      <c r="K789" s="29">
        <v>439190</v>
      </c>
      <c r="L789" s="10" t="s">
        <v>1685</v>
      </c>
      <c r="M789" s="10" t="s">
        <v>1686</v>
      </c>
      <c r="N789" s="10" t="s">
        <v>1687</v>
      </c>
      <c r="O789" s="11" t="s">
        <v>1688</v>
      </c>
      <c r="P789" s="12">
        <v>42956</v>
      </c>
      <c r="Q789" s="13">
        <f t="shared" ca="1" si="418"/>
        <v>8.1204654346338128</v>
      </c>
      <c r="R789" s="14">
        <v>1</v>
      </c>
      <c r="S789" s="56">
        <v>872</v>
      </c>
      <c r="T789" s="57">
        <v>872</v>
      </c>
      <c r="U789" s="16">
        <v>45017</v>
      </c>
      <c r="V789" s="17">
        <v>1</v>
      </c>
      <c r="W789" s="16">
        <v>45382</v>
      </c>
      <c r="X789" s="14">
        <v>192</v>
      </c>
      <c r="Y789" s="18">
        <f t="shared" si="407"/>
        <v>192</v>
      </c>
      <c r="Z789" s="18">
        <f t="shared" si="410"/>
        <v>1</v>
      </c>
      <c r="AA789" s="18" t="s">
        <v>36</v>
      </c>
      <c r="AB789" s="26"/>
      <c r="AC789" s="26" t="s">
        <v>1689</v>
      </c>
      <c r="AD789" s="26"/>
      <c r="AE789" s="147" t="str">
        <f t="shared" si="419"/>
        <v>0</v>
      </c>
      <c r="AF789" s="147" t="str">
        <f t="shared" si="393"/>
        <v>0</v>
      </c>
      <c r="AG789" s="147" t="str">
        <f t="shared" si="420"/>
        <v>0</v>
      </c>
      <c r="AH789" s="147" t="str">
        <f t="shared" si="423"/>
        <v>NO</v>
      </c>
      <c r="AI789" s="147" t="str">
        <f t="shared" si="424"/>
        <v>NO</v>
      </c>
      <c r="AJ789" s="147" t="str">
        <f t="shared" si="425"/>
        <v>NO</v>
      </c>
      <c r="AK789" s="147" t="str">
        <f t="shared" si="426"/>
        <v>NO</v>
      </c>
      <c r="AL789" s="70">
        <v>2752.5</v>
      </c>
      <c r="AM789" s="21">
        <f>IF(H789="Y",AL789,((AB789*$O$902)-6000))</f>
        <v>2752.5</v>
      </c>
      <c r="AN789" s="27"/>
      <c r="AO789" s="21">
        <v>1</v>
      </c>
      <c r="AP789" s="21">
        <f t="shared" si="421"/>
        <v>1</v>
      </c>
      <c r="AQ789" s="149">
        <f t="shared" si="412"/>
        <v>2752.5</v>
      </c>
      <c r="AR789" s="21">
        <v>2752.5</v>
      </c>
      <c r="AS789" s="610">
        <v>2752.5</v>
      </c>
      <c r="AT789" s="112">
        <v>2752.5</v>
      </c>
      <c r="AU789" s="4"/>
      <c r="AV789" s="4"/>
      <c r="AW789" s="23" t="e">
        <f>VLOOKUP(K789,#REF!,8,FALSE)</f>
        <v>#REF!</v>
      </c>
      <c r="AX789" s="23" t="e">
        <f>VLOOKUP(K789,#REF!,8,FALSE)</f>
        <v>#REF!</v>
      </c>
      <c r="AY789" s="23" t="e">
        <f>VLOOKUP(K789,#REF!,8,FALSE)</f>
        <v>#REF!</v>
      </c>
      <c r="AZ789" s="4"/>
      <c r="BA789" s="272"/>
      <c r="BB789" s="318">
        <f t="shared" si="398"/>
        <v>0</v>
      </c>
      <c r="BC789" s="269">
        <f t="shared" si="399"/>
        <v>2752.5</v>
      </c>
      <c r="BD789" t="str">
        <f t="shared" si="422"/>
        <v/>
      </c>
      <c r="BP789" s="166">
        <f t="shared" si="417"/>
        <v>2752.5</v>
      </c>
      <c r="BS789" s="165"/>
      <c r="BX789" s="495">
        <f t="shared" si="413"/>
        <v>2752.5</v>
      </c>
      <c r="BZ789" s="636">
        <f t="shared" si="414"/>
        <v>0</v>
      </c>
      <c r="CA789" s="633">
        <f t="shared" si="415"/>
        <v>0</v>
      </c>
    </row>
    <row r="790" spans="1:79" x14ac:dyDescent="0.2">
      <c r="A790" s="4">
        <v>1</v>
      </c>
      <c r="B790" s="4">
        <v>1</v>
      </c>
      <c r="C790" s="5">
        <f t="shared" si="427"/>
        <v>41145</v>
      </c>
      <c r="D790" s="6">
        <v>41145</v>
      </c>
      <c r="E790" s="121">
        <v>43015</v>
      </c>
      <c r="F790" s="6" t="s">
        <v>1876</v>
      </c>
      <c r="G790" s="7" t="s">
        <v>75</v>
      </c>
      <c r="H790" s="52" t="s">
        <v>75</v>
      </c>
      <c r="I790" s="7" t="s">
        <v>32</v>
      </c>
      <c r="J790" s="7"/>
      <c r="K790" s="29">
        <v>431119</v>
      </c>
      <c r="L790" s="10" t="s">
        <v>1685</v>
      </c>
      <c r="M790" s="10" t="s">
        <v>476</v>
      </c>
      <c r="N790" s="10" t="s">
        <v>1690</v>
      </c>
      <c r="O790" s="11" t="s">
        <v>1691</v>
      </c>
      <c r="P790" s="12">
        <v>42724</v>
      </c>
      <c r="Q790" s="13">
        <f t="shared" ca="1" si="418"/>
        <v>8.7556468172484596</v>
      </c>
      <c r="R790" s="14">
        <v>1</v>
      </c>
      <c r="S790" s="56">
        <v>872</v>
      </c>
      <c r="T790" s="57">
        <v>872</v>
      </c>
      <c r="U790" s="16">
        <v>45017</v>
      </c>
      <c r="V790" s="17">
        <v>1</v>
      </c>
      <c r="W790" s="16">
        <v>45382</v>
      </c>
      <c r="X790" s="14">
        <v>192</v>
      </c>
      <c r="Y790" s="18">
        <f t="shared" si="407"/>
        <v>192</v>
      </c>
      <c r="Z790" s="18">
        <f t="shared" si="410"/>
        <v>1</v>
      </c>
      <c r="AA790" s="18" t="s">
        <v>36</v>
      </c>
      <c r="AB790" s="26" t="s">
        <v>1689</v>
      </c>
      <c r="AC790" s="26" t="s">
        <v>1689</v>
      </c>
      <c r="AD790" s="26" t="s">
        <v>1895</v>
      </c>
      <c r="AE790" s="147" t="str">
        <f t="shared" si="419"/>
        <v>0</v>
      </c>
      <c r="AF790" s="147" t="str">
        <f t="shared" si="393"/>
        <v>0</v>
      </c>
      <c r="AG790" s="147" t="str">
        <f t="shared" si="420"/>
        <v>1</v>
      </c>
      <c r="AH790" s="147" t="str">
        <f t="shared" si="423"/>
        <v>NO</v>
      </c>
      <c r="AI790" s="147" t="str">
        <f t="shared" si="424"/>
        <v>NO</v>
      </c>
      <c r="AJ790" s="147" t="str">
        <f t="shared" si="425"/>
        <v>NO</v>
      </c>
      <c r="AK790" s="147" t="str">
        <f t="shared" si="426"/>
        <v>YES</v>
      </c>
      <c r="AL790" s="48">
        <f>22008</f>
        <v>22008</v>
      </c>
      <c r="AM790" s="21">
        <f>IF(H790="Y",AL790,((AB790*$O$902)-6000))</f>
        <v>22008</v>
      </c>
      <c r="AN790" s="27"/>
      <c r="AO790" s="21">
        <v>1</v>
      </c>
      <c r="AP790" s="21">
        <f t="shared" si="421"/>
        <v>1</v>
      </c>
      <c r="AQ790" s="149">
        <f t="shared" si="412"/>
        <v>22008</v>
      </c>
      <c r="AR790" s="21">
        <v>22008</v>
      </c>
      <c r="AS790" s="610">
        <v>22008</v>
      </c>
      <c r="AT790" s="112">
        <v>22008</v>
      </c>
      <c r="AU790" s="4"/>
      <c r="AV790" s="4"/>
      <c r="AW790" s="23" t="e">
        <f>VLOOKUP(K790,#REF!,8,FALSE)</f>
        <v>#REF!</v>
      </c>
      <c r="AX790" s="23" t="e">
        <f>VLOOKUP(K790,#REF!,8,FALSE)</f>
        <v>#REF!</v>
      </c>
      <c r="AY790" s="23" t="e">
        <f>VLOOKUP(K790,#REF!,8,FALSE)</f>
        <v>#REF!</v>
      </c>
      <c r="AZ790" s="4"/>
      <c r="BA790" s="272"/>
      <c r="BB790" s="318">
        <f t="shared" si="398"/>
        <v>0</v>
      </c>
      <c r="BC790" s="269">
        <f t="shared" si="399"/>
        <v>22008</v>
      </c>
      <c r="BD790" t="str">
        <f t="shared" si="422"/>
        <v/>
      </c>
      <c r="BP790" s="166">
        <f t="shared" si="417"/>
        <v>22008</v>
      </c>
      <c r="BS790" s="165"/>
      <c r="BX790" s="495">
        <f t="shared" si="413"/>
        <v>22008</v>
      </c>
      <c r="BZ790" s="636">
        <f t="shared" si="414"/>
        <v>0</v>
      </c>
      <c r="CA790" s="633">
        <f t="shared" si="415"/>
        <v>0</v>
      </c>
    </row>
    <row r="791" spans="1:79" x14ac:dyDescent="0.2">
      <c r="A791" s="4">
        <v>0</v>
      </c>
      <c r="B791" s="4">
        <v>1</v>
      </c>
      <c r="C791" s="5">
        <f t="shared" si="427"/>
        <v>41145</v>
      </c>
      <c r="D791" s="6">
        <v>41145</v>
      </c>
      <c r="E791" s="121">
        <v>43015</v>
      </c>
      <c r="F791" s="6" t="s">
        <v>1876</v>
      </c>
      <c r="G791" s="7" t="s">
        <v>75</v>
      </c>
      <c r="H791" s="52" t="s">
        <v>75</v>
      </c>
      <c r="I791" s="7" t="s">
        <v>32</v>
      </c>
      <c r="J791" s="7" t="s">
        <v>142</v>
      </c>
      <c r="K791" s="29">
        <v>431119</v>
      </c>
      <c r="L791" s="10" t="s">
        <v>1685</v>
      </c>
      <c r="M791" s="10" t="s">
        <v>476</v>
      </c>
      <c r="N791" s="10" t="s">
        <v>1690</v>
      </c>
      <c r="O791" s="11" t="s">
        <v>1691</v>
      </c>
      <c r="P791" s="12">
        <v>42724</v>
      </c>
      <c r="Q791" s="13">
        <f t="shared" ca="1" si="418"/>
        <v>8.7556468172484596</v>
      </c>
      <c r="R791" s="14">
        <v>1</v>
      </c>
      <c r="S791" s="56">
        <v>872</v>
      </c>
      <c r="T791" s="57">
        <v>872</v>
      </c>
      <c r="U791" s="16">
        <v>45017</v>
      </c>
      <c r="V791" s="17">
        <v>1</v>
      </c>
      <c r="W791" s="16">
        <v>45382</v>
      </c>
      <c r="X791" s="14">
        <v>192</v>
      </c>
      <c r="Y791" s="18">
        <f t="shared" si="407"/>
        <v>192</v>
      </c>
      <c r="Z791" s="18">
        <f t="shared" si="410"/>
        <v>1</v>
      </c>
      <c r="AA791" s="18" t="s">
        <v>36</v>
      </c>
      <c r="AB791" s="26"/>
      <c r="AC791" s="26" t="s">
        <v>1689</v>
      </c>
      <c r="AD791" s="26"/>
      <c r="AE791" s="147" t="str">
        <f t="shared" si="419"/>
        <v>0</v>
      </c>
      <c r="AF791" s="147" t="str">
        <f t="shared" si="393"/>
        <v>0</v>
      </c>
      <c r="AG791" s="147" t="str">
        <f t="shared" si="420"/>
        <v>0</v>
      </c>
      <c r="AH791" s="147" t="str">
        <f t="shared" si="423"/>
        <v>NO</v>
      </c>
      <c r="AI791" s="147" t="str">
        <f t="shared" si="424"/>
        <v>NO</v>
      </c>
      <c r="AJ791" s="147" t="str">
        <f t="shared" si="425"/>
        <v>NO</v>
      </c>
      <c r="AK791" s="147" t="str">
        <f t="shared" si="426"/>
        <v>NO</v>
      </c>
      <c r="AL791" s="70">
        <v>472.33</v>
      </c>
      <c r="AM791" s="21">
        <f>IF(H791="Y",AL791,((AB791*$O$902)-6000))</f>
        <v>472.33</v>
      </c>
      <c r="AN791" s="27"/>
      <c r="AO791" s="21">
        <v>1</v>
      </c>
      <c r="AP791" s="21">
        <f t="shared" si="421"/>
        <v>1</v>
      </c>
      <c r="AQ791" s="149">
        <f t="shared" si="412"/>
        <v>472.33</v>
      </c>
      <c r="AR791" s="21">
        <v>472.33</v>
      </c>
      <c r="AS791" s="610">
        <v>472.33</v>
      </c>
      <c r="AT791" s="112">
        <v>472.33</v>
      </c>
      <c r="AU791" s="4"/>
      <c r="AV791" s="4"/>
      <c r="AW791" s="23" t="e">
        <f>VLOOKUP(K791,#REF!,8,FALSE)</f>
        <v>#REF!</v>
      </c>
      <c r="AX791" s="23" t="e">
        <f>VLOOKUP(K791,#REF!,8,FALSE)</f>
        <v>#REF!</v>
      </c>
      <c r="AY791" s="23" t="e">
        <f>VLOOKUP(K791,#REF!,8,FALSE)</f>
        <v>#REF!</v>
      </c>
      <c r="AZ791" s="4"/>
      <c r="BA791" s="272"/>
      <c r="BB791" s="318">
        <f t="shared" si="398"/>
        <v>0</v>
      </c>
      <c r="BC791" s="269">
        <f t="shared" si="399"/>
        <v>472.33</v>
      </c>
      <c r="BD791" t="str">
        <f t="shared" si="422"/>
        <v/>
      </c>
      <c r="BP791" s="166">
        <f t="shared" si="417"/>
        <v>472.33</v>
      </c>
      <c r="BS791" s="165"/>
      <c r="BX791" s="495">
        <f t="shared" si="413"/>
        <v>472.33</v>
      </c>
      <c r="BZ791" s="636">
        <f t="shared" si="414"/>
        <v>0</v>
      </c>
      <c r="CA791" s="633">
        <f t="shared" si="415"/>
        <v>0</v>
      </c>
    </row>
    <row r="792" spans="1:79" x14ac:dyDescent="0.2">
      <c r="A792" s="4">
        <v>0</v>
      </c>
      <c r="B792" s="4">
        <v>1</v>
      </c>
      <c r="C792" s="5">
        <f t="shared" si="427"/>
        <v>41145</v>
      </c>
      <c r="D792" s="6">
        <v>41145</v>
      </c>
      <c r="E792" s="121">
        <v>43015</v>
      </c>
      <c r="F792" s="6" t="s">
        <v>1876</v>
      </c>
      <c r="G792" s="7" t="s">
        <v>75</v>
      </c>
      <c r="H792" s="52" t="s">
        <v>75</v>
      </c>
      <c r="I792" s="7" t="s">
        <v>32</v>
      </c>
      <c r="J792" s="7" t="s">
        <v>142</v>
      </c>
      <c r="K792" s="29">
        <v>431119</v>
      </c>
      <c r="L792" s="10" t="s">
        <v>1685</v>
      </c>
      <c r="M792" s="10" t="s">
        <v>476</v>
      </c>
      <c r="N792" s="10" t="s">
        <v>1690</v>
      </c>
      <c r="O792" s="11" t="s">
        <v>1691</v>
      </c>
      <c r="P792" s="12">
        <v>42724</v>
      </c>
      <c r="Q792" s="13">
        <f t="shared" ca="1" si="418"/>
        <v>8.7556468172484596</v>
      </c>
      <c r="R792" s="14">
        <v>1</v>
      </c>
      <c r="S792" s="56">
        <v>872</v>
      </c>
      <c r="T792" s="57">
        <v>872</v>
      </c>
      <c r="U792" s="16">
        <v>45017</v>
      </c>
      <c r="V792" s="17">
        <v>1</v>
      </c>
      <c r="W792" s="16">
        <v>45382</v>
      </c>
      <c r="X792" s="14">
        <v>192</v>
      </c>
      <c r="Y792" s="18">
        <f t="shared" si="407"/>
        <v>192</v>
      </c>
      <c r="Z792" s="18">
        <f t="shared" si="410"/>
        <v>1</v>
      </c>
      <c r="AA792" s="18" t="s">
        <v>36</v>
      </c>
      <c r="AB792" s="26"/>
      <c r="AC792" s="26" t="s">
        <v>1689</v>
      </c>
      <c r="AD792" s="26"/>
      <c r="AE792" s="147" t="str">
        <f t="shared" si="419"/>
        <v>0</v>
      </c>
      <c r="AF792" s="147" t="str">
        <f t="shared" ref="AF792:AF855" si="428">IF(AND(AB792&lt;=30,AB792&gt;=26),"1","0")</f>
        <v>0</v>
      </c>
      <c r="AG792" s="147" t="str">
        <f t="shared" si="420"/>
        <v>0</v>
      </c>
      <c r="AH792" s="147" t="str">
        <f t="shared" si="423"/>
        <v>NO</v>
      </c>
      <c r="AI792" s="147" t="str">
        <f t="shared" si="424"/>
        <v>NO</v>
      </c>
      <c r="AJ792" s="147" t="str">
        <f t="shared" si="425"/>
        <v>NO</v>
      </c>
      <c r="AK792" s="147" t="str">
        <f t="shared" si="426"/>
        <v>NO</v>
      </c>
      <c r="AL792" s="70">
        <v>2752.5</v>
      </c>
      <c r="AM792" s="21">
        <f>IF(H792="Y",AL792,((AB792*$O$902)-6000))</f>
        <v>2752.5</v>
      </c>
      <c r="AN792" s="27"/>
      <c r="AO792" s="21">
        <v>1</v>
      </c>
      <c r="AP792" s="21">
        <f t="shared" si="421"/>
        <v>1</v>
      </c>
      <c r="AQ792" s="149">
        <f t="shared" si="412"/>
        <v>2752.5</v>
      </c>
      <c r="AR792" s="21">
        <v>2752.5</v>
      </c>
      <c r="AS792" s="610">
        <v>2752.5</v>
      </c>
      <c r="AT792" s="112">
        <v>2752.5</v>
      </c>
      <c r="AU792" s="4"/>
      <c r="AV792" s="4"/>
      <c r="AW792" s="23" t="e">
        <f>VLOOKUP(K792,#REF!,8,FALSE)</f>
        <v>#REF!</v>
      </c>
      <c r="AX792" s="23" t="e">
        <f>VLOOKUP(K792,#REF!,8,FALSE)</f>
        <v>#REF!</v>
      </c>
      <c r="AY792" s="23" t="e">
        <f>VLOOKUP(K792,#REF!,8,FALSE)</f>
        <v>#REF!</v>
      </c>
      <c r="AZ792" s="4"/>
      <c r="BA792" s="272"/>
      <c r="BB792" s="318">
        <f t="shared" si="398"/>
        <v>0</v>
      </c>
      <c r="BC792" s="269">
        <f t="shared" si="399"/>
        <v>2752.5</v>
      </c>
      <c r="BD792" t="str">
        <f t="shared" si="422"/>
        <v/>
      </c>
      <c r="BP792" s="166">
        <f t="shared" si="417"/>
        <v>2752.5</v>
      </c>
      <c r="BS792" s="165"/>
      <c r="BX792" s="495">
        <f t="shared" si="413"/>
        <v>2752.5</v>
      </c>
      <c r="BZ792" s="636">
        <f t="shared" si="414"/>
        <v>0</v>
      </c>
      <c r="CA792" s="633">
        <f t="shared" si="415"/>
        <v>0</v>
      </c>
    </row>
    <row r="793" spans="1:79" x14ac:dyDescent="0.2">
      <c r="A793" s="4">
        <v>0</v>
      </c>
      <c r="B793" s="4">
        <v>1</v>
      </c>
      <c r="C793" s="5">
        <f t="shared" si="427"/>
        <v>41145</v>
      </c>
      <c r="D793" s="6">
        <v>41145</v>
      </c>
      <c r="E793" s="121">
        <v>43015</v>
      </c>
      <c r="F793" s="6" t="s">
        <v>1876</v>
      </c>
      <c r="G793" s="7" t="s">
        <v>75</v>
      </c>
      <c r="H793" s="52" t="s">
        <v>75</v>
      </c>
      <c r="I793" s="7" t="s">
        <v>32</v>
      </c>
      <c r="J793" s="7" t="s">
        <v>192</v>
      </c>
      <c r="K793" s="29">
        <v>431119</v>
      </c>
      <c r="L793" s="10" t="s">
        <v>1685</v>
      </c>
      <c r="M793" s="10" t="s">
        <v>476</v>
      </c>
      <c r="N793" s="10" t="s">
        <v>1690</v>
      </c>
      <c r="O793" s="11" t="s">
        <v>1691</v>
      </c>
      <c r="P793" s="12">
        <v>42724</v>
      </c>
      <c r="Q793" s="13">
        <f t="shared" ca="1" si="418"/>
        <v>8.7556468172484596</v>
      </c>
      <c r="R793" s="14">
        <v>1</v>
      </c>
      <c r="S793" s="56">
        <v>872</v>
      </c>
      <c r="T793" s="57">
        <v>872</v>
      </c>
      <c r="U793" s="16">
        <v>45040</v>
      </c>
      <c r="V793" s="17">
        <v>6</v>
      </c>
      <c r="W793" s="16">
        <v>45126</v>
      </c>
      <c r="X793" s="14">
        <v>61</v>
      </c>
      <c r="Y793" s="18">
        <f t="shared" si="407"/>
        <v>56</v>
      </c>
      <c r="Z793" s="18">
        <v>1</v>
      </c>
      <c r="AA793" s="16">
        <v>45126</v>
      </c>
      <c r="AB793" s="26"/>
      <c r="AC793" s="26" t="s">
        <v>1689</v>
      </c>
      <c r="AD793" s="26"/>
      <c r="AE793" s="147" t="str">
        <f t="shared" si="419"/>
        <v>0</v>
      </c>
      <c r="AF793" s="147" t="str">
        <f t="shared" si="428"/>
        <v>0</v>
      </c>
      <c r="AG793" s="147" t="str">
        <f t="shared" si="420"/>
        <v>0</v>
      </c>
      <c r="AH793" s="147" t="str">
        <f t="shared" si="423"/>
        <v>NO</v>
      </c>
      <c r="AI793" s="147" t="str">
        <f t="shared" si="424"/>
        <v>NO</v>
      </c>
      <c r="AJ793" s="147" t="str">
        <f t="shared" si="425"/>
        <v>NO</v>
      </c>
      <c r="AK793" s="147" t="str">
        <f t="shared" si="426"/>
        <v>NO</v>
      </c>
      <c r="AL793" s="70"/>
      <c r="AM793" s="21">
        <v>4950</v>
      </c>
      <c r="AN793" s="27"/>
      <c r="AO793" s="21">
        <v>1</v>
      </c>
      <c r="AP793" s="21">
        <f t="shared" si="421"/>
        <v>1</v>
      </c>
      <c r="AQ793" s="149">
        <f t="shared" si="412"/>
        <v>4950</v>
      </c>
      <c r="AR793" s="21">
        <v>4950</v>
      </c>
      <c r="AS793" s="610">
        <v>0</v>
      </c>
      <c r="AT793" s="112">
        <v>4950</v>
      </c>
      <c r="AU793" s="4"/>
      <c r="AV793" s="4"/>
      <c r="AW793" s="23" t="e">
        <f>VLOOKUP(K793,#REF!,8,FALSE)</f>
        <v>#REF!</v>
      </c>
      <c r="AX793" s="23" t="e">
        <f>VLOOKUP(K793,#REF!,8,FALSE)</f>
        <v>#REF!</v>
      </c>
      <c r="AY793" s="23" t="e">
        <f>VLOOKUP(K793,#REF!,8,FALSE)</f>
        <v>#REF!</v>
      </c>
      <c r="AZ793" s="4"/>
      <c r="BA793" s="272"/>
      <c r="BB793" s="318">
        <f t="shared" si="398"/>
        <v>0</v>
      </c>
      <c r="BC793" s="269">
        <f t="shared" si="399"/>
        <v>4950</v>
      </c>
      <c r="BD793" t="str">
        <f t="shared" si="422"/>
        <v/>
      </c>
      <c r="BJ793">
        <f>AB793</f>
        <v>0</v>
      </c>
      <c r="BK793" s="269">
        <f>AM793</f>
        <v>4950</v>
      </c>
      <c r="BO793" s="106">
        <f>BK793/192*127</f>
        <v>3274.21875</v>
      </c>
      <c r="BP793" s="166">
        <f t="shared" si="417"/>
        <v>8224.21875</v>
      </c>
      <c r="BS793" s="165"/>
      <c r="BX793" s="495">
        <f t="shared" si="413"/>
        <v>8224.21875</v>
      </c>
      <c r="BZ793" s="636">
        <f t="shared" si="414"/>
        <v>0</v>
      </c>
      <c r="CA793" s="633">
        <f t="shared" si="415"/>
        <v>8224.21875</v>
      </c>
    </row>
    <row r="794" spans="1:79" x14ac:dyDescent="0.2">
      <c r="A794" s="4">
        <v>1</v>
      </c>
      <c r="B794" s="4">
        <v>1</v>
      </c>
      <c r="C794" s="5">
        <f t="shared" si="427"/>
        <v>41145</v>
      </c>
      <c r="D794" s="6">
        <v>41145</v>
      </c>
      <c r="E794" s="121">
        <v>43015</v>
      </c>
      <c r="F794" s="6" t="s">
        <v>1876</v>
      </c>
      <c r="G794" s="7" t="s">
        <v>75</v>
      </c>
      <c r="H794" s="52" t="s">
        <v>75</v>
      </c>
      <c r="I794" s="7" t="s">
        <v>32</v>
      </c>
      <c r="J794" s="7"/>
      <c r="K794" s="29">
        <v>439013</v>
      </c>
      <c r="L794" s="10" t="s">
        <v>1685</v>
      </c>
      <c r="M794" s="10" t="s">
        <v>1692</v>
      </c>
      <c r="N794" s="10" t="s">
        <v>1693</v>
      </c>
      <c r="O794" s="11" t="s">
        <v>1694</v>
      </c>
      <c r="P794" s="12">
        <v>43283</v>
      </c>
      <c r="Q794" s="13">
        <f t="shared" ca="1" si="418"/>
        <v>7.225188227241615</v>
      </c>
      <c r="R794" s="14">
        <v>0</v>
      </c>
      <c r="S794" s="56">
        <v>872</v>
      </c>
      <c r="T794" s="57">
        <v>872</v>
      </c>
      <c r="U794" s="16">
        <v>45017</v>
      </c>
      <c r="V794" s="17">
        <v>1</v>
      </c>
      <c r="W794" s="16">
        <v>45382</v>
      </c>
      <c r="X794" s="14">
        <v>192</v>
      </c>
      <c r="Y794" s="18">
        <f t="shared" si="407"/>
        <v>192</v>
      </c>
      <c r="Z794" s="18">
        <f t="shared" ref="Z794:Z816" si="429">Y794/192</f>
        <v>1</v>
      </c>
      <c r="AA794" s="18" t="s">
        <v>36</v>
      </c>
      <c r="AB794" s="26" t="s">
        <v>1689</v>
      </c>
      <c r="AC794" s="26" t="s">
        <v>1689</v>
      </c>
      <c r="AD794" s="26" t="s">
        <v>1895</v>
      </c>
      <c r="AE794" s="147" t="str">
        <f t="shared" si="419"/>
        <v>0</v>
      </c>
      <c r="AF794" s="147" t="str">
        <f t="shared" si="428"/>
        <v>0</v>
      </c>
      <c r="AG794" s="147" t="str">
        <f t="shared" si="420"/>
        <v>1</v>
      </c>
      <c r="AH794" s="147" t="str">
        <f t="shared" si="423"/>
        <v>NO</v>
      </c>
      <c r="AI794" s="147" t="str">
        <f t="shared" si="424"/>
        <v>NO</v>
      </c>
      <c r="AJ794" s="147" t="str">
        <f t="shared" si="425"/>
        <v>NO</v>
      </c>
      <c r="AK794" s="147" t="str">
        <f t="shared" si="426"/>
        <v>YES</v>
      </c>
      <c r="AL794" s="48">
        <f>22008</f>
        <v>22008</v>
      </c>
      <c r="AM794" s="21">
        <f>IF(H794="Y",AL794,((AB794*$O$902)-6000))</f>
        <v>22008</v>
      </c>
      <c r="AN794" s="27"/>
      <c r="AO794" s="21">
        <v>1</v>
      </c>
      <c r="AP794" s="21">
        <f t="shared" si="421"/>
        <v>1</v>
      </c>
      <c r="AQ794" s="149">
        <f t="shared" si="412"/>
        <v>22008</v>
      </c>
      <c r="AR794" s="21">
        <v>22008</v>
      </c>
      <c r="AS794" s="610">
        <v>22008</v>
      </c>
      <c r="AT794" s="112">
        <v>22008</v>
      </c>
      <c r="AU794" s="4"/>
      <c r="AV794" s="4"/>
      <c r="AW794" s="23" t="e">
        <f>VLOOKUP(K794,#REF!,8,FALSE)</f>
        <v>#REF!</v>
      </c>
      <c r="AX794" s="23" t="e">
        <f>VLOOKUP(K794,#REF!,8,FALSE)</f>
        <v>#REF!</v>
      </c>
      <c r="AY794" s="23" t="e">
        <f>VLOOKUP(K794,#REF!,8,FALSE)</f>
        <v>#REF!</v>
      </c>
      <c r="AZ794" s="4"/>
      <c r="BA794" s="272"/>
      <c r="BB794" s="318">
        <f t="shared" si="398"/>
        <v>0</v>
      </c>
      <c r="BC794" s="269">
        <f t="shared" si="399"/>
        <v>22008</v>
      </c>
      <c r="BD794" t="str">
        <f t="shared" si="422"/>
        <v/>
      </c>
      <c r="BP794" s="166">
        <f t="shared" si="417"/>
        <v>22008</v>
      </c>
      <c r="BS794" s="165"/>
      <c r="BX794" s="495">
        <f t="shared" si="413"/>
        <v>22008</v>
      </c>
      <c r="BZ794" s="636">
        <f t="shared" si="414"/>
        <v>0</v>
      </c>
      <c r="CA794" s="633">
        <f t="shared" si="415"/>
        <v>0</v>
      </c>
    </row>
    <row r="795" spans="1:79" x14ac:dyDescent="0.2">
      <c r="A795" s="4">
        <v>0</v>
      </c>
      <c r="B795" s="4">
        <v>1</v>
      </c>
      <c r="C795" s="5">
        <f t="shared" si="427"/>
        <v>41145</v>
      </c>
      <c r="D795" s="6">
        <v>41145</v>
      </c>
      <c r="E795" s="121">
        <v>43015</v>
      </c>
      <c r="F795" s="6" t="s">
        <v>1876</v>
      </c>
      <c r="G795" s="7" t="s">
        <v>75</v>
      </c>
      <c r="H795" s="52" t="s">
        <v>75</v>
      </c>
      <c r="I795" s="7" t="s">
        <v>32</v>
      </c>
      <c r="J795" s="7" t="s">
        <v>142</v>
      </c>
      <c r="K795" s="29">
        <v>439013</v>
      </c>
      <c r="L795" s="10" t="s">
        <v>1685</v>
      </c>
      <c r="M795" s="10" t="s">
        <v>1692</v>
      </c>
      <c r="N795" s="10" t="s">
        <v>1693</v>
      </c>
      <c r="O795" s="11" t="s">
        <v>1694</v>
      </c>
      <c r="P795" s="12">
        <v>43283</v>
      </c>
      <c r="Q795" s="13">
        <f t="shared" ca="1" si="418"/>
        <v>7.225188227241615</v>
      </c>
      <c r="R795" s="14">
        <v>0</v>
      </c>
      <c r="S795" s="56">
        <v>872</v>
      </c>
      <c r="T795" s="57">
        <v>872</v>
      </c>
      <c r="U795" s="16">
        <v>45017</v>
      </c>
      <c r="V795" s="17">
        <v>1</v>
      </c>
      <c r="W795" s="16">
        <v>45382</v>
      </c>
      <c r="X795" s="14">
        <v>192</v>
      </c>
      <c r="Y795" s="18">
        <f t="shared" si="407"/>
        <v>192</v>
      </c>
      <c r="Z795" s="18">
        <f t="shared" si="429"/>
        <v>1</v>
      </c>
      <c r="AA795" s="18" t="s">
        <v>36</v>
      </c>
      <c r="AB795" s="26"/>
      <c r="AC795" s="26" t="s">
        <v>1689</v>
      </c>
      <c r="AD795" s="26"/>
      <c r="AE795" s="147" t="str">
        <f t="shared" si="419"/>
        <v>0</v>
      </c>
      <c r="AF795" s="147" t="str">
        <f t="shared" si="428"/>
        <v>0</v>
      </c>
      <c r="AG795" s="147" t="str">
        <f t="shared" si="420"/>
        <v>0</v>
      </c>
      <c r="AH795" s="147" t="str">
        <f t="shared" si="423"/>
        <v>NO</v>
      </c>
      <c r="AI795" s="147" t="str">
        <f t="shared" si="424"/>
        <v>NO</v>
      </c>
      <c r="AJ795" s="147" t="str">
        <f t="shared" si="425"/>
        <v>NO</v>
      </c>
      <c r="AK795" s="147" t="str">
        <f t="shared" si="426"/>
        <v>NO</v>
      </c>
      <c r="AL795" s="70">
        <v>472.33</v>
      </c>
      <c r="AM795" s="21">
        <f>IF(H795="Y",AL795,((AB795*$O$902)-6000))</f>
        <v>472.33</v>
      </c>
      <c r="AN795" s="27"/>
      <c r="AO795" s="21">
        <v>1</v>
      </c>
      <c r="AP795" s="21">
        <f t="shared" si="421"/>
        <v>1</v>
      </c>
      <c r="AQ795" s="149">
        <f t="shared" si="412"/>
        <v>472.33</v>
      </c>
      <c r="AR795" s="21">
        <v>472.33</v>
      </c>
      <c r="AS795" s="610">
        <v>472.33</v>
      </c>
      <c r="AT795" s="112">
        <v>472.33</v>
      </c>
      <c r="AU795" s="4"/>
      <c r="AV795" s="4"/>
      <c r="AW795" s="23" t="e">
        <f>VLOOKUP(K795,#REF!,8,FALSE)</f>
        <v>#REF!</v>
      </c>
      <c r="AX795" s="23" t="e">
        <f>VLOOKUP(K795,#REF!,8,FALSE)</f>
        <v>#REF!</v>
      </c>
      <c r="AY795" s="23" t="e">
        <f>VLOOKUP(K795,#REF!,8,FALSE)</f>
        <v>#REF!</v>
      </c>
      <c r="AZ795" s="4"/>
      <c r="BA795" s="272"/>
      <c r="BB795" s="318">
        <f t="shared" si="398"/>
        <v>0</v>
      </c>
      <c r="BC795" s="269">
        <f t="shared" si="399"/>
        <v>472.33</v>
      </c>
      <c r="BD795" t="str">
        <f t="shared" si="422"/>
        <v/>
      </c>
      <c r="BP795" s="166">
        <f t="shared" si="417"/>
        <v>472.33</v>
      </c>
      <c r="BS795" s="165"/>
      <c r="BX795" s="495">
        <f t="shared" si="413"/>
        <v>472.33</v>
      </c>
      <c r="BZ795" s="636">
        <f t="shared" si="414"/>
        <v>0</v>
      </c>
      <c r="CA795" s="633">
        <f t="shared" si="415"/>
        <v>0</v>
      </c>
    </row>
    <row r="796" spans="1:79" x14ac:dyDescent="0.2">
      <c r="A796" s="4">
        <v>0</v>
      </c>
      <c r="B796" s="4">
        <v>1</v>
      </c>
      <c r="C796" s="5">
        <f t="shared" si="427"/>
        <v>41145</v>
      </c>
      <c r="D796" s="6">
        <v>41145</v>
      </c>
      <c r="E796" s="121">
        <v>43015</v>
      </c>
      <c r="F796" s="6" t="s">
        <v>1876</v>
      </c>
      <c r="G796" s="7" t="s">
        <v>75</v>
      </c>
      <c r="H796" s="52" t="s">
        <v>75</v>
      </c>
      <c r="I796" s="7" t="s">
        <v>32</v>
      </c>
      <c r="J796" s="7" t="s">
        <v>142</v>
      </c>
      <c r="K796" s="29">
        <v>439013</v>
      </c>
      <c r="L796" s="10" t="s">
        <v>1685</v>
      </c>
      <c r="M796" s="10" t="s">
        <v>1692</v>
      </c>
      <c r="N796" s="10" t="s">
        <v>1693</v>
      </c>
      <c r="O796" s="11" t="s">
        <v>1694</v>
      </c>
      <c r="P796" s="12">
        <v>43283</v>
      </c>
      <c r="Q796" s="13">
        <f t="shared" ca="1" si="418"/>
        <v>7.225188227241615</v>
      </c>
      <c r="R796" s="14">
        <v>0</v>
      </c>
      <c r="S796" s="56">
        <v>872</v>
      </c>
      <c r="T796" s="57">
        <v>872</v>
      </c>
      <c r="U796" s="16">
        <v>45017</v>
      </c>
      <c r="V796" s="17">
        <v>1</v>
      </c>
      <c r="W796" s="16">
        <v>45382</v>
      </c>
      <c r="X796" s="14">
        <v>192</v>
      </c>
      <c r="Y796" s="18">
        <f t="shared" si="407"/>
        <v>192</v>
      </c>
      <c r="Z796" s="18">
        <f t="shared" si="429"/>
        <v>1</v>
      </c>
      <c r="AA796" s="18" t="s">
        <v>36</v>
      </c>
      <c r="AB796" s="26"/>
      <c r="AC796" s="26" t="s">
        <v>1689</v>
      </c>
      <c r="AD796" s="26"/>
      <c r="AE796" s="147" t="str">
        <f t="shared" si="419"/>
        <v>0</v>
      </c>
      <c r="AF796" s="147" t="str">
        <f t="shared" si="428"/>
        <v>0</v>
      </c>
      <c r="AG796" s="147" t="str">
        <f t="shared" si="420"/>
        <v>0</v>
      </c>
      <c r="AH796" s="147" t="str">
        <f t="shared" si="423"/>
        <v>NO</v>
      </c>
      <c r="AI796" s="147" t="str">
        <f t="shared" si="424"/>
        <v>NO</v>
      </c>
      <c r="AJ796" s="147" t="str">
        <f t="shared" si="425"/>
        <v>NO</v>
      </c>
      <c r="AK796" s="147" t="str">
        <f t="shared" si="426"/>
        <v>NO</v>
      </c>
      <c r="AL796" s="70">
        <v>2752.5</v>
      </c>
      <c r="AM796" s="21">
        <f>IF(H796="Y",AL796,((AB796*$O$902)-6000))</f>
        <v>2752.5</v>
      </c>
      <c r="AN796" s="27"/>
      <c r="AO796" s="21">
        <v>1</v>
      </c>
      <c r="AP796" s="21">
        <f t="shared" si="421"/>
        <v>1</v>
      </c>
      <c r="AQ796" s="149">
        <f t="shared" si="412"/>
        <v>2752.5</v>
      </c>
      <c r="AR796" s="21">
        <v>2752.5</v>
      </c>
      <c r="AS796" s="610">
        <v>2752.5</v>
      </c>
      <c r="AT796" s="112">
        <v>2752.5</v>
      </c>
      <c r="AU796" s="4"/>
      <c r="AV796" s="4"/>
      <c r="AW796" s="23" t="e">
        <f>VLOOKUP(K796,#REF!,8,FALSE)</f>
        <v>#REF!</v>
      </c>
      <c r="AX796" s="23" t="e">
        <f>VLOOKUP(K796,#REF!,8,FALSE)</f>
        <v>#REF!</v>
      </c>
      <c r="AY796" s="23" t="e">
        <f>VLOOKUP(K796,#REF!,8,FALSE)</f>
        <v>#REF!</v>
      </c>
      <c r="AZ796" s="4"/>
      <c r="BA796" s="272"/>
      <c r="BB796" s="318">
        <f t="shared" si="398"/>
        <v>0</v>
      </c>
      <c r="BC796" s="269">
        <f t="shared" si="399"/>
        <v>2752.5</v>
      </c>
      <c r="BD796" t="str">
        <f t="shared" si="422"/>
        <v/>
      </c>
      <c r="BP796" s="166">
        <f t="shared" si="417"/>
        <v>2752.5</v>
      </c>
      <c r="BS796" s="165"/>
      <c r="BX796" s="495">
        <f t="shared" si="413"/>
        <v>2752.5</v>
      </c>
      <c r="BZ796" s="636">
        <f t="shared" si="414"/>
        <v>0</v>
      </c>
      <c r="CA796" s="633">
        <f t="shared" si="415"/>
        <v>0</v>
      </c>
    </row>
    <row r="797" spans="1:79" x14ac:dyDescent="0.2">
      <c r="A797" s="4">
        <v>1</v>
      </c>
      <c r="B797" s="4">
        <v>1</v>
      </c>
      <c r="C797" s="5">
        <f t="shared" si="427"/>
        <v>41145</v>
      </c>
      <c r="D797" s="6">
        <v>41145</v>
      </c>
      <c r="E797" s="121">
        <v>43015</v>
      </c>
      <c r="F797" s="6" t="s">
        <v>1876</v>
      </c>
      <c r="G797" s="7" t="s">
        <v>75</v>
      </c>
      <c r="H797" s="52" t="s">
        <v>75</v>
      </c>
      <c r="I797" s="7" t="s">
        <v>32</v>
      </c>
      <c r="J797" s="7"/>
      <c r="K797" s="29">
        <v>442706</v>
      </c>
      <c r="L797" s="10" t="s">
        <v>1685</v>
      </c>
      <c r="M797" s="10" t="s">
        <v>1695</v>
      </c>
      <c r="N797" s="10" t="s">
        <v>1696</v>
      </c>
      <c r="O797" s="11" t="s">
        <v>1697</v>
      </c>
      <c r="P797" s="12">
        <v>42850</v>
      </c>
      <c r="Q797" s="13">
        <f t="shared" ca="1" si="418"/>
        <v>8.4106776180698155</v>
      </c>
      <c r="R797" s="14">
        <v>0</v>
      </c>
      <c r="S797" s="56">
        <v>872</v>
      </c>
      <c r="T797" s="57">
        <v>872</v>
      </c>
      <c r="U797" s="16">
        <v>45017</v>
      </c>
      <c r="V797" s="17">
        <v>1</v>
      </c>
      <c r="W797" s="16">
        <v>45382</v>
      </c>
      <c r="X797" s="14">
        <v>192</v>
      </c>
      <c r="Y797" s="18">
        <f t="shared" si="407"/>
        <v>192</v>
      </c>
      <c r="Z797" s="18">
        <f t="shared" si="429"/>
        <v>1</v>
      </c>
      <c r="AA797" s="18" t="s">
        <v>36</v>
      </c>
      <c r="AB797" s="26" t="s">
        <v>1689</v>
      </c>
      <c r="AC797" s="26" t="s">
        <v>1689</v>
      </c>
      <c r="AD797" s="26" t="s">
        <v>1895</v>
      </c>
      <c r="AE797" s="147" t="str">
        <f t="shared" si="419"/>
        <v>0</v>
      </c>
      <c r="AF797" s="147" t="str">
        <f t="shared" si="428"/>
        <v>0</v>
      </c>
      <c r="AG797" s="147" t="str">
        <f t="shared" si="420"/>
        <v>1</v>
      </c>
      <c r="AH797" s="147" t="str">
        <f t="shared" si="423"/>
        <v>NO</v>
      </c>
      <c r="AI797" s="147" t="str">
        <f t="shared" si="424"/>
        <v>NO</v>
      </c>
      <c r="AJ797" s="147" t="str">
        <f t="shared" si="425"/>
        <v>NO</v>
      </c>
      <c r="AK797" s="147" t="str">
        <f t="shared" si="426"/>
        <v>YES</v>
      </c>
      <c r="AL797" s="71">
        <v>22008</v>
      </c>
      <c r="AM797" s="21">
        <f>IF(H797="Y",AL797,((AB797*$O$902)-6000))</f>
        <v>22008</v>
      </c>
      <c r="AN797" s="27"/>
      <c r="AO797" s="21">
        <v>1</v>
      </c>
      <c r="AP797" s="21">
        <f t="shared" si="421"/>
        <v>1</v>
      </c>
      <c r="AQ797" s="149">
        <f t="shared" si="412"/>
        <v>22008</v>
      </c>
      <c r="AR797" s="21">
        <v>22008</v>
      </c>
      <c r="AS797" s="610">
        <v>22008</v>
      </c>
      <c r="AT797" s="112">
        <v>22008</v>
      </c>
      <c r="AU797" s="4"/>
      <c r="AV797" s="4"/>
      <c r="AW797" s="23" t="e">
        <f>VLOOKUP(K797,#REF!,8,FALSE)</f>
        <v>#REF!</v>
      </c>
      <c r="AX797" s="23" t="e">
        <f>VLOOKUP(K797,#REF!,8,FALSE)</f>
        <v>#REF!</v>
      </c>
      <c r="AY797" s="23" t="e">
        <f>VLOOKUP(K797,#REF!,8,FALSE)</f>
        <v>#REF!</v>
      </c>
      <c r="AZ797" s="4"/>
      <c r="BA797" s="272"/>
      <c r="BB797" s="318">
        <f t="shared" si="398"/>
        <v>0</v>
      </c>
      <c r="BC797" s="269">
        <f t="shared" si="399"/>
        <v>22008</v>
      </c>
      <c r="BD797" t="str">
        <f t="shared" si="422"/>
        <v/>
      </c>
      <c r="BP797" s="166">
        <f t="shared" si="417"/>
        <v>22008</v>
      </c>
      <c r="BS797" s="165"/>
      <c r="BX797" s="495">
        <f t="shared" si="413"/>
        <v>22008</v>
      </c>
      <c r="BZ797" s="636">
        <f t="shared" si="414"/>
        <v>0</v>
      </c>
      <c r="CA797" s="633">
        <f t="shared" si="415"/>
        <v>0</v>
      </c>
    </row>
    <row r="798" spans="1:79" x14ac:dyDescent="0.2">
      <c r="A798" s="4">
        <v>0</v>
      </c>
      <c r="B798" s="4">
        <v>1</v>
      </c>
      <c r="C798" s="5">
        <f t="shared" si="427"/>
        <v>41145</v>
      </c>
      <c r="D798" s="6">
        <v>41145</v>
      </c>
      <c r="E798" s="121">
        <v>43015</v>
      </c>
      <c r="F798" s="6" t="s">
        <v>1876</v>
      </c>
      <c r="G798" s="7" t="s">
        <v>75</v>
      </c>
      <c r="H798" s="52" t="s">
        <v>75</v>
      </c>
      <c r="I798" s="7" t="s">
        <v>32</v>
      </c>
      <c r="J798" s="7" t="s">
        <v>142</v>
      </c>
      <c r="K798" s="29">
        <v>442706</v>
      </c>
      <c r="L798" s="10" t="s">
        <v>1685</v>
      </c>
      <c r="M798" s="10" t="s">
        <v>1695</v>
      </c>
      <c r="N798" s="10" t="s">
        <v>1696</v>
      </c>
      <c r="O798" s="11" t="s">
        <v>1697</v>
      </c>
      <c r="P798" s="12">
        <v>42850</v>
      </c>
      <c r="Q798" s="13">
        <f t="shared" ca="1" si="418"/>
        <v>8.4106776180698155</v>
      </c>
      <c r="R798" s="14">
        <v>0</v>
      </c>
      <c r="S798" s="56">
        <v>872</v>
      </c>
      <c r="T798" s="57">
        <v>872</v>
      </c>
      <c r="U798" s="16">
        <v>45017</v>
      </c>
      <c r="V798" s="17">
        <v>1</v>
      </c>
      <c r="W798" s="16">
        <v>45382</v>
      </c>
      <c r="X798" s="14">
        <v>192</v>
      </c>
      <c r="Y798" s="18">
        <f t="shared" si="407"/>
        <v>192</v>
      </c>
      <c r="Z798" s="18">
        <f t="shared" si="429"/>
        <v>1</v>
      </c>
      <c r="AA798" s="18" t="s">
        <v>36</v>
      </c>
      <c r="AB798" s="26" t="s">
        <v>1689</v>
      </c>
      <c r="AC798" s="26" t="s">
        <v>1689</v>
      </c>
      <c r="AD798" s="26"/>
      <c r="AE798" s="147" t="str">
        <f t="shared" si="419"/>
        <v>0</v>
      </c>
      <c r="AF798" s="147" t="str">
        <f t="shared" si="428"/>
        <v>0</v>
      </c>
      <c r="AG798" s="147" t="str">
        <f t="shared" si="420"/>
        <v>1</v>
      </c>
      <c r="AH798" s="147" t="str">
        <f t="shared" si="423"/>
        <v>NO</v>
      </c>
      <c r="AI798" s="147" t="str">
        <f t="shared" si="424"/>
        <v>NO</v>
      </c>
      <c r="AJ798" s="147" t="str">
        <f t="shared" si="425"/>
        <v>NO</v>
      </c>
      <c r="AK798" s="147" t="str">
        <f t="shared" si="426"/>
        <v>NO</v>
      </c>
      <c r="AL798" s="71">
        <v>3224.83</v>
      </c>
      <c r="AM798" s="21">
        <f>IF(H798="Y",AL798,((AB798*$O$902)-6000))</f>
        <v>3224.83</v>
      </c>
      <c r="AN798" s="27"/>
      <c r="AO798" s="21">
        <v>1</v>
      </c>
      <c r="AP798" s="21">
        <f t="shared" si="421"/>
        <v>1</v>
      </c>
      <c r="AQ798" s="149">
        <f t="shared" si="412"/>
        <v>3224.83</v>
      </c>
      <c r="AR798" s="21">
        <v>3224.83</v>
      </c>
      <c r="AS798" s="610">
        <v>3224.83</v>
      </c>
      <c r="AT798" s="112">
        <v>3224.83</v>
      </c>
      <c r="AU798" s="4"/>
      <c r="AV798" s="4"/>
      <c r="AW798" s="23" t="e">
        <f>VLOOKUP(K798,#REF!,8,FALSE)</f>
        <v>#REF!</v>
      </c>
      <c r="AX798" s="23" t="e">
        <f>VLOOKUP(K798,#REF!,8,FALSE)</f>
        <v>#REF!</v>
      </c>
      <c r="AY798" s="23" t="e">
        <f>VLOOKUP(K798,#REF!,8,FALSE)</f>
        <v>#REF!</v>
      </c>
      <c r="AZ798" s="4"/>
      <c r="BA798" s="272"/>
      <c r="BB798" s="318">
        <f t="shared" si="398"/>
        <v>0</v>
      </c>
      <c r="BC798" s="269">
        <f t="shared" si="399"/>
        <v>3224.83</v>
      </c>
      <c r="BD798" t="str">
        <f t="shared" si="422"/>
        <v/>
      </c>
      <c r="BP798" s="166">
        <f t="shared" si="417"/>
        <v>3224.83</v>
      </c>
      <c r="BS798" s="165"/>
      <c r="BX798" s="495">
        <f t="shared" si="413"/>
        <v>3224.83</v>
      </c>
      <c r="BZ798" s="636">
        <f t="shared" si="414"/>
        <v>0</v>
      </c>
      <c r="CA798" s="633">
        <f t="shared" si="415"/>
        <v>0</v>
      </c>
    </row>
    <row r="799" spans="1:79" x14ac:dyDescent="0.2">
      <c r="A799" s="4">
        <v>1</v>
      </c>
      <c r="B799" s="4">
        <v>1</v>
      </c>
      <c r="C799" s="5">
        <f t="shared" si="427"/>
        <v>41145</v>
      </c>
      <c r="D799" s="6">
        <v>41145</v>
      </c>
      <c r="E799" s="121">
        <v>43015</v>
      </c>
      <c r="F799" s="6" t="s">
        <v>1876</v>
      </c>
      <c r="G799" s="7" t="s">
        <v>75</v>
      </c>
      <c r="H799" s="7" t="s">
        <v>75</v>
      </c>
      <c r="I799" s="7" t="s">
        <v>32</v>
      </c>
      <c r="J799" s="7"/>
      <c r="K799" s="29">
        <v>450226</v>
      </c>
      <c r="L799" s="10" t="s">
        <v>1685</v>
      </c>
      <c r="M799" s="10" t="s">
        <v>1097</v>
      </c>
      <c r="N799" s="10" t="s">
        <v>1698</v>
      </c>
      <c r="O799" s="11" t="s">
        <v>1699</v>
      </c>
      <c r="P799" s="12">
        <v>42546</v>
      </c>
      <c r="Q799" s="13">
        <f t="shared" ca="1" si="418"/>
        <v>9.2429842573579748</v>
      </c>
      <c r="R799" s="14">
        <v>2</v>
      </c>
      <c r="S799" s="15">
        <v>872</v>
      </c>
      <c r="T799" s="8">
        <v>872</v>
      </c>
      <c r="U799" s="16">
        <v>45017</v>
      </c>
      <c r="V799" s="17">
        <v>1</v>
      </c>
      <c r="W799" s="16">
        <v>45128</v>
      </c>
      <c r="X799" s="14">
        <v>63</v>
      </c>
      <c r="Y799" s="18">
        <f t="shared" si="407"/>
        <v>63</v>
      </c>
      <c r="Z799" s="18">
        <f t="shared" si="429"/>
        <v>0.328125</v>
      </c>
      <c r="AA799" s="16" t="s">
        <v>405</v>
      </c>
      <c r="AB799" s="26" t="s">
        <v>1700</v>
      </c>
      <c r="AC799" s="26" t="s">
        <v>1700</v>
      </c>
      <c r="AD799" s="26" t="s">
        <v>1895</v>
      </c>
      <c r="AE799" s="147" t="str">
        <f t="shared" si="419"/>
        <v>0</v>
      </c>
      <c r="AF799" s="147" t="str">
        <f t="shared" si="428"/>
        <v>0</v>
      </c>
      <c r="AG799" s="147" t="str">
        <f t="shared" si="420"/>
        <v>1</v>
      </c>
      <c r="AH799" s="147" t="str">
        <f t="shared" si="423"/>
        <v>NO</v>
      </c>
      <c r="AI799" s="147" t="str">
        <f t="shared" si="424"/>
        <v>NO</v>
      </c>
      <c r="AJ799" s="147" t="str">
        <f t="shared" si="425"/>
        <v>NO</v>
      </c>
      <c r="AK799" s="147" t="str">
        <f t="shared" si="426"/>
        <v>YES</v>
      </c>
      <c r="AL799" s="48">
        <v>16576</v>
      </c>
      <c r="AM799" s="21">
        <f>AL799</f>
        <v>16576</v>
      </c>
      <c r="AN799" s="27"/>
      <c r="AO799" s="21">
        <v>1</v>
      </c>
      <c r="AP799" s="21">
        <f t="shared" si="421"/>
        <v>0.328125</v>
      </c>
      <c r="AQ799" s="149">
        <f t="shared" si="412"/>
        <v>5439</v>
      </c>
      <c r="AR799" s="21">
        <v>5439</v>
      </c>
      <c r="AS799" s="610">
        <v>5439</v>
      </c>
      <c r="AT799" s="112">
        <v>5439</v>
      </c>
      <c r="AU799" s="4"/>
      <c r="AV799" s="4"/>
      <c r="AW799" s="23" t="s">
        <v>2228</v>
      </c>
      <c r="AX799" s="23" t="e">
        <f>VLOOKUP(K799,#REF!,8,FALSE)</f>
        <v>#REF!</v>
      </c>
      <c r="AY799" s="23" t="e">
        <f>VLOOKUP(K799,#REF!,8,FALSE)</f>
        <v>#REF!</v>
      </c>
      <c r="AZ799" s="4"/>
      <c r="BA799" s="272"/>
      <c r="BB799" s="318">
        <f t="shared" si="398"/>
        <v>0</v>
      </c>
      <c r="BC799" s="269">
        <f t="shared" si="399"/>
        <v>5439</v>
      </c>
      <c r="BD799" t="e">
        <f t="shared" si="422"/>
        <v>#REF!</v>
      </c>
      <c r="BE799" t="s">
        <v>2394</v>
      </c>
      <c r="BF799">
        <v>43012</v>
      </c>
      <c r="BG799" t="e">
        <f>VLOOKUP(K799,#REF!,9,FALSE)</f>
        <v>#REF!</v>
      </c>
      <c r="BJ799" t="str">
        <f>AB799</f>
        <v>WCR_Band 5</v>
      </c>
      <c r="BK799" s="269">
        <f>AM799</f>
        <v>16576</v>
      </c>
      <c r="BL799" s="108" t="s">
        <v>75</v>
      </c>
      <c r="BO799" s="106">
        <f>BK799/192*127</f>
        <v>10964.333333333332</v>
      </c>
      <c r="BP799" s="166">
        <f t="shared" si="417"/>
        <v>16403.333333333332</v>
      </c>
      <c r="BS799" s="165"/>
      <c r="BX799" s="495">
        <f t="shared" si="413"/>
        <v>16403.333333333332</v>
      </c>
      <c r="BZ799" s="636">
        <f t="shared" si="414"/>
        <v>0</v>
      </c>
      <c r="CA799" s="633">
        <f t="shared" si="415"/>
        <v>10964.333333333332</v>
      </c>
    </row>
    <row r="800" spans="1:79" x14ac:dyDescent="0.2">
      <c r="A800" s="4">
        <v>0</v>
      </c>
      <c r="B800" s="4">
        <v>1</v>
      </c>
      <c r="C800" s="5">
        <f t="shared" si="427"/>
        <v>41145</v>
      </c>
      <c r="D800" s="6">
        <v>41145</v>
      </c>
      <c r="E800" s="121">
        <v>43015</v>
      </c>
      <c r="F800" s="6" t="s">
        <v>1876</v>
      </c>
      <c r="G800" s="7" t="s">
        <v>75</v>
      </c>
      <c r="H800" s="7" t="s">
        <v>75</v>
      </c>
      <c r="I800" s="7" t="s">
        <v>32</v>
      </c>
      <c r="J800" s="7" t="s">
        <v>142</v>
      </c>
      <c r="K800" s="29">
        <v>450226</v>
      </c>
      <c r="L800" s="10" t="s">
        <v>1685</v>
      </c>
      <c r="M800" s="10" t="s">
        <v>1097</v>
      </c>
      <c r="N800" s="10" t="s">
        <v>1698</v>
      </c>
      <c r="O800" s="11" t="s">
        <v>1699</v>
      </c>
      <c r="P800" s="12">
        <v>42546</v>
      </c>
      <c r="Q800" s="13">
        <f t="shared" ca="1" si="418"/>
        <v>9.2429842573579748</v>
      </c>
      <c r="R800" s="14">
        <v>2</v>
      </c>
      <c r="S800" s="15">
        <v>872</v>
      </c>
      <c r="T800" s="8">
        <v>872</v>
      </c>
      <c r="U800" s="16">
        <v>45017</v>
      </c>
      <c r="V800" s="17">
        <v>1</v>
      </c>
      <c r="W800" s="16">
        <v>45128</v>
      </c>
      <c r="X800" s="14">
        <v>63</v>
      </c>
      <c r="Y800" s="18">
        <f t="shared" si="407"/>
        <v>63</v>
      </c>
      <c r="Z800" s="18">
        <f t="shared" si="429"/>
        <v>0.328125</v>
      </c>
      <c r="AA800" s="16" t="s">
        <v>405</v>
      </c>
      <c r="AB800" s="26" t="s">
        <v>1701</v>
      </c>
      <c r="AC800" s="26" t="s">
        <v>1701</v>
      </c>
      <c r="AD800" s="26"/>
      <c r="AE800" s="147" t="str">
        <f t="shared" si="419"/>
        <v>0</v>
      </c>
      <c r="AF800" s="147" t="str">
        <f t="shared" si="428"/>
        <v>0</v>
      </c>
      <c r="AG800" s="147" t="str">
        <f t="shared" si="420"/>
        <v>1</v>
      </c>
      <c r="AH800" s="147" t="str">
        <f t="shared" si="423"/>
        <v>NO</v>
      </c>
      <c r="AI800" s="147" t="str">
        <f t="shared" si="424"/>
        <v>NO</v>
      </c>
      <c r="AJ800" s="147" t="str">
        <f t="shared" si="425"/>
        <v>NO</v>
      </c>
      <c r="AK800" s="147" t="str">
        <f t="shared" si="426"/>
        <v>NO</v>
      </c>
      <c r="AL800" s="48">
        <v>9145.83</v>
      </c>
      <c r="AM800" s="21">
        <f>AL800</f>
        <v>9145.83</v>
      </c>
      <c r="AN800" s="27"/>
      <c r="AO800" s="21">
        <v>1</v>
      </c>
      <c r="AP800" s="21">
        <f t="shared" si="421"/>
        <v>0.328125</v>
      </c>
      <c r="AQ800" s="149">
        <f t="shared" si="412"/>
        <v>3000.9754687499999</v>
      </c>
      <c r="AR800" s="21">
        <v>3000.9754687499999</v>
      </c>
      <c r="AS800" s="610">
        <v>3000.9754687499999</v>
      </c>
      <c r="AT800" s="112">
        <v>3000.9754687499999</v>
      </c>
      <c r="AU800" s="4"/>
      <c r="AV800" s="4"/>
      <c r="AW800" s="23" t="e">
        <f>VLOOKUP(K800,#REF!,8,FALSE)</f>
        <v>#REF!</v>
      </c>
      <c r="AX800" s="23" t="e">
        <f>VLOOKUP(K800,#REF!,8,FALSE)</f>
        <v>#REF!</v>
      </c>
      <c r="AY800" s="23" t="e">
        <f>VLOOKUP(K800,#REF!,8,FALSE)</f>
        <v>#REF!</v>
      </c>
      <c r="AZ800" s="4"/>
      <c r="BA800" s="272"/>
      <c r="BB800" s="318">
        <f t="shared" ref="BB800:BB863" si="430">BC800-AT800</f>
        <v>0</v>
      </c>
      <c r="BC800" s="269">
        <f t="shared" ref="BC800:BC863" si="431">AR800</f>
        <v>3000.9754687499999</v>
      </c>
      <c r="BD800" t="e">
        <f t="shared" si="422"/>
        <v>#REF!</v>
      </c>
      <c r="BE800" t="s">
        <v>2394</v>
      </c>
      <c r="BF800">
        <v>43012</v>
      </c>
      <c r="BG800" t="e">
        <f>VLOOKUP(K800,#REF!,9,FALSE)</f>
        <v>#REF!</v>
      </c>
      <c r="BJ800" t="str">
        <f>AB800</f>
        <v>WCR</v>
      </c>
      <c r="BK800" s="269">
        <f>AM800</f>
        <v>9145.83</v>
      </c>
      <c r="BL800" s="108" t="s">
        <v>75</v>
      </c>
      <c r="BO800" s="106">
        <f>BK800/192*127</f>
        <v>6049.5854687500005</v>
      </c>
      <c r="BP800" s="166">
        <f t="shared" si="417"/>
        <v>9050.5609375000004</v>
      </c>
      <c r="BS800" s="165"/>
      <c r="BX800" s="495">
        <f t="shared" si="413"/>
        <v>9050.5609375000004</v>
      </c>
      <c r="BZ800" s="636">
        <f t="shared" si="414"/>
        <v>0</v>
      </c>
      <c r="CA800" s="633">
        <f t="shared" si="415"/>
        <v>6049.5854687500005</v>
      </c>
    </row>
    <row r="801" spans="1:79" x14ac:dyDescent="0.2">
      <c r="A801" s="4">
        <v>1</v>
      </c>
      <c r="B801" s="4">
        <v>1</v>
      </c>
      <c r="C801" s="5">
        <f t="shared" si="427"/>
        <v>41145</v>
      </c>
      <c r="D801" s="6">
        <v>41145</v>
      </c>
      <c r="E801" s="121">
        <v>43015</v>
      </c>
      <c r="F801" s="6" t="s">
        <v>1876</v>
      </c>
      <c r="G801" s="7" t="s">
        <v>75</v>
      </c>
      <c r="H801" s="7" t="s">
        <v>75</v>
      </c>
      <c r="I801" s="7" t="s">
        <v>32</v>
      </c>
      <c r="J801" s="7"/>
      <c r="K801" s="29">
        <v>435014</v>
      </c>
      <c r="L801" s="10" t="s">
        <v>1685</v>
      </c>
      <c r="M801" s="10" t="s">
        <v>1702</v>
      </c>
      <c r="N801" s="10" t="s">
        <v>1703</v>
      </c>
      <c r="O801" s="11" t="s">
        <v>1704</v>
      </c>
      <c r="P801" s="12">
        <v>42850</v>
      </c>
      <c r="Q801" s="13">
        <f t="shared" ca="1" si="418"/>
        <v>8.4106776180698155</v>
      </c>
      <c r="R801" s="14">
        <v>1</v>
      </c>
      <c r="S801" s="15">
        <v>872</v>
      </c>
      <c r="T801" s="8">
        <v>872</v>
      </c>
      <c r="U801" s="16">
        <v>45017</v>
      </c>
      <c r="V801" s="17">
        <v>1</v>
      </c>
      <c r="W801" s="16">
        <v>45382</v>
      </c>
      <c r="X801" s="14">
        <v>192</v>
      </c>
      <c r="Y801" s="18">
        <f t="shared" si="407"/>
        <v>192</v>
      </c>
      <c r="Z801" s="18">
        <f t="shared" si="429"/>
        <v>1</v>
      </c>
      <c r="AA801" s="18" t="s">
        <v>36</v>
      </c>
      <c r="AB801" s="26" t="s">
        <v>1689</v>
      </c>
      <c r="AC801" s="26" t="s">
        <v>1689</v>
      </c>
      <c r="AD801" s="26" t="s">
        <v>1895</v>
      </c>
      <c r="AE801" s="147" t="str">
        <f t="shared" si="419"/>
        <v>0</v>
      </c>
      <c r="AF801" s="147" t="str">
        <f t="shared" si="428"/>
        <v>0</v>
      </c>
      <c r="AG801" s="147" t="str">
        <f t="shared" si="420"/>
        <v>1</v>
      </c>
      <c r="AH801" s="147" t="str">
        <f t="shared" si="423"/>
        <v>NO</v>
      </c>
      <c r="AI801" s="147" t="str">
        <f t="shared" si="424"/>
        <v>NO</v>
      </c>
      <c r="AJ801" s="147" t="str">
        <f t="shared" si="425"/>
        <v>NO</v>
      </c>
      <c r="AK801" s="147" t="str">
        <f t="shared" si="426"/>
        <v>YES</v>
      </c>
      <c r="AL801" s="48">
        <v>22008</v>
      </c>
      <c r="AM801" s="21">
        <f>IF(H801="Y",AL801,((AB801*$O$902)-6000))</f>
        <v>22008</v>
      </c>
      <c r="AN801" s="27"/>
      <c r="AO801" s="21">
        <v>1</v>
      </c>
      <c r="AP801" s="21">
        <f t="shared" si="421"/>
        <v>1</v>
      </c>
      <c r="AQ801" s="149">
        <f t="shared" si="412"/>
        <v>22008</v>
      </c>
      <c r="AR801" s="21">
        <v>22008</v>
      </c>
      <c r="AS801" s="610">
        <v>22008</v>
      </c>
      <c r="AT801" s="112">
        <v>22008</v>
      </c>
      <c r="AU801" s="4"/>
      <c r="AV801" s="4"/>
      <c r="AW801" s="23" t="e">
        <f>VLOOKUP(K801,#REF!,8,FALSE)</f>
        <v>#REF!</v>
      </c>
      <c r="AX801" s="23" t="e">
        <f>VLOOKUP(K801,#REF!,8,FALSE)</f>
        <v>#REF!</v>
      </c>
      <c r="AY801" s="23" t="e">
        <f>VLOOKUP(K801,#REF!,8,FALSE)</f>
        <v>#REF!</v>
      </c>
      <c r="AZ801" s="4"/>
      <c r="BA801" s="272"/>
      <c r="BB801" s="318">
        <f t="shared" si="430"/>
        <v>0</v>
      </c>
      <c r="BC801" s="269">
        <f t="shared" si="431"/>
        <v>22008</v>
      </c>
      <c r="BD801" t="str">
        <f t="shared" si="422"/>
        <v/>
      </c>
      <c r="BP801" s="166">
        <f t="shared" si="417"/>
        <v>22008</v>
      </c>
      <c r="BS801" s="165"/>
      <c r="BX801" s="495">
        <f t="shared" si="413"/>
        <v>22008</v>
      </c>
      <c r="BZ801" s="636">
        <f t="shared" si="414"/>
        <v>0</v>
      </c>
      <c r="CA801" s="633">
        <f t="shared" si="415"/>
        <v>0</v>
      </c>
    </row>
    <row r="802" spans="1:79" x14ac:dyDescent="0.2">
      <c r="A802" s="4">
        <v>0</v>
      </c>
      <c r="B802" s="4">
        <v>1</v>
      </c>
      <c r="C802" s="5">
        <f t="shared" si="427"/>
        <v>41145</v>
      </c>
      <c r="D802" s="6">
        <v>41145</v>
      </c>
      <c r="E802" s="121">
        <v>43015</v>
      </c>
      <c r="F802" s="6" t="s">
        <v>1876</v>
      </c>
      <c r="G802" s="7" t="s">
        <v>75</v>
      </c>
      <c r="H802" s="7" t="s">
        <v>75</v>
      </c>
      <c r="I802" s="7" t="s">
        <v>32</v>
      </c>
      <c r="J802" s="7" t="s">
        <v>142</v>
      </c>
      <c r="K802" s="29">
        <v>435014</v>
      </c>
      <c r="L802" s="10" t="s">
        <v>1685</v>
      </c>
      <c r="M802" s="10" t="s">
        <v>1702</v>
      </c>
      <c r="N802" s="10" t="s">
        <v>1703</v>
      </c>
      <c r="O802" s="11" t="s">
        <v>1704</v>
      </c>
      <c r="P802" s="12">
        <v>42850</v>
      </c>
      <c r="Q802" s="13">
        <f t="shared" ca="1" si="418"/>
        <v>8.4106776180698155</v>
      </c>
      <c r="R802" s="14">
        <v>1</v>
      </c>
      <c r="S802" s="15">
        <v>872</v>
      </c>
      <c r="T802" s="8">
        <v>872</v>
      </c>
      <c r="U802" s="16">
        <v>45017</v>
      </c>
      <c r="V802" s="17">
        <v>1</v>
      </c>
      <c r="W802" s="16">
        <v>45382</v>
      </c>
      <c r="X802" s="14">
        <v>192</v>
      </c>
      <c r="Y802" s="18">
        <f t="shared" si="407"/>
        <v>192</v>
      </c>
      <c r="Z802" s="18">
        <f t="shared" si="429"/>
        <v>1</v>
      </c>
      <c r="AA802" s="18" t="s">
        <v>36</v>
      </c>
      <c r="AB802" s="26" t="s">
        <v>1689</v>
      </c>
      <c r="AC802" s="26" t="s">
        <v>1689</v>
      </c>
      <c r="AD802" s="26"/>
      <c r="AE802" s="147" t="str">
        <f t="shared" si="419"/>
        <v>0</v>
      </c>
      <c r="AF802" s="147" t="str">
        <f t="shared" si="428"/>
        <v>0</v>
      </c>
      <c r="AG802" s="147" t="str">
        <f t="shared" si="420"/>
        <v>1</v>
      </c>
      <c r="AH802" s="147" t="str">
        <f t="shared" si="423"/>
        <v>NO</v>
      </c>
      <c r="AI802" s="147" t="str">
        <f t="shared" si="424"/>
        <v>NO</v>
      </c>
      <c r="AJ802" s="147" t="str">
        <f t="shared" si="425"/>
        <v>NO</v>
      </c>
      <c r="AK802" s="147" t="str">
        <f t="shared" si="426"/>
        <v>NO</v>
      </c>
      <c r="AL802" s="48">
        <f>(3224.83)</f>
        <v>3224.83</v>
      </c>
      <c r="AM802" s="21">
        <f>IF(H802="Y",AL802,((AB802*$O$902)-6000))</f>
        <v>3224.83</v>
      </c>
      <c r="AN802" s="27"/>
      <c r="AO802" s="21">
        <v>1</v>
      </c>
      <c r="AP802" s="21">
        <f t="shared" si="421"/>
        <v>1</v>
      </c>
      <c r="AQ802" s="149">
        <f t="shared" si="412"/>
        <v>3224.83</v>
      </c>
      <c r="AR802" s="21">
        <v>3224.83</v>
      </c>
      <c r="AS802" s="610">
        <v>3224.83</v>
      </c>
      <c r="AT802" s="112">
        <v>3224.83</v>
      </c>
      <c r="AU802" s="4"/>
      <c r="AV802" s="4"/>
      <c r="AW802" s="23" t="e">
        <f>VLOOKUP(K802,#REF!,8,FALSE)</f>
        <v>#REF!</v>
      </c>
      <c r="AX802" s="23" t="e">
        <f>VLOOKUP(K802,#REF!,8,FALSE)</f>
        <v>#REF!</v>
      </c>
      <c r="AY802" s="23" t="e">
        <f>VLOOKUP(K802,#REF!,8,FALSE)</f>
        <v>#REF!</v>
      </c>
      <c r="AZ802" s="4"/>
      <c r="BA802" s="272"/>
      <c r="BB802" s="318">
        <f t="shared" si="430"/>
        <v>0</v>
      </c>
      <c r="BC802" s="269">
        <f t="shared" si="431"/>
        <v>3224.83</v>
      </c>
      <c r="BD802" t="str">
        <f t="shared" si="422"/>
        <v/>
      </c>
      <c r="BP802" s="166">
        <f t="shared" si="417"/>
        <v>3224.83</v>
      </c>
      <c r="BS802" s="165"/>
      <c r="BX802" s="495">
        <f t="shared" si="413"/>
        <v>3224.83</v>
      </c>
      <c r="BZ802" s="636">
        <f t="shared" si="414"/>
        <v>0</v>
      </c>
      <c r="CA802" s="633">
        <f t="shared" si="415"/>
        <v>0</v>
      </c>
    </row>
    <row r="803" spans="1:79" x14ac:dyDescent="0.2">
      <c r="A803" s="4">
        <v>1</v>
      </c>
      <c r="B803" s="4">
        <v>1</v>
      </c>
      <c r="C803" s="5">
        <f t="shared" si="427"/>
        <v>41145</v>
      </c>
      <c r="D803" s="6">
        <v>41145</v>
      </c>
      <c r="E803" s="121">
        <v>43015</v>
      </c>
      <c r="F803" s="6" t="s">
        <v>1876</v>
      </c>
      <c r="G803" s="7" t="s">
        <v>75</v>
      </c>
      <c r="H803" s="7" t="s">
        <v>75</v>
      </c>
      <c r="I803" s="7" t="s">
        <v>32</v>
      </c>
      <c r="J803" s="7"/>
      <c r="K803" s="29">
        <v>444414</v>
      </c>
      <c r="L803" s="10" t="s">
        <v>1685</v>
      </c>
      <c r="M803" s="10" t="s">
        <v>83</v>
      </c>
      <c r="N803" s="10" t="s">
        <v>1705</v>
      </c>
      <c r="O803" s="11" t="s">
        <v>1706</v>
      </c>
      <c r="P803" s="12">
        <v>43170</v>
      </c>
      <c r="Q803" s="13">
        <f t="shared" ca="1" si="418"/>
        <v>7.5345653661875431</v>
      </c>
      <c r="R803" s="14">
        <v>0</v>
      </c>
      <c r="S803" s="15">
        <v>872</v>
      </c>
      <c r="T803" s="8">
        <v>872</v>
      </c>
      <c r="U803" s="16">
        <v>45017</v>
      </c>
      <c r="V803" s="17">
        <v>1</v>
      </c>
      <c r="W803" s="16">
        <v>45382</v>
      </c>
      <c r="X803" s="14">
        <v>192</v>
      </c>
      <c r="Y803" s="18">
        <f t="shared" si="407"/>
        <v>192</v>
      </c>
      <c r="Z803" s="18">
        <f t="shared" si="429"/>
        <v>1</v>
      </c>
      <c r="AA803" s="18" t="s">
        <v>36</v>
      </c>
      <c r="AB803" s="26" t="s">
        <v>1689</v>
      </c>
      <c r="AC803" s="26" t="s">
        <v>1689</v>
      </c>
      <c r="AD803" s="26" t="s">
        <v>1895</v>
      </c>
      <c r="AE803" s="147" t="str">
        <f t="shared" si="419"/>
        <v>0</v>
      </c>
      <c r="AF803" s="147" t="str">
        <f t="shared" si="428"/>
        <v>0</v>
      </c>
      <c r="AG803" s="147" t="str">
        <f t="shared" si="420"/>
        <v>1</v>
      </c>
      <c r="AH803" s="147" t="str">
        <f t="shared" si="423"/>
        <v>NO</v>
      </c>
      <c r="AI803" s="147" t="str">
        <f t="shared" si="424"/>
        <v>NO</v>
      </c>
      <c r="AJ803" s="147" t="str">
        <f t="shared" si="425"/>
        <v>NO</v>
      </c>
      <c r="AK803" s="147" t="str">
        <f t="shared" si="426"/>
        <v>YES</v>
      </c>
      <c r="AL803" s="48">
        <v>22008</v>
      </c>
      <c r="AM803" s="21">
        <f>AL803</f>
        <v>22008</v>
      </c>
      <c r="AN803" s="27"/>
      <c r="AO803" s="21">
        <v>1</v>
      </c>
      <c r="AP803" s="21">
        <f t="shared" si="421"/>
        <v>1</v>
      </c>
      <c r="AQ803" s="149">
        <f t="shared" si="412"/>
        <v>22008</v>
      </c>
      <c r="AR803" s="21">
        <v>22008</v>
      </c>
      <c r="AS803" s="610">
        <v>22008</v>
      </c>
      <c r="AT803" s="112">
        <v>22008</v>
      </c>
      <c r="AU803" s="4"/>
      <c r="AV803" s="4"/>
      <c r="AW803" s="23" t="e">
        <f>VLOOKUP(K803,#REF!,8,FALSE)</f>
        <v>#REF!</v>
      </c>
      <c r="AX803" s="23" t="e">
        <f>VLOOKUP(K803,#REF!,8,FALSE)</f>
        <v>#REF!</v>
      </c>
      <c r="AY803" s="23" t="e">
        <f>VLOOKUP(K803,#REF!,8,FALSE)</f>
        <v>#REF!</v>
      </c>
      <c r="AZ803" s="4"/>
      <c r="BA803" s="272"/>
      <c r="BB803" s="318">
        <f t="shared" si="430"/>
        <v>0</v>
      </c>
      <c r="BC803" s="269">
        <f t="shared" si="431"/>
        <v>22008</v>
      </c>
      <c r="BD803" t="str">
        <f t="shared" si="422"/>
        <v/>
      </c>
      <c r="BP803" s="166">
        <f t="shared" si="417"/>
        <v>22008</v>
      </c>
      <c r="BS803" s="165"/>
      <c r="BX803" s="495">
        <f t="shared" si="413"/>
        <v>22008</v>
      </c>
      <c r="BZ803" s="636">
        <f t="shared" si="414"/>
        <v>0</v>
      </c>
      <c r="CA803" s="633">
        <f t="shared" si="415"/>
        <v>0</v>
      </c>
    </row>
    <row r="804" spans="1:79" x14ac:dyDescent="0.2">
      <c r="A804" s="4">
        <v>0</v>
      </c>
      <c r="B804" s="4">
        <v>1</v>
      </c>
      <c r="C804" s="5">
        <f t="shared" si="427"/>
        <v>41145</v>
      </c>
      <c r="D804" s="6">
        <v>41145</v>
      </c>
      <c r="E804" s="121">
        <v>43015</v>
      </c>
      <c r="F804" s="6" t="s">
        <v>1876</v>
      </c>
      <c r="G804" s="7" t="s">
        <v>75</v>
      </c>
      <c r="H804" s="52" t="s">
        <v>75</v>
      </c>
      <c r="I804" s="7" t="s">
        <v>32</v>
      </c>
      <c r="J804" s="7" t="s">
        <v>142</v>
      </c>
      <c r="K804" s="29">
        <v>444414</v>
      </c>
      <c r="L804" s="10" t="s">
        <v>1685</v>
      </c>
      <c r="M804" s="10" t="s">
        <v>83</v>
      </c>
      <c r="N804" s="10" t="s">
        <v>1705</v>
      </c>
      <c r="O804" s="11" t="s">
        <v>1706</v>
      </c>
      <c r="P804" s="12">
        <v>43170</v>
      </c>
      <c r="Q804" s="13">
        <f t="shared" ca="1" si="418"/>
        <v>7.5345653661875431</v>
      </c>
      <c r="R804" s="14">
        <v>0</v>
      </c>
      <c r="S804" s="56">
        <v>872</v>
      </c>
      <c r="T804" s="57">
        <v>872</v>
      </c>
      <c r="U804" s="16">
        <v>45017</v>
      </c>
      <c r="V804" s="17">
        <v>1</v>
      </c>
      <c r="W804" s="16">
        <v>45382</v>
      </c>
      <c r="X804" s="14">
        <v>192</v>
      </c>
      <c r="Y804" s="18">
        <f t="shared" si="407"/>
        <v>192</v>
      </c>
      <c r="Z804" s="18">
        <f t="shared" si="429"/>
        <v>1</v>
      </c>
      <c r="AA804" s="18" t="s">
        <v>36</v>
      </c>
      <c r="AB804" s="26" t="s">
        <v>1689</v>
      </c>
      <c r="AC804" s="26" t="s">
        <v>1689</v>
      </c>
      <c r="AD804" s="26"/>
      <c r="AE804" s="147" t="str">
        <f t="shared" si="419"/>
        <v>0</v>
      </c>
      <c r="AF804" s="147" t="str">
        <f t="shared" si="428"/>
        <v>0</v>
      </c>
      <c r="AG804" s="147" t="str">
        <f t="shared" si="420"/>
        <v>1</v>
      </c>
      <c r="AH804" s="147" t="str">
        <f t="shared" si="423"/>
        <v>NO</v>
      </c>
      <c r="AI804" s="147" t="str">
        <f t="shared" si="424"/>
        <v>NO</v>
      </c>
      <c r="AJ804" s="147" t="str">
        <f t="shared" si="425"/>
        <v>NO</v>
      </c>
      <c r="AK804" s="147" t="str">
        <f t="shared" si="426"/>
        <v>NO</v>
      </c>
      <c r="AL804" s="70">
        <v>472.33</v>
      </c>
      <c r="AM804" s="21">
        <f>IF(H804="Y",AL804,((AB804*$O$902)-6000))</f>
        <v>472.33</v>
      </c>
      <c r="AN804" s="27"/>
      <c r="AO804" s="21">
        <v>1</v>
      </c>
      <c r="AP804" s="21">
        <f t="shared" si="421"/>
        <v>1</v>
      </c>
      <c r="AQ804" s="149">
        <f t="shared" si="412"/>
        <v>472.33</v>
      </c>
      <c r="AR804" s="21">
        <v>472.33</v>
      </c>
      <c r="AS804" s="610">
        <v>472.33</v>
      </c>
      <c r="AT804" s="112">
        <v>472.33</v>
      </c>
      <c r="AU804" s="4"/>
      <c r="AV804" s="4"/>
      <c r="AW804" s="23" t="e">
        <f>VLOOKUP(K804,#REF!,8,FALSE)</f>
        <v>#REF!</v>
      </c>
      <c r="AX804" s="23" t="e">
        <f>VLOOKUP(K804,#REF!,8,FALSE)</f>
        <v>#REF!</v>
      </c>
      <c r="AY804" s="23" t="e">
        <f>VLOOKUP(K804,#REF!,8,FALSE)</f>
        <v>#REF!</v>
      </c>
      <c r="AZ804" s="4"/>
      <c r="BA804" s="272"/>
      <c r="BB804" s="318">
        <f t="shared" si="430"/>
        <v>0</v>
      </c>
      <c r="BC804" s="269">
        <f t="shared" si="431"/>
        <v>472.33</v>
      </c>
      <c r="BD804" t="str">
        <f t="shared" si="422"/>
        <v/>
      </c>
      <c r="BP804" s="166">
        <f t="shared" si="417"/>
        <v>472.33</v>
      </c>
      <c r="BS804" s="165"/>
      <c r="BX804" s="495">
        <f t="shared" si="413"/>
        <v>472.33</v>
      </c>
      <c r="BZ804" s="636">
        <f t="shared" si="414"/>
        <v>0</v>
      </c>
      <c r="CA804" s="633">
        <f t="shared" si="415"/>
        <v>0</v>
      </c>
    </row>
    <row r="805" spans="1:79" x14ac:dyDescent="0.2">
      <c r="A805" s="4">
        <v>0</v>
      </c>
      <c r="B805" s="4">
        <v>1</v>
      </c>
      <c r="C805" s="5">
        <f t="shared" si="427"/>
        <v>41145</v>
      </c>
      <c r="D805" s="6">
        <v>41145</v>
      </c>
      <c r="E805" s="121">
        <v>43015</v>
      </c>
      <c r="F805" s="6" t="s">
        <v>1876</v>
      </c>
      <c r="G805" s="7" t="s">
        <v>75</v>
      </c>
      <c r="H805" s="52" t="s">
        <v>75</v>
      </c>
      <c r="I805" s="7" t="s">
        <v>32</v>
      </c>
      <c r="J805" s="7" t="s">
        <v>142</v>
      </c>
      <c r="K805" s="29">
        <v>444414</v>
      </c>
      <c r="L805" s="10" t="s">
        <v>1685</v>
      </c>
      <c r="M805" s="10" t="s">
        <v>83</v>
      </c>
      <c r="N805" s="10" t="s">
        <v>1705</v>
      </c>
      <c r="O805" s="11" t="s">
        <v>1706</v>
      </c>
      <c r="P805" s="12">
        <v>43170</v>
      </c>
      <c r="Q805" s="13">
        <f t="shared" ca="1" si="418"/>
        <v>7.5345653661875431</v>
      </c>
      <c r="R805" s="14">
        <v>0</v>
      </c>
      <c r="S805" s="56">
        <v>872</v>
      </c>
      <c r="T805" s="57">
        <v>872</v>
      </c>
      <c r="U805" s="16">
        <v>45017</v>
      </c>
      <c r="V805" s="17">
        <v>1</v>
      </c>
      <c r="W805" s="16">
        <v>45382</v>
      </c>
      <c r="X805" s="14">
        <v>192</v>
      </c>
      <c r="Y805" s="18">
        <f t="shared" si="407"/>
        <v>192</v>
      </c>
      <c r="Z805" s="18">
        <f t="shared" si="429"/>
        <v>1</v>
      </c>
      <c r="AA805" s="18" t="s">
        <v>36</v>
      </c>
      <c r="AB805" s="26" t="s">
        <v>1689</v>
      </c>
      <c r="AC805" s="26" t="s">
        <v>1689</v>
      </c>
      <c r="AD805" s="26"/>
      <c r="AE805" s="147" t="str">
        <f t="shared" si="419"/>
        <v>0</v>
      </c>
      <c r="AF805" s="147" t="str">
        <f t="shared" si="428"/>
        <v>0</v>
      </c>
      <c r="AG805" s="147" t="str">
        <f t="shared" si="420"/>
        <v>1</v>
      </c>
      <c r="AH805" s="147" t="str">
        <f t="shared" si="423"/>
        <v>NO</v>
      </c>
      <c r="AI805" s="147" t="str">
        <f t="shared" si="424"/>
        <v>NO</v>
      </c>
      <c r="AJ805" s="147" t="str">
        <f t="shared" si="425"/>
        <v>NO</v>
      </c>
      <c r="AK805" s="147" t="str">
        <f t="shared" si="426"/>
        <v>NO</v>
      </c>
      <c r="AL805" s="70">
        <v>2752.5</v>
      </c>
      <c r="AM805" s="21">
        <f>IF(H805="Y",AL805,((AB805*$O$902)-6000))</f>
        <v>2752.5</v>
      </c>
      <c r="AN805" s="27"/>
      <c r="AO805" s="21">
        <v>1</v>
      </c>
      <c r="AP805" s="21">
        <f t="shared" si="421"/>
        <v>1</v>
      </c>
      <c r="AQ805" s="149">
        <f t="shared" si="412"/>
        <v>2752.5</v>
      </c>
      <c r="AR805" s="21">
        <v>2752.5</v>
      </c>
      <c r="AS805" s="610">
        <v>2752.5</v>
      </c>
      <c r="AT805" s="112">
        <v>2752.5</v>
      </c>
      <c r="AU805" s="4"/>
      <c r="AV805" s="4"/>
      <c r="AW805" s="23" t="e">
        <f>VLOOKUP(K805,#REF!,8,FALSE)</f>
        <v>#REF!</v>
      </c>
      <c r="AX805" s="23" t="e">
        <f>VLOOKUP(K805,#REF!,8,FALSE)</f>
        <v>#REF!</v>
      </c>
      <c r="AY805" s="23" t="e">
        <f>VLOOKUP(K805,#REF!,8,FALSE)</f>
        <v>#REF!</v>
      </c>
      <c r="AZ805" s="4"/>
      <c r="BA805" s="272"/>
      <c r="BB805" s="318">
        <f t="shared" si="430"/>
        <v>0</v>
      </c>
      <c r="BC805" s="269">
        <f t="shared" si="431"/>
        <v>2752.5</v>
      </c>
      <c r="BD805" t="str">
        <f t="shared" si="422"/>
        <v/>
      </c>
      <c r="BP805" s="166">
        <f t="shared" si="417"/>
        <v>2752.5</v>
      </c>
      <c r="BS805" s="165"/>
      <c r="BX805" s="495">
        <f t="shared" si="413"/>
        <v>2752.5</v>
      </c>
      <c r="BZ805" s="636">
        <f t="shared" si="414"/>
        <v>0</v>
      </c>
      <c r="CA805" s="633">
        <f t="shared" si="415"/>
        <v>0</v>
      </c>
    </row>
    <row r="806" spans="1:79" x14ac:dyDescent="0.2">
      <c r="A806" s="4">
        <v>1</v>
      </c>
      <c r="B806" s="4">
        <v>1</v>
      </c>
      <c r="C806" s="5">
        <f t="shared" si="427"/>
        <v>41145</v>
      </c>
      <c r="D806" s="6">
        <v>41145</v>
      </c>
      <c r="E806" s="121">
        <v>43015</v>
      </c>
      <c r="F806" s="6" t="s">
        <v>1876</v>
      </c>
      <c r="G806" s="7" t="s">
        <v>75</v>
      </c>
      <c r="H806" s="7" t="s">
        <v>75</v>
      </c>
      <c r="I806" s="7" t="s">
        <v>32</v>
      </c>
      <c r="J806" s="7"/>
      <c r="K806" s="29">
        <v>443835</v>
      </c>
      <c r="L806" s="10" t="s">
        <v>1685</v>
      </c>
      <c r="M806" s="10" t="s">
        <v>1707</v>
      </c>
      <c r="N806" s="10" t="s">
        <v>1708</v>
      </c>
      <c r="O806" s="11" t="s">
        <v>1709</v>
      </c>
      <c r="P806" s="12">
        <v>43222</v>
      </c>
      <c r="Q806" s="13">
        <f t="shared" ca="1" si="418"/>
        <v>7.3921971252566738</v>
      </c>
      <c r="R806" s="14">
        <v>0</v>
      </c>
      <c r="S806" s="15">
        <v>872</v>
      </c>
      <c r="T806" s="8">
        <v>872</v>
      </c>
      <c r="U806" s="16">
        <v>45017</v>
      </c>
      <c r="V806" s="17">
        <v>1</v>
      </c>
      <c r="W806" s="16">
        <v>45382</v>
      </c>
      <c r="X806" s="14">
        <v>192</v>
      </c>
      <c r="Y806" s="18">
        <f t="shared" si="407"/>
        <v>192</v>
      </c>
      <c r="Z806" s="18">
        <f t="shared" si="429"/>
        <v>1</v>
      </c>
      <c r="AA806" s="18" t="s">
        <v>36</v>
      </c>
      <c r="AB806" s="26" t="s">
        <v>1689</v>
      </c>
      <c r="AC806" s="26" t="s">
        <v>1689</v>
      </c>
      <c r="AD806" s="26" t="s">
        <v>1895</v>
      </c>
      <c r="AE806" s="147" t="str">
        <f t="shared" si="419"/>
        <v>0</v>
      </c>
      <c r="AF806" s="147" t="str">
        <f t="shared" si="428"/>
        <v>0</v>
      </c>
      <c r="AG806" s="147" t="str">
        <f t="shared" si="420"/>
        <v>1</v>
      </c>
      <c r="AH806" s="147" t="str">
        <f t="shared" si="423"/>
        <v>NO</v>
      </c>
      <c r="AI806" s="147" t="str">
        <f t="shared" si="424"/>
        <v>NO</v>
      </c>
      <c r="AJ806" s="147" t="str">
        <f t="shared" si="425"/>
        <v>NO</v>
      </c>
      <c r="AK806" s="147" t="str">
        <f t="shared" si="426"/>
        <v>YES</v>
      </c>
      <c r="AL806" s="48">
        <v>22008</v>
      </c>
      <c r="AM806" s="21">
        <f>AL806</f>
        <v>22008</v>
      </c>
      <c r="AN806" s="27"/>
      <c r="AO806" s="21">
        <v>1</v>
      </c>
      <c r="AP806" s="21">
        <f t="shared" si="421"/>
        <v>1</v>
      </c>
      <c r="AQ806" s="149">
        <f t="shared" si="412"/>
        <v>22008</v>
      </c>
      <c r="AR806" s="21">
        <v>22008</v>
      </c>
      <c r="AS806" s="610">
        <v>22008</v>
      </c>
      <c r="AT806" s="112">
        <v>22008</v>
      </c>
      <c r="AU806" s="4"/>
      <c r="AV806" s="4"/>
      <c r="AW806" s="23" t="e">
        <f>VLOOKUP(K806,#REF!,8,FALSE)</f>
        <v>#REF!</v>
      </c>
      <c r="AX806" s="23" t="e">
        <f>VLOOKUP(K806,#REF!,8,FALSE)</f>
        <v>#REF!</v>
      </c>
      <c r="AY806" s="23" t="e">
        <f>VLOOKUP(K806,#REF!,8,FALSE)</f>
        <v>#REF!</v>
      </c>
      <c r="AZ806" s="4"/>
      <c r="BA806" s="272"/>
      <c r="BB806" s="318">
        <f t="shared" si="430"/>
        <v>0</v>
      </c>
      <c r="BC806" s="269">
        <f t="shared" si="431"/>
        <v>22008</v>
      </c>
      <c r="BD806" t="str">
        <f t="shared" si="422"/>
        <v/>
      </c>
      <c r="BP806" s="166">
        <f t="shared" si="417"/>
        <v>22008</v>
      </c>
      <c r="BS806" s="165"/>
      <c r="BX806" s="495">
        <f t="shared" si="413"/>
        <v>22008</v>
      </c>
      <c r="BZ806" s="636">
        <f t="shared" si="414"/>
        <v>0</v>
      </c>
      <c r="CA806" s="633">
        <f t="shared" si="415"/>
        <v>0</v>
      </c>
    </row>
    <row r="807" spans="1:79" x14ac:dyDescent="0.2">
      <c r="A807" s="4">
        <v>0</v>
      </c>
      <c r="B807" s="4">
        <v>1</v>
      </c>
      <c r="C807" s="5">
        <f t="shared" si="427"/>
        <v>41145</v>
      </c>
      <c r="D807" s="6">
        <v>41145</v>
      </c>
      <c r="E807" s="121">
        <v>43015</v>
      </c>
      <c r="F807" s="6" t="s">
        <v>1876</v>
      </c>
      <c r="G807" s="7" t="s">
        <v>75</v>
      </c>
      <c r="H807" s="7" t="s">
        <v>75</v>
      </c>
      <c r="I807" s="7" t="s">
        <v>32</v>
      </c>
      <c r="J807" s="7" t="s">
        <v>142</v>
      </c>
      <c r="K807" s="29">
        <v>443835</v>
      </c>
      <c r="L807" s="10" t="s">
        <v>1685</v>
      </c>
      <c r="M807" s="10" t="s">
        <v>1707</v>
      </c>
      <c r="N807" s="10" t="s">
        <v>1708</v>
      </c>
      <c r="O807" s="11" t="s">
        <v>1709</v>
      </c>
      <c r="P807" s="12">
        <v>43222</v>
      </c>
      <c r="Q807" s="13">
        <f t="shared" ca="1" si="418"/>
        <v>7.3921971252566738</v>
      </c>
      <c r="R807" s="14">
        <v>0</v>
      </c>
      <c r="S807" s="15">
        <v>872</v>
      </c>
      <c r="T807" s="8">
        <v>872</v>
      </c>
      <c r="U807" s="16">
        <v>45017</v>
      </c>
      <c r="V807" s="17">
        <v>1</v>
      </c>
      <c r="W807" s="16">
        <v>45382</v>
      </c>
      <c r="X807" s="14">
        <v>192</v>
      </c>
      <c r="Y807" s="18">
        <f t="shared" si="407"/>
        <v>192</v>
      </c>
      <c r="Z807" s="18">
        <f t="shared" si="429"/>
        <v>1</v>
      </c>
      <c r="AA807" s="18" t="s">
        <v>36</v>
      </c>
      <c r="AB807" s="26" t="s">
        <v>1689</v>
      </c>
      <c r="AC807" s="26" t="s">
        <v>1689</v>
      </c>
      <c r="AD807" s="26"/>
      <c r="AE807" s="147" t="str">
        <f t="shared" si="419"/>
        <v>0</v>
      </c>
      <c r="AF807" s="147" t="str">
        <f t="shared" si="428"/>
        <v>0</v>
      </c>
      <c r="AG807" s="147" t="str">
        <f t="shared" si="420"/>
        <v>1</v>
      </c>
      <c r="AH807" s="147" t="str">
        <f t="shared" si="423"/>
        <v>NO</v>
      </c>
      <c r="AI807" s="147" t="str">
        <f t="shared" si="424"/>
        <v>NO</v>
      </c>
      <c r="AJ807" s="147" t="str">
        <f t="shared" si="425"/>
        <v>NO</v>
      </c>
      <c r="AK807" s="147" t="str">
        <f t="shared" si="426"/>
        <v>NO</v>
      </c>
      <c r="AL807" s="70">
        <v>472.33</v>
      </c>
      <c r="AM807" s="21">
        <f>AL807</f>
        <v>472.33</v>
      </c>
      <c r="AN807" s="27"/>
      <c r="AO807" s="21">
        <v>1</v>
      </c>
      <c r="AP807" s="21">
        <f t="shared" si="421"/>
        <v>1</v>
      </c>
      <c r="AQ807" s="149">
        <f t="shared" si="412"/>
        <v>472.33</v>
      </c>
      <c r="AR807" s="21">
        <v>472.33</v>
      </c>
      <c r="AS807" s="610">
        <v>472.33</v>
      </c>
      <c r="AT807" s="112">
        <v>472.33</v>
      </c>
      <c r="AU807" s="4"/>
      <c r="AV807" s="4"/>
      <c r="AW807" s="23" t="e">
        <f>VLOOKUP(K807,#REF!,8,FALSE)</f>
        <v>#REF!</v>
      </c>
      <c r="AX807" s="23" t="e">
        <f>VLOOKUP(K807,#REF!,8,FALSE)</f>
        <v>#REF!</v>
      </c>
      <c r="AY807" s="23" t="e">
        <f>VLOOKUP(K807,#REF!,8,FALSE)</f>
        <v>#REF!</v>
      </c>
      <c r="AZ807" s="4"/>
      <c r="BA807" s="272"/>
      <c r="BB807" s="318">
        <f t="shared" si="430"/>
        <v>0</v>
      </c>
      <c r="BC807" s="269">
        <f t="shared" si="431"/>
        <v>472.33</v>
      </c>
      <c r="BD807" t="str">
        <f t="shared" si="422"/>
        <v/>
      </c>
      <c r="BP807" s="166">
        <f t="shared" si="417"/>
        <v>472.33</v>
      </c>
      <c r="BS807" s="165"/>
      <c r="BX807" s="495">
        <f t="shared" si="413"/>
        <v>472.33</v>
      </c>
      <c r="BZ807" s="636">
        <f t="shared" si="414"/>
        <v>0</v>
      </c>
      <c r="CA807" s="633">
        <f t="shared" si="415"/>
        <v>0</v>
      </c>
    </row>
    <row r="808" spans="1:79" x14ac:dyDescent="0.2">
      <c r="A808" s="4">
        <v>0</v>
      </c>
      <c r="B808" s="4">
        <v>1</v>
      </c>
      <c r="C808" s="5">
        <f t="shared" si="427"/>
        <v>41145</v>
      </c>
      <c r="D808" s="6">
        <v>41145</v>
      </c>
      <c r="E808" s="121">
        <v>43015</v>
      </c>
      <c r="F808" s="6" t="s">
        <v>1876</v>
      </c>
      <c r="G808" s="7" t="s">
        <v>75</v>
      </c>
      <c r="H808" s="7" t="s">
        <v>75</v>
      </c>
      <c r="I808" s="7" t="s">
        <v>32</v>
      </c>
      <c r="J808" s="7" t="s">
        <v>142</v>
      </c>
      <c r="K808" s="29">
        <v>443835</v>
      </c>
      <c r="L808" s="10" t="s">
        <v>1685</v>
      </c>
      <c r="M808" s="10" t="s">
        <v>1707</v>
      </c>
      <c r="N808" s="10" t="s">
        <v>1708</v>
      </c>
      <c r="O808" s="11" t="s">
        <v>1709</v>
      </c>
      <c r="P808" s="12">
        <v>43222</v>
      </c>
      <c r="Q808" s="13">
        <f t="shared" ca="1" si="418"/>
        <v>7.3921971252566738</v>
      </c>
      <c r="R808" s="14">
        <v>0</v>
      </c>
      <c r="S808" s="15">
        <v>872</v>
      </c>
      <c r="T808" s="8">
        <v>872</v>
      </c>
      <c r="U808" s="16">
        <v>45017</v>
      </c>
      <c r="V808" s="17">
        <v>1</v>
      </c>
      <c r="W808" s="16">
        <v>45382</v>
      </c>
      <c r="X808" s="14">
        <v>192</v>
      </c>
      <c r="Y808" s="18">
        <f t="shared" si="407"/>
        <v>192</v>
      </c>
      <c r="Z808" s="18">
        <f t="shared" si="429"/>
        <v>1</v>
      </c>
      <c r="AA808" s="18" t="s">
        <v>36</v>
      </c>
      <c r="AB808" s="26" t="s">
        <v>1689</v>
      </c>
      <c r="AC808" s="26" t="s">
        <v>1689</v>
      </c>
      <c r="AD808" s="26"/>
      <c r="AE808" s="147" t="str">
        <f t="shared" si="419"/>
        <v>0</v>
      </c>
      <c r="AF808" s="147" t="str">
        <f t="shared" si="428"/>
        <v>0</v>
      </c>
      <c r="AG808" s="147" t="str">
        <f t="shared" si="420"/>
        <v>1</v>
      </c>
      <c r="AH808" s="147" t="str">
        <f t="shared" si="423"/>
        <v>NO</v>
      </c>
      <c r="AI808" s="147" t="str">
        <f t="shared" si="424"/>
        <v>NO</v>
      </c>
      <c r="AJ808" s="147" t="str">
        <f t="shared" si="425"/>
        <v>NO</v>
      </c>
      <c r="AK808" s="147" t="str">
        <f t="shared" si="426"/>
        <v>NO</v>
      </c>
      <c r="AL808" s="70">
        <v>2752.5</v>
      </c>
      <c r="AM808" s="21">
        <f>AL808</f>
        <v>2752.5</v>
      </c>
      <c r="AN808" s="27"/>
      <c r="AO808" s="21">
        <v>1</v>
      </c>
      <c r="AP808" s="21">
        <f t="shared" si="421"/>
        <v>1</v>
      </c>
      <c r="AQ808" s="149">
        <f t="shared" si="412"/>
        <v>2752.5</v>
      </c>
      <c r="AR808" s="21">
        <v>2752.5</v>
      </c>
      <c r="AS808" s="610">
        <v>2752.5</v>
      </c>
      <c r="AT808" s="112">
        <v>2752.5</v>
      </c>
      <c r="AU808" s="4"/>
      <c r="AV808" s="4"/>
      <c r="AW808" s="23" t="e">
        <f>VLOOKUP(K808,#REF!,8,FALSE)</f>
        <v>#REF!</v>
      </c>
      <c r="AX808" s="23" t="e">
        <f>VLOOKUP(K808,#REF!,8,FALSE)</f>
        <v>#REF!</v>
      </c>
      <c r="AY808" s="23" t="e">
        <f>VLOOKUP(K808,#REF!,8,FALSE)</f>
        <v>#REF!</v>
      </c>
      <c r="AZ808" s="4"/>
      <c r="BA808" s="272"/>
      <c r="BB808" s="318">
        <f t="shared" si="430"/>
        <v>0</v>
      </c>
      <c r="BC808" s="269">
        <f t="shared" si="431"/>
        <v>2752.5</v>
      </c>
      <c r="BD808" t="str">
        <f t="shared" si="422"/>
        <v/>
      </c>
      <c r="BP808" s="166">
        <f t="shared" ref="BP808:BP839" si="432">BC808+BO808</f>
        <v>2752.5</v>
      </c>
      <c r="BS808" s="165"/>
      <c r="BX808" s="495">
        <f t="shared" si="413"/>
        <v>2752.5</v>
      </c>
      <c r="BZ808" s="636">
        <f t="shared" si="414"/>
        <v>0</v>
      </c>
      <c r="CA808" s="633">
        <f t="shared" si="415"/>
        <v>0</v>
      </c>
    </row>
    <row r="809" spans="1:79" x14ac:dyDescent="0.2">
      <c r="A809" s="4">
        <v>1</v>
      </c>
      <c r="B809" s="4">
        <v>1</v>
      </c>
      <c r="C809" s="5">
        <f t="shared" si="427"/>
        <v>41145</v>
      </c>
      <c r="D809" s="6">
        <v>41145</v>
      </c>
      <c r="E809" s="121">
        <v>43012</v>
      </c>
      <c r="F809" s="6" t="s">
        <v>1876</v>
      </c>
      <c r="G809" s="7" t="s">
        <v>75</v>
      </c>
      <c r="H809" s="7"/>
      <c r="I809" s="7" t="s">
        <v>32</v>
      </c>
      <c r="J809" s="7"/>
      <c r="K809" s="29">
        <v>423981</v>
      </c>
      <c r="L809" s="10" t="s">
        <v>1685</v>
      </c>
      <c r="M809" s="10" t="s">
        <v>132</v>
      </c>
      <c r="N809" s="10" t="s">
        <v>1710</v>
      </c>
      <c r="O809" s="11" t="s">
        <v>1711</v>
      </c>
      <c r="P809" s="12">
        <v>42262</v>
      </c>
      <c r="Q809" s="13">
        <f t="shared" ca="1" si="418"/>
        <v>10.020533880903491</v>
      </c>
      <c r="R809" s="14">
        <v>2</v>
      </c>
      <c r="S809" s="15">
        <v>872</v>
      </c>
      <c r="T809" s="8">
        <v>872</v>
      </c>
      <c r="U809" s="16">
        <v>45017</v>
      </c>
      <c r="V809" s="17">
        <v>1</v>
      </c>
      <c r="W809" s="16">
        <v>45128</v>
      </c>
      <c r="X809" s="14">
        <v>63</v>
      </c>
      <c r="Y809" s="18">
        <f t="shared" si="407"/>
        <v>63</v>
      </c>
      <c r="Z809" s="18">
        <f t="shared" si="429"/>
        <v>0.328125</v>
      </c>
      <c r="AA809" s="16" t="s">
        <v>405</v>
      </c>
      <c r="AB809" s="26">
        <v>30</v>
      </c>
      <c r="AC809" s="26"/>
      <c r="AD809" s="26"/>
      <c r="AE809" s="147" t="str">
        <f t="shared" si="419"/>
        <v>0</v>
      </c>
      <c r="AF809" s="147" t="str">
        <f t="shared" si="428"/>
        <v>1</v>
      </c>
      <c r="AG809" s="147" t="str">
        <f t="shared" si="420"/>
        <v>0</v>
      </c>
      <c r="AH809" s="147" t="str">
        <f t="shared" si="423"/>
        <v>NO</v>
      </c>
      <c r="AI809" s="147" t="str">
        <f t="shared" si="424"/>
        <v>NO</v>
      </c>
      <c r="AJ809" s="147" t="str">
        <f t="shared" si="425"/>
        <v>NO</v>
      </c>
      <c r="AK809" s="147" t="str">
        <f t="shared" si="426"/>
        <v>NO</v>
      </c>
      <c r="AL809" s="21"/>
      <c r="AM809" s="21">
        <f>IF(H809="Y",AL809,((AB809*$O$902)-6000))</f>
        <v>8183.0999999999985</v>
      </c>
      <c r="AN809" s="27" t="s">
        <v>37</v>
      </c>
      <c r="AO809" s="21">
        <v>1</v>
      </c>
      <c r="AP809" s="21">
        <f t="shared" si="421"/>
        <v>0.328125</v>
      </c>
      <c r="AQ809" s="149">
        <f t="shared" si="412"/>
        <v>2685.0796874999996</v>
      </c>
      <c r="AR809" s="21">
        <v>2685.0796874999996</v>
      </c>
      <c r="AS809" s="610">
        <v>2685.0796874999996</v>
      </c>
      <c r="AT809" s="112">
        <v>2685.0796874999996</v>
      </c>
      <c r="AU809" s="4"/>
      <c r="AV809" s="4"/>
      <c r="AW809" s="23" t="s">
        <v>2228</v>
      </c>
      <c r="AX809" s="23" t="e">
        <f>VLOOKUP(K809,#REF!,8,FALSE)</f>
        <v>#REF!</v>
      </c>
      <c r="AY809" s="23" t="e">
        <f>VLOOKUP(K809,#REF!,8,FALSE)</f>
        <v>#REF!</v>
      </c>
      <c r="AZ809" s="4"/>
      <c r="BA809" s="272"/>
      <c r="BB809" s="318">
        <f t="shared" si="430"/>
        <v>0</v>
      </c>
      <c r="BC809" s="269">
        <f t="shared" si="431"/>
        <v>2685.0796874999996</v>
      </c>
      <c r="BD809" t="e">
        <f t="shared" si="422"/>
        <v>#REF!</v>
      </c>
      <c r="BE809" t="s">
        <v>2394</v>
      </c>
      <c r="BF809">
        <v>43012</v>
      </c>
      <c r="BG809" t="e">
        <f>VLOOKUP(K809,#REF!,9,FALSE)</f>
        <v>#REF!</v>
      </c>
      <c r="BJ809">
        <f>AB809</f>
        <v>30</v>
      </c>
      <c r="BK809" s="269">
        <f>AM809</f>
        <v>8183.0999999999985</v>
      </c>
      <c r="BL809" s="108" t="s">
        <v>75</v>
      </c>
      <c r="BO809" s="106">
        <f>BK809/192*127</f>
        <v>5412.7796874999985</v>
      </c>
      <c r="BP809" s="166">
        <f t="shared" si="432"/>
        <v>8097.8593749999982</v>
      </c>
      <c r="BS809" s="165"/>
      <c r="BX809" s="495">
        <f t="shared" si="413"/>
        <v>8097.8593749999982</v>
      </c>
      <c r="BZ809" s="636">
        <f t="shared" si="414"/>
        <v>0</v>
      </c>
      <c r="CA809" s="633">
        <f t="shared" si="415"/>
        <v>5412.7796874999985</v>
      </c>
    </row>
    <row r="810" spans="1:79" x14ac:dyDescent="0.2">
      <c r="A810" s="4">
        <v>1</v>
      </c>
      <c r="B810" s="4">
        <v>1</v>
      </c>
      <c r="C810" s="5">
        <f t="shared" si="427"/>
        <v>41146</v>
      </c>
      <c r="D810" s="6">
        <v>41146</v>
      </c>
      <c r="E810" s="121">
        <v>43015</v>
      </c>
      <c r="F810" s="6" t="s">
        <v>1606</v>
      </c>
      <c r="G810" s="7" t="s">
        <v>75</v>
      </c>
      <c r="H810" s="7" t="s">
        <v>75</v>
      </c>
      <c r="I810" s="7" t="s">
        <v>32</v>
      </c>
      <c r="J810" s="7"/>
      <c r="K810" s="29">
        <v>424034</v>
      </c>
      <c r="L810" s="10" t="s">
        <v>1712</v>
      </c>
      <c r="M810" s="10" t="s">
        <v>1686</v>
      </c>
      <c r="N810" s="10" t="s">
        <v>1713</v>
      </c>
      <c r="O810" s="11" t="s">
        <v>1714</v>
      </c>
      <c r="P810" s="12">
        <v>41526</v>
      </c>
      <c r="Q810" s="13">
        <f t="shared" ca="1" si="418"/>
        <v>12.035592060232718</v>
      </c>
      <c r="R810" s="14">
        <v>4</v>
      </c>
      <c r="S810" s="15">
        <v>872</v>
      </c>
      <c r="T810" s="8">
        <v>872</v>
      </c>
      <c r="U810" s="16">
        <v>45017</v>
      </c>
      <c r="V810" s="17">
        <v>1</v>
      </c>
      <c r="W810" s="16">
        <v>45382</v>
      </c>
      <c r="X810" s="14">
        <v>192</v>
      </c>
      <c r="Y810" s="18">
        <f t="shared" si="407"/>
        <v>192</v>
      </c>
      <c r="Z810" s="18">
        <f t="shared" si="429"/>
        <v>1</v>
      </c>
      <c r="AA810" s="18" t="s">
        <v>36</v>
      </c>
      <c r="AB810" s="26" t="s">
        <v>1715</v>
      </c>
      <c r="AC810" s="26" t="s">
        <v>1715</v>
      </c>
      <c r="AD810" s="26" t="s">
        <v>1895</v>
      </c>
      <c r="AE810" s="147" t="str">
        <f t="shared" ref="AE810:AE841" si="433">IF(AND(AB810&lt;=25,AB810&gt;=20),"1","0")</f>
        <v>0</v>
      </c>
      <c r="AF810" s="147" t="str">
        <f t="shared" si="428"/>
        <v>0</v>
      </c>
      <c r="AG810" s="147" t="str">
        <f t="shared" ref="AG810:AG841" si="434">IF(AB810&gt;=31,"1","0")</f>
        <v>1</v>
      </c>
      <c r="AH810" s="147" t="str">
        <f t="shared" si="423"/>
        <v>NO</v>
      </c>
      <c r="AI810" s="147" t="str">
        <f t="shared" si="424"/>
        <v>NO</v>
      </c>
      <c r="AJ810" s="147" t="str">
        <f t="shared" si="425"/>
        <v>NO</v>
      </c>
      <c r="AK810" s="147" t="str">
        <f t="shared" si="426"/>
        <v>YES</v>
      </c>
      <c r="AL810" s="21">
        <v>22008</v>
      </c>
      <c r="AM810" s="21">
        <f>IF(H810="Y",AL810,((AB810*$O$902)-6000))</f>
        <v>22008</v>
      </c>
      <c r="AN810" s="27" t="s">
        <v>56</v>
      </c>
      <c r="AO810" s="21">
        <v>1</v>
      </c>
      <c r="AP810" s="21">
        <f t="shared" ref="AP810:AP841" si="435">AO810*Z810</f>
        <v>1</v>
      </c>
      <c r="AQ810" s="149">
        <f t="shared" si="412"/>
        <v>22008</v>
      </c>
      <c r="AR810" s="21">
        <v>22008</v>
      </c>
      <c r="AS810" s="610">
        <v>22008</v>
      </c>
      <c r="AT810" s="112">
        <v>22008</v>
      </c>
      <c r="AU810" s="4"/>
      <c r="AV810" s="4"/>
      <c r="AW810" s="23" t="e">
        <f>VLOOKUP(K810,#REF!,8,FALSE)</f>
        <v>#REF!</v>
      </c>
      <c r="AX810" s="23" t="e">
        <f>VLOOKUP(K810,#REF!,8,FALSE)</f>
        <v>#REF!</v>
      </c>
      <c r="AY810" s="23" t="e">
        <f>VLOOKUP(K810,#REF!,8,FALSE)</f>
        <v>#REF!</v>
      </c>
      <c r="AZ810" s="4"/>
      <c r="BA810" s="272"/>
      <c r="BB810" s="318">
        <f t="shared" si="430"/>
        <v>0</v>
      </c>
      <c r="BC810" s="269">
        <f t="shared" si="431"/>
        <v>22008</v>
      </c>
      <c r="BD810" t="str">
        <f t="shared" si="422"/>
        <v/>
      </c>
      <c r="BP810" s="166">
        <f t="shared" si="432"/>
        <v>22008</v>
      </c>
      <c r="BS810" s="165"/>
      <c r="BX810" s="495">
        <f t="shared" si="413"/>
        <v>22008</v>
      </c>
      <c r="BZ810" s="636">
        <f t="shared" si="414"/>
        <v>0</v>
      </c>
      <c r="CA810" s="633">
        <f t="shared" si="415"/>
        <v>0</v>
      </c>
    </row>
    <row r="811" spans="1:79" x14ac:dyDescent="0.2">
      <c r="A811" s="4">
        <v>1</v>
      </c>
      <c r="B811" s="4">
        <v>1</v>
      </c>
      <c r="C811" s="5">
        <f t="shared" si="427"/>
        <v>41146</v>
      </c>
      <c r="D811" s="6">
        <v>41146</v>
      </c>
      <c r="E811" s="121">
        <v>43015</v>
      </c>
      <c r="F811" s="6" t="s">
        <v>1606</v>
      </c>
      <c r="G811" s="7" t="s">
        <v>75</v>
      </c>
      <c r="H811" s="7" t="s">
        <v>75</v>
      </c>
      <c r="I811" s="7" t="s">
        <v>32</v>
      </c>
      <c r="J811" s="7"/>
      <c r="K811" s="29">
        <v>415172</v>
      </c>
      <c r="L811" s="10" t="s">
        <v>1712</v>
      </c>
      <c r="M811" s="10" t="s">
        <v>713</v>
      </c>
      <c r="N811" s="10" t="s">
        <v>1716</v>
      </c>
      <c r="O811" s="11" t="s">
        <v>1717</v>
      </c>
      <c r="P811" s="12">
        <v>41551</v>
      </c>
      <c r="Q811" s="13">
        <f t="shared" ca="1" si="418"/>
        <v>11.967145790554415</v>
      </c>
      <c r="R811" s="14">
        <v>4</v>
      </c>
      <c r="S811" s="15">
        <v>872</v>
      </c>
      <c r="T811" s="8">
        <v>872</v>
      </c>
      <c r="U811" s="16">
        <v>45017</v>
      </c>
      <c r="V811" s="17">
        <v>1</v>
      </c>
      <c r="W811" s="16">
        <v>45382</v>
      </c>
      <c r="X811" s="14">
        <v>192</v>
      </c>
      <c r="Y811" s="18">
        <f t="shared" si="407"/>
        <v>192</v>
      </c>
      <c r="Z811" s="18">
        <f t="shared" si="429"/>
        <v>1</v>
      </c>
      <c r="AA811" s="18" t="s">
        <v>36</v>
      </c>
      <c r="AB811" s="26" t="s">
        <v>91</v>
      </c>
      <c r="AC811" s="26"/>
      <c r="AD811" s="103" t="s">
        <v>1895</v>
      </c>
      <c r="AE811" s="147" t="str">
        <f t="shared" si="433"/>
        <v>0</v>
      </c>
      <c r="AF811" s="147" t="str">
        <f t="shared" si="428"/>
        <v>0</v>
      </c>
      <c r="AG811" s="147" t="str">
        <f t="shared" si="434"/>
        <v>1</v>
      </c>
      <c r="AH811" s="147" t="str">
        <f t="shared" si="423"/>
        <v>NO</v>
      </c>
      <c r="AI811" s="147" t="str">
        <f t="shared" si="424"/>
        <v>NO</v>
      </c>
      <c r="AJ811" s="147" t="str">
        <f t="shared" si="425"/>
        <v>NO</v>
      </c>
      <c r="AK811" s="147" t="str">
        <f t="shared" si="426"/>
        <v>YES</v>
      </c>
      <c r="AL811" s="21">
        <v>22008</v>
      </c>
      <c r="AM811" s="21">
        <f>AL811</f>
        <v>22008</v>
      </c>
      <c r="AN811" s="27" t="s">
        <v>43</v>
      </c>
      <c r="AO811" s="21">
        <v>1</v>
      </c>
      <c r="AP811" s="21">
        <f t="shared" si="435"/>
        <v>1</v>
      </c>
      <c r="AQ811" s="149">
        <f t="shared" si="412"/>
        <v>22008</v>
      </c>
      <c r="AR811" s="21">
        <v>22008</v>
      </c>
      <c r="AS811" s="610">
        <v>22008</v>
      </c>
      <c r="AT811" s="112">
        <v>22008</v>
      </c>
      <c r="AU811" s="4"/>
      <c r="AV811" s="4"/>
      <c r="AW811" s="23" t="e">
        <f>VLOOKUP(K811,#REF!,8,FALSE)</f>
        <v>#REF!</v>
      </c>
      <c r="AX811" s="23" t="e">
        <f>VLOOKUP(K811,#REF!,8,FALSE)</f>
        <v>#REF!</v>
      </c>
      <c r="AY811" s="23" t="e">
        <f>VLOOKUP(K811,#REF!,8,FALSE)</f>
        <v>#REF!</v>
      </c>
      <c r="AZ811" s="4"/>
      <c r="BA811" s="272"/>
      <c r="BB811" s="318">
        <f t="shared" si="430"/>
        <v>0</v>
      </c>
      <c r="BC811" s="269">
        <f t="shared" si="431"/>
        <v>22008</v>
      </c>
      <c r="BD811" t="str">
        <f t="shared" si="422"/>
        <v/>
      </c>
      <c r="BP811" s="166">
        <f t="shared" si="432"/>
        <v>22008</v>
      </c>
      <c r="BS811" s="165"/>
      <c r="BX811" s="495">
        <f t="shared" si="413"/>
        <v>22008</v>
      </c>
      <c r="BZ811" s="636">
        <f t="shared" si="414"/>
        <v>0</v>
      </c>
      <c r="CA811" s="633">
        <f t="shared" si="415"/>
        <v>0</v>
      </c>
    </row>
    <row r="812" spans="1:79" x14ac:dyDescent="0.2">
      <c r="A812" s="4">
        <v>1</v>
      </c>
      <c r="B812" s="4">
        <v>1</v>
      </c>
      <c r="C812" s="5">
        <f t="shared" si="427"/>
        <v>41146</v>
      </c>
      <c r="D812" s="6">
        <v>41146</v>
      </c>
      <c r="E812" s="121">
        <v>43015</v>
      </c>
      <c r="F812" s="6" t="s">
        <v>1606</v>
      </c>
      <c r="G812" s="7" t="s">
        <v>75</v>
      </c>
      <c r="H812" s="7" t="s">
        <v>75</v>
      </c>
      <c r="I812" s="7" t="s">
        <v>32</v>
      </c>
      <c r="J812" s="7"/>
      <c r="K812" s="29">
        <v>421822</v>
      </c>
      <c r="L812" s="10" t="s">
        <v>1712</v>
      </c>
      <c r="M812" s="10" t="s">
        <v>1718</v>
      </c>
      <c r="N812" s="10" t="s">
        <v>1719</v>
      </c>
      <c r="O812" s="11" t="str">
        <f>M812&amp;N812</f>
        <v>BobbyLoveridge</v>
      </c>
      <c r="P812" s="12">
        <v>42116</v>
      </c>
      <c r="Q812" s="13">
        <f t="shared" ca="1" si="418"/>
        <v>10.420260095824778</v>
      </c>
      <c r="R812" s="14">
        <v>3</v>
      </c>
      <c r="S812" s="15">
        <v>872</v>
      </c>
      <c r="T812" s="8">
        <v>872</v>
      </c>
      <c r="U812" s="16">
        <v>45017</v>
      </c>
      <c r="V812" s="17">
        <v>1</v>
      </c>
      <c r="W812" s="16">
        <v>45382</v>
      </c>
      <c r="X812" s="14">
        <v>192</v>
      </c>
      <c r="Y812" s="18">
        <f t="shared" si="407"/>
        <v>192</v>
      </c>
      <c r="Z812" s="18">
        <f t="shared" si="429"/>
        <v>1</v>
      </c>
      <c r="AA812" s="18" t="s">
        <v>36</v>
      </c>
      <c r="AB812" s="26" t="s">
        <v>1715</v>
      </c>
      <c r="AC812" s="26" t="s">
        <v>1715</v>
      </c>
      <c r="AD812" s="26" t="s">
        <v>1895</v>
      </c>
      <c r="AE812" s="147" t="str">
        <f t="shared" si="433"/>
        <v>0</v>
      </c>
      <c r="AF812" s="147" t="str">
        <f t="shared" si="428"/>
        <v>0</v>
      </c>
      <c r="AG812" s="147" t="str">
        <f t="shared" si="434"/>
        <v>1</v>
      </c>
      <c r="AH812" s="147" t="str">
        <f t="shared" si="423"/>
        <v>NO</v>
      </c>
      <c r="AI812" s="147" t="str">
        <f t="shared" si="424"/>
        <v>NO</v>
      </c>
      <c r="AJ812" s="147" t="str">
        <f t="shared" si="425"/>
        <v>NO</v>
      </c>
      <c r="AK812" s="147" t="str">
        <f t="shared" si="426"/>
        <v>YES</v>
      </c>
      <c r="AL812" s="21">
        <v>22008</v>
      </c>
      <c r="AM812" s="21">
        <v>21471</v>
      </c>
      <c r="AN812" s="27" t="s">
        <v>66</v>
      </c>
      <c r="AO812" s="21">
        <v>1</v>
      </c>
      <c r="AP812" s="21">
        <f t="shared" si="435"/>
        <v>1</v>
      </c>
      <c r="AQ812" s="149">
        <f t="shared" si="412"/>
        <v>21471</v>
      </c>
      <c r="AR812" s="21">
        <v>21471</v>
      </c>
      <c r="AS812" s="610">
        <v>21471</v>
      </c>
      <c r="AT812" s="112">
        <v>21471</v>
      </c>
      <c r="AU812" s="4"/>
      <c r="AV812" s="4"/>
      <c r="AW812" s="23" t="e">
        <f>VLOOKUP(K812,#REF!,8,FALSE)</f>
        <v>#REF!</v>
      </c>
      <c r="AX812" s="23" t="e">
        <f>VLOOKUP(K812,#REF!,8,FALSE)</f>
        <v>#REF!</v>
      </c>
      <c r="AY812" s="23" t="e">
        <f>VLOOKUP(K812,#REF!,8,FALSE)</f>
        <v>#REF!</v>
      </c>
      <c r="AZ812" s="4"/>
      <c r="BA812" s="272"/>
      <c r="BB812" s="318">
        <f t="shared" si="430"/>
        <v>0</v>
      </c>
      <c r="BC812" s="269">
        <f t="shared" si="431"/>
        <v>21471</v>
      </c>
      <c r="BD812" t="str">
        <f t="shared" si="422"/>
        <v/>
      </c>
      <c r="BP812" s="166">
        <f t="shared" si="432"/>
        <v>21471</v>
      </c>
      <c r="BS812" s="165"/>
      <c r="BX812" s="495">
        <f t="shared" si="413"/>
        <v>21471</v>
      </c>
      <c r="BZ812" s="636">
        <f t="shared" si="414"/>
        <v>0</v>
      </c>
      <c r="CA812" s="633">
        <f t="shared" si="415"/>
        <v>0</v>
      </c>
    </row>
    <row r="813" spans="1:79" x14ac:dyDescent="0.2">
      <c r="A813" s="4">
        <v>1</v>
      </c>
      <c r="B813" s="4">
        <v>1</v>
      </c>
      <c r="C813" s="5">
        <f t="shared" si="427"/>
        <v>41146</v>
      </c>
      <c r="D813" s="6">
        <v>41146</v>
      </c>
      <c r="E813" s="121">
        <v>43015</v>
      </c>
      <c r="F813" s="6" t="s">
        <v>1606</v>
      </c>
      <c r="G813" s="7" t="s">
        <v>75</v>
      </c>
      <c r="H813" s="7" t="s">
        <v>75</v>
      </c>
      <c r="I813" s="7" t="s">
        <v>32</v>
      </c>
      <c r="J813" s="7"/>
      <c r="K813" s="29">
        <v>407759</v>
      </c>
      <c r="L813" s="10" t="s">
        <v>1712</v>
      </c>
      <c r="M813" s="10" t="s">
        <v>1720</v>
      </c>
      <c r="N813" s="10" t="s">
        <v>1721</v>
      </c>
      <c r="O813" s="11" t="s">
        <v>1722</v>
      </c>
      <c r="P813" s="12">
        <v>41676</v>
      </c>
      <c r="Q813" s="13">
        <f t="shared" ca="1" si="418"/>
        <v>11.624914442162902</v>
      </c>
      <c r="R813" s="14">
        <v>4</v>
      </c>
      <c r="S813" s="15">
        <v>872</v>
      </c>
      <c r="T813" s="8">
        <v>872</v>
      </c>
      <c r="U813" s="16">
        <v>45017</v>
      </c>
      <c r="V813" s="17">
        <v>1</v>
      </c>
      <c r="W813" s="16">
        <v>45382</v>
      </c>
      <c r="X813" s="14">
        <v>192</v>
      </c>
      <c r="Y813" s="18">
        <f t="shared" si="407"/>
        <v>192</v>
      </c>
      <c r="Z813" s="18">
        <f t="shared" si="429"/>
        <v>1</v>
      </c>
      <c r="AA813" s="18" t="s">
        <v>36</v>
      </c>
      <c r="AB813" s="26" t="s">
        <v>1715</v>
      </c>
      <c r="AC813" s="26" t="s">
        <v>1715</v>
      </c>
      <c r="AD813" s="26" t="s">
        <v>1895</v>
      </c>
      <c r="AE813" s="147" t="str">
        <f t="shared" si="433"/>
        <v>0</v>
      </c>
      <c r="AF813" s="147" t="str">
        <f t="shared" si="428"/>
        <v>0</v>
      </c>
      <c r="AG813" s="147" t="str">
        <f t="shared" si="434"/>
        <v>1</v>
      </c>
      <c r="AH813" s="147" t="str">
        <f t="shared" si="423"/>
        <v>NO</v>
      </c>
      <c r="AI813" s="147" t="str">
        <f t="shared" si="424"/>
        <v>NO</v>
      </c>
      <c r="AJ813" s="147" t="str">
        <f t="shared" si="425"/>
        <v>NO</v>
      </c>
      <c r="AK813" s="147" t="str">
        <f t="shared" si="426"/>
        <v>YES</v>
      </c>
      <c r="AL813" s="21">
        <v>22008</v>
      </c>
      <c r="AM813" s="21">
        <f>IF(H813="Y",AL813,((AB813*$O$902)-6000))</f>
        <v>22008</v>
      </c>
      <c r="AN813" s="27" t="s">
        <v>37</v>
      </c>
      <c r="AO813" s="21">
        <v>1</v>
      </c>
      <c r="AP813" s="21">
        <f t="shared" si="435"/>
        <v>1</v>
      </c>
      <c r="AQ813" s="149">
        <f t="shared" si="412"/>
        <v>22008</v>
      </c>
      <c r="AR813" s="21">
        <v>22008</v>
      </c>
      <c r="AS813" s="610">
        <v>22008</v>
      </c>
      <c r="AT813" s="112">
        <v>22008</v>
      </c>
      <c r="AU813" s="4"/>
      <c r="AV813" s="4"/>
      <c r="AW813" s="23" t="e">
        <f>VLOOKUP(K813,#REF!,8,FALSE)</f>
        <v>#REF!</v>
      </c>
      <c r="AX813" s="23" t="e">
        <f>VLOOKUP(K813,#REF!,8,FALSE)</f>
        <v>#REF!</v>
      </c>
      <c r="AY813" s="23" t="e">
        <f>VLOOKUP(K813,#REF!,8,FALSE)</f>
        <v>#REF!</v>
      </c>
      <c r="AZ813" s="4"/>
      <c r="BA813" s="272"/>
      <c r="BB813" s="318">
        <f t="shared" si="430"/>
        <v>0</v>
      </c>
      <c r="BC813" s="269">
        <f t="shared" si="431"/>
        <v>22008</v>
      </c>
      <c r="BD813" t="str">
        <f t="shared" si="422"/>
        <v/>
      </c>
      <c r="BP813" s="166">
        <f t="shared" si="432"/>
        <v>22008</v>
      </c>
      <c r="BS813" s="165"/>
      <c r="BX813" s="495">
        <f t="shared" si="413"/>
        <v>22008</v>
      </c>
      <c r="BZ813" s="636">
        <f t="shared" si="414"/>
        <v>0</v>
      </c>
      <c r="CA813" s="633">
        <f t="shared" si="415"/>
        <v>0</v>
      </c>
    </row>
    <row r="814" spans="1:79" x14ac:dyDescent="0.2">
      <c r="A814" s="4">
        <v>1</v>
      </c>
      <c r="B814" s="4">
        <v>1</v>
      </c>
      <c r="C814" s="5">
        <f t="shared" si="427"/>
        <v>41146</v>
      </c>
      <c r="D814" s="6">
        <v>41146</v>
      </c>
      <c r="E814" s="121">
        <v>43015</v>
      </c>
      <c r="F814" s="6" t="s">
        <v>1606</v>
      </c>
      <c r="G814" s="7" t="s">
        <v>75</v>
      </c>
      <c r="H814" s="7" t="s">
        <v>75</v>
      </c>
      <c r="I814" s="7" t="s">
        <v>32</v>
      </c>
      <c r="J814" s="7"/>
      <c r="K814" s="29">
        <v>399457</v>
      </c>
      <c r="L814" s="10" t="s">
        <v>1712</v>
      </c>
      <c r="M814" s="10" t="s">
        <v>1723</v>
      </c>
      <c r="N814" s="10" t="s">
        <v>1724</v>
      </c>
      <c r="O814" s="11" t="s">
        <v>1725</v>
      </c>
      <c r="P814" s="12">
        <v>40870</v>
      </c>
      <c r="Q814" s="13">
        <f t="shared" ca="1" si="418"/>
        <v>13.831622176591376</v>
      </c>
      <c r="R814" s="14">
        <v>6</v>
      </c>
      <c r="S814" s="15">
        <v>872</v>
      </c>
      <c r="T814" s="8">
        <v>872</v>
      </c>
      <c r="U814" s="16">
        <v>45017</v>
      </c>
      <c r="V814" s="17">
        <v>1</v>
      </c>
      <c r="W814" s="16">
        <v>45128</v>
      </c>
      <c r="X814" s="14">
        <v>63</v>
      </c>
      <c r="Y814" s="18">
        <f t="shared" si="407"/>
        <v>63</v>
      </c>
      <c r="Z814" s="18">
        <f t="shared" si="429"/>
        <v>0.328125</v>
      </c>
      <c r="AA814" s="18" t="s">
        <v>48</v>
      </c>
      <c r="AB814" s="26" t="s">
        <v>1715</v>
      </c>
      <c r="AC814" s="26" t="s">
        <v>1715</v>
      </c>
      <c r="AD814" s="26" t="s">
        <v>1895</v>
      </c>
      <c r="AE814" s="147" t="str">
        <f t="shared" si="433"/>
        <v>0</v>
      </c>
      <c r="AF814" s="147" t="str">
        <f t="shared" si="428"/>
        <v>0</v>
      </c>
      <c r="AG814" s="147" t="str">
        <f t="shared" si="434"/>
        <v>1</v>
      </c>
      <c r="AH814" s="147" t="str">
        <f t="shared" si="423"/>
        <v>NO</v>
      </c>
      <c r="AI814" s="147" t="str">
        <f t="shared" si="424"/>
        <v>NO</v>
      </c>
      <c r="AJ814" s="147" t="str">
        <f t="shared" si="425"/>
        <v>NO</v>
      </c>
      <c r="AK814" s="147" t="str">
        <f t="shared" si="426"/>
        <v>YES</v>
      </c>
      <c r="AL814" s="21">
        <v>22008</v>
      </c>
      <c r="AM814" s="21">
        <f>IF(H814="Y",AL814,((AB814*$O$902)-6000))</f>
        <v>22008</v>
      </c>
      <c r="AN814" s="27" t="s">
        <v>56</v>
      </c>
      <c r="AO814" s="21">
        <v>1</v>
      </c>
      <c r="AP814" s="21">
        <f t="shared" si="435"/>
        <v>0.328125</v>
      </c>
      <c r="AQ814" s="149">
        <f t="shared" si="412"/>
        <v>7221.375</v>
      </c>
      <c r="AR814" s="21">
        <v>7221.375</v>
      </c>
      <c r="AS814" s="610">
        <v>7221.375</v>
      </c>
      <c r="AT814" s="112">
        <v>7221.375</v>
      </c>
      <c r="AU814" s="4"/>
      <c r="AV814" s="4"/>
      <c r="AW814" s="23" t="e">
        <f>VLOOKUP(K814,#REF!,8,FALSE)</f>
        <v>#REF!</v>
      </c>
      <c r="AX814" s="264" t="s">
        <v>2208</v>
      </c>
      <c r="AY814" s="23" t="e">
        <f>VLOOKUP(K814,#REF!,8,FALSE)</f>
        <v>#REF!</v>
      </c>
      <c r="AZ814" s="23" t="s">
        <v>75</v>
      </c>
      <c r="BA814" s="273">
        <f>AM814/3*2</f>
        <v>14672</v>
      </c>
      <c r="BB814" s="318">
        <f t="shared" si="430"/>
        <v>0</v>
      </c>
      <c r="BC814" s="269">
        <f t="shared" si="431"/>
        <v>7221.375</v>
      </c>
      <c r="BD814" t="e">
        <f t="shared" si="422"/>
        <v>#REF!</v>
      </c>
      <c r="BE814" t="s">
        <v>2396</v>
      </c>
      <c r="BH814" t="e">
        <f>VLOOKUP(K814,#REF!,8,FALSE)</f>
        <v>#REF!</v>
      </c>
      <c r="BJ814" t="str">
        <f>AB814</f>
        <v>WESR_BAND 6</v>
      </c>
      <c r="BK814" s="269">
        <f>AM814</f>
        <v>22008</v>
      </c>
      <c r="BL814" s="353"/>
      <c r="BM814" s="353" t="s">
        <v>75</v>
      </c>
      <c r="BN814" s="353"/>
      <c r="BO814" s="106">
        <f>BK814/192*127</f>
        <v>14557.375</v>
      </c>
      <c r="BP814" s="166">
        <f t="shared" si="432"/>
        <v>21778.75</v>
      </c>
      <c r="BQ814" s="106">
        <v>14557.375</v>
      </c>
      <c r="BR814" t="s">
        <v>2446</v>
      </c>
      <c r="BS814" s="165"/>
      <c r="BX814" s="495">
        <f t="shared" si="413"/>
        <v>21778.75</v>
      </c>
      <c r="BZ814" s="636">
        <f t="shared" si="414"/>
        <v>0</v>
      </c>
      <c r="CA814" s="633">
        <f t="shared" si="415"/>
        <v>14557.375</v>
      </c>
    </row>
    <row r="815" spans="1:79" x14ac:dyDescent="0.2">
      <c r="A815" s="4">
        <v>1</v>
      </c>
      <c r="B815" s="4">
        <v>1</v>
      </c>
      <c r="C815" s="5">
        <f t="shared" si="427"/>
        <v>41146</v>
      </c>
      <c r="D815" s="6">
        <v>41146</v>
      </c>
      <c r="E815" s="121">
        <v>43015</v>
      </c>
      <c r="F815" s="6" t="s">
        <v>1606</v>
      </c>
      <c r="G815" s="7" t="s">
        <v>75</v>
      </c>
      <c r="H815" s="7" t="s">
        <v>75</v>
      </c>
      <c r="I815" s="7" t="s">
        <v>32</v>
      </c>
      <c r="J815" s="7"/>
      <c r="K815" s="29">
        <v>416232</v>
      </c>
      <c r="L815" s="10" t="s">
        <v>1712</v>
      </c>
      <c r="M815" s="10" t="s">
        <v>519</v>
      </c>
      <c r="N815" s="10" t="s">
        <v>339</v>
      </c>
      <c r="O815" s="11" t="str">
        <f>M815&amp;N815</f>
        <v>JosephSmith</v>
      </c>
      <c r="P815" s="12">
        <v>41792</v>
      </c>
      <c r="Q815" s="13">
        <f t="shared" ca="1" si="418"/>
        <v>11.307323750855579</v>
      </c>
      <c r="R815" s="14">
        <v>4</v>
      </c>
      <c r="S815" s="15">
        <v>872</v>
      </c>
      <c r="T815" s="8">
        <v>872</v>
      </c>
      <c r="U815" s="16">
        <v>45017</v>
      </c>
      <c r="V815" s="17">
        <v>1</v>
      </c>
      <c r="W815" s="16">
        <v>45382</v>
      </c>
      <c r="X815" s="14">
        <v>192</v>
      </c>
      <c r="Y815" s="18">
        <f t="shared" si="407"/>
        <v>192</v>
      </c>
      <c r="Z815" s="18">
        <f t="shared" si="429"/>
        <v>1</v>
      </c>
      <c r="AA815" s="18" t="s">
        <v>36</v>
      </c>
      <c r="AB815" s="26"/>
      <c r="AC815" s="26"/>
      <c r="AD815" s="26"/>
      <c r="AE815" s="147" t="str">
        <f t="shared" si="433"/>
        <v>0</v>
      </c>
      <c r="AF815" s="147" t="str">
        <f t="shared" si="428"/>
        <v>0</v>
      </c>
      <c r="AG815" s="147" t="str">
        <f t="shared" si="434"/>
        <v>0</v>
      </c>
      <c r="AH815" s="147" t="str">
        <f t="shared" si="423"/>
        <v>NO</v>
      </c>
      <c r="AI815" s="147" t="str">
        <f t="shared" si="424"/>
        <v>NO</v>
      </c>
      <c r="AJ815" s="147" t="str">
        <f t="shared" si="425"/>
        <v>NO</v>
      </c>
      <c r="AK815" s="147" t="str">
        <f t="shared" si="426"/>
        <v>NO</v>
      </c>
      <c r="AL815" s="21">
        <v>20645</v>
      </c>
      <c r="AM815" s="21">
        <f>IF(H815="Y",AL815,((AB815*$O$902)-6000))</f>
        <v>20645</v>
      </c>
      <c r="AN815" s="27" t="s">
        <v>37</v>
      </c>
      <c r="AO815" s="21">
        <v>1</v>
      </c>
      <c r="AP815" s="21">
        <f t="shared" si="435"/>
        <v>1</v>
      </c>
      <c r="AQ815" s="149">
        <f t="shared" si="412"/>
        <v>20645</v>
      </c>
      <c r="AR815" s="21">
        <v>20645</v>
      </c>
      <c r="AS815" s="610">
        <v>20645</v>
      </c>
      <c r="AT815" s="112">
        <v>20645</v>
      </c>
      <c r="AU815" s="4"/>
      <c r="AV815" s="4"/>
      <c r="AW815" s="23" t="e">
        <f>VLOOKUP(K815,#REF!,8,FALSE)</f>
        <v>#REF!</v>
      </c>
      <c r="AX815" s="23" t="e">
        <f>VLOOKUP(K815,#REF!,8,FALSE)</f>
        <v>#REF!</v>
      </c>
      <c r="AY815" s="23" t="e">
        <f>VLOOKUP(K815,#REF!,8,FALSE)</f>
        <v>#REF!</v>
      </c>
      <c r="AZ815" s="4"/>
      <c r="BA815" s="272"/>
      <c r="BB815" s="318">
        <f t="shared" si="430"/>
        <v>0</v>
      </c>
      <c r="BC815" s="269">
        <f t="shared" si="431"/>
        <v>20645</v>
      </c>
      <c r="BD815" t="str">
        <f t="shared" si="422"/>
        <v/>
      </c>
      <c r="BP815" s="166">
        <f t="shared" si="432"/>
        <v>20645</v>
      </c>
      <c r="BS815" s="165"/>
      <c r="BX815" s="495">
        <f t="shared" si="413"/>
        <v>20645</v>
      </c>
      <c r="BZ815" s="636">
        <f t="shared" si="414"/>
        <v>0</v>
      </c>
      <c r="CA815" s="633">
        <f t="shared" si="415"/>
        <v>0</v>
      </c>
    </row>
    <row r="816" spans="1:79" x14ac:dyDescent="0.2">
      <c r="A816" s="4">
        <v>0</v>
      </c>
      <c r="B816" s="4">
        <v>1</v>
      </c>
      <c r="C816" s="5">
        <f t="shared" si="427"/>
        <v>41146</v>
      </c>
      <c r="D816" s="6">
        <v>41146</v>
      </c>
      <c r="E816" s="121">
        <v>43015</v>
      </c>
      <c r="F816" s="6" t="s">
        <v>1606</v>
      </c>
      <c r="G816" s="7" t="s">
        <v>75</v>
      </c>
      <c r="H816" s="7" t="s">
        <v>75</v>
      </c>
      <c r="I816" s="7" t="s">
        <v>32</v>
      </c>
      <c r="J816" s="7" t="s">
        <v>142</v>
      </c>
      <c r="K816" s="29">
        <v>416232</v>
      </c>
      <c r="L816" s="10" t="s">
        <v>1712</v>
      </c>
      <c r="M816" s="10" t="s">
        <v>519</v>
      </c>
      <c r="N816" s="10" t="s">
        <v>339</v>
      </c>
      <c r="O816" s="11" t="str">
        <f>M816&amp;N816</f>
        <v>JosephSmith</v>
      </c>
      <c r="P816" s="12">
        <v>41792</v>
      </c>
      <c r="Q816" s="13">
        <f t="shared" ca="1" si="418"/>
        <v>11.307323750855579</v>
      </c>
      <c r="R816" s="14">
        <v>4</v>
      </c>
      <c r="S816" s="15">
        <v>872</v>
      </c>
      <c r="T816" s="8">
        <v>872</v>
      </c>
      <c r="U816" s="16">
        <v>45017</v>
      </c>
      <c r="V816" s="17">
        <v>1</v>
      </c>
      <c r="W816" s="16">
        <v>45382</v>
      </c>
      <c r="X816" s="14">
        <v>192</v>
      </c>
      <c r="Y816" s="18">
        <f t="shared" si="407"/>
        <v>192</v>
      </c>
      <c r="Z816" s="18">
        <f t="shared" si="429"/>
        <v>1</v>
      </c>
      <c r="AA816" s="18" t="s">
        <v>36</v>
      </c>
      <c r="AB816" s="26">
        <v>32.5</v>
      </c>
      <c r="AC816" s="26"/>
      <c r="AD816" s="26"/>
      <c r="AE816" s="147" t="str">
        <f t="shared" si="433"/>
        <v>0</v>
      </c>
      <c r="AF816" s="147" t="str">
        <f t="shared" si="428"/>
        <v>0</v>
      </c>
      <c r="AG816" s="147" t="str">
        <f t="shared" si="434"/>
        <v>1</v>
      </c>
      <c r="AH816" s="147" t="str">
        <f t="shared" si="423"/>
        <v>NO</v>
      </c>
      <c r="AI816" s="147" t="str">
        <f t="shared" si="424"/>
        <v>NO</v>
      </c>
      <c r="AJ816" s="147" t="str">
        <f t="shared" si="425"/>
        <v>NO</v>
      </c>
      <c r="AK816" s="147" t="str">
        <f t="shared" si="426"/>
        <v>NO</v>
      </c>
      <c r="AL816" s="21"/>
      <c r="AM816" s="21">
        <f>((AB816*$O$902)-6000)</f>
        <v>9365.0249999999996</v>
      </c>
      <c r="AN816" s="27" t="s">
        <v>37</v>
      </c>
      <c r="AO816" s="21">
        <v>1</v>
      </c>
      <c r="AP816" s="21">
        <f t="shared" si="435"/>
        <v>1</v>
      </c>
      <c r="AQ816" s="149">
        <f t="shared" si="412"/>
        <v>9365.0249999999996</v>
      </c>
      <c r="AR816" s="21">
        <v>9365.0249999999996</v>
      </c>
      <c r="AS816" s="610">
        <v>9365.0249999999996</v>
      </c>
      <c r="AT816" s="112">
        <v>9365.0249999999996</v>
      </c>
      <c r="AU816" s="4"/>
      <c r="AV816" s="4"/>
      <c r="AW816" s="23" t="e">
        <f>VLOOKUP(K816,#REF!,8,FALSE)</f>
        <v>#REF!</v>
      </c>
      <c r="AX816" s="23" t="e">
        <f>VLOOKUP(K816,#REF!,8,FALSE)</f>
        <v>#REF!</v>
      </c>
      <c r="AY816" s="23" t="e">
        <f>VLOOKUP(K816,#REF!,8,FALSE)</f>
        <v>#REF!</v>
      </c>
      <c r="AZ816" s="4"/>
      <c r="BA816" s="272"/>
      <c r="BB816" s="318">
        <f t="shared" si="430"/>
        <v>0</v>
      </c>
      <c r="BC816" s="269">
        <f t="shared" si="431"/>
        <v>9365.0249999999996</v>
      </c>
      <c r="BD816" t="str">
        <f t="shared" si="422"/>
        <v/>
      </c>
      <c r="BP816" s="166">
        <f t="shared" si="432"/>
        <v>9365.0249999999996</v>
      </c>
      <c r="BS816" s="165"/>
      <c r="BX816" s="495">
        <f t="shared" si="413"/>
        <v>9365.0249999999996</v>
      </c>
      <c r="BZ816" s="636">
        <f t="shared" si="414"/>
        <v>0</v>
      </c>
      <c r="CA816" s="633">
        <f t="shared" si="415"/>
        <v>0</v>
      </c>
    </row>
    <row r="817" spans="1:79" x14ac:dyDescent="0.2">
      <c r="A817" s="4">
        <v>0</v>
      </c>
      <c r="B817" s="4">
        <v>1</v>
      </c>
      <c r="C817" s="5">
        <f t="shared" si="427"/>
        <v>41146</v>
      </c>
      <c r="D817" s="6">
        <v>41146</v>
      </c>
      <c r="E817" s="121">
        <v>43015</v>
      </c>
      <c r="F817" s="6" t="s">
        <v>1606</v>
      </c>
      <c r="G817" s="7" t="s">
        <v>75</v>
      </c>
      <c r="H817" s="7" t="s">
        <v>75</v>
      </c>
      <c r="I817" s="7" t="s">
        <v>32</v>
      </c>
      <c r="J817" s="7" t="s">
        <v>142</v>
      </c>
      <c r="K817" s="29">
        <v>416232</v>
      </c>
      <c r="L817" s="10" t="s">
        <v>1712</v>
      </c>
      <c r="M817" s="10" t="s">
        <v>519</v>
      </c>
      <c r="N817" s="10" t="s">
        <v>339</v>
      </c>
      <c r="O817" s="11" t="str">
        <f>M817&amp;N817</f>
        <v>JosephSmith</v>
      </c>
      <c r="P817" s="12">
        <v>41792</v>
      </c>
      <c r="Q817" s="13">
        <f t="shared" ca="1" si="418"/>
        <v>11.307323750855579</v>
      </c>
      <c r="R817" s="14">
        <v>4</v>
      </c>
      <c r="S817" s="15">
        <v>872</v>
      </c>
      <c r="T817" s="8">
        <v>872</v>
      </c>
      <c r="U817" s="16">
        <v>45033</v>
      </c>
      <c r="V817" s="17">
        <v>2</v>
      </c>
      <c r="W817" s="16">
        <v>45127</v>
      </c>
      <c r="X817" s="14">
        <v>62</v>
      </c>
      <c r="Y817" s="18">
        <f t="shared" ref="Y817:Y873" si="436">X817-V817+1</f>
        <v>61</v>
      </c>
      <c r="Z817" s="18">
        <v>1</v>
      </c>
      <c r="AA817" s="16">
        <v>45127</v>
      </c>
      <c r="AB817" s="26" t="s">
        <v>91</v>
      </c>
      <c r="AC817" s="26"/>
      <c r="AD817" s="26"/>
      <c r="AE817" s="147" t="str">
        <f t="shared" si="433"/>
        <v>0</v>
      </c>
      <c r="AF817" s="147" t="str">
        <f t="shared" si="428"/>
        <v>0</v>
      </c>
      <c r="AG817" s="147" t="str">
        <f t="shared" si="434"/>
        <v>1</v>
      </c>
      <c r="AH817" s="147" t="str">
        <f t="shared" si="423"/>
        <v>NO</v>
      </c>
      <c r="AI817" s="147" t="str">
        <f t="shared" si="424"/>
        <v>NO</v>
      </c>
      <c r="AJ817" s="147" t="str">
        <f t="shared" si="425"/>
        <v>NO</v>
      </c>
      <c r="AK817" s="147" t="str">
        <f t="shared" si="426"/>
        <v>NO</v>
      </c>
      <c r="AL817" s="21"/>
      <c r="AM817" s="21">
        <v>2310</v>
      </c>
      <c r="AN817" s="27" t="s">
        <v>37</v>
      </c>
      <c r="AO817" s="21">
        <v>1</v>
      </c>
      <c r="AP817" s="21">
        <f t="shared" si="435"/>
        <v>1</v>
      </c>
      <c r="AQ817" s="149">
        <f t="shared" si="412"/>
        <v>2310</v>
      </c>
      <c r="AR817" s="21">
        <v>2310</v>
      </c>
      <c r="AS817" s="610">
        <v>0</v>
      </c>
      <c r="AT817" s="112">
        <v>2310</v>
      </c>
      <c r="AU817" s="4"/>
      <c r="AV817" s="4"/>
      <c r="AW817" s="23" t="e">
        <f>VLOOKUP(K817,#REF!,8,FALSE)</f>
        <v>#REF!</v>
      </c>
      <c r="AX817" s="23" t="e">
        <f>VLOOKUP(K817,#REF!,8,FALSE)</f>
        <v>#REF!</v>
      </c>
      <c r="AY817" s="23" t="e">
        <f>VLOOKUP(K817,#REF!,8,FALSE)</f>
        <v>#REF!</v>
      </c>
      <c r="AZ817" s="4"/>
      <c r="BA817" s="272"/>
      <c r="BB817" s="318">
        <f t="shared" si="430"/>
        <v>0</v>
      </c>
      <c r="BC817" s="269">
        <f t="shared" si="431"/>
        <v>2310</v>
      </c>
      <c r="BD817" t="str">
        <f t="shared" si="422"/>
        <v/>
      </c>
      <c r="BJ817" t="str">
        <f>AB817</f>
        <v>TOP</v>
      </c>
      <c r="BK817" s="269">
        <f>AM817</f>
        <v>2310</v>
      </c>
      <c r="BO817" s="106">
        <f>BK817/192*127</f>
        <v>1527.96875</v>
      </c>
      <c r="BP817" s="166">
        <f t="shared" si="432"/>
        <v>3837.96875</v>
      </c>
      <c r="BS817" s="165"/>
      <c r="BX817" s="495">
        <f t="shared" si="413"/>
        <v>3837.96875</v>
      </c>
      <c r="BZ817" s="636">
        <f t="shared" si="414"/>
        <v>0</v>
      </c>
      <c r="CA817" s="633">
        <f t="shared" si="415"/>
        <v>3837.96875</v>
      </c>
    </row>
    <row r="818" spans="1:79" x14ac:dyDescent="0.2">
      <c r="A818" s="4">
        <v>1</v>
      </c>
      <c r="B818" s="4">
        <v>1</v>
      </c>
      <c r="C818" s="5">
        <f t="shared" si="427"/>
        <v>41146</v>
      </c>
      <c r="D818" s="6">
        <v>41146</v>
      </c>
      <c r="E818" s="121">
        <v>43015</v>
      </c>
      <c r="F818" s="6" t="s">
        <v>1606</v>
      </c>
      <c r="G818" s="7" t="s">
        <v>75</v>
      </c>
      <c r="H818" s="7" t="s">
        <v>75</v>
      </c>
      <c r="I818" s="7" t="s">
        <v>32</v>
      </c>
      <c r="J818" s="7"/>
      <c r="K818" s="29">
        <v>439512</v>
      </c>
      <c r="L818" s="10" t="s">
        <v>1712</v>
      </c>
      <c r="M818" s="10" t="s">
        <v>506</v>
      </c>
      <c r="N818" s="10" t="s">
        <v>1726</v>
      </c>
      <c r="O818" s="11" t="s">
        <v>1727</v>
      </c>
      <c r="P818" s="12">
        <v>41906</v>
      </c>
      <c r="Q818" s="13">
        <f t="shared" ca="1" si="418"/>
        <v>10.99520876112252</v>
      </c>
      <c r="R818" s="14">
        <v>3</v>
      </c>
      <c r="S818" s="15">
        <v>872</v>
      </c>
      <c r="T818" s="8">
        <v>872</v>
      </c>
      <c r="U818" s="16">
        <v>45017</v>
      </c>
      <c r="V818" s="17">
        <v>1</v>
      </c>
      <c r="W818" s="16">
        <v>45382</v>
      </c>
      <c r="X818" s="14">
        <v>192</v>
      </c>
      <c r="Y818" s="18">
        <f t="shared" si="436"/>
        <v>192</v>
      </c>
      <c r="Z818" s="18">
        <f t="shared" ref="Z818:Z849" si="437">Y818/192</f>
        <v>1</v>
      </c>
      <c r="AA818" s="18" t="s">
        <v>36</v>
      </c>
      <c r="AB818" s="26" t="s">
        <v>1715</v>
      </c>
      <c r="AC818" s="26" t="s">
        <v>1715</v>
      </c>
      <c r="AD818" s="26" t="s">
        <v>1895</v>
      </c>
      <c r="AE818" s="147" t="str">
        <f t="shared" si="433"/>
        <v>0</v>
      </c>
      <c r="AF818" s="147" t="str">
        <f t="shared" si="428"/>
        <v>0</v>
      </c>
      <c r="AG818" s="147" t="str">
        <f t="shared" si="434"/>
        <v>1</v>
      </c>
      <c r="AH818" s="147" t="str">
        <f t="shared" si="423"/>
        <v>NO</v>
      </c>
      <c r="AI818" s="147" t="str">
        <f t="shared" si="424"/>
        <v>NO</v>
      </c>
      <c r="AJ818" s="147" t="str">
        <f t="shared" si="425"/>
        <v>NO</v>
      </c>
      <c r="AK818" s="147" t="str">
        <f t="shared" si="426"/>
        <v>YES</v>
      </c>
      <c r="AL818" s="21">
        <v>22008</v>
      </c>
      <c r="AM818" s="21">
        <f t="shared" ref="AM818:AM824" si="438">IF(H818="Y",AL818,((AB818*$O$902)-6000))</f>
        <v>22008</v>
      </c>
      <c r="AN818" s="27"/>
      <c r="AO818" s="21">
        <v>1</v>
      </c>
      <c r="AP818" s="21">
        <f t="shared" si="435"/>
        <v>1</v>
      </c>
      <c r="AQ818" s="149">
        <f t="shared" si="412"/>
        <v>22008</v>
      </c>
      <c r="AR818" s="21">
        <v>22008</v>
      </c>
      <c r="AS818" s="610">
        <v>22008</v>
      </c>
      <c r="AT818" s="112">
        <v>22008</v>
      </c>
      <c r="AU818" s="4"/>
      <c r="AV818" s="4"/>
      <c r="AW818" s="23" t="e">
        <f>VLOOKUP(K818,#REF!,8,FALSE)</f>
        <v>#REF!</v>
      </c>
      <c r="AX818" s="23" t="e">
        <f>VLOOKUP(K818,#REF!,8,FALSE)</f>
        <v>#REF!</v>
      </c>
      <c r="AY818" s="23" t="e">
        <f>VLOOKUP(K818,#REF!,8,FALSE)</f>
        <v>#REF!</v>
      </c>
      <c r="AZ818" s="4"/>
      <c r="BA818" s="272"/>
      <c r="BB818" s="318">
        <f t="shared" si="430"/>
        <v>0</v>
      </c>
      <c r="BC818" s="269">
        <f t="shared" si="431"/>
        <v>22008</v>
      </c>
      <c r="BD818" t="str">
        <f t="shared" si="422"/>
        <v/>
      </c>
      <c r="BP818" s="166">
        <f t="shared" si="432"/>
        <v>22008</v>
      </c>
      <c r="BS818" s="165"/>
      <c r="BX818" s="495">
        <f t="shared" si="413"/>
        <v>22008</v>
      </c>
      <c r="BZ818" s="636">
        <f t="shared" si="414"/>
        <v>0</v>
      </c>
      <c r="CA818" s="633">
        <f t="shared" si="415"/>
        <v>0</v>
      </c>
    </row>
    <row r="819" spans="1:79" x14ac:dyDescent="0.2">
      <c r="A819" s="4">
        <v>1</v>
      </c>
      <c r="B819" s="4">
        <v>1</v>
      </c>
      <c r="C819" s="5">
        <f t="shared" si="427"/>
        <v>41146</v>
      </c>
      <c r="D819" s="6">
        <v>41146</v>
      </c>
      <c r="E819" s="121">
        <v>43015</v>
      </c>
      <c r="F819" s="6" t="s">
        <v>1606</v>
      </c>
      <c r="G819" s="7" t="s">
        <v>75</v>
      </c>
      <c r="H819" s="7" t="s">
        <v>75</v>
      </c>
      <c r="I819" s="7" t="s">
        <v>32</v>
      </c>
      <c r="J819" s="7"/>
      <c r="K819" s="29">
        <v>407050</v>
      </c>
      <c r="L819" s="10" t="s">
        <v>1712</v>
      </c>
      <c r="M819" s="10" t="s">
        <v>1728</v>
      </c>
      <c r="N819" s="10" t="s">
        <v>100</v>
      </c>
      <c r="O819" s="11" t="s">
        <v>1729</v>
      </c>
      <c r="P819" s="12">
        <v>41215</v>
      </c>
      <c r="Q819" s="13">
        <f t="shared" ca="1" si="418"/>
        <v>12.887063655030801</v>
      </c>
      <c r="R819" s="14">
        <v>5</v>
      </c>
      <c r="S819" s="15">
        <v>872</v>
      </c>
      <c r="T819" s="8">
        <v>872</v>
      </c>
      <c r="U819" s="16">
        <v>45017</v>
      </c>
      <c r="V819" s="17">
        <v>1</v>
      </c>
      <c r="W819" s="16">
        <v>45382</v>
      </c>
      <c r="X819" s="14">
        <v>192</v>
      </c>
      <c r="Y819" s="18">
        <f t="shared" si="436"/>
        <v>192</v>
      </c>
      <c r="Z819" s="18">
        <f t="shared" si="437"/>
        <v>1</v>
      </c>
      <c r="AA819" s="18" t="s">
        <v>36</v>
      </c>
      <c r="AB819" s="26" t="s">
        <v>1730</v>
      </c>
      <c r="AC819" s="26" t="s">
        <v>1730</v>
      </c>
      <c r="AD819" s="26" t="s">
        <v>1894</v>
      </c>
      <c r="AE819" s="147" t="str">
        <f t="shared" si="433"/>
        <v>0</v>
      </c>
      <c r="AF819" s="147" t="str">
        <f t="shared" si="428"/>
        <v>0</v>
      </c>
      <c r="AG819" s="147" t="str">
        <f t="shared" si="434"/>
        <v>1</v>
      </c>
      <c r="AH819" s="147" t="str">
        <f t="shared" si="423"/>
        <v>NO</v>
      </c>
      <c r="AI819" s="147" t="str">
        <f t="shared" si="424"/>
        <v>NO</v>
      </c>
      <c r="AJ819" s="147" t="str">
        <f t="shared" si="425"/>
        <v>YES</v>
      </c>
      <c r="AK819" s="147" t="str">
        <f t="shared" si="426"/>
        <v>NO</v>
      </c>
      <c r="AL819" s="21">
        <v>16576</v>
      </c>
      <c r="AM819" s="21">
        <f t="shared" si="438"/>
        <v>16576</v>
      </c>
      <c r="AN819" s="27" t="s">
        <v>56</v>
      </c>
      <c r="AO819" s="21">
        <v>1</v>
      </c>
      <c r="AP819" s="21">
        <f t="shared" si="435"/>
        <v>1</v>
      </c>
      <c r="AQ819" s="149">
        <f t="shared" si="412"/>
        <v>16576</v>
      </c>
      <c r="AR819" s="21">
        <v>16576</v>
      </c>
      <c r="AS819" s="610">
        <v>16576</v>
      </c>
      <c r="AT819" s="112">
        <v>16576</v>
      </c>
      <c r="AU819" s="4"/>
      <c r="AV819" s="4"/>
      <c r="AW819" s="23" t="e">
        <f>VLOOKUP(K819,#REF!,8,FALSE)</f>
        <v>#REF!</v>
      </c>
      <c r="AX819" s="23" t="e">
        <f>VLOOKUP(K819,#REF!,8,FALSE)</f>
        <v>#REF!</v>
      </c>
      <c r="AY819" s="23" t="e">
        <f>VLOOKUP(K819,#REF!,8,FALSE)</f>
        <v>#REF!</v>
      </c>
      <c r="AZ819" s="4"/>
      <c r="BA819" s="272"/>
      <c r="BB819" s="318">
        <f t="shared" si="430"/>
        <v>0</v>
      </c>
      <c r="BC819" s="269">
        <f t="shared" si="431"/>
        <v>16576</v>
      </c>
      <c r="BD819" t="str">
        <f t="shared" si="422"/>
        <v/>
      </c>
      <c r="BP819" s="166">
        <f t="shared" si="432"/>
        <v>16576</v>
      </c>
      <c r="BS819" s="165"/>
      <c r="BX819" s="495">
        <f t="shared" si="413"/>
        <v>16576</v>
      </c>
      <c r="BZ819" s="636">
        <f t="shared" si="414"/>
        <v>0</v>
      </c>
      <c r="CA819" s="633">
        <f t="shared" si="415"/>
        <v>0</v>
      </c>
    </row>
    <row r="820" spans="1:79" x14ac:dyDescent="0.2">
      <c r="A820" s="4">
        <v>1</v>
      </c>
      <c r="B820" s="4">
        <v>1</v>
      </c>
      <c r="C820" s="5">
        <f t="shared" si="427"/>
        <v>41146</v>
      </c>
      <c r="D820" s="6">
        <v>41146</v>
      </c>
      <c r="E820" s="121">
        <v>43015</v>
      </c>
      <c r="F820" s="6" t="s">
        <v>1606</v>
      </c>
      <c r="G820" s="7" t="s">
        <v>75</v>
      </c>
      <c r="H820" s="7" t="s">
        <v>75</v>
      </c>
      <c r="I820" s="7" t="s">
        <v>32</v>
      </c>
      <c r="J820" s="7"/>
      <c r="K820" s="29">
        <v>430097</v>
      </c>
      <c r="L820" s="10" t="s">
        <v>1712</v>
      </c>
      <c r="M820" s="10" t="s">
        <v>1731</v>
      </c>
      <c r="N820" s="10" t="s">
        <v>1732</v>
      </c>
      <c r="O820" s="11" t="s">
        <v>1733</v>
      </c>
      <c r="P820" s="12">
        <v>41671</v>
      </c>
      <c r="Q820" s="13">
        <f t="shared" ca="1" si="418"/>
        <v>11.638603696098563</v>
      </c>
      <c r="R820" s="14">
        <v>4</v>
      </c>
      <c r="S820" s="15">
        <v>872</v>
      </c>
      <c r="T820" s="8">
        <v>872</v>
      </c>
      <c r="U820" s="16">
        <v>45017</v>
      </c>
      <c r="V820" s="17">
        <v>1</v>
      </c>
      <c r="W820" s="16">
        <v>45382</v>
      </c>
      <c r="X820" s="14">
        <v>192</v>
      </c>
      <c r="Y820" s="18">
        <f t="shared" si="436"/>
        <v>192</v>
      </c>
      <c r="Z820" s="18">
        <f t="shared" si="437"/>
        <v>1</v>
      </c>
      <c r="AA820" s="18" t="s">
        <v>36</v>
      </c>
      <c r="AB820" s="26" t="s">
        <v>1715</v>
      </c>
      <c r="AC820" s="26" t="s">
        <v>1715</v>
      </c>
      <c r="AD820" s="26" t="s">
        <v>1895</v>
      </c>
      <c r="AE820" s="147" t="str">
        <f t="shared" si="433"/>
        <v>0</v>
      </c>
      <c r="AF820" s="147" t="str">
        <f t="shared" si="428"/>
        <v>0</v>
      </c>
      <c r="AG820" s="147" t="str">
        <f t="shared" si="434"/>
        <v>1</v>
      </c>
      <c r="AH820" s="147" t="str">
        <f t="shared" si="423"/>
        <v>NO</v>
      </c>
      <c r="AI820" s="147" t="str">
        <f t="shared" si="424"/>
        <v>NO</v>
      </c>
      <c r="AJ820" s="147" t="str">
        <f t="shared" si="425"/>
        <v>NO</v>
      </c>
      <c r="AK820" s="147" t="str">
        <f t="shared" si="426"/>
        <v>YES</v>
      </c>
      <c r="AL820" s="21">
        <v>22008</v>
      </c>
      <c r="AM820" s="21">
        <f t="shared" si="438"/>
        <v>22008</v>
      </c>
      <c r="AN820" s="27" t="s">
        <v>56</v>
      </c>
      <c r="AO820" s="21">
        <v>1</v>
      </c>
      <c r="AP820" s="21">
        <f t="shared" si="435"/>
        <v>1</v>
      </c>
      <c r="AQ820" s="149">
        <f t="shared" si="412"/>
        <v>22008</v>
      </c>
      <c r="AR820" s="21">
        <v>22008</v>
      </c>
      <c r="AS820" s="610">
        <v>22008</v>
      </c>
      <c r="AT820" s="112">
        <v>22008</v>
      </c>
      <c r="AU820" s="4"/>
      <c r="AV820" s="4"/>
      <c r="AW820" s="23" t="e">
        <f>VLOOKUP(K820,#REF!,8,FALSE)</f>
        <v>#REF!</v>
      </c>
      <c r="AX820" s="23" t="e">
        <f>VLOOKUP(K820,#REF!,8,FALSE)</f>
        <v>#REF!</v>
      </c>
      <c r="AY820" s="23" t="e">
        <f>VLOOKUP(K820,#REF!,8,FALSE)</f>
        <v>#REF!</v>
      </c>
      <c r="AZ820" s="4"/>
      <c r="BA820" s="272"/>
      <c r="BB820" s="318">
        <f t="shared" si="430"/>
        <v>0</v>
      </c>
      <c r="BC820" s="269">
        <f t="shared" si="431"/>
        <v>22008</v>
      </c>
      <c r="BD820" t="str">
        <f t="shared" si="422"/>
        <v/>
      </c>
      <c r="BP820" s="166">
        <f t="shared" si="432"/>
        <v>22008</v>
      </c>
      <c r="BS820" s="165"/>
      <c r="BX820" s="495">
        <f t="shared" si="413"/>
        <v>22008</v>
      </c>
      <c r="BZ820" s="636">
        <f t="shared" si="414"/>
        <v>0</v>
      </c>
      <c r="CA820" s="633">
        <f t="shared" si="415"/>
        <v>0</v>
      </c>
    </row>
    <row r="821" spans="1:79" x14ac:dyDescent="0.2">
      <c r="A821" s="4">
        <v>1</v>
      </c>
      <c r="B821" s="4">
        <v>1</v>
      </c>
      <c r="C821" s="5">
        <f t="shared" ref="C821:C852" si="439">D821*1</f>
        <v>41146</v>
      </c>
      <c r="D821" s="6">
        <v>41146</v>
      </c>
      <c r="E821" s="121">
        <v>43015</v>
      </c>
      <c r="F821" s="6" t="s">
        <v>1606</v>
      </c>
      <c r="G821" s="7" t="s">
        <v>75</v>
      </c>
      <c r="H821" s="7" t="s">
        <v>75</v>
      </c>
      <c r="I821" s="7" t="s">
        <v>32</v>
      </c>
      <c r="J821" s="7"/>
      <c r="K821" s="29">
        <v>406314</v>
      </c>
      <c r="L821" s="10" t="s">
        <v>1712</v>
      </c>
      <c r="M821" s="10" t="s">
        <v>1734</v>
      </c>
      <c r="N821" s="10" t="s">
        <v>1735</v>
      </c>
      <c r="O821" s="11" t="s">
        <v>1736</v>
      </c>
      <c r="P821" s="12">
        <v>41176</v>
      </c>
      <c r="Q821" s="13">
        <f t="shared" ca="1" si="418"/>
        <v>12.993839835728952</v>
      </c>
      <c r="R821" s="14">
        <v>5</v>
      </c>
      <c r="S821" s="15">
        <v>872</v>
      </c>
      <c r="T821" s="8">
        <v>872</v>
      </c>
      <c r="U821" s="16">
        <v>45017</v>
      </c>
      <c r="V821" s="17">
        <v>1</v>
      </c>
      <c r="W821" s="16">
        <v>45382</v>
      </c>
      <c r="X821" s="14">
        <v>192</v>
      </c>
      <c r="Y821" s="18">
        <f t="shared" si="436"/>
        <v>192</v>
      </c>
      <c r="Z821" s="18">
        <f t="shared" si="437"/>
        <v>1</v>
      </c>
      <c r="AA821" s="18" t="s">
        <v>36</v>
      </c>
      <c r="AB821" s="26" t="s">
        <v>1737</v>
      </c>
      <c r="AC821" s="26" t="s">
        <v>1737</v>
      </c>
      <c r="AD821" s="26" t="s">
        <v>1895</v>
      </c>
      <c r="AE821" s="147" t="str">
        <f t="shared" si="433"/>
        <v>0</v>
      </c>
      <c r="AF821" s="147" t="str">
        <f t="shared" si="428"/>
        <v>0</v>
      </c>
      <c r="AG821" s="147" t="str">
        <f t="shared" si="434"/>
        <v>1</v>
      </c>
      <c r="AH821" s="147" t="str">
        <f t="shared" si="423"/>
        <v>NO</v>
      </c>
      <c r="AI821" s="147" t="str">
        <f t="shared" si="424"/>
        <v>NO</v>
      </c>
      <c r="AJ821" s="147" t="str">
        <f t="shared" si="425"/>
        <v>NO</v>
      </c>
      <c r="AK821" s="147" t="str">
        <f t="shared" si="426"/>
        <v>YES</v>
      </c>
      <c r="AL821" s="21">
        <v>16576</v>
      </c>
      <c r="AM821" s="21">
        <f t="shared" si="438"/>
        <v>16576</v>
      </c>
      <c r="AN821" s="27" t="s">
        <v>56</v>
      </c>
      <c r="AO821" s="21">
        <v>1</v>
      </c>
      <c r="AP821" s="21">
        <f t="shared" si="435"/>
        <v>1</v>
      </c>
      <c r="AQ821" s="149">
        <f t="shared" si="412"/>
        <v>16576</v>
      </c>
      <c r="AR821" s="21">
        <v>16576</v>
      </c>
      <c r="AS821" s="610">
        <v>16576</v>
      </c>
      <c r="AT821" s="112">
        <v>16576</v>
      </c>
      <c r="AU821" s="4"/>
      <c r="AV821" s="4"/>
      <c r="AW821" s="23" t="e">
        <f>VLOOKUP(K821,#REF!,8,FALSE)</f>
        <v>#REF!</v>
      </c>
      <c r="AX821" s="23" t="e">
        <f>VLOOKUP(K821,#REF!,8,FALSE)</f>
        <v>#REF!</v>
      </c>
      <c r="AY821" s="23" t="e">
        <f>VLOOKUP(K821,#REF!,8,FALSE)</f>
        <v>#REF!</v>
      </c>
      <c r="AZ821" s="4"/>
      <c r="BA821" s="272"/>
      <c r="BB821" s="318">
        <f t="shared" si="430"/>
        <v>0</v>
      </c>
      <c r="BC821" s="269">
        <f t="shared" si="431"/>
        <v>16576</v>
      </c>
      <c r="BD821" t="str">
        <f t="shared" si="422"/>
        <v/>
      </c>
      <c r="BP821" s="166">
        <f t="shared" si="432"/>
        <v>16576</v>
      </c>
      <c r="BS821" s="165"/>
      <c r="BX821" s="495">
        <f t="shared" si="413"/>
        <v>16576</v>
      </c>
      <c r="BZ821" s="636">
        <f t="shared" si="414"/>
        <v>0</v>
      </c>
      <c r="CA821" s="633">
        <f t="shared" si="415"/>
        <v>0</v>
      </c>
    </row>
    <row r="822" spans="1:79" x14ac:dyDescent="0.2">
      <c r="A822" s="4">
        <v>1</v>
      </c>
      <c r="B822" s="4">
        <v>1</v>
      </c>
      <c r="C822" s="5">
        <f t="shared" si="439"/>
        <v>41146</v>
      </c>
      <c r="D822" s="6">
        <v>41146</v>
      </c>
      <c r="E822" s="121">
        <v>43015</v>
      </c>
      <c r="F822" s="6" t="s">
        <v>1606</v>
      </c>
      <c r="G822" s="7" t="s">
        <v>75</v>
      </c>
      <c r="H822" s="7" t="s">
        <v>75</v>
      </c>
      <c r="I822" s="7" t="s">
        <v>32</v>
      </c>
      <c r="J822" s="7"/>
      <c r="K822" s="29">
        <v>429538</v>
      </c>
      <c r="L822" s="10" t="s">
        <v>1712</v>
      </c>
      <c r="M822" s="10" t="s">
        <v>1738</v>
      </c>
      <c r="N822" s="10" t="s">
        <v>1739</v>
      </c>
      <c r="O822" s="11" t="s">
        <v>1740</v>
      </c>
      <c r="P822" s="12">
        <v>41557</v>
      </c>
      <c r="Q822" s="13">
        <f t="shared" ca="1" si="418"/>
        <v>11.950718685831623</v>
      </c>
      <c r="R822" s="14">
        <v>4</v>
      </c>
      <c r="S822" s="15">
        <v>872</v>
      </c>
      <c r="T822" s="8">
        <v>872</v>
      </c>
      <c r="U822" s="16">
        <v>45017</v>
      </c>
      <c r="V822" s="17">
        <v>1</v>
      </c>
      <c r="W822" s="16">
        <v>45382</v>
      </c>
      <c r="X822" s="14">
        <v>192</v>
      </c>
      <c r="Y822" s="18">
        <f t="shared" si="436"/>
        <v>192</v>
      </c>
      <c r="Z822" s="18">
        <f t="shared" si="437"/>
        <v>1</v>
      </c>
      <c r="AA822" s="18" t="s">
        <v>36</v>
      </c>
      <c r="AB822" s="26" t="s">
        <v>1715</v>
      </c>
      <c r="AC822" s="26" t="s">
        <v>1715</v>
      </c>
      <c r="AD822" s="26" t="s">
        <v>1895</v>
      </c>
      <c r="AE822" s="147" t="str">
        <f t="shared" si="433"/>
        <v>0</v>
      </c>
      <c r="AF822" s="147" t="str">
        <f t="shared" si="428"/>
        <v>0</v>
      </c>
      <c r="AG822" s="147" t="str">
        <f t="shared" si="434"/>
        <v>1</v>
      </c>
      <c r="AH822" s="147" t="str">
        <f t="shared" si="423"/>
        <v>NO</v>
      </c>
      <c r="AI822" s="147" t="str">
        <f t="shared" si="424"/>
        <v>NO</v>
      </c>
      <c r="AJ822" s="147" t="str">
        <f t="shared" si="425"/>
        <v>NO</v>
      </c>
      <c r="AK822" s="147" t="str">
        <f t="shared" si="426"/>
        <v>YES</v>
      </c>
      <c r="AL822" s="21">
        <v>22008</v>
      </c>
      <c r="AM822" s="21">
        <f t="shared" si="438"/>
        <v>22008</v>
      </c>
      <c r="AN822" s="27" t="s">
        <v>56</v>
      </c>
      <c r="AO822" s="21">
        <v>1</v>
      </c>
      <c r="AP822" s="21">
        <f t="shared" si="435"/>
        <v>1</v>
      </c>
      <c r="AQ822" s="149">
        <f t="shared" si="412"/>
        <v>22008</v>
      </c>
      <c r="AR822" s="21">
        <v>22008</v>
      </c>
      <c r="AS822" s="610">
        <v>22008</v>
      </c>
      <c r="AT822" s="112">
        <v>22008</v>
      </c>
      <c r="AU822" s="4"/>
      <c r="AV822" s="4"/>
      <c r="AW822" s="23" t="e">
        <f>VLOOKUP(K822,#REF!,8,FALSE)</f>
        <v>#REF!</v>
      </c>
      <c r="AX822" s="23" t="e">
        <f>VLOOKUP(K822,#REF!,8,FALSE)</f>
        <v>#REF!</v>
      </c>
      <c r="AY822" s="23" t="e">
        <f>VLOOKUP(K822,#REF!,8,FALSE)</f>
        <v>#REF!</v>
      </c>
      <c r="AZ822" s="4"/>
      <c r="BA822" s="272"/>
      <c r="BB822" s="318">
        <f t="shared" si="430"/>
        <v>0</v>
      </c>
      <c r="BC822" s="269">
        <f t="shared" si="431"/>
        <v>22008</v>
      </c>
      <c r="BD822" t="str">
        <f t="shared" si="422"/>
        <v/>
      </c>
      <c r="BP822" s="166">
        <f t="shared" si="432"/>
        <v>22008</v>
      </c>
      <c r="BS822" s="165"/>
      <c r="BX822" s="495">
        <f t="shared" si="413"/>
        <v>22008</v>
      </c>
      <c r="BZ822" s="636">
        <f t="shared" si="414"/>
        <v>0</v>
      </c>
      <c r="CA822" s="633">
        <f t="shared" si="415"/>
        <v>0</v>
      </c>
    </row>
    <row r="823" spans="1:79" x14ac:dyDescent="0.2">
      <c r="A823" s="4">
        <v>1</v>
      </c>
      <c r="B823" s="4">
        <v>1</v>
      </c>
      <c r="C823" s="5">
        <f t="shared" si="439"/>
        <v>41146</v>
      </c>
      <c r="D823" s="6">
        <v>41146</v>
      </c>
      <c r="E823" s="121">
        <v>43012</v>
      </c>
      <c r="F823" s="6" t="s">
        <v>1606</v>
      </c>
      <c r="G823" s="7" t="s">
        <v>75</v>
      </c>
      <c r="H823" s="7"/>
      <c r="I823" s="7" t="s">
        <v>32</v>
      </c>
      <c r="J823" s="7"/>
      <c r="K823" s="29">
        <v>401928</v>
      </c>
      <c r="L823" s="10" t="s">
        <v>1712</v>
      </c>
      <c r="M823" s="10" t="s">
        <v>115</v>
      </c>
      <c r="N823" s="10" t="s">
        <v>1741</v>
      </c>
      <c r="O823" s="11" t="str">
        <f>M823&amp;N823</f>
        <v>AlfieElkes</v>
      </c>
      <c r="P823" s="12">
        <v>41064</v>
      </c>
      <c r="Q823" s="13">
        <f t="shared" ca="1" si="418"/>
        <v>13.300479123887747</v>
      </c>
      <c r="R823" s="14">
        <v>6</v>
      </c>
      <c r="S823" s="15">
        <v>872</v>
      </c>
      <c r="T823" s="8">
        <v>872</v>
      </c>
      <c r="U823" s="16">
        <v>45017</v>
      </c>
      <c r="V823" s="17">
        <v>1</v>
      </c>
      <c r="W823" s="16">
        <v>45128</v>
      </c>
      <c r="X823" s="14">
        <v>63</v>
      </c>
      <c r="Y823" s="18">
        <f t="shared" si="436"/>
        <v>63</v>
      </c>
      <c r="Z823" s="18">
        <f t="shared" si="437"/>
        <v>0.328125</v>
      </c>
      <c r="AA823" s="18" t="s">
        <v>48</v>
      </c>
      <c r="AB823" s="26">
        <v>25</v>
      </c>
      <c r="AC823" s="26"/>
      <c r="AD823" s="26"/>
      <c r="AE823" s="147" t="str">
        <f t="shared" si="433"/>
        <v>1</v>
      </c>
      <c r="AF823" s="147" t="str">
        <f t="shared" si="428"/>
        <v>0</v>
      </c>
      <c r="AG823" s="147" t="str">
        <f t="shared" si="434"/>
        <v>0</v>
      </c>
      <c r="AH823" s="147" t="str">
        <f t="shared" si="423"/>
        <v>NO</v>
      </c>
      <c r="AI823" s="147" t="str">
        <f t="shared" si="424"/>
        <v>NO</v>
      </c>
      <c r="AJ823" s="147" t="str">
        <f t="shared" si="425"/>
        <v>NO</v>
      </c>
      <c r="AK823" s="147" t="str">
        <f t="shared" si="426"/>
        <v>NO</v>
      </c>
      <c r="AL823" s="21"/>
      <c r="AM823" s="21">
        <f t="shared" si="438"/>
        <v>5819.25</v>
      </c>
      <c r="AN823" s="27" t="s">
        <v>56</v>
      </c>
      <c r="AO823" s="21">
        <v>1</v>
      </c>
      <c r="AP823" s="21">
        <f t="shared" si="435"/>
        <v>0.328125</v>
      </c>
      <c r="AQ823" s="149">
        <f t="shared" si="412"/>
        <v>1909.44140625</v>
      </c>
      <c r="AR823" s="21">
        <v>1909.44140625</v>
      </c>
      <c r="AS823" s="610">
        <v>1909.44140625</v>
      </c>
      <c r="AT823" s="112">
        <v>1909.44140625</v>
      </c>
      <c r="AU823" s="4"/>
      <c r="AV823" s="4"/>
      <c r="AW823" s="23" t="e">
        <f>VLOOKUP(K823,#REF!,8,FALSE)</f>
        <v>#REF!</v>
      </c>
      <c r="AX823" s="264" t="s">
        <v>2208</v>
      </c>
      <c r="AY823" s="23" t="e">
        <f>VLOOKUP(K823,#REF!,8,FALSE)</f>
        <v>#REF!</v>
      </c>
      <c r="AZ823" s="23" t="s">
        <v>75</v>
      </c>
      <c r="BA823" s="273">
        <f>AM823/3*2</f>
        <v>3879.5</v>
      </c>
      <c r="BB823" s="318">
        <f t="shared" si="430"/>
        <v>0</v>
      </c>
      <c r="BC823" s="269">
        <f t="shared" si="431"/>
        <v>1909.44140625</v>
      </c>
      <c r="BD823" t="s">
        <v>2209</v>
      </c>
      <c r="BE823" t="s">
        <v>2396</v>
      </c>
      <c r="BH823" t="e">
        <f>VLOOKUP(K823,#REF!,8,FALSE)</f>
        <v>#REF!</v>
      </c>
      <c r="BJ823">
        <f>AB823</f>
        <v>25</v>
      </c>
      <c r="BK823" s="269">
        <f>AM823</f>
        <v>5819.25</v>
      </c>
      <c r="BL823" s="353"/>
      <c r="BM823" s="353" t="s">
        <v>75</v>
      </c>
      <c r="BN823" s="353"/>
      <c r="BO823" s="106">
        <f>BK823/192*127</f>
        <v>3849.19140625</v>
      </c>
      <c r="BP823" s="166">
        <f t="shared" si="432"/>
        <v>5758.6328125</v>
      </c>
      <c r="BQ823" s="106">
        <v>3849.19140625</v>
      </c>
      <c r="BR823" t="s">
        <v>2446</v>
      </c>
      <c r="BS823" s="165"/>
      <c r="BX823" s="495">
        <f t="shared" si="413"/>
        <v>5758.6328125</v>
      </c>
      <c r="BZ823" s="636">
        <f t="shared" si="414"/>
        <v>0</v>
      </c>
      <c r="CA823" s="633">
        <f t="shared" si="415"/>
        <v>3849.19140625</v>
      </c>
    </row>
    <row r="824" spans="1:79" x14ac:dyDescent="0.2">
      <c r="A824" s="4">
        <v>1</v>
      </c>
      <c r="B824" s="4">
        <v>1</v>
      </c>
      <c r="C824" s="5">
        <f t="shared" si="439"/>
        <v>41146</v>
      </c>
      <c r="D824" s="6">
        <v>41146</v>
      </c>
      <c r="E824" s="121">
        <v>43012</v>
      </c>
      <c r="F824" s="6" t="s">
        <v>1606</v>
      </c>
      <c r="G824" s="7" t="s">
        <v>75</v>
      </c>
      <c r="H824" s="7"/>
      <c r="I824" s="7" t="s">
        <v>32</v>
      </c>
      <c r="J824" s="7"/>
      <c r="K824" s="29">
        <v>405847</v>
      </c>
      <c r="L824" s="10" t="s">
        <v>1712</v>
      </c>
      <c r="M824" s="10" t="s">
        <v>1742</v>
      </c>
      <c r="N824" s="10" t="s">
        <v>1743</v>
      </c>
      <c r="O824" s="11" t="s">
        <v>1744</v>
      </c>
      <c r="P824" s="12">
        <v>41552</v>
      </c>
      <c r="Q824" s="13">
        <f t="shared" ca="1" si="418"/>
        <v>11.964407939767282</v>
      </c>
      <c r="R824" s="14">
        <v>3</v>
      </c>
      <c r="S824" s="15">
        <v>872</v>
      </c>
      <c r="T824" s="8">
        <v>872</v>
      </c>
      <c r="U824" s="39">
        <v>45017</v>
      </c>
      <c r="V824" s="17">
        <v>1</v>
      </c>
      <c r="W824" s="16">
        <v>45382</v>
      </c>
      <c r="X824" s="14">
        <v>192</v>
      </c>
      <c r="Y824" s="18">
        <f t="shared" si="436"/>
        <v>192</v>
      </c>
      <c r="Z824" s="18">
        <f t="shared" si="437"/>
        <v>1</v>
      </c>
      <c r="AA824" s="18" t="s">
        <v>36</v>
      </c>
      <c r="AB824" s="26">
        <v>30</v>
      </c>
      <c r="AC824" s="26"/>
      <c r="AD824" s="26"/>
      <c r="AE824" s="147" t="str">
        <f t="shared" si="433"/>
        <v>0</v>
      </c>
      <c r="AF824" s="147" t="str">
        <f t="shared" si="428"/>
        <v>1</v>
      </c>
      <c r="AG824" s="147" t="str">
        <f t="shared" si="434"/>
        <v>0</v>
      </c>
      <c r="AH824" s="147" t="str">
        <f t="shared" si="423"/>
        <v>NO</v>
      </c>
      <c r="AI824" s="147" t="str">
        <f t="shared" si="424"/>
        <v>NO</v>
      </c>
      <c r="AJ824" s="147" t="str">
        <f t="shared" si="425"/>
        <v>NO</v>
      </c>
      <c r="AK824" s="147" t="str">
        <f t="shared" si="426"/>
        <v>NO</v>
      </c>
      <c r="AL824" s="21"/>
      <c r="AM824" s="21">
        <f t="shared" si="438"/>
        <v>8183.0999999999985</v>
      </c>
      <c r="AN824" s="27"/>
      <c r="AO824" s="21">
        <v>1</v>
      </c>
      <c r="AP824" s="21">
        <f t="shared" si="435"/>
        <v>1</v>
      </c>
      <c r="AQ824" s="149">
        <f t="shared" si="412"/>
        <v>8183.0999999999985</v>
      </c>
      <c r="AR824" s="21">
        <v>8183.0999999999985</v>
      </c>
      <c r="AS824" s="610">
        <v>0</v>
      </c>
      <c r="AT824" s="112">
        <v>8183.0999999999985</v>
      </c>
      <c r="AU824" s="4"/>
      <c r="AV824" s="4"/>
      <c r="AW824" s="23" t="e">
        <f>VLOOKUP(K824,#REF!,8,FALSE)</f>
        <v>#REF!</v>
      </c>
      <c r="AX824" s="23" t="e">
        <f>VLOOKUP(K824,#REF!,8,FALSE)</f>
        <v>#REF!</v>
      </c>
      <c r="AY824" s="23" t="e">
        <f>VLOOKUP(K824,#REF!,8,FALSE)</f>
        <v>#REF!</v>
      </c>
      <c r="AZ824" s="4"/>
      <c r="BA824" s="272"/>
      <c r="BB824" s="318">
        <f t="shared" si="430"/>
        <v>0</v>
      </c>
      <c r="BC824" s="269">
        <f t="shared" si="431"/>
        <v>8183.0999999999985</v>
      </c>
      <c r="BD824" t="str">
        <f>BG824&amp;BH824&amp;BI824</f>
        <v/>
      </c>
      <c r="BP824" s="166">
        <f t="shared" si="432"/>
        <v>8183.0999999999985</v>
      </c>
      <c r="BS824" s="165"/>
      <c r="BX824" s="495">
        <f t="shared" si="413"/>
        <v>8183.0999999999985</v>
      </c>
      <c r="BZ824" s="636">
        <f t="shared" si="414"/>
        <v>0</v>
      </c>
      <c r="CA824" s="633">
        <f t="shared" si="415"/>
        <v>8183.0999999999985</v>
      </c>
    </row>
    <row r="825" spans="1:79" x14ac:dyDescent="0.2">
      <c r="A825" s="4">
        <v>0</v>
      </c>
      <c r="B825" s="4">
        <v>1</v>
      </c>
      <c r="C825" s="5">
        <f t="shared" si="439"/>
        <v>41146</v>
      </c>
      <c r="D825" s="6">
        <v>41146</v>
      </c>
      <c r="E825" s="121">
        <v>43012</v>
      </c>
      <c r="F825" s="6" t="s">
        <v>1606</v>
      </c>
      <c r="G825" s="7" t="s">
        <v>75</v>
      </c>
      <c r="H825" s="7"/>
      <c r="I825" s="7" t="s">
        <v>32</v>
      </c>
      <c r="J825" s="7" t="s">
        <v>142</v>
      </c>
      <c r="K825" s="29">
        <v>405847</v>
      </c>
      <c r="L825" s="10" t="s">
        <v>1712</v>
      </c>
      <c r="M825" s="325" t="s">
        <v>1742</v>
      </c>
      <c r="N825" s="128" t="s">
        <v>1743</v>
      </c>
      <c r="O825" s="326" t="str">
        <f>M825&amp;N825</f>
        <v>FrancescaMatthews</v>
      </c>
      <c r="P825" s="327">
        <v>41552</v>
      </c>
      <c r="Q825" s="13">
        <f t="shared" ca="1" si="418"/>
        <v>11.964407939767282</v>
      </c>
      <c r="R825" s="14">
        <v>3</v>
      </c>
      <c r="S825" s="15">
        <v>872</v>
      </c>
      <c r="T825" s="8">
        <v>872</v>
      </c>
      <c r="U825" s="39">
        <v>45017</v>
      </c>
      <c r="V825" s="17">
        <v>1</v>
      </c>
      <c r="W825" s="16">
        <v>45382</v>
      </c>
      <c r="X825" s="14">
        <v>192</v>
      </c>
      <c r="Y825" s="18">
        <f t="shared" si="436"/>
        <v>192</v>
      </c>
      <c r="Z825" s="18">
        <f t="shared" si="437"/>
        <v>1</v>
      </c>
      <c r="AA825" s="18" t="s">
        <v>36</v>
      </c>
      <c r="AB825" s="26" t="s">
        <v>91</v>
      </c>
      <c r="AC825" s="26"/>
      <c r="AD825" s="26"/>
      <c r="AE825" s="147" t="str">
        <f t="shared" si="433"/>
        <v>0</v>
      </c>
      <c r="AF825" s="147" t="str">
        <f t="shared" si="428"/>
        <v>0</v>
      </c>
      <c r="AG825" s="147" t="str">
        <f t="shared" si="434"/>
        <v>1</v>
      </c>
      <c r="AH825" s="147" t="str">
        <f t="shared" si="423"/>
        <v>NO</v>
      </c>
      <c r="AI825" s="147" t="str">
        <f t="shared" si="424"/>
        <v>NO</v>
      </c>
      <c r="AJ825" s="147" t="str">
        <f t="shared" si="425"/>
        <v>NO</v>
      </c>
      <c r="AK825" s="147" t="str">
        <f t="shared" si="426"/>
        <v>NO</v>
      </c>
      <c r="AL825" s="21"/>
      <c r="AM825" s="21">
        <v>11367.29</v>
      </c>
      <c r="AN825" s="27"/>
      <c r="AO825" s="21">
        <v>1</v>
      </c>
      <c r="AP825" s="21">
        <f t="shared" si="435"/>
        <v>1</v>
      </c>
      <c r="AQ825" s="149">
        <f t="shared" si="412"/>
        <v>11367.29</v>
      </c>
      <c r="AR825" s="21">
        <v>11367.29</v>
      </c>
      <c r="AS825" s="610">
        <v>0</v>
      </c>
      <c r="AT825" s="112">
        <v>11367.29</v>
      </c>
      <c r="AU825" s="4"/>
      <c r="AV825" s="4"/>
      <c r="AW825" s="23" t="e">
        <f>VLOOKUP(K825,#REF!,8,FALSE)</f>
        <v>#REF!</v>
      </c>
      <c r="AX825" s="23" t="e">
        <f>VLOOKUP(K825,#REF!,8,FALSE)</f>
        <v>#REF!</v>
      </c>
      <c r="AY825" s="23" t="e">
        <f>VLOOKUP(K825,#REF!,8,FALSE)</f>
        <v>#REF!</v>
      </c>
      <c r="AZ825" s="4"/>
      <c r="BA825" s="272"/>
      <c r="BB825" s="318">
        <f t="shared" si="430"/>
        <v>0</v>
      </c>
      <c r="BC825" s="269">
        <f t="shared" si="431"/>
        <v>11367.29</v>
      </c>
      <c r="BD825" t="str">
        <f>BG825&amp;BH825&amp;BI825</f>
        <v/>
      </c>
      <c r="BP825" s="166">
        <f t="shared" si="432"/>
        <v>11367.29</v>
      </c>
      <c r="BS825" s="165"/>
      <c r="BX825" s="495">
        <f t="shared" si="413"/>
        <v>11367.29</v>
      </c>
      <c r="BZ825" s="636">
        <f t="shared" si="414"/>
        <v>0</v>
      </c>
      <c r="CA825" s="633">
        <f t="shared" si="415"/>
        <v>11367.29</v>
      </c>
    </row>
    <row r="826" spans="1:79" x14ac:dyDescent="0.2">
      <c r="A826" s="4">
        <v>1</v>
      </c>
      <c r="B826" s="4">
        <v>1</v>
      </c>
      <c r="C826" s="5">
        <f t="shared" si="439"/>
        <v>41146</v>
      </c>
      <c r="D826" s="6">
        <v>41146</v>
      </c>
      <c r="E826" s="121">
        <v>43012</v>
      </c>
      <c r="F826" s="6" t="s">
        <v>1606</v>
      </c>
      <c r="G826" s="7" t="s">
        <v>75</v>
      </c>
      <c r="H826" s="7"/>
      <c r="I826" s="7" t="s">
        <v>32</v>
      </c>
      <c r="J826" s="7"/>
      <c r="K826" s="29">
        <v>410098</v>
      </c>
      <c r="L826" s="10" t="s">
        <v>1712</v>
      </c>
      <c r="M826" s="10" t="s">
        <v>1229</v>
      </c>
      <c r="N826" s="10" t="s">
        <v>1724</v>
      </c>
      <c r="O826" s="11" t="s">
        <v>1745</v>
      </c>
      <c r="P826" s="12">
        <v>41821</v>
      </c>
      <c r="Q826" s="13">
        <f t="shared" ca="1" si="418"/>
        <v>11.227926078028748</v>
      </c>
      <c r="R826" s="14">
        <v>4</v>
      </c>
      <c r="S826" s="15">
        <v>872</v>
      </c>
      <c r="T826" s="8">
        <v>872</v>
      </c>
      <c r="U826" s="16">
        <v>45017</v>
      </c>
      <c r="V826" s="17">
        <v>1</v>
      </c>
      <c r="W826" s="16">
        <v>45382</v>
      </c>
      <c r="X826" s="14">
        <v>192</v>
      </c>
      <c r="Y826" s="18">
        <f t="shared" si="436"/>
        <v>192</v>
      </c>
      <c r="Z826" s="18">
        <f t="shared" si="437"/>
        <v>1</v>
      </c>
      <c r="AA826" s="18" t="s">
        <v>36</v>
      </c>
      <c r="AB826" s="26">
        <v>25</v>
      </c>
      <c r="AC826" s="26"/>
      <c r="AD826" s="26"/>
      <c r="AE826" s="147" t="str">
        <f t="shared" si="433"/>
        <v>1</v>
      </c>
      <c r="AF826" s="147" t="str">
        <f t="shared" si="428"/>
        <v>0</v>
      </c>
      <c r="AG826" s="147" t="str">
        <f t="shared" si="434"/>
        <v>0</v>
      </c>
      <c r="AH826" s="147" t="str">
        <f t="shared" si="423"/>
        <v>NO</v>
      </c>
      <c r="AI826" s="147" t="str">
        <f t="shared" si="424"/>
        <v>NO</v>
      </c>
      <c r="AJ826" s="147" t="str">
        <f t="shared" si="425"/>
        <v>NO</v>
      </c>
      <c r="AK826" s="147" t="str">
        <f t="shared" si="426"/>
        <v>NO</v>
      </c>
      <c r="AL826" s="21"/>
      <c r="AM826" s="21">
        <f t="shared" ref="AM826:AM844" si="440">IF(H826="Y",AL826,((AB826*$O$902)-6000))</f>
        <v>5819.25</v>
      </c>
      <c r="AN826" s="27"/>
      <c r="AO826" s="21">
        <v>1</v>
      </c>
      <c r="AP826" s="21">
        <f t="shared" si="435"/>
        <v>1</v>
      </c>
      <c r="AQ826" s="149">
        <f t="shared" si="412"/>
        <v>5819.25</v>
      </c>
      <c r="AR826" s="21">
        <v>5819.25</v>
      </c>
      <c r="AS826" s="610">
        <v>5819.25</v>
      </c>
      <c r="AT826" s="112">
        <v>5819.25</v>
      </c>
      <c r="AU826" s="4"/>
      <c r="AV826" s="4"/>
      <c r="AW826" s="23" t="e">
        <f>VLOOKUP(K826,#REF!,8,FALSE)</f>
        <v>#REF!</v>
      </c>
      <c r="AX826" s="23" t="e">
        <f>VLOOKUP(K826,#REF!,8,FALSE)</f>
        <v>#REF!</v>
      </c>
      <c r="AY826" s="23" t="e">
        <f>VLOOKUP(K826,#REF!,8,FALSE)</f>
        <v>#REF!</v>
      </c>
      <c r="AZ826" s="4"/>
      <c r="BA826" s="272"/>
      <c r="BB826" s="318">
        <f t="shared" si="430"/>
        <v>0</v>
      </c>
      <c r="BC826" s="269">
        <f t="shared" si="431"/>
        <v>5819.25</v>
      </c>
      <c r="BD826" t="str">
        <f>BG826&amp;BH826&amp;BI826</f>
        <v/>
      </c>
      <c r="BP826" s="166">
        <f t="shared" si="432"/>
        <v>5819.25</v>
      </c>
      <c r="BS826" s="165"/>
      <c r="BX826" s="495">
        <f t="shared" si="413"/>
        <v>5819.25</v>
      </c>
      <c r="BZ826" s="636">
        <f t="shared" si="414"/>
        <v>0</v>
      </c>
      <c r="CA826" s="633">
        <f t="shared" si="415"/>
        <v>0</v>
      </c>
    </row>
    <row r="827" spans="1:79" x14ac:dyDescent="0.2">
      <c r="A827" s="4">
        <v>1</v>
      </c>
      <c r="B827" s="4">
        <v>1</v>
      </c>
      <c r="C827" s="5">
        <f t="shared" si="439"/>
        <v>41146</v>
      </c>
      <c r="D827" s="6">
        <v>41146</v>
      </c>
      <c r="E827" s="121">
        <v>43012</v>
      </c>
      <c r="F827" s="6" t="s">
        <v>1606</v>
      </c>
      <c r="G827" s="7" t="s">
        <v>75</v>
      </c>
      <c r="H827" s="7"/>
      <c r="I827" s="7" t="s">
        <v>32</v>
      </c>
      <c r="J827" s="7"/>
      <c r="K827" s="29">
        <v>410095</v>
      </c>
      <c r="L827" s="10" t="s">
        <v>1712</v>
      </c>
      <c r="M827" s="10" t="s">
        <v>681</v>
      </c>
      <c r="N827" s="10" t="s">
        <v>252</v>
      </c>
      <c r="O827" s="11" t="s">
        <v>2479</v>
      </c>
      <c r="P827" s="12">
        <v>41851</v>
      </c>
      <c r="Q827" s="13">
        <f t="shared" ca="1" si="418"/>
        <v>11.145790554414784</v>
      </c>
      <c r="R827" s="14">
        <v>4</v>
      </c>
      <c r="S827" s="15">
        <v>872</v>
      </c>
      <c r="T827" s="8">
        <v>872</v>
      </c>
      <c r="U827" s="16">
        <v>45118</v>
      </c>
      <c r="V827" s="17">
        <v>55</v>
      </c>
      <c r="W827" s="16">
        <v>45382</v>
      </c>
      <c r="X827" s="14">
        <v>192</v>
      </c>
      <c r="Y827" s="18">
        <f t="shared" si="436"/>
        <v>138</v>
      </c>
      <c r="Z827" s="18">
        <f t="shared" si="437"/>
        <v>0.71875</v>
      </c>
      <c r="AA827" s="18" t="s">
        <v>36</v>
      </c>
      <c r="AB827" s="26">
        <v>25</v>
      </c>
      <c r="AC827" s="26"/>
      <c r="AD827" s="26"/>
      <c r="AE827" s="147" t="str">
        <f t="shared" si="433"/>
        <v>1</v>
      </c>
      <c r="AF827" s="147" t="str">
        <f t="shared" si="428"/>
        <v>0</v>
      </c>
      <c r="AG827" s="147" t="str">
        <f t="shared" si="434"/>
        <v>0</v>
      </c>
      <c r="AH827" s="147" t="str">
        <f t="shared" si="423"/>
        <v>NO</v>
      </c>
      <c r="AI827" s="147" t="str">
        <f t="shared" si="424"/>
        <v>NO</v>
      </c>
      <c r="AJ827" s="147" t="str">
        <f t="shared" si="425"/>
        <v>NO</v>
      </c>
      <c r="AK827" s="147" t="str">
        <f t="shared" si="426"/>
        <v>NO</v>
      </c>
      <c r="AL827" s="21"/>
      <c r="AM827" s="21">
        <f t="shared" si="440"/>
        <v>5819.25</v>
      </c>
      <c r="AN827" s="27"/>
      <c r="AO827" s="21">
        <v>1</v>
      </c>
      <c r="AP827" s="21">
        <f t="shared" si="435"/>
        <v>0.71875</v>
      </c>
      <c r="AQ827" s="149">
        <f t="shared" si="412"/>
        <v>4182.5859375</v>
      </c>
      <c r="AR827" s="21">
        <v>0</v>
      </c>
      <c r="AS827" s="610">
        <v>0</v>
      </c>
      <c r="AT827" s="112">
        <v>0</v>
      </c>
      <c r="AU827" s="4"/>
      <c r="AV827" s="4"/>
      <c r="AW827" s="23" t="e">
        <f>VLOOKUP(K827,#REF!,8,FALSE)</f>
        <v>#REF!</v>
      </c>
      <c r="AX827" s="23" t="e">
        <f>VLOOKUP(K827,#REF!,8,FALSE)</f>
        <v>#REF!</v>
      </c>
      <c r="AY827" s="23" t="e">
        <f>VLOOKUP(K827,#REF!,8,FALSE)</f>
        <v>#REF!</v>
      </c>
      <c r="AZ827" s="4"/>
      <c r="BA827" s="272"/>
      <c r="BB827" s="318">
        <f t="shared" si="430"/>
        <v>0</v>
      </c>
      <c r="BC827" s="269">
        <f t="shared" si="431"/>
        <v>0</v>
      </c>
      <c r="BP827" s="166">
        <f t="shared" si="432"/>
        <v>0</v>
      </c>
      <c r="BS827" s="165"/>
      <c r="BX827" s="495">
        <f t="shared" si="413"/>
        <v>4182.5859375</v>
      </c>
      <c r="BY827" t="s">
        <v>2471</v>
      </c>
      <c r="BZ827" s="636">
        <f t="shared" si="414"/>
        <v>4182.5859375</v>
      </c>
      <c r="CA827" s="633">
        <f t="shared" si="415"/>
        <v>4182.5859375</v>
      </c>
    </row>
    <row r="828" spans="1:79" x14ac:dyDescent="0.2">
      <c r="A828" s="4">
        <v>1</v>
      </c>
      <c r="B828" s="4">
        <v>1</v>
      </c>
      <c r="C828" s="5">
        <f t="shared" si="439"/>
        <v>41146</v>
      </c>
      <c r="D828" s="6">
        <v>41146</v>
      </c>
      <c r="E828" s="121">
        <v>43012</v>
      </c>
      <c r="F828" s="6" t="s">
        <v>1606</v>
      </c>
      <c r="G828" s="7" t="s">
        <v>75</v>
      </c>
      <c r="H828" s="7"/>
      <c r="I828" s="7" t="s">
        <v>32</v>
      </c>
      <c r="J828" s="7"/>
      <c r="K828" s="29">
        <v>404036</v>
      </c>
      <c r="L828" s="10" t="s">
        <v>1712</v>
      </c>
      <c r="M828" s="10" t="s">
        <v>1746</v>
      </c>
      <c r="N828" s="10" t="s">
        <v>1747</v>
      </c>
      <c r="O828" s="11" t="str">
        <f>M828&amp;N828</f>
        <v>MacieStreich</v>
      </c>
      <c r="P828" s="12">
        <v>41498</v>
      </c>
      <c r="Q828" s="13">
        <f t="shared" ca="1" si="418"/>
        <v>12.112251882272416</v>
      </c>
      <c r="R828" s="14">
        <v>5</v>
      </c>
      <c r="S828" s="15">
        <v>872</v>
      </c>
      <c r="T828" s="8">
        <v>872</v>
      </c>
      <c r="U828" s="16">
        <v>45017</v>
      </c>
      <c r="V828" s="17">
        <v>1</v>
      </c>
      <c r="W828" s="16">
        <v>45382</v>
      </c>
      <c r="X828" s="14">
        <v>192</v>
      </c>
      <c r="Y828" s="18">
        <f t="shared" si="436"/>
        <v>192</v>
      </c>
      <c r="Z828" s="18">
        <f t="shared" si="437"/>
        <v>1</v>
      </c>
      <c r="AA828" s="18" t="s">
        <v>36</v>
      </c>
      <c r="AB828" s="26">
        <v>29</v>
      </c>
      <c r="AC828" s="26"/>
      <c r="AD828" s="26"/>
      <c r="AE828" s="147" t="str">
        <f t="shared" si="433"/>
        <v>0</v>
      </c>
      <c r="AF828" s="147" t="str">
        <f t="shared" si="428"/>
        <v>1</v>
      </c>
      <c r="AG828" s="147" t="str">
        <f t="shared" si="434"/>
        <v>0</v>
      </c>
      <c r="AH828" s="147" t="str">
        <f t="shared" si="423"/>
        <v>NO</v>
      </c>
      <c r="AI828" s="147" t="str">
        <f t="shared" si="424"/>
        <v>NO</v>
      </c>
      <c r="AJ828" s="147" t="str">
        <f t="shared" si="425"/>
        <v>NO</v>
      </c>
      <c r="AK828" s="147" t="str">
        <f t="shared" si="426"/>
        <v>NO</v>
      </c>
      <c r="AL828" s="21"/>
      <c r="AM828" s="21">
        <f t="shared" si="440"/>
        <v>7710.33</v>
      </c>
      <c r="AN828" s="27" t="s">
        <v>43</v>
      </c>
      <c r="AO828" s="21">
        <v>1</v>
      </c>
      <c r="AP828" s="21">
        <f t="shared" si="435"/>
        <v>1</v>
      </c>
      <c r="AQ828" s="149">
        <f t="shared" si="412"/>
        <v>7710.33</v>
      </c>
      <c r="AR828" s="21">
        <v>7710.33</v>
      </c>
      <c r="AS828" s="610">
        <v>7710.33</v>
      </c>
      <c r="AT828" s="112">
        <v>7710.33</v>
      </c>
      <c r="AU828" s="4"/>
      <c r="AV828" s="4"/>
      <c r="AW828" s="23" t="e">
        <f>VLOOKUP(K828,#REF!,8,FALSE)</f>
        <v>#REF!</v>
      </c>
      <c r="AX828" s="23" t="e">
        <f>VLOOKUP(K828,#REF!,8,FALSE)</f>
        <v>#REF!</v>
      </c>
      <c r="AY828" s="23" t="e">
        <f>VLOOKUP(K828,#REF!,8,FALSE)</f>
        <v>#REF!</v>
      </c>
      <c r="AZ828" s="4"/>
      <c r="BA828" s="272"/>
      <c r="BB828" s="318">
        <f t="shared" si="430"/>
        <v>0</v>
      </c>
      <c r="BC828" s="269">
        <f t="shared" si="431"/>
        <v>7710.33</v>
      </c>
      <c r="BD828" t="str">
        <f t="shared" ref="BD828:BD833" si="441">BG828&amp;BH828&amp;BI828</f>
        <v/>
      </c>
      <c r="BP828" s="166">
        <f t="shared" si="432"/>
        <v>7710.33</v>
      </c>
      <c r="BS828" s="165"/>
      <c r="BX828" s="495">
        <f t="shared" si="413"/>
        <v>7710.33</v>
      </c>
      <c r="BZ828" s="636">
        <f t="shared" si="414"/>
        <v>0</v>
      </c>
      <c r="CA828" s="633">
        <f t="shared" si="415"/>
        <v>0</v>
      </c>
    </row>
    <row r="829" spans="1:79" x14ac:dyDescent="0.2">
      <c r="A829" s="4">
        <v>1</v>
      </c>
      <c r="B829" s="4">
        <v>1</v>
      </c>
      <c r="C829" s="5">
        <f t="shared" si="439"/>
        <v>41146</v>
      </c>
      <c r="D829" s="6">
        <v>41146</v>
      </c>
      <c r="E829" s="121">
        <v>43012</v>
      </c>
      <c r="F829" s="6" t="s">
        <v>1606</v>
      </c>
      <c r="G829" s="7" t="s">
        <v>75</v>
      </c>
      <c r="H829" s="7"/>
      <c r="I829" s="7" t="s">
        <v>32</v>
      </c>
      <c r="J829" s="7"/>
      <c r="K829" s="29">
        <v>396841</v>
      </c>
      <c r="L829" s="10" t="s">
        <v>1712</v>
      </c>
      <c r="M829" s="10" t="s">
        <v>1748</v>
      </c>
      <c r="N829" s="10" t="s">
        <v>1749</v>
      </c>
      <c r="O829" s="11" t="s">
        <v>1750</v>
      </c>
      <c r="P829" s="12">
        <v>41098</v>
      </c>
      <c r="Q829" s="13">
        <f t="shared" ca="1" si="418"/>
        <v>13.207392197125257</v>
      </c>
      <c r="R829" s="14">
        <v>6</v>
      </c>
      <c r="S829" s="15">
        <v>872</v>
      </c>
      <c r="T829" s="8">
        <v>872</v>
      </c>
      <c r="U829" s="16">
        <v>45017</v>
      </c>
      <c r="V829" s="17">
        <v>1</v>
      </c>
      <c r="W829" s="16">
        <v>45128</v>
      </c>
      <c r="X829" s="14">
        <v>63</v>
      </c>
      <c r="Y829" s="18">
        <f t="shared" si="436"/>
        <v>63</v>
      </c>
      <c r="Z829" s="18">
        <f t="shared" si="437"/>
        <v>0.328125</v>
      </c>
      <c r="AA829" s="18" t="s">
        <v>48</v>
      </c>
      <c r="AB829" s="26">
        <v>25</v>
      </c>
      <c r="AC829" s="26"/>
      <c r="AD829" s="26"/>
      <c r="AE829" s="147" t="str">
        <f t="shared" si="433"/>
        <v>1</v>
      </c>
      <c r="AF829" s="147" t="str">
        <f t="shared" si="428"/>
        <v>0</v>
      </c>
      <c r="AG829" s="147" t="str">
        <f t="shared" si="434"/>
        <v>0</v>
      </c>
      <c r="AH829" s="147" t="str">
        <f t="shared" si="423"/>
        <v>NO</v>
      </c>
      <c r="AI829" s="147" t="str">
        <f t="shared" si="424"/>
        <v>NO</v>
      </c>
      <c r="AJ829" s="147" t="str">
        <f t="shared" si="425"/>
        <v>NO</v>
      </c>
      <c r="AK829" s="147" t="str">
        <f t="shared" si="426"/>
        <v>NO</v>
      </c>
      <c r="AL829" s="21"/>
      <c r="AM829" s="21">
        <f t="shared" si="440"/>
        <v>5819.25</v>
      </c>
      <c r="AN829" s="27" t="s">
        <v>173</v>
      </c>
      <c r="AO829" s="21">
        <v>1</v>
      </c>
      <c r="AP829" s="21">
        <f t="shared" si="435"/>
        <v>0.328125</v>
      </c>
      <c r="AQ829" s="149">
        <f t="shared" si="412"/>
        <v>1909.44140625</v>
      </c>
      <c r="AR829" s="21">
        <v>1909.44140625</v>
      </c>
      <c r="AS829" s="610">
        <v>1909.44140625</v>
      </c>
      <c r="AT829" s="112">
        <v>1909.44140625</v>
      </c>
      <c r="AU829" s="4"/>
      <c r="AV829" s="4"/>
      <c r="AW829" s="23" t="e">
        <f>VLOOKUP(K829,#REF!,8,FALSE)</f>
        <v>#REF!</v>
      </c>
      <c r="AX829" s="23" t="s">
        <v>1454</v>
      </c>
      <c r="AY829" s="23" t="e">
        <f>VLOOKUP(K829,#REF!,8,FALSE)</f>
        <v>#REF!</v>
      </c>
      <c r="AZ829" s="4"/>
      <c r="BA829" s="272"/>
      <c r="BB829" s="318">
        <f t="shared" si="430"/>
        <v>0</v>
      </c>
      <c r="BC829" s="269">
        <f t="shared" si="431"/>
        <v>1909.44140625</v>
      </c>
      <c r="BD829" t="e">
        <f t="shared" si="441"/>
        <v>#REF!</v>
      </c>
      <c r="BE829" t="s">
        <v>2394</v>
      </c>
      <c r="BF829">
        <v>43012</v>
      </c>
      <c r="BH829" t="e">
        <f>VLOOKUP(K829,#REF!,8,FALSE)</f>
        <v>#REF!</v>
      </c>
      <c r="BJ829">
        <f>AB829</f>
        <v>25</v>
      </c>
      <c r="BK829" s="269">
        <f>AM829</f>
        <v>5819.25</v>
      </c>
      <c r="BL829" s="353"/>
      <c r="BM829" s="353" t="s">
        <v>75</v>
      </c>
      <c r="BN829" s="353"/>
      <c r="BO829" s="106">
        <f>BK829/192*127</f>
        <v>3849.19140625</v>
      </c>
      <c r="BP829" s="166">
        <f t="shared" si="432"/>
        <v>5758.6328125</v>
      </c>
      <c r="BS829" s="165"/>
      <c r="BX829" s="495">
        <f t="shared" si="413"/>
        <v>5758.6328125</v>
      </c>
      <c r="BZ829" s="636">
        <f t="shared" si="414"/>
        <v>0</v>
      </c>
      <c r="CA829" s="633">
        <f t="shared" si="415"/>
        <v>3849.19140625</v>
      </c>
    </row>
    <row r="830" spans="1:79" x14ac:dyDescent="0.2">
      <c r="A830" s="4">
        <v>1</v>
      </c>
      <c r="B830" s="4">
        <v>1</v>
      </c>
      <c r="C830" s="5">
        <f t="shared" si="439"/>
        <v>41146</v>
      </c>
      <c r="D830" s="6">
        <v>41146</v>
      </c>
      <c r="E830" s="121">
        <v>43012</v>
      </c>
      <c r="F830" s="6" t="s">
        <v>1606</v>
      </c>
      <c r="G830" s="7" t="s">
        <v>75</v>
      </c>
      <c r="H830" s="7"/>
      <c r="I830" s="7" t="s">
        <v>32</v>
      </c>
      <c r="J830" s="7"/>
      <c r="K830" s="29">
        <v>399644</v>
      </c>
      <c r="L830" s="10" t="s">
        <v>1712</v>
      </c>
      <c r="M830" s="10" t="s">
        <v>322</v>
      </c>
      <c r="N830" s="10" t="s">
        <v>899</v>
      </c>
      <c r="O830" s="11" t="str">
        <f>M830&amp;N830</f>
        <v>MaxConnors</v>
      </c>
      <c r="P830" s="12">
        <v>40816</v>
      </c>
      <c r="Q830" s="13">
        <f t="shared" ca="1" si="418"/>
        <v>13.979466119096509</v>
      </c>
      <c r="R830" s="14">
        <v>6</v>
      </c>
      <c r="S830" s="15">
        <v>872</v>
      </c>
      <c r="T830" s="8">
        <v>872</v>
      </c>
      <c r="U830" s="16">
        <v>45017</v>
      </c>
      <c r="V830" s="17">
        <v>1</v>
      </c>
      <c r="W830" s="16">
        <v>45128</v>
      </c>
      <c r="X830" s="14">
        <v>63</v>
      </c>
      <c r="Y830" s="18">
        <f t="shared" si="436"/>
        <v>63</v>
      </c>
      <c r="Z830" s="18">
        <f t="shared" si="437"/>
        <v>0.328125</v>
      </c>
      <c r="AA830" s="18" t="s">
        <v>48</v>
      </c>
      <c r="AB830" s="26">
        <v>25</v>
      </c>
      <c r="AC830" s="26"/>
      <c r="AD830" s="26"/>
      <c r="AE830" s="147" t="str">
        <f t="shared" si="433"/>
        <v>1</v>
      </c>
      <c r="AF830" s="147" t="str">
        <f t="shared" si="428"/>
        <v>0</v>
      </c>
      <c r="AG830" s="147" t="str">
        <f t="shared" si="434"/>
        <v>0</v>
      </c>
      <c r="AH830" s="147" t="str">
        <f t="shared" si="423"/>
        <v>NO</v>
      </c>
      <c r="AI830" s="147" t="str">
        <f t="shared" si="424"/>
        <v>NO</v>
      </c>
      <c r="AJ830" s="147" t="str">
        <f t="shared" si="425"/>
        <v>NO</v>
      </c>
      <c r="AK830" s="147" t="str">
        <f t="shared" si="426"/>
        <v>NO</v>
      </c>
      <c r="AL830" s="21"/>
      <c r="AM830" s="21">
        <f t="shared" si="440"/>
        <v>5819.25</v>
      </c>
      <c r="AN830" s="27" t="s">
        <v>56</v>
      </c>
      <c r="AO830" s="21">
        <v>1</v>
      </c>
      <c r="AP830" s="21">
        <f t="shared" si="435"/>
        <v>0.328125</v>
      </c>
      <c r="AQ830" s="149">
        <f t="shared" si="412"/>
        <v>1909.44140625</v>
      </c>
      <c r="AR830" s="21">
        <v>1909.44140625</v>
      </c>
      <c r="AS830" s="610">
        <v>1909.44140625</v>
      </c>
      <c r="AT830" s="112">
        <v>1909.44140625</v>
      </c>
      <c r="AU830" s="4"/>
      <c r="AV830" s="4"/>
      <c r="AW830" s="23" t="e">
        <f>VLOOKUP(K830,#REF!,8,FALSE)</f>
        <v>#REF!</v>
      </c>
      <c r="AX830" s="23" t="s">
        <v>2259</v>
      </c>
      <c r="AY830" s="23" t="e">
        <f>VLOOKUP(K830,#REF!,8,FALSE)</f>
        <v>#REF!</v>
      </c>
      <c r="AZ830" s="4"/>
      <c r="BA830" s="272"/>
      <c r="BB830" s="318">
        <f t="shared" si="430"/>
        <v>0</v>
      </c>
      <c r="BC830" s="269">
        <f t="shared" si="431"/>
        <v>1909.44140625</v>
      </c>
      <c r="BD830" t="e">
        <f t="shared" si="441"/>
        <v>#REF!</v>
      </c>
      <c r="BE830" t="s">
        <v>2394</v>
      </c>
      <c r="BF830">
        <v>43012</v>
      </c>
      <c r="BH830" t="e">
        <f>VLOOKUP(K830,#REF!,8,FALSE)</f>
        <v>#REF!</v>
      </c>
      <c r="BJ830">
        <f>AB830</f>
        <v>25</v>
      </c>
      <c r="BK830" s="269">
        <f>AM830</f>
        <v>5819.25</v>
      </c>
      <c r="BL830" s="353"/>
      <c r="BM830" s="353" t="s">
        <v>75</v>
      </c>
      <c r="BN830" s="353"/>
      <c r="BO830" s="106">
        <f>BK830/192*127</f>
        <v>3849.19140625</v>
      </c>
      <c r="BP830" s="166">
        <f t="shared" si="432"/>
        <v>5758.6328125</v>
      </c>
      <c r="BS830" s="165"/>
      <c r="BX830" s="495">
        <f t="shared" si="413"/>
        <v>5758.6328125</v>
      </c>
      <c r="BZ830" s="636">
        <f t="shared" si="414"/>
        <v>0</v>
      </c>
      <c r="CA830" s="633">
        <f t="shared" si="415"/>
        <v>3849.19140625</v>
      </c>
    </row>
    <row r="831" spans="1:79" x14ac:dyDescent="0.2">
      <c r="A831" s="4">
        <v>1</v>
      </c>
      <c r="B831" s="4">
        <v>1</v>
      </c>
      <c r="C831" s="5">
        <f t="shared" si="439"/>
        <v>41146</v>
      </c>
      <c r="D831" s="6">
        <v>41146</v>
      </c>
      <c r="E831" s="121">
        <v>43012</v>
      </c>
      <c r="F831" s="6" t="s">
        <v>1606</v>
      </c>
      <c r="G831" s="7" t="s">
        <v>75</v>
      </c>
      <c r="H831" s="7"/>
      <c r="I831" s="7" t="s">
        <v>32</v>
      </c>
      <c r="J831" s="7"/>
      <c r="K831" s="29">
        <v>437797</v>
      </c>
      <c r="L831" s="10" t="s">
        <v>1712</v>
      </c>
      <c r="M831" s="10" t="s">
        <v>1751</v>
      </c>
      <c r="N831" s="10" t="s">
        <v>1752</v>
      </c>
      <c r="O831" s="11" t="s">
        <v>1753</v>
      </c>
      <c r="P831" s="12">
        <v>41383</v>
      </c>
      <c r="Q831" s="13">
        <f t="shared" ca="1" si="418"/>
        <v>12.427104722792608</v>
      </c>
      <c r="R831" s="14">
        <v>5</v>
      </c>
      <c r="S831" s="15">
        <v>872</v>
      </c>
      <c r="T831" s="8">
        <v>872</v>
      </c>
      <c r="U831" s="16">
        <v>45017</v>
      </c>
      <c r="V831" s="17">
        <v>1</v>
      </c>
      <c r="W831" s="16">
        <v>45382</v>
      </c>
      <c r="X831" s="14">
        <v>192</v>
      </c>
      <c r="Y831" s="18">
        <f t="shared" si="436"/>
        <v>192</v>
      </c>
      <c r="Z831" s="18">
        <f t="shared" si="437"/>
        <v>1</v>
      </c>
      <c r="AA831" s="18" t="s">
        <v>36</v>
      </c>
      <c r="AB831" s="26">
        <v>28</v>
      </c>
      <c r="AC831" s="26"/>
      <c r="AD831" s="26"/>
      <c r="AE831" s="147" t="str">
        <f t="shared" si="433"/>
        <v>0</v>
      </c>
      <c r="AF831" s="147" t="str">
        <f t="shared" si="428"/>
        <v>1</v>
      </c>
      <c r="AG831" s="147" t="str">
        <f t="shared" si="434"/>
        <v>0</v>
      </c>
      <c r="AH831" s="147" t="str">
        <f t="shared" si="423"/>
        <v>NO</v>
      </c>
      <c r="AI831" s="147" t="str">
        <f t="shared" si="424"/>
        <v>NO</v>
      </c>
      <c r="AJ831" s="147" t="str">
        <f t="shared" si="425"/>
        <v>NO</v>
      </c>
      <c r="AK831" s="147" t="str">
        <f t="shared" si="426"/>
        <v>NO</v>
      </c>
      <c r="AL831" s="21"/>
      <c r="AM831" s="21">
        <f t="shared" si="440"/>
        <v>7237.5599999999995</v>
      </c>
      <c r="AN831" s="27" t="s">
        <v>43</v>
      </c>
      <c r="AO831" s="21">
        <v>1</v>
      </c>
      <c r="AP831" s="21">
        <f t="shared" si="435"/>
        <v>1</v>
      </c>
      <c r="AQ831" s="149">
        <f t="shared" si="412"/>
        <v>7237.5599999999995</v>
      </c>
      <c r="AR831" s="21">
        <v>7237.5599999999995</v>
      </c>
      <c r="AS831" s="610">
        <v>7237.5599999999995</v>
      </c>
      <c r="AT831" s="112">
        <v>7237.5599999999995</v>
      </c>
      <c r="AU831" s="4"/>
      <c r="AV831" s="4"/>
      <c r="AW831" s="23" t="e">
        <f>VLOOKUP(K831,#REF!,8,FALSE)</f>
        <v>#REF!</v>
      </c>
      <c r="AX831" s="23" t="e">
        <f>VLOOKUP(K831,#REF!,8,FALSE)</f>
        <v>#REF!</v>
      </c>
      <c r="AY831" s="23" t="e">
        <f>VLOOKUP(K831,#REF!,8,FALSE)</f>
        <v>#REF!</v>
      </c>
      <c r="AZ831" s="4"/>
      <c r="BA831" s="272"/>
      <c r="BB831" s="318">
        <f t="shared" si="430"/>
        <v>0</v>
      </c>
      <c r="BC831" s="269">
        <f t="shared" si="431"/>
        <v>7237.5599999999995</v>
      </c>
      <c r="BD831" t="str">
        <f t="shared" si="441"/>
        <v/>
      </c>
      <c r="BP831" s="166">
        <f t="shared" si="432"/>
        <v>7237.5599999999995</v>
      </c>
      <c r="BS831" s="165"/>
      <c r="BX831" s="495">
        <f t="shared" si="413"/>
        <v>7237.5599999999995</v>
      </c>
      <c r="BZ831" s="636">
        <f t="shared" si="414"/>
        <v>0</v>
      </c>
      <c r="CA831" s="633">
        <f t="shared" si="415"/>
        <v>0</v>
      </c>
    </row>
    <row r="832" spans="1:79" x14ac:dyDescent="0.2">
      <c r="A832" s="4">
        <v>1</v>
      </c>
      <c r="B832" s="4">
        <v>1</v>
      </c>
      <c r="C832" s="5">
        <f t="shared" si="439"/>
        <v>41146</v>
      </c>
      <c r="D832" s="6">
        <v>41146</v>
      </c>
      <c r="E832" s="121">
        <v>43012</v>
      </c>
      <c r="F832" s="6" t="s">
        <v>1606</v>
      </c>
      <c r="G832" s="7" t="s">
        <v>75</v>
      </c>
      <c r="H832" s="7"/>
      <c r="I832" s="7" t="s">
        <v>32</v>
      </c>
      <c r="J832" s="7"/>
      <c r="K832" s="29">
        <v>403603</v>
      </c>
      <c r="L832" s="10" t="s">
        <v>1712</v>
      </c>
      <c r="M832" s="10" t="s">
        <v>1264</v>
      </c>
      <c r="N832" s="10" t="s">
        <v>46</v>
      </c>
      <c r="O832" s="11" t="s">
        <v>1754</v>
      </c>
      <c r="P832" s="12">
        <v>41049</v>
      </c>
      <c r="Q832" s="13">
        <f t="shared" ca="1" si="418"/>
        <v>13.341546885694729</v>
      </c>
      <c r="R832" s="14">
        <v>6</v>
      </c>
      <c r="S832" s="15">
        <v>872</v>
      </c>
      <c r="T832" s="8">
        <v>872</v>
      </c>
      <c r="U832" s="16">
        <v>45017</v>
      </c>
      <c r="V832" s="17">
        <v>1</v>
      </c>
      <c r="W832" s="16">
        <v>45128</v>
      </c>
      <c r="X832" s="14">
        <v>63</v>
      </c>
      <c r="Y832" s="18">
        <f t="shared" si="436"/>
        <v>63</v>
      </c>
      <c r="Z832" s="18">
        <f t="shared" si="437"/>
        <v>0.328125</v>
      </c>
      <c r="AA832" s="18" t="s">
        <v>48</v>
      </c>
      <c r="AB832" s="26">
        <v>28</v>
      </c>
      <c r="AC832" s="26"/>
      <c r="AD832" s="26"/>
      <c r="AE832" s="147" t="str">
        <f t="shared" si="433"/>
        <v>0</v>
      </c>
      <c r="AF832" s="147" t="str">
        <f t="shared" si="428"/>
        <v>1</v>
      </c>
      <c r="AG832" s="147" t="str">
        <f t="shared" si="434"/>
        <v>0</v>
      </c>
      <c r="AH832" s="147" t="str">
        <f t="shared" si="423"/>
        <v>NO</v>
      </c>
      <c r="AI832" s="147" t="str">
        <f t="shared" si="424"/>
        <v>NO</v>
      </c>
      <c r="AJ832" s="147" t="str">
        <f t="shared" si="425"/>
        <v>NO</v>
      </c>
      <c r="AK832" s="147" t="str">
        <f t="shared" si="426"/>
        <v>NO</v>
      </c>
      <c r="AL832" s="21"/>
      <c r="AM832" s="21">
        <f t="shared" si="440"/>
        <v>7237.5599999999995</v>
      </c>
      <c r="AN832" s="27" t="s">
        <v>56</v>
      </c>
      <c r="AO832" s="21">
        <v>1</v>
      </c>
      <c r="AP832" s="21">
        <f t="shared" si="435"/>
        <v>0.328125</v>
      </c>
      <c r="AQ832" s="149">
        <f t="shared" ref="AQ832:AQ873" si="442">AP832*AM832</f>
        <v>2374.8243749999997</v>
      </c>
      <c r="AR832" s="21">
        <v>2374.8243749999997</v>
      </c>
      <c r="AS832" s="610">
        <v>2374.8243749999997</v>
      </c>
      <c r="AT832" s="112">
        <v>2374.8243749999997</v>
      </c>
      <c r="AU832" s="4"/>
      <c r="AV832" s="4"/>
      <c r="AW832" s="23" t="e">
        <f>VLOOKUP(K832,#REF!,8,FALSE)</f>
        <v>#REF!</v>
      </c>
      <c r="AX832" s="23" t="s">
        <v>2251</v>
      </c>
      <c r="AY832" s="23" t="e">
        <f>VLOOKUP(K832,#REF!,8,FALSE)</f>
        <v>#REF!</v>
      </c>
      <c r="AZ832" s="4"/>
      <c r="BA832" s="272"/>
      <c r="BB832" s="318">
        <f t="shared" si="430"/>
        <v>0</v>
      </c>
      <c r="BC832" s="269">
        <f t="shared" si="431"/>
        <v>2374.8243749999997</v>
      </c>
      <c r="BD832" t="e">
        <f t="shared" si="441"/>
        <v>#REF!</v>
      </c>
      <c r="BE832" s="110" t="s">
        <v>2403</v>
      </c>
      <c r="BF832" s="110">
        <v>43013</v>
      </c>
      <c r="BH832" t="e">
        <f>VLOOKUP(K832,#REF!,8,FALSE)</f>
        <v>#REF!</v>
      </c>
      <c r="BJ832">
        <f>AB832</f>
        <v>28</v>
      </c>
      <c r="BK832" s="269">
        <f>AM832</f>
        <v>7237.5599999999995</v>
      </c>
      <c r="BL832" s="353"/>
      <c r="BM832" s="353" t="s">
        <v>75</v>
      </c>
      <c r="BN832" s="353"/>
      <c r="BO832" s="106">
        <f>BK832/192*127</f>
        <v>4787.3443749999997</v>
      </c>
      <c r="BP832" s="166">
        <f t="shared" si="432"/>
        <v>7162.1687499999989</v>
      </c>
      <c r="BS832" s="165"/>
      <c r="BX832" s="495">
        <f t="shared" si="413"/>
        <v>7162.1687499999989</v>
      </c>
      <c r="BZ832" s="636">
        <f t="shared" si="414"/>
        <v>0</v>
      </c>
      <c r="CA832" s="633">
        <f t="shared" si="415"/>
        <v>4787.3443749999988</v>
      </c>
    </row>
    <row r="833" spans="1:80" x14ac:dyDescent="0.2">
      <c r="A833" s="4">
        <v>1</v>
      </c>
      <c r="B833" s="4">
        <v>1</v>
      </c>
      <c r="C833" s="5">
        <f t="shared" si="439"/>
        <v>2001</v>
      </c>
      <c r="D833" s="6">
        <v>2001</v>
      </c>
      <c r="E833" s="121">
        <v>43012</v>
      </c>
      <c r="F833" s="6" t="s">
        <v>1606</v>
      </c>
      <c r="G833" s="7" t="s">
        <v>75</v>
      </c>
      <c r="H833" s="7"/>
      <c r="I833" s="7" t="s">
        <v>32</v>
      </c>
      <c r="J833" s="7"/>
      <c r="K833" s="29">
        <v>438461</v>
      </c>
      <c r="L833" s="34" t="s">
        <v>1755</v>
      </c>
      <c r="M833" s="10" t="s">
        <v>1756</v>
      </c>
      <c r="N833" s="10" t="s">
        <v>1757</v>
      </c>
      <c r="O833" s="11" t="s">
        <v>1758</v>
      </c>
      <c r="P833" s="12">
        <v>42987</v>
      </c>
      <c r="Q833" s="13">
        <f t="shared" ca="1" si="418"/>
        <v>8.0355920602327178</v>
      </c>
      <c r="R833" s="14">
        <v>0</v>
      </c>
      <c r="S833" s="15">
        <v>872</v>
      </c>
      <c r="T833" s="8">
        <v>872</v>
      </c>
      <c r="U833" s="16">
        <v>45017</v>
      </c>
      <c r="V833" s="17">
        <v>1</v>
      </c>
      <c r="W833" s="16">
        <v>45382</v>
      </c>
      <c r="X833" s="14">
        <v>192</v>
      </c>
      <c r="Y833" s="18">
        <f t="shared" si="436"/>
        <v>192</v>
      </c>
      <c r="Z833" s="18">
        <f t="shared" si="437"/>
        <v>1</v>
      </c>
      <c r="AA833" s="18" t="s">
        <v>36</v>
      </c>
      <c r="AB833" s="26">
        <v>30</v>
      </c>
      <c r="AC833" s="26"/>
      <c r="AD833" s="26"/>
      <c r="AE833" s="147" t="str">
        <f t="shared" si="433"/>
        <v>0</v>
      </c>
      <c r="AF833" s="147" t="str">
        <f t="shared" si="428"/>
        <v>1</v>
      </c>
      <c r="AG833" s="147" t="str">
        <f t="shared" si="434"/>
        <v>0</v>
      </c>
      <c r="AH833" s="147" t="str">
        <f t="shared" si="423"/>
        <v>NO</v>
      </c>
      <c r="AI833" s="147" t="str">
        <f t="shared" si="424"/>
        <v>NO</v>
      </c>
      <c r="AJ833" s="147" t="str">
        <f t="shared" si="425"/>
        <v>NO</v>
      </c>
      <c r="AK833" s="147" t="str">
        <f t="shared" si="426"/>
        <v>NO</v>
      </c>
      <c r="AL833" s="21"/>
      <c r="AM833" s="21">
        <f t="shared" si="440"/>
        <v>8183.0999999999985</v>
      </c>
      <c r="AN833" s="27" t="s">
        <v>1316</v>
      </c>
      <c r="AO833" s="21">
        <v>1</v>
      </c>
      <c r="AP833" s="21">
        <f t="shared" si="435"/>
        <v>1</v>
      </c>
      <c r="AQ833" s="149">
        <f t="shared" si="442"/>
        <v>8183.0999999999985</v>
      </c>
      <c r="AR833" s="21">
        <v>8183.0999999999985</v>
      </c>
      <c r="AS833" s="610">
        <v>8183.0999999999985</v>
      </c>
      <c r="AT833" s="112">
        <v>8183.0999999999985</v>
      </c>
      <c r="AU833" s="4"/>
      <c r="AV833" s="4"/>
      <c r="AW833" s="23" t="e">
        <f>VLOOKUP(K833,#REF!,8,FALSE)</f>
        <v>#REF!</v>
      </c>
      <c r="AX833" s="23" t="e">
        <f>VLOOKUP(K833,#REF!,8,FALSE)</f>
        <v>#REF!</v>
      </c>
      <c r="AY833" s="23" t="e">
        <f>VLOOKUP(K833,#REF!,8,FALSE)</f>
        <v>#REF!</v>
      </c>
      <c r="AZ833" s="4"/>
      <c r="BA833" s="272"/>
      <c r="BB833" s="318">
        <f t="shared" si="430"/>
        <v>0</v>
      </c>
      <c r="BC833" s="269">
        <f t="shared" si="431"/>
        <v>8183.0999999999985</v>
      </c>
      <c r="BD833" t="str">
        <f t="shared" si="441"/>
        <v/>
      </c>
      <c r="BP833" s="166">
        <f t="shared" si="432"/>
        <v>8183.0999999999985</v>
      </c>
      <c r="BS833" s="165"/>
      <c r="BX833" s="495">
        <f t="shared" ref="BX833:BX873" si="443">AQ833+BO833+BU833</f>
        <v>8183.0999999999985</v>
      </c>
      <c r="BZ833" s="636">
        <f t="shared" si="414"/>
        <v>0</v>
      </c>
      <c r="CA833" s="633">
        <f t="shared" si="415"/>
        <v>0</v>
      </c>
    </row>
    <row r="834" spans="1:80" x14ac:dyDescent="0.2">
      <c r="A834" s="4">
        <v>1</v>
      </c>
      <c r="B834" s="4">
        <v>1</v>
      </c>
      <c r="C834" s="5">
        <f t="shared" si="439"/>
        <v>2001</v>
      </c>
      <c r="D834" s="6">
        <v>2001</v>
      </c>
      <c r="E834" s="121">
        <v>43012</v>
      </c>
      <c r="F834" s="6" t="s">
        <v>1606</v>
      </c>
      <c r="G834" s="7" t="s">
        <v>75</v>
      </c>
      <c r="H834" s="7"/>
      <c r="I834" s="7" t="s">
        <v>32</v>
      </c>
      <c r="J834" s="7"/>
      <c r="K834" s="29">
        <v>403887</v>
      </c>
      <c r="L834" s="34" t="s">
        <v>1755</v>
      </c>
      <c r="M834" s="10" t="s">
        <v>1759</v>
      </c>
      <c r="N834" s="10" t="s">
        <v>1760</v>
      </c>
      <c r="O834" s="11" t="s">
        <v>1761</v>
      </c>
      <c r="P834" s="12">
        <v>41107</v>
      </c>
      <c r="Q834" s="13">
        <f t="shared" ca="1" si="418"/>
        <v>13.182751540041068</v>
      </c>
      <c r="R834" s="14">
        <v>6</v>
      </c>
      <c r="S834" s="15">
        <v>872</v>
      </c>
      <c r="T834" s="8">
        <v>872</v>
      </c>
      <c r="U834" s="16">
        <v>45049</v>
      </c>
      <c r="V834" s="17">
        <v>12</v>
      </c>
      <c r="W834" s="16">
        <v>45128</v>
      </c>
      <c r="X834" s="14">
        <v>63</v>
      </c>
      <c r="Y834" s="18">
        <f t="shared" si="436"/>
        <v>52</v>
      </c>
      <c r="Z834" s="18">
        <f t="shared" si="437"/>
        <v>0.27083333333333331</v>
      </c>
      <c r="AA834" s="18" t="s">
        <v>48</v>
      </c>
      <c r="AB834" s="26">
        <v>23</v>
      </c>
      <c r="AC834" s="26"/>
      <c r="AD834" s="26"/>
      <c r="AE834" s="147" t="str">
        <f t="shared" si="433"/>
        <v>1</v>
      </c>
      <c r="AF834" s="147" t="str">
        <f t="shared" si="428"/>
        <v>0</v>
      </c>
      <c r="AG834" s="147" t="str">
        <f t="shared" si="434"/>
        <v>0</v>
      </c>
      <c r="AH834" s="147" t="str">
        <f t="shared" si="423"/>
        <v>NO</v>
      </c>
      <c r="AI834" s="147" t="str">
        <f t="shared" si="424"/>
        <v>NO</v>
      </c>
      <c r="AJ834" s="147" t="str">
        <f t="shared" si="425"/>
        <v>NO</v>
      </c>
      <c r="AK834" s="147" t="str">
        <f t="shared" si="426"/>
        <v>NO</v>
      </c>
      <c r="AL834" s="21"/>
      <c r="AM834" s="21">
        <f t="shared" si="440"/>
        <v>4873.7099999999991</v>
      </c>
      <c r="AN834" s="27" t="s">
        <v>66</v>
      </c>
      <c r="AO834" s="21">
        <v>1</v>
      </c>
      <c r="AP834" s="21">
        <f t="shared" si="435"/>
        <v>0.27083333333333331</v>
      </c>
      <c r="AQ834" s="149">
        <f t="shared" si="442"/>
        <v>1319.9631249999998</v>
      </c>
      <c r="AR834" s="21">
        <v>1319.9631249999998</v>
      </c>
      <c r="AS834" s="610">
        <v>0</v>
      </c>
      <c r="AT834" s="112">
        <v>1319.9631249999998</v>
      </c>
      <c r="AU834" s="4"/>
      <c r="AV834" s="4"/>
      <c r="AW834" s="23" t="e">
        <f>VLOOKUP(K834,#REF!,8,FALSE)</f>
        <v>#REF!</v>
      </c>
      <c r="AX834" s="23" t="e">
        <f>VLOOKUP(K834,#REF!,8,FALSE)</f>
        <v>#REF!</v>
      </c>
      <c r="AY834" s="23" t="e">
        <f>VLOOKUP(K834,#REF!,8,FALSE)</f>
        <v>#REF!</v>
      </c>
      <c r="AZ834" s="4"/>
      <c r="BA834" s="272"/>
      <c r="BB834" s="318">
        <f t="shared" si="430"/>
        <v>0</v>
      </c>
      <c r="BC834" s="269">
        <f t="shared" si="431"/>
        <v>1319.9631249999998</v>
      </c>
      <c r="BD834" s="173" t="s">
        <v>1454</v>
      </c>
      <c r="BE834" t="s">
        <v>2394</v>
      </c>
      <c r="BF834">
        <v>43012</v>
      </c>
      <c r="BJ834">
        <f>AB834</f>
        <v>23</v>
      </c>
      <c r="BK834" s="269">
        <f>AM834</f>
        <v>4873.7099999999991</v>
      </c>
      <c r="BL834" s="353"/>
      <c r="BM834" s="353" t="s">
        <v>75</v>
      </c>
      <c r="BN834" s="353"/>
      <c r="BO834" s="106">
        <f>BK834/192*127</f>
        <v>3223.7560937499993</v>
      </c>
      <c r="BP834" s="166">
        <f t="shared" si="432"/>
        <v>4543.7192187499986</v>
      </c>
      <c r="BS834" s="165"/>
      <c r="BX834" s="495">
        <f t="shared" si="443"/>
        <v>4543.7192187499986</v>
      </c>
      <c r="BZ834" s="636">
        <f t="shared" si="414"/>
        <v>0</v>
      </c>
      <c r="CA834" s="633">
        <f t="shared" si="415"/>
        <v>4543.7192187499986</v>
      </c>
    </row>
    <row r="835" spans="1:80" x14ac:dyDescent="0.2">
      <c r="A835" s="4">
        <v>0</v>
      </c>
      <c r="B835" s="4">
        <v>1</v>
      </c>
      <c r="C835" s="5">
        <f t="shared" si="439"/>
        <v>2001</v>
      </c>
      <c r="D835" s="6">
        <v>2001</v>
      </c>
      <c r="E835" s="121">
        <v>43012</v>
      </c>
      <c r="F835" s="6" t="s">
        <v>1606</v>
      </c>
      <c r="G835" s="7" t="s">
        <v>75</v>
      </c>
      <c r="H835" s="7"/>
      <c r="I835" s="7" t="s">
        <v>32</v>
      </c>
      <c r="J835" s="7"/>
      <c r="K835" s="29">
        <v>444620</v>
      </c>
      <c r="L835" s="34" t="s">
        <v>1755</v>
      </c>
      <c r="M835" s="10" t="s">
        <v>2054</v>
      </c>
      <c r="N835" s="10" t="s">
        <v>2055</v>
      </c>
      <c r="O835" s="11" t="s">
        <v>2056</v>
      </c>
      <c r="P835" s="12">
        <v>43446</v>
      </c>
      <c r="Q835" s="13">
        <f t="shared" ca="1" si="418"/>
        <v>6.7789185489390826</v>
      </c>
      <c r="R835" s="14">
        <v>0</v>
      </c>
      <c r="S835" s="15">
        <v>872</v>
      </c>
      <c r="T835" s="8">
        <v>872</v>
      </c>
      <c r="U835" s="102">
        <v>45173</v>
      </c>
      <c r="V835" s="17">
        <v>65</v>
      </c>
      <c r="W835" s="16">
        <v>45382</v>
      </c>
      <c r="X835" s="14">
        <v>192</v>
      </c>
      <c r="Y835" s="18">
        <f t="shared" si="436"/>
        <v>128</v>
      </c>
      <c r="Z835" s="18">
        <f t="shared" si="437"/>
        <v>0.66666666666666663</v>
      </c>
      <c r="AA835" s="18"/>
      <c r="AB835" s="26">
        <v>28</v>
      </c>
      <c r="AC835" s="26"/>
      <c r="AD835" s="26"/>
      <c r="AE835" s="147" t="str">
        <f t="shared" si="433"/>
        <v>0</v>
      </c>
      <c r="AF835" s="147" t="str">
        <f t="shared" si="428"/>
        <v>1</v>
      </c>
      <c r="AG835" s="147" t="str">
        <f t="shared" si="434"/>
        <v>0</v>
      </c>
      <c r="AH835" s="147" t="str">
        <f t="shared" si="423"/>
        <v>NO</v>
      </c>
      <c r="AI835" s="147" t="str">
        <f t="shared" si="424"/>
        <v>NO</v>
      </c>
      <c r="AJ835" s="147" t="str">
        <f t="shared" si="425"/>
        <v>NO</v>
      </c>
      <c r="AK835" s="147" t="str">
        <f t="shared" si="426"/>
        <v>NO</v>
      </c>
      <c r="AL835" s="21"/>
      <c r="AM835" s="21">
        <f t="shared" si="440"/>
        <v>7237.5599999999995</v>
      </c>
      <c r="AN835" s="27"/>
      <c r="AO835" s="21">
        <v>1</v>
      </c>
      <c r="AP835" s="21">
        <f t="shared" si="435"/>
        <v>0.66666666666666663</v>
      </c>
      <c r="AQ835" s="149">
        <f t="shared" si="442"/>
        <v>4825.0399999999991</v>
      </c>
      <c r="AR835" s="21">
        <v>4825.0399999999991</v>
      </c>
      <c r="AS835" s="610">
        <v>0</v>
      </c>
      <c r="AT835" s="112">
        <v>0</v>
      </c>
      <c r="AU835" s="4"/>
      <c r="AV835" s="4"/>
      <c r="AW835" s="23"/>
      <c r="AX835" s="23"/>
      <c r="AY835" s="23"/>
      <c r="AZ835" s="4"/>
      <c r="BA835" s="272"/>
      <c r="BB835" s="318">
        <f t="shared" si="430"/>
        <v>4825.0399999999991</v>
      </c>
      <c r="BC835" s="269">
        <f t="shared" si="431"/>
        <v>4825.0399999999991</v>
      </c>
      <c r="BD835" t="str">
        <f>BG835&amp;BH835&amp;BI835</f>
        <v/>
      </c>
      <c r="BJ835" t="s">
        <v>2344</v>
      </c>
      <c r="BP835" s="166">
        <f t="shared" si="432"/>
        <v>4825.0399999999991</v>
      </c>
      <c r="BS835" s="165"/>
      <c r="BX835" s="495">
        <f t="shared" si="443"/>
        <v>4825.0399999999991</v>
      </c>
      <c r="BZ835" s="636">
        <f t="shared" ref="BZ835:BZ891" si="444">BX835-BP835</f>
        <v>0</v>
      </c>
      <c r="CA835" s="633">
        <f t="shared" ref="CA835:CA891" si="445">BX835-AS835</f>
        <v>4825.0399999999991</v>
      </c>
    </row>
    <row r="836" spans="1:80" x14ac:dyDescent="0.2">
      <c r="A836" s="4">
        <v>1</v>
      </c>
      <c r="B836" s="4">
        <v>1</v>
      </c>
      <c r="C836" s="5">
        <f t="shared" si="439"/>
        <v>2001</v>
      </c>
      <c r="D836" s="6">
        <v>2001</v>
      </c>
      <c r="E836" s="121">
        <v>43012</v>
      </c>
      <c r="F836" s="6" t="s">
        <v>1606</v>
      </c>
      <c r="G836" s="7" t="s">
        <v>75</v>
      </c>
      <c r="H836" s="7"/>
      <c r="I836" s="7" t="s">
        <v>32</v>
      </c>
      <c r="J836" s="7"/>
      <c r="K836" s="29">
        <v>400025</v>
      </c>
      <c r="L836" s="34" t="s">
        <v>1755</v>
      </c>
      <c r="M836" s="10" t="s">
        <v>763</v>
      </c>
      <c r="N836" s="10" t="s">
        <v>989</v>
      </c>
      <c r="O836" s="11" t="s">
        <v>2331</v>
      </c>
      <c r="P836" s="12">
        <v>40820</v>
      </c>
      <c r="Q836" s="13">
        <f t="shared" ca="1" si="418"/>
        <v>13.968514715947981</v>
      </c>
      <c r="R836" s="14">
        <v>6</v>
      </c>
      <c r="S836" s="15">
        <v>872</v>
      </c>
      <c r="T836" s="8">
        <v>872</v>
      </c>
      <c r="U836" s="16">
        <v>45085</v>
      </c>
      <c r="V836" s="17">
        <v>32</v>
      </c>
      <c r="W836" s="16">
        <v>45128</v>
      </c>
      <c r="X836" s="14">
        <v>63</v>
      </c>
      <c r="Y836" s="18">
        <f t="shared" si="436"/>
        <v>32</v>
      </c>
      <c r="Z836" s="18">
        <f t="shared" si="437"/>
        <v>0.16666666666666666</v>
      </c>
      <c r="AA836" s="18" t="s">
        <v>36</v>
      </c>
      <c r="AB836" s="26">
        <v>23</v>
      </c>
      <c r="AC836" s="26"/>
      <c r="AD836" s="26"/>
      <c r="AE836" s="147" t="str">
        <f t="shared" si="433"/>
        <v>1</v>
      </c>
      <c r="AF836" s="147" t="str">
        <f t="shared" si="428"/>
        <v>0</v>
      </c>
      <c r="AG836" s="147" t="str">
        <f t="shared" si="434"/>
        <v>0</v>
      </c>
      <c r="AH836" s="147" t="str">
        <f t="shared" si="423"/>
        <v>NO</v>
      </c>
      <c r="AI836" s="147" t="str">
        <f t="shared" si="424"/>
        <v>NO</v>
      </c>
      <c r="AJ836" s="147" t="str">
        <f t="shared" si="425"/>
        <v>NO</v>
      </c>
      <c r="AK836" s="147" t="str">
        <f t="shared" si="426"/>
        <v>NO</v>
      </c>
      <c r="AL836" s="21"/>
      <c r="AM836" s="21">
        <f t="shared" si="440"/>
        <v>4873.7099999999991</v>
      </c>
      <c r="AN836" s="27" t="s">
        <v>43</v>
      </c>
      <c r="AO836" s="21">
        <v>1</v>
      </c>
      <c r="AP836" s="21">
        <f t="shared" si="435"/>
        <v>0.16666666666666666</v>
      </c>
      <c r="AQ836" s="149">
        <f t="shared" si="442"/>
        <v>812.28499999999985</v>
      </c>
      <c r="AR836" s="21">
        <v>812.28499999999985</v>
      </c>
      <c r="AS836" s="610">
        <v>0</v>
      </c>
      <c r="AT836" s="112">
        <v>0</v>
      </c>
      <c r="AU836" s="4"/>
      <c r="AV836" s="4"/>
      <c r="AW836" s="23"/>
      <c r="AX836" s="23"/>
      <c r="AY836" s="23"/>
      <c r="AZ836" s="4"/>
      <c r="BA836" s="272"/>
      <c r="BB836" s="318">
        <f t="shared" si="430"/>
        <v>812.28499999999985</v>
      </c>
      <c r="BC836" s="269">
        <f t="shared" si="431"/>
        <v>812.28499999999985</v>
      </c>
      <c r="BD836" s="110" t="s">
        <v>2405</v>
      </c>
      <c r="BJ836">
        <f>AB836</f>
        <v>23</v>
      </c>
      <c r="BK836" s="269">
        <f>AM836</f>
        <v>4873.7099999999991</v>
      </c>
      <c r="BO836" s="106">
        <f>BK836/192*127</f>
        <v>3223.7560937499993</v>
      </c>
      <c r="BP836" s="166">
        <f t="shared" si="432"/>
        <v>4036.0410937499992</v>
      </c>
      <c r="BS836" s="165" t="s">
        <v>1495</v>
      </c>
      <c r="BT836" t="s">
        <v>1495</v>
      </c>
      <c r="BX836" s="495">
        <f t="shared" si="443"/>
        <v>4036.0410937499992</v>
      </c>
      <c r="BZ836" s="636">
        <f t="shared" si="444"/>
        <v>0</v>
      </c>
      <c r="CA836" s="633">
        <f t="shared" si="445"/>
        <v>4036.0410937499992</v>
      </c>
    </row>
    <row r="837" spans="1:80" x14ac:dyDescent="0.2">
      <c r="A837" s="4">
        <v>1</v>
      </c>
      <c r="B837" s="4">
        <v>1</v>
      </c>
      <c r="C837" s="5">
        <f t="shared" si="439"/>
        <v>2001</v>
      </c>
      <c r="D837" s="6">
        <v>2001</v>
      </c>
      <c r="E837" s="121">
        <v>43012</v>
      </c>
      <c r="F837" s="6" t="s">
        <v>1606</v>
      </c>
      <c r="G837" s="7" t="s">
        <v>75</v>
      </c>
      <c r="H837" s="7"/>
      <c r="I837" s="7" t="s">
        <v>32</v>
      </c>
      <c r="J837" s="7"/>
      <c r="K837" s="29">
        <v>412451</v>
      </c>
      <c r="L837" s="34" t="s">
        <v>1755</v>
      </c>
      <c r="M837" s="10" t="s">
        <v>950</v>
      </c>
      <c r="N837" s="10" t="s">
        <v>2332</v>
      </c>
      <c r="O837" s="11" t="s">
        <v>2333</v>
      </c>
      <c r="P837" s="12">
        <v>41960</v>
      </c>
      <c r="Q837" s="13">
        <f t="shared" ca="1" si="418"/>
        <v>10.847364818617386</v>
      </c>
      <c r="R837" s="14">
        <v>3</v>
      </c>
      <c r="S837" s="15">
        <v>872</v>
      </c>
      <c r="T837" s="8">
        <v>872</v>
      </c>
      <c r="U837" s="16">
        <v>45089</v>
      </c>
      <c r="V837" s="17">
        <v>34</v>
      </c>
      <c r="W837" s="16">
        <v>45382</v>
      </c>
      <c r="X837" s="14">
        <v>192</v>
      </c>
      <c r="Y837" s="18">
        <f t="shared" si="436"/>
        <v>159</v>
      </c>
      <c r="Z837" s="18">
        <f t="shared" si="437"/>
        <v>0.828125</v>
      </c>
      <c r="AA837" s="18" t="s">
        <v>36</v>
      </c>
      <c r="AB837" s="26">
        <v>22</v>
      </c>
      <c r="AC837" s="26"/>
      <c r="AD837" s="26"/>
      <c r="AE837" s="147" t="str">
        <f t="shared" si="433"/>
        <v>1</v>
      </c>
      <c r="AF837" s="147" t="str">
        <f t="shared" si="428"/>
        <v>0</v>
      </c>
      <c r="AG837" s="147" t="str">
        <f t="shared" si="434"/>
        <v>0</v>
      </c>
      <c r="AH837" s="147" t="str">
        <f t="shared" si="423"/>
        <v>NO</v>
      </c>
      <c r="AI837" s="147" t="str">
        <f t="shared" si="424"/>
        <v>NO</v>
      </c>
      <c r="AJ837" s="147" t="str">
        <f t="shared" si="425"/>
        <v>NO</v>
      </c>
      <c r="AK837" s="147" t="str">
        <f t="shared" si="426"/>
        <v>NO</v>
      </c>
      <c r="AL837" s="21"/>
      <c r="AM837" s="21">
        <f t="shared" si="440"/>
        <v>4400.9399999999987</v>
      </c>
      <c r="AN837" s="27" t="s">
        <v>43</v>
      </c>
      <c r="AO837" s="21">
        <v>1</v>
      </c>
      <c r="AP837" s="21">
        <f t="shared" si="435"/>
        <v>0.828125</v>
      </c>
      <c r="AQ837" s="149">
        <f t="shared" si="442"/>
        <v>3644.5284374999987</v>
      </c>
      <c r="AR837" s="21">
        <v>3644.5284374999987</v>
      </c>
      <c r="AS837" s="610">
        <v>0</v>
      </c>
      <c r="AT837" s="112">
        <v>0</v>
      </c>
      <c r="AU837" s="4"/>
      <c r="AV837" s="4"/>
      <c r="AW837" s="23"/>
      <c r="AX837" s="23"/>
      <c r="AY837" s="23"/>
      <c r="AZ837" s="4"/>
      <c r="BA837" s="272"/>
      <c r="BB837" s="318">
        <f t="shared" si="430"/>
        <v>3644.5284374999987</v>
      </c>
      <c r="BC837" s="269">
        <f t="shared" si="431"/>
        <v>3644.5284374999987</v>
      </c>
      <c r="BD837" t="str">
        <f>BG837&amp;BH837&amp;BI837</f>
        <v/>
      </c>
      <c r="BP837" s="166">
        <f t="shared" si="432"/>
        <v>3644.5284374999987</v>
      </c>
      <c r="BS837" s="165"/>
      <c r="BX837" s="495">
        <f t="shared" si="443"/>
        <v>3644.5284374999987</v>
      </c>
      <c r="BZ837" s="636">
        <f t="shared" si="444"/>
        <v>0</v>
      </c>
      <c r="CA837" s="633">
        <f t="shared" si="445"/>
        <v>3644.5284374999987</v>
      </c>
    </row>
    <row r="838" spans="1:80" x14ac:dyDescent="0.2">
      <c r="A838" s="4">
        <v>1</v>
      </c>
      <c r="B838" s="4">
        <v>1</v>
      </c>
      <c r="C838" s="5">
        <f t="shared" si="439"/>
        <v>2001</v>
      </c>
      <c r="D838" s="6">
        <v>2001</v>
      </c>
      <c r="E838" s="121">
        <v>43012</v>
      </c>
      <c r="F838" s="6" t="s">
        <v>1606</v>
      </c>
      <c r="G838" s="7" t="s">
        <v>75</v>
      </c>
      <c r="H838" s="33"/>
      <c r="I838" s="7" t="s">
        <v>32</v>
      </c>
      <c r="J838" s="7"/>
      <c r="K838" s="29">
        <v>431650</v>
      </c>
      <c r="L838" s="34" t="s">
        <v>1755</v>
      </c>
      <c r="M838" s="10" t="s">
        <v>519</v>
      </c>
      <c r="N838" s="10" t="s">
        <v>1762</v>
      </c>
      <c r="O838" s="11" t="s">
        <v>1763</v>
      </c>
      <c r="P838" s="12">
        <v>42657</v>
      </c>
      <c r="Q838" s="13">
        <f t="shared" ca="1" si="418"/>
        <v>8.9390828199863108</v>
      </c>
      <c r="R838" s="14">
        <v>1</v>
      </c>
      <c r="S838" s="15">
        <v>872</v>
      </c>
      <c r="T838" s="8">
        <v>872</v>
      </c>
      <c r="U838" s="16">
        <v>45017</v>
      </c>
      <c r="V838" s="17">
        <v>1</v>
      </c>
      <c r="W838" s="16">
        <v>45382</v>
      </c>
      <c r="X838" s="14">
        <v>192</v>
      </c>
      <c r="Y838" s="18">
        <f t="shared" si="436"/>
        <v>192</v>
      </c>
      <c r="Z838" s="18">
        <f t="shared" si="437"/>
        <v>1</v>
      </c>
      <c r="AA838" s="18" t="s">
        <v>36</v>
      </c>
      <c r="AB838" s="26">
        <v>30</v>
      </c>
      <c r="AC838" s="26"/>
      <c r="AD838" s="26"/>
      <c r="AE838" s="147" t="str">
        <f t="shared" si="433"/>
        <v>0</v>
      </c>
      <c r="AF838" s="147" t="str">
        <f t="shared" si="428"/>
        <v>1</v>
      </c>
      <c r="AG838" s="147" t="str">
        <f t="shared" si="434"/>
        <v>0</v>
      </c>
      <c r="AH838" s="147" t="str">
        <f t="shared" si="423"/>
        <v>NO</v>
      </c>
      <c r="AI838" s="147" t="str">
        <f t="shared" si="424"/>
        <v>NO</v>
      </c>
      <c r="AJ838" s="147" t="str">
        <f t="shared" si="425"/>
        <v>NO</v>
      </c>
      <c r="AK838" s="147" t="str">
        <f t="shared" si="426"/>
        <v>NO</v>
      </c>
      <c r="AL838" s="21"/>
      <c r="AM838" s="21">
        <f t="shared" si="440"/>
        <v>8183.0999999999985</v>
      </c>
      <c r="AN838" s="27" t="s">
        <v>37</v>
      </c>
      <c r="AO838" s="21">
        <v>1</v>
      </c>
      <c r="AP838" s="21">
        <f t="shared" si="435"/>
        <v>1</v>
      </c>
      <c r="AQ838" s="149">
        <f t="shared" si="442"/>
        <v>8183.0999999999985</v>
      </c>
      <c r="AR838" s="21">
        <v>8183.0999999999985</v>
      </c>
      <c r="AS838" s="610">
        <v>8183.0999999999985</v>
      </c>
      <c r="AT838" s="112">
        <v>8183.0999999999985</v>
      </c>
      <c r="AU838" s="4"/>
      <c r="AV838" s="4"/>
      <c r="AW838" s="23" t="e">
        <f>VLOOKUP(K838,#REF!,8,FALSE)</f>
        <v>#REF!</v>
      </c>
      <c r="AX838" s="23" t="e">
        <f>VLOOKUP(K838,#REF!,8,FALSE)</f>
        <v>#REF!</v>
      </c>
      <c r="AY838" s="23" t="e">
        <f>VLOOKUP(K838,#REF!,8,FALSE)</f>
        <v>#REF!</v>
      </c>
      <c r="AZ838" s="4"/>
      <c r="BA838" s="272"/>
      <c r="BB838" s="318">
        <f t="shared" si="430"/>
        <v>0</v>
      </c>
      <c r="BC838" s="269">
        <f t="shared" si="431"/>
        <v>8183.0999999999985</v>
      </c>
      <c r="BD838" t="str">
        <f>BG838&amp;BH838&amp;BI838</f>
        <v/>
      </c>
      <c r="BP838" s="166">
        <f t="shared" si="432"/>
        <v>8183.0999999999985</v>
      </c>
      <c r="BS838" s="165"/>
      <c r="BX838" s="495">
        <f t="shared" si="443"/>
        <v>8183.0999999999985</v>
      </c>
      <c r="BZ838" s="636">
        <f t="shared" si="444"/>
        <v>0</v>
      </c>
      <c r="CA838" s="633">
        <f t="shared" si="445"/>
        <v>0</v>
      </c>
    </row>
    <row r="839" spans="1:80" x14ac:dyDescent="0.2">
      <c r="A839" s="4">
        <v>1</v>
      </c>
      <c r="B839" s="4">
        <v>1</v>
      </c>
      <c r="C839" s="5">
        <f t="shared" si="439"/>
        <v>41147</v>
      </c>
      <c r="D839" s="6">
        <v>41147</v>
      </c>
      <c r="E839" s="121">
        <v>43012</v>
      </c>
      <c r="F839" s="6" t="s">
        <v>1606</v>
      </c>
      <c r="G839" s="7" t="s">
        <v>75</v>
      </c>
      <c r="H839" s="33"/>
      <c r="I839" s="7" t="s">
        <v>32</v>
      </c>
      <c r="J839" s="7"/>
      <c r="K839" s="29">
        <v>422460</v>
      </c>
      <c r="L839" s="34" t="s">
        <v>1764</v>
      </c>
      <c r="M839" s="10" t="s">
        <v>578</v>
      </c>
      <c r="N839" s="10" t="s">
        <v>1765</v>
      </c>
      <c r="O839" s="11" t="s">
        <v>1766</v>
      </c>
      <c r="P839" s="12">
        <v>42410</v>
      </c>
      <c r="Q839" s="13">
        <f t="shared" ca="1" si="418"/>
        <v>9.6153319644079396</v>
      </c>
      <c r="R839" s="14">
        <v>2</v>
      </c>
      <c r="S839" s="15">
        <v>872</v>
      </c>
      <c r="T839" s="8">
        <v>872</v>
      </c>
      <c r="U839" s="16">
        <v>45058</v>
      </c>
      <c r="V839" s="17">
        <v>19</v>
      </c>
      <c r="W839" s="16">
        <v>45382</v>
      </c>
      <c r="X839" s="14">
        <v>192</v>
      </c>
      <c r="Y839" s="18">
        <f t="shared" si="436"/>
        <v>174</v>
      </c>
      <c r="Z839" s="18">
        <f t="shared" si="437"/>
        <v>0.90625</v>
      </c>
      <c r="AA839" s="18" t="s">
        <v>36</v>
      </c>
      <c r="AB839" s="26">
        <v>25</v>
      </c>
      <c r="AC839" s="26"/>
      <c r="AD839" s="26"/>
      <c r="AE839" s="147" t="str">
        <f t="shared" si="433"/>
        <v>1</v>
      </c>
      <c r="AF839" s="147" t="str">
        <f t="shared" si="428"/>
        <v>0</v>
      </c>
      <c r="AG839" s="147" t="str">
        <f t="shared" si="434"/>
        <v>0</v>
      </c>
      <c r="AH839" s="147" t="str">
        <f t="shared" si="423"/>
        <v>NO</v>
      </c>
      <c r="AI839" s="147" t="str">
        <f t="shared" si="424"/>
        <v>NO</v>
      </c>
      <c r="AJ839" s="147" t="str">
        <f t="shared" si="425"/>
        <v>NO</v>
      </c>
      <c r="AK839" s="147" t="str">
        <f t="shared" si="426"/>
        <v>NO</v>
      </c>
      <c r="AL839" s="21"/>
      <c r="AM839" s="21">
        <f t="shared" si="440"/>
        <v>5819.25</v>
      </c>
      <c r="AN839" s="27" t="s">
        <v>128</v>
      </c>
      <c r="AO839" s="21">
        <v>1</v>
      </c>
      <c r="AP839" s="21">
        <f t="shared" si="435"/>
        <v>0.90625</v>
      </c>
      <c r="AQ839" s="149">
        <f t="shared" si="442"/>
        <v>5273.6953125</v>
      </c>
      <c r="AR839" s="21">
        <v>5273.6953125</v>
      </c>
      <c r="AS839" s="610">
        <v>0</v>
      </c>
      <c r="AT839" s="112">
        <v>5273.6953125</v>
      </c>
      <c r="AU839" s="4"/>
      <c r="AV839" s="4"/>
      <c r="AW839" s="23" t="e">
        <f>VLOOKUP(K839,#REF!,8,FALSE)</f>
        <v>#REF!</v>
      </c>
      <c r="AX839" s="23" t="e">
        <f>VLOOKUP(K839,#REF!,8,FALSE)</f>
        <v>#REF!</v>
      </c>
      <c r="AY839" s="23" t="e">
        <f>VLOOKUP(K839,#REF!,8,FALSE)</f>
        <v>#REF!</v>
      </c>
      <c r="AZ839" s="4"/>
      <c r="BA839" s="272"/>
      <c r="BB839" s="318">
        <f t="shared" si="430"/>
        <v>0</v>
      </c>
      <c r="BC839" s="269">
        <f t="shared" si="431"/>
        <v>5273.6953125</v>
      </c>
      <c r="BD839" t="str">
        <f>BG839&amp;BH839&amp;BI839</f>
        <v/>
      </c>
      <c r="BP839" s="166">
        <f t="shared" si="432"/>
        <v>5273.6953125</v>
      </c>
      <c r="BS839" s="165"/>
      <c r="BX839" s="495">
        <f t="shared" si="443"/>
        <v>5273.6953125</v>
      </c>
      <c r="BZ839" s="636">
        <f t="shared" si="444"/>
        <v>0</v>
      </c>
      <c r="CA839" s="633">
        <f t="shared" si="445"/>
        <v>5273.6953125</v>
      </c>
    </row>
    <row r="840" spans="1:80" x14ac:dyDescent="0.2">
      <c r="A840" s="4">
        <v>1</v>
      </c>
      <c r="B840" s="4">
        <v>1</v>
      </c>
      <c r="C840" s="5">
        <f t="shared" si="439"/>
        <v>41147</v>
      </c>
      <c r="D840" s="6">
        <v>41147</v>
      </c>
      <c r="E840" s="121">
        <v>43012</v>
      </c>
      <c r="F840" s="6" t="s">
        <v>1606</v>
      </c>
      <c r="G840" s="7" t="s">
        <v>75</v>
      </c>
      <c r="H840" s="33"/>
      <c r="I840" s="7" t="s">
        <v>32</v>
      </c>
      <c r="J840" s="7"/>
      <c r="K840" s="29">
        <v>407890</v>
      </c>
      <c r="L840" s="34" t="s">
        <v>1764</v>
      </c>
      <c r="M840" s="10" t="s">
        <v>1767</v>
      </c>
      <c r="N840" s="10" t="s">
        <v>1768</v>
      </c>
      <c r="O840" s="11" t="s">
        <v>1769</v>
      </c>
      <c r="P840" s="12">
        <v>41275</v>
      </c>
      <c r="Q840" s="13">
        <f t="shared" ca="1" si="418"/>
        <v>12.722792607802875</v>
      </c>
      <c r="R840" s="14">
        <v>5</v>
      </c>
      <c r="S840" s="15">
        <v>872</v>
      </c>
      <c r="T840" s="8">
        <v>872</v>
      </c>
      <c r="U840" s="16">
        <v>45017</v>
      </c>
      <c r="V840" s="17">
        <v>1</v>
      </c>
      <c r="W840" s="102">
        <v>45128</v>
      </c>
      <c r="X840" s="14">
        <v>63</v>
      </c>
      <c r="Y840" s="18">
        <f t="shared" si="436"/>
        <v>63</v>
      </c>
      <c r="Z840" s="18">
        <f t="shared" si="437"/>
        <v>0.328125</v>
      </c>
      <c r="AA840" s="18" t="s">
        <v>36</v>
      </c>
      <c r="AB840" s="26">
        <v>22</v>
      </c>
      <c r="AC840" s="26"/>
      <c r="AD840" s="26"/>
      <c r="AE840" s="147" t="str">
        <f t="shared" si="433"/>
        <v>1</v>
      </c>
      <c r="AF840" s="147" t="str">
        <f t="shared" si="428"/>
        <v>0</v>
      </c>
      <c r="AG840" s="147" t="str">
        <f t="shared" si="434"/>
        <v>0</v>
      </c>
      <c r="AH840" s="147" t="str">
        <f t="shared" si="423"/>
        <v>NO</v>
      </c>
      <c r="AI840" s="147" t="str">
        <f t="shared" si="424"/>
        <v>NO</v>
      </c>
      <c r="AJ840" s="147" t="str">
        <f t="shared" si="425"/>
        <v>NO</v>
      </c>
      <c r="AK840" s="147" t="str">
        <f t="shared" si="426"/>
        <v>NO</v>
      </c>
      <c r="AL840" s="21"/>
      <c r="AM840" s="21">
        <f t="shared" si="440"/>
        <v>4400.9399999999987</v>
      </c>
      <c r="AN840" s="27" t="s">
        <v>536</v>
      </c>
      <c r="AO840" s="21">
        <v>1</v>
      </c>
      <c r="AP840" s="21">
        <f t="shared" si="435"/>
        <v>0.328125</v>
      </c>
      <c r="AQ840" s="149">
        <f t="shared" si="442"/>
        <v>1444.0584374999996</v>
      </c>
      <c r="AR840" s="21">
        <v>4400.9399999999987</v>
      </c>
      <c r="AS840" s="610">
        <v>4400.9399999999987</v>
      </c>
      <c r="AT840" s="112">
        <v>4400.9399999999987</v>
      </c>
      <c r="AU840" s="4"/>
      <c r="AV840" s="4"/>
      <c r="AW840" s="23" t="e">
        <f>VLOOKUP(K840,#REF!,8,FALSE)</f>
        <v>#REF!</v>
      </c>
      <c r="AX840" s="23" t="e">
        <f>VLOOKUP(K840,#REF!,8,FALSE)</f>
        <v>#REF!</v>
      </c>
      <c r="AY840" s="23" t="e">
        <f>VLOOKUP(K840,#REF!,8,FALSE)</f>
        <v>#REF!</v>
      </c>
      <c r="AZ840" s="4"/>
      <c r="BA840" s="272"/>
      <c r="BB840" s="318">
        <f t="shared" si="430"/>
        <v>0</v>
      </c>
      <c r="BC840" s="269">
        <f t="shared" si="431"/>
        <v>4400.9399999999987</v>
      </c>
      <c r="BD840" t="str">
        <f>BG840&amp;BH840&amp;BI840</f>
        <v/>
      </c>
      <c r="BP840" s="166">
        <f t="shared" ref="BP840:BP871" si="446">BC840+BO840</f>
        <v>4400.9399999999987</v>
      </c>
      <c r="BS840" s="165" t="s">
        <v>2398</v>
      </c>
      <c r="BT840" t="s">
        <v>2565</v>
      </c>
      <c r="BV840" s="110" t="s">
        <v>2567</v>
      </c>
      <c r="BX840" s="495">
        <f t="shared" si="443"/>
        <v>1444.0584374999996</v>
      </c>
      <c r="BZ840" s="636">
        <f t="shared" si="444"/>
        <v>-2956.8815624999988</v>
      </c>
      <c r="CA840" s="633">
        <f t="shared" si="445"/>
        <v>-2956.8815624999988</v>
      </c>
      <c r="CB840" t="s">
        <v>2566</v>
      </c>
    </row>
    <row r="841" spans="1:80" x14ac:dyDescent="0.2">
      <c r="A841" s="4">
        <v>1</v>
      </c>
      <c r="B841" s="4">
        <v>1</v>
      </c>
      <c r="C841" s="5">
        <f t="shared" si="439"/>
        <v>41149</v>
      </c>
      <c r="D841" s="6">
        <v>41149</v>
      </c>
      <c r="E841" s="6">
        <v>43011</v>
      </c>
      <c r="F841" s="6" t="s">
        <v>1876</v>
      </c>
      <c r="G841" s="7"/>
      <c r="H841" s="33"/>
      <c r="I841" s="7" t="s">
        <v>32</v>
      </c>
      <c r="J841" s="7"/>
      <c r="K841" s="29">
        <v>428817</v>
      </c>
      <c r="L841" s="10" t="s">
        <v>1770</v>
      </c>
      <c r="M841" s="10" t="s">
        <v>1771</v>
      </c>
      <c r="N841" s="10" t="s">
        <v>1772</v>
      </c>
      <c r="O841" s="11" t="s">
        <v>1773</v>
      </c>
      <c r="P841" s="12">
        <v>42536</v>
      </c>
      <c r="Q841" s="13">
        <f t="shared" ref="Q841:Q873" ca="1" si="447">(TODAY()-P841)/365.25</f>
        <v>9.2703627652292955</v>
      </c>
      <c r="R841" s="14">
        <v>2</v>
      </c>
      <c r="S841" s="15">
        <v>872</v>
      </c>
      <c r="T841" s="8">
        <v>872</v>
      </c>
      <c r="U841" s="16">
        <v>45017</v>
      </c>
      <c r="V841" s="17">
        <v>1</v>
      </c>
      <c r="W841" s="16">
        <v>45128</v>
      </c>
      <c r="X841" s="14">
        <v>63</v>
      </c>
      <c r="Y841" s="18">
        <f t="shared" si="436"/>
        <v>63</v>
      </c>
      <c r="Z841" s="18">
        <f t="shared" si="437"/>
        <v>0.328125</v>
      </c>
      <c r="AA841" s="16" t="s">
        <v>405</v>
      </c>
      <c r="AB841" s="26">
        <v>25</v>
      </c>
      <c r="AC841" s="26"/>
      <c r="AD841" s="26"/>
      <c r="AE841" s="147" t="str">
        <f t="shared" si="433"/>
        <v>1</v>
      </c>
      <c r="AF841" s="147" t="str">
        <f t="shared" si="428"/>
        <v>0</v>
      </c>
      <c r="AG841" s="147" t="str">
        <f t="shared" si="434"/>
        <v>0</v>
      </c>
      <c r="AH841" s="147" t="str">
        <f t="shared" si="423"/>
        <v>NO</v>
      </c>
      <c r="AI841" s="147" t="str">
        <f t="shared" si="424"/>
        <v>NO</v>
      </c>
      <c r="AJ841" s="147" t="str">
        <f t="shared" si="425"/>
        <v>NO</v>
      </c>
      <c r="AK841" s="147" t="str">
        <f t="shared" si="426"/>
        <v>NO</v>
      </c>
      <c r="AL841" s="21"/>
      <c r="AM841" s="21">
        <f t="shared" si="440"/>
        <v>5819.25</v>
      </c>
      <c r="AN841" s="27" t="s">
        <v>37</v>
      </c>
      <c r="AO841" s="21">
        <v>1</v>
      </c>
      <c r="AP841" s="21">
        <f t="shared" si="435"/>
        <v>0.328125</v>
      </c>
      <c r="AQ841" s="149">
        <f t="shared" si="442"/>
        <v>1909.44140625</v>
      </c>
      <c r="AR841" s="21">
        <v>1909.44140625</v>
      </c>
      <c r="AS841" s="610">
        <v>1909.44140625</v>
      </c>
      <c r="AT841" s="112">
        <v>1909.44140625</v>
      </c>
      <c r="AU841" s="4"/>
      <c r="AV841" s="4"/>
      <c r="AW841" s="23" t="s">
        <v>2204</v>
      </c>
      <c r="AX841" s="23" t="e">
        <f>VLOOKUP(K841,#REF!,8,FALSE)</f>
        <v>#REF!</v>
      </c>
      <c r="AY841" s="23" t="e">
        <f>VLOOKUP(K841,#REF!,8,FALSE)</f>
        <v>#REF!</v>
      </c>
      <c r="AZ841" s="4"/>
      <c r="BA841" s="272"/>
      <c r="BB841" s="318">
        <f t="shared" si="430"/>
        <v>0</v>
      </c>
      <c r="BC841" s="269">
        <f t="shared" si="431"/>
        <v>1909.44140625</v>
      </c>
      <c r="BD841" t="e">
        <f>BG841&amp;BH841&amp;BI841</f>
        <v>#REF!</v>
      </c>
      <c r="BE841" t="s">
        <v>2397</v>
      </c>
      <c r="BF841">
        <v>43011</v>
      </c>
      <c r="BG841" t="e">
        <f>VLOOKUP(K841,#REF!,9,FALSE)</f>
        <v>#REF!</v>
      </c>
      <c r="BJ841">
        <f>AB841</f>
        <v>25</v>
      </c>
      <c r="BK841" s="269">
        <f>AM841</f>
        <v>5819.25</v>
      </c>
      <c r="BL841" s="108" t="s">
        <v>75</v>
      </c>
      <c r="BO841" s="106">
        <f>BK841/192*127</f>
        <v>3849.19140625</v>
      </c>
      <c r="BP841" s="166">
        <f t="shared" si="446"/>
        <v>5758.6328125</v>
      </c>
      <c r="BS841" s="165"/>
      <c r="BX841" s="495">
        <f t="shared" si="443"/>
        <v>5758.6328125</v>
      </c>
      <c r="BZ841" s="636">
        <f t="shared" si="444"/>
        <v>0</v>
      </c>
      <c r="CA841" s="633">
        <f t="shared" si="445"/>
        <v>3849.19140625</v>
      </c>
    </row>
    <row r="842" spans="1:80" x14ac:dyDescent="0.2">
      <c r="A842" s="4">
        <v>1</v>
      </c>
      <c r="B842" s="4">
        <v>1</v>
      </c>
      <c r="C842" s="5">
        <f t="shared" si="439"/>
        <v>41149</v>
      </c>
      <c r="D842" s="6">
        <v>41149</v>
      </c>
      <c r="E842" s="6">
        <v>43011</v>
      </c>
      <c r="F842" s="6" t="s">
        <v>1876</v>
      </c>
      <c r="G842" s="7"/>
      <c r="H842" s="7"/>
      <c r="I842" s="7" t="s">
        <v>32</v>
      </c>
      <c r="J842" s="7"/>
      <c r="K842" s="29">
        <v>424688</v>
      </c>
      <c r="L842" s="10" t="s">
        <v>1770</v>
      </c>
      <c r="M842" s="10" t="s">
        <v>1774</v>
      </c>
      <c r="N842" s="10" t="s">
        <v>1775</v>
      </c>
      <c r="O842" s="11" t="s">
        <v>1776</v>
      </c>
      <c r="P842" s="12">
        <v>42342</v>
      </c>
      <c r="Q842" s="13">
        <f t="shared" ca="1" si="447"/>
        <v>9.801505817932922</v>
      </c>
      <c r="R842" s="14">
        <v>2</v>
      </c>
      <c r="S842" s="15">
        <v>872</v>
      </c>
      <c r="T842" s="8">
        <v>872</v>
      </c>
      <c r="U842" s="16">
        <v>45017</v>
      </c>
      <c r="V842" s="17">
        <v>1</v>
      </c>
      <c r="W842" s="16">
        <v>45128</v>
      </c>
      <c r="X842" s="14">
        <v>63</v>
      </c>
      <c r="Y842" s="18">
        <f t="shared" si="436"/>
        <v>63</v>
      </c>
      <c r="Z842" s="18">
        <f t="shared" si="437"/>
        <v>0.328125</v>
      </c>
      <c r="AA842" s="16" t="s">
        <v>405</v>
      </c>
      <c r="AB842" s="26">
        <v>30</v>
      </c>
      <c r="AC842" s="26"/>
      <c r="AD842" s="26"/>
      <c r="AE842" s="147" t="str">
        <f t="shared" ref="AE842:AE873" si="448">IF(AND(AB842&lt;=25,AB842&gt;=20),"1","0")</f>
        <v>0</v>
      </c>
      <c r="AF842" s="147" t="str">
        <f t="shared" si="428"/>
        <v>1</v>
      </c>
      <c r="AG842" s="147" t="str">
        <f t="shared" ref="AG842:AG873" si="449">IF(AB842&gt;=31,"1","0")</f>
        <v>0</v>
      </c>
      <c r="AH842" s="147" t="str">
        <f t="shared" si="423"/>
        <v>NO</v>
      </c>
      <c r="AI842" s="147" t="str">
        <f t="shared" si="424"/>
        <v>NO</v>
      </c>
      <c r="AJ842" s="147" t="str">
        <f t="shared" si="425"/>
        <v>NO</v>
      </c>
      <c r="AK842" s="147" t="str">
        <f t="shared" si="426"/>
        <v>NO</v>
      </c>
      <c r="AL842" s="21"/>
      <c r="AM842" s="21">
        <f t="shared" si="440"/>
        <v>8183.0999999999985</v>
      </c>
      <c r="AN842" s="27" t="s">
        <v>43</v>
      </c>
      <c r="AO842" s="21">
        <v>1</v>
      </c>
      <c r="AP842" s="21">
        <f t="shared" ref="AP842:AP857" si="450">AO842*Z842</f>
        <v>0.328125</v>
      </c>
      <c r="AQ842" s="149">
        <f t="shared" si="442"/>
        <v>2685.0796874999996</v>
      </c>
      <c r="AR842" s="21">
        <v>2685.0796874999996</v>
      </c>
      <c r="AS842" s="610">
        <v>2685.0796874999996</v>
      </c>
      <c r="AT842" s="112">
        <v>2685.0796874999996</v>
      </c>
      <c r="AU842" s="4"/>
      <c r="AV842" s="4"/>
      <c r="AW842" s="23" t="s">
        <v>2204</v>
      </c>
      <c r="AX842" s="23" t="e">
        <f>VLOOKUP(K842,#REF!,8,FALSE)</f>
        <v>#REF!</v>
      </c>
      <c r="AY842" s="23" t="e">
        <f>VLOOKUP(K842,#REF!,8,FALSE)</f>
        <v>#REF!</v>
      </c>
      <c r="AZ842" s="4"/>
      <c r="BA842" s="272"/>
      <c r="BB842" s="318">
        <f t="shared" si="430"/>
        <v>0</v>
      </c>
      <c r="BC842" s="269">
        <f t="shared" si="431"/>
        <v>2685.0796874999996</v>
      </c>
      <c r="BD842" t="s">
        <v>2204</v>
      </c>
      <c r="BE842" t="s">
        <v>2397</v>
      </c>
      <c r="BF842">
        <v>43011</v>
      </c>
      <c r="BG842" t="e">
        <f>VLOOKUP(K842,#REF!,9,FALSE)</f>
        <v>#REF!</v>
      </c>
      <c r="BJ842">
        <f>AB842</f>
        <v>30</v>
      </c>
      <c r="BK842" s="269">
        <f>AM842</f>
        <v>8183.0999999999985</v>
      </c>
      <c r="BL842" s="108" t="s">
        <v>75</v>
      </c>
      <c r="BO842" s="106">
        <f>BK842/192*127</f>
        <v>5412.7796874999985</v>
      </c>
      <c r="BP842" s="166">
        <f t="shared" si="446"/>
        <v>8097.8593749999982</v>
      </c>
      <c r="BS842" s="165"/>
      <c r="BX842" s="495">
        <f t="shared" si="443"/>
        <v>8097.8593749999982</v>
      </c>
      <c r="BZ842" s="636">
        <f t="shared" si="444"/>
        <v>0</v>
      </c>
      <c r="CA842" s="633">
        <f t="shared" si="445"/>
        <v>5412.7796874999985</v>
      </c>
    </row>
    <row r="843" spans="1:80" x14ac:dyDescent="0.2">
      <c r="A843" s="4">
        <v>1</v>
      </c>
      <c r="B843" s="4">
        <v>1</v>
      </c>
      <c r="C843" s="5">
        <f t="shared" si="439"/>
        <v>41149</v>
      </c>
      <c r="D843" s="6">
        <v>41149</v>
      </c>
      <c r="E843" s="6">
        <v>43011</v>
      </c>
      <c r="F843" s="6" t="s">
        <v>1876</v>
      </c>
      <c r="G843" s="7"/>
      <c r="H843" s="7"/>
      <c r="I843" s="7" t="s">
        <v>32</v>
      </c>
      <c r="J843" s="7"/>
      <c r="K843" s="29">
        <v>429235</v>
      </c>
      <c r="L843" s="10" t="s">
        <v>1770</v>
      </c>
      <c r="M843" s="10" t="s">
        <v>578</v>
      </c>
      <c r="N843" s="10" t="s">
        <v>1777</v>
      </c>
      <c r="O843" s="11" t="s">
        <v>1778</v>
      </c>
      <c r="P843" s="12">
        <v>42568</v>
      </c>
      <c r="Q843" s="13">
        <f t="shared" ca="1" si="447"/>
        <v>9.1827515400410675</v>
      </c>
      <c r="R843" s="14">
        <v>2</v>
      </c>
      <c r="S843" s="15">
        <v>872</v>
      </c>
      <c r="T843" s="8">
        <v>872</v>
      </c>
      <c r="U843" s="16">
        <v>45050</v>
      </c>
      <c r="V843" s="17">
        <v>13</v>
      </c>
      <c r="W843" s="16">
        <v>45128</v>
      </c>
      <c r="X843" s="14">
        <v>63</v>
      </c>
      <c r="Y843" s="18">
        <f t="shared" si="436"/>
        <v>51</v>
      </c>
      <c r="Z843" s="18">
        <f t="shared" si="437"/>
        <v>0.265625</v>
      </c>
      <c r="AA843" s="16" t="s">
        <v>405</v>
      </c>
      <c r="AB843" s="26">
        <v>28</v>
      </c>
      <c r="AC843" s="26"/>
      <c r="AD843" s="26"/>
      <c r="AE843" s="147" t="str">
        <f t="shared" si="448"/>
        <v>0</v>
      </c>
      <c r="AF843" s="147" t="str">
        <f t="shared" si="428"/>
        <v>1</v>
      </c>
      <c r="AG843" s="147" t="str">
        <f t="shared" si="449"/>
        <v>0</v>
      </c>
      <c r="AH843" s="147" t="str">
        <f t="shared" si="423"/>
        <v>NO</v>
      </c>
      <c r="AI843" s="147" t="str">
        <f t="shared" si="424"/>
        <v>NO</v>
      </c>
      <c r="AJ843" s="147" t="str">
        <f t="shared" si="425"/>
        <v>NO</v>
      </c>
      <c r="AK843" s="147" t="str">
        <f t="shared" si="426"/>
        <v>NO</v>
      </c>
      <c r="AL843" s="21"/>
      <c r="AM843" s="21">
        <f t="shared" si="440"/>
        <v>7237.5599999999995</v>
      </c>
      <c r="AN843" s="27" t="s">
        <v>43</v>
      </c>
      <c r="AO843" s="21">
        <v>1</v>
      </c>
      <c r="AP843" s="21">
        <f t="shared" si="450"/>
        <v>0.265625</v>
      </c>
      <c r="AQ843" s="149">
        <f t="shared" si="442"/>
        <v>1922.4768749999998</v>
      </c>
      <c r="AR843" s="21">
        <v>1922.4768749999998</v>
      </c>
      <c r="AS843" s="610">
        <v>0</v>
      </c>
      <c r="AT843" s="112">
        <v>1922.4768749999998</v>
      </c>
      <c r="AU843" s="4"/>
      <c r="AV843" s="4"/>
      <c r="AW843" s="23" t="s">
        <v>2204</v>
      </c>
      <c r="AX843" s="23" t="e">
        <f>VLOOKUP(K843,#REF!,8,FALSE)</f>
        <v>#REF!</v>
      </c>
      <c r="AY843" s="23" t="e">
        <f>VLOOKUP(K843,#REF!,8,FALSE)</f>
        <v>#REF!</v>
      </c>
      <c r="AZ843" s="4"/>
      <c r="BA843" s="272"/>
      <c r="BB843" s="318">
        <f t="shared" si="430"/>
        <v>0</v>
      </c>
      <c r="BC843" s="269">
        <f t="shared" si="431"/>
        <v>1922.4768749999998</v>
      </c>
      <c r="BD843" t="e">
        <f t="shared" ref="BD843:BD849" si="451">BG843&amp;BH843&amp;BI843</f>
        <v>#REF!</v>
      </c>
      <c r="BE843" t="s">
        <v>2397</v>
      </c>
      <c r="BF843">
        <v>43011</v>
      </c>
      <c r="BG843" t="e">
        <f>VLOOKUP(K843,#REF!,9,FALSE)</f>
        <v>#REF!</v>
      </c>
      <c r="BJ843">
        <f>AB843</f>
        <v>28</v>
      </c>
      <c r="BK843" s="269">
        <f>AM843</f>
        <v>7237.5599999999995</v>
      </c>
      <c r="BL843" s="108" t="s">
        <v>75</v>
      </c>
      <c r="BO843" s="106">
        <f>BK843/192*127</f>
        <v>4787.3443749999997</v>
      </c>
      <c r="BP843" s="166">
        <f t="shared" si="446"/>
        <v>6709.8212499999991</v>
      </c>
      <c r="BS843" s="165"/>
      <c r="BX843" s="495">
        <f t="shared" si="443"/>
        <v>6709.8212499999991</v>
      </c>
      <c r="BZ843" s="636">
        <f t="shared" si="444"/>
        <v>0</v>
      </c>
      <c r="CA843" s="633">
        <f t="shared" si="445"/>
        <v>6709.8212499999991</v>
      </c>
    </row>
    <row r="844" spans="1:80" x14ac:dyDescent="0.2">
      <c r="A844" s="4">
        <v>1</v>
      </c>
      <c r="B844" s="4">
        <v>1</v>
      </c>
      <c r="C844" s="5">
        <f t="shared" si="439"/>
        <v>41149</v>
      </c>
      <c r="D844" s="6">
        <v>41149</v>
      </c>
      <c r="E844" s="6">
        <v>43011</v>
      </c>
      <c r="F844" s="6" t="s">
        <v>1876</v>
      </c>
      <c r="G844" s="7"/>
      <c r="H844" s="7"/>
      <c r="I844" s="7" t="s">
        <v>32</v>
      </c>
      <c r="J844" s="7"/>
      <c r="K844" s="29">
        <v>425001</v>
      </c>
      <c r="L844" s="10" t="s">
        <v>1770</v>
      </c>
      <c r="M844" s="10" t="s">
        <v>95</v>
      </c>
      <c r="N844" s="10" t="s">
        <v>1779</v>
      </c>
      <c r="O844" s="11" t="s">
        <v>1780</v>
      </c>
      <c r="P844" s="12">
        <v>42379</v>
      </c>
      <c r="Q844" s="13">
        <f t="shared" ca="1" si="447"/>
        <v>9.7002053388090346</v>
      </c>
      <c r="R844" s="14">
        <v>2</v>
      </c>
      <c r="S844" s="15">
        <v>872</v>
      </c>
      <c r="T844" s="8">
        <v>872</v>
      </c>
      <c r="U844" s="16">
        <v>45017</v>
      </c>
      <c r="V844" s="17">
        <v>1</v>
      </c>
      <c r="W844" s="16">
        <v>45128</v>
      </c>
      <c r="X844" s="14">
        <v>63</v>
      </c>
      <c r="Y844" s="18">
        <f t="shared" si="436"/>
        <v>63</v>
      </c>
      <c r="Z844" s="18">
        <f t="shared" si="437"/>
        <v>0.328125</v>
      </c>
      <c r="AA844" s="16" t="s">
        <v>405</v>
      </c>
      <c r="AB844" s="26">
        <v>30</v>
      </c>
      <c r="AC844" s="26"/>
      <c r="AD844" s="26"/>
      <c r="AE844" s="147" t="str">
        <f t="shared" si="448"/>
        <v>0</v>
      </c>
      <c r="AF844" s="147" t="str">
        <f t="shared" si="428"/>
        <v>1</v>
      </c>
      <c r="AG844" s="147" t="str">
        <f t="shared" si="449"/>
        <v>0</v>
      </c>
      <c r="AH844" s="147" t="str">
        <f t="shared" si="423"/>
        <v>NO</v>
      </c>
      <c r="AI844" s="147" t="str">
        <f t="shared" si="424"/>
        <v>NO</v>
      </c>
      <c r="AJ844" s="147" t="str">
        <f t="shared" si="425"/>
        <v>NO</v>
      </c>
      <c r="AK844" s="147" t="str">
        <f t="shared" si="426"/>
        <v>NO</v>
      </c>
      <c r="AL844" s="21"/>
      <c r="AM844" s="21">
        <f t="shared" si="440"/>
        <v>8183.0999999999985</v>
      </c>
      <c r="AN844" s="27" t="s">
        <v>43</v>
      </c>
      <c r="AO844" s="21">
        <v>1</v>
      </c>
      <c r="AP844" s="21">
        <f t="shared" si="450"/>
        <v>0.328125</v>
      </c>
      <c r="AQ844" s="149">
        <f t="shared" si="442"/>
        <v>2685.0796874999996</v>
      </c>
      <c r="AR844" s="21">
        <v>2685.0796874999996</v>
      </c>
      <c r="AS844" s="610">
        <v>2685.0796874999996</v>
      </c>
      <c r="AT844" s="112">
        <v>2685.0796874999996</v>
      </c>
      <c r="AU844" s="4"/>
      <c r="AV844" s="4"/>
      <c r="AW844" s="23" t="s">
        <v>2204</v>
      </c>
      <c r="AX844" s="23" t="e">
        <f>VLOOKUP(K844,#REF!,8,FALSE)</f>
        <v>#REF!</v>
      </c>
      <c r="AY844" s="23" t="e">
        <f>VLOOKUP(K844,#REF!,8,FALSE)</f>
        <v>#REF!</v>
      </c>
      <c r="AZ844" s="4"/>
      <c r="BA844" s="272"/>
      <c r="BB844" s="318">
        <f t="shared" si="430"/>
        <v>0</v>
      </c>
      <c r="BC844" s="269">
        <f t="shared" si="431"/>
        <v>2685.0796874999996</v>
      </c>
      <c r="BD844" t="e">
        <f t="shared" si="451"/>
        <v>#REF!</v>
      </c>
      <c r="BE844" t="s">
        <v>2397</v>
      </c>
      <c r="BF844">
        <v>43011</v>
      </c>
      <c r="BG844" t="e">
        <f>VLOOKUP(K844,#REF!,9,FALSE)</f>
        <v>#REF!</v>
      </c>
      <c r="BJ844">
        <f>AB844</f>
        <v>30</v>
      </c>
      <c r="BK844" s="269">
        <f>AM844</f>
        <v>8183.0999999999985</v>
      </c>
      <c r="BL844" s="108" t="s">
        <v>75</v>
      </c>
      <c r="BO844" s="106">
        <f>BK844/192*127</f>
        <v>5412.7796874999985</v>
      </c>
      <c r="BP844" s="166">
        <f t="shared" si="446"/>
        <v>8097.8593749999982</v>
      </c>
      <c r="BS844" s="165"/>
      <c r="BX844" s="495">
        <f t="shared" si="443"/>
        <v>8097.8593749999982</v>
      </c>
      <c r="BZ844" s="636">
        <f t="shared" si="444"/>
        <v>0</v>
      </c>
      <c r="CA844" s="633">
        <f t="shared" si="445"/>
        <v>5412.7796874999985</v>
      </c>
    </row>
    <row r="845" spans="1:80" x14ac:dyDescent="0.2">
      <c r="A845" s="4">
        <v>0</v>
      </c>
      <c r="B845" s="4">
        <v>1</v>
      </c>
      <c r="C845" s="5">
        <f t="shared" si="439"/>
        <v>41149</v>
      </c>
      <c r="D845" s="6">
        <v>41149</v>
      </c>
      <c r="E845" s="6">
        <v>43011</v>
      </c>
      <c r="F845" s="6" t="s">
        <v>1876</v>
      </c>
      <c r="G845" s="7"/>
      <c r="H845" s="7"/>
      <c r="I845" s="7" t="s">
        <v>32</v>
      </c>
      <c r="J845" s="7"/>
      <c r="K845" s="29">
        <v>428660</v>
      </c>
      <c r="L845" s="10" t="s">
        <v>1770</v>
      </c>
      <c r="M845" s="10" t="s">
        <v>780</v>
      </c>
      <c r="N845" s="10" t="s">
        <v>1781</v>
      </c>
      <c r="O845" s="11" t="s">
        <v>1782</v>
      </c>
      <c r="P845" s="12">
        <v>42469</v>
      </c>
      <c r="Q845" s="13">
        <f t="shared" ca="1" si="447"/>
        <v>9.4537987679671449</v>
      </c>
      <c r="R845" s="14">
        <v>2</v>
      </c>
      <c r="S845" s="15">
        <v>872</v>
      </c>
      <c r="T845" s="8">
        <v>872</v>
      </c>
      <c r="U845" s="16">
        <v>45017</v>
      </c>
      <c r="V845" s="17">
        <v>1</v>
      </c>
      <c r="W845" s="16">
        <v>45017</v>
      </c>
      <c r="X845" s="14">
        <v>0</v>
      </c>
      <c r="Y845" s="18">
        <f t="shared" si="436"/>
        <v>0</v>
      </c>
      <c r="Z845" s="18">
        <f t="shared" si="437"/>
        <v>0</v>
      </c>
      <c r="AA845" s="16" t="s">
        <v>405</v>
      </c>
      <c r="AB845" s="103">
        <v>0</v>
      </c>
      <c r="AC845" s="26"/>
      <c r="AD845" s="26"/>
      <c r="AE845" s="147" t="str">
        <f t="shared" si="448"/>
        <v>0</v>
      </c>
      <c r="AF845" s="147" t="str">
        <f t="shared" si="428"/>
        <v>0</v>
      </c>
      <c r="AG845" s="147" t="str">
        <f t="shared" si="449"/>
        <v>0</v>
      </c>
      <c r="AH845" s="147" t="str">
        <f t="shared" si="423"/>
        <v>NO</v>
      </c>
      <c r="AI845" s="147" t="str">
        <f t="shared" si="424"/>
        <v>NO</v>
      </c>
      <c r="AJ845" s="147" t="str">
        <f t="shared" si="425"/>
        <v>NO</v>
      </c>
      <c r="AK845" s="147" t="str">
        <f t="shared" si="426"/>
        <v>NO</v>
      </c>
      <c r="AL845" s="21"/>
      <c r="AM845" s="21">
        <v>0</v>
      </c>
      <c r="AN845" s="27" t="s">
        <v>185</v>
      </c>
      <c r="AO845" s="21">
        <v>1</v>
      </c>
      <c r="AP845" s="21">
        <f t="shared" si="450"/>
        <v>0</v>
      </c>
      <c r="AQ845" s="149">
        <f t="shared" si="442"/>
        <v>0</v>
      </c>
      <c r="AR845" s="21">
        <v>0</v>
      </c>
      <c r="AS845" s="610">
        <v>-1968.75</v>
      </c>
      <c r="AT845" s="112">
        <v>0</v>
      </c>
      <c r="AU845" s="4"/>
      <c r="AV845" s="4"/>
      <c r="AW845" s="23" t="s">
        <v>2204</v>
      </c>
      <c r="AX845" s="23" t="e">
        <f>VLOOKUP(K845,#REF!,8,FALSE)</f>
        <v>#REF!</v>
      </c>
      <c r="AY845" s="23" t="e">
        <f>VLOOKUP(K845,#REF!,8,FALSE)</f>
        <v>#REF!</v>
      </c>
      <c r="AZ845" s="4"/>
      <c r="BA845" s="272"/>
      <c r="BB845" s="318">
        <f t="shared" si="430"/>
        <v>0</v>
      </c>
      <c r="BC845" s="269">
        <f t="shared" si="431"/>
        <v>0</v>
      </c>
      <c r="BD845" t="e">
        <f t="shared" si="451"/>
        <v>#REF!</v>
      </c>
      <c r="BE845" t="s">
        <v>2397</v>
      </c>
      <c r="BF845">
        <v>43011</v>
      </c>
      <c r="BG845" t="e">
        <f>VLOOKUP(K845,#REF!,9,FALSE)</f>
        <v>#REF!</v>
      </c>
      <c r="BP845" s="166">
        <f t="shared" si="446"/>
        <v>0</v>
      </c>
      <c r="BS845" s="165"/>
      <c r="BX845" s="495">
        <f t="shared" si="443"/>
        <v>0</v>
      </c>
      <c r="BZ845" s="636">
        <f t="shared" si="444"/>
        <v>0</v>
      </c>
      <c r="CA845" s="633">
        <f t="shared" si="445"/>
        <v>1968.75</v>
      </c>
    </row>
    <row r="846" spans="1:80" x14ac:dyDescent="0.2">
      <c r="A846" s="4">
        <v>1</v>
      </c>
      <c r="B846" s="4">
        <v>1</v>
      </c>
      <c r="C846" s="5">
        <f t="shared" si="439"/>
        <v>41149</v>
      </c>
      <c r="D846" s="6">
        <v>41149</v>
      </c>
      <c r="E846" s="6">
        <v>43011</v>
      </c>
      <c r="F846" s="6" t="s">
        <v>1876</v>
      </c>
      <c r="G846" s="7"/>
      <c r="H846" s="7"/>
      <c r="I846" s="7" t="s">
        <v>32</v>
      </c>
      <c r="J846" s="7"/>
      <c r="K846" s="29">
        <v>428660</v>
      </c>
      <c r="L846" s="10" t="s">
        <v>1770</v>
      </c>
      <c r="M846" s="10" t="s">
        <v>780</v>
      </c>
      <c r="N846" s="10" t="s">
        <v>1781</v>
      </c>
      <c r="O846" s="11" t="s">
        <v>1782</v>
      </c>
      <c r="P846" s="12">
        <v>42469</v>
      </c>
      <c r="Q846" s="13">
        <f t="shared" ca="1" si="447"/>
        <v>9.4537987679671449</v>
      </c>
      <c r="R846" s="14">
        <v>2</v>
      </c>
      <c r="S846" s="15">
        <v>872</v>
      </c>
      <c r="T846" s="8">
        <v>872</v>
      </c>
      <c r="U846" s="16">
        <v>45017</v>
      </c>
      <c r="V846" s="17">
        <v>1</v>
      </c>
      <c r="W846" s="16">
        <v>45382</v>
      </c>
      <c r="X846" s="14">
        <v>192</v>
      </c>
      <c r="Y846" s="18">
        <f t="shared" si="436"/>
        <v>192</v>
      </c>
      <c r="Z846" s="18">
        <f t="shared" si="437"/>
        <v>1</v>
      </c>
      <c r="AA846" s="16" t="s">
        <v>405</v>
      </c>
      <c r="AB846" s="103">
        <v>3257.88</v>
      </c>
      <c r="AC846" s="26"/>
      <c r="AD846" s="26"/>
      <c r="AE846" s="147" t="str">
        <f t="shared" si="448"/>
        <v>0</v>
      </c>
      <c r="AF846" s="147" t="str">
        <f t="shared" si="428"/>
        <v>0</v>
      </c>
      <c r="AG846" s="147" t="str">
        <f t="shared" si="449"/>
        <v>1</v>
      </c>
      <c r="AH846" s="147" t="str">
        <f t="shared" si="423"/>
        <v>NO</v>
      </c>
      <c r="AI846" s="147" t="str">
        <f t="shared" si="424"/>
        <v>NO</v>
      </c>
      <c r="AJ846" s="147" t="str">
        <f t="shared" si="425"/>
        <v>NO</v>
      </c>
      <c r="AK846" s="147" t="str">
        <f t="shared" si="426"/>
        <v>NO</v>
      </c>
      <c r="AL846" s="21"/>
      <c r="AM846" s="21">
        <f>AB846</f>
        <v>3257.88</v>
      </c>
      <c r="AN846" s="27" t="s">
        <v>185</v>
      </c>
      <c r="AO846" s="21">
        <v>1</v>
      </c>
      <c r="AP846" s="21">
        <f t="shared" si="450"/>
        <v>1</v>
      </c>
      <c r="AQ846" s="149">
        <f t="shared" si="442"/>
        <v>3257.88</v>
      </c>
      <c r="AR846" s="21">
        <v>3257.88</v>
      </c>
      <c r="AS846" s="610">
        <v>0</v>
      </c>
      <c r="AT846" s="112">
        <v>0</v>
      </c>
      <c r="AU846" s="4"/>
      <c r="AV846" s="4"/>
      <c r="AW846" s="23"/>
      <c r="AX846" s="23"/>
      <c r="AY846" s="23"/>
      <c r="AZ846" s="4"/>
      <c r="BA846" s="272"/>
      <c r="BB846" s="318">
        <f t="shared" si="430"/>
        <v>3257.88</v>
      </c>
      <c r="BC846" s="269">
        <f t="shared" si="431"/>
        <v>3257.88</v>
      </c>
      <c r="BD846" t="e">
        <f t="shared" si="451"/>
        <v>#REF!</v>
      </c>
      <c r="BE846" t="s">
        <v>2397</v>
      </c>
      <c r="BF846">
        <v>43011</v>
      </c>
      <c r="BG846" t="e">
        <f>VLOOKUP(K846,#REF!,9,FALSE)</f>
        <v>#REF!</v>
      </c>
      <c r="BK846">
        <v>3257.88</v>
      </c>
      <c r="BO846">
        <f>BK846/3*2</f>
        <v>2171.92</v>
      </c>
      <c r="BP846" s="166">
        <f t="shared" si="446"/>
        <v>5429.8</v>
      </c>
      <c r="BS846" s="165"/>
      <c r="BX846" s="495">
        <f t="shared" si="443"/>
        <v>5429.8</v>
      </c>
      <c r="BZ846" s="636">
        <f t="shared" si="444"/>
        <v>0</v>
      </c>
      <c r="CA846" s="633">
        <f t="shared" si="445"/>
        <v>5429.8</v>
      </c>
    </row>
    <row r="847" spans="1:80" x14ac:dyDescent="0.2">
      <c r="A847" s="4">
        <v>1</v>
      </c>
      <c r="B847" s="4">
        <v>1</v>
      </c>
      <c r="C847" s="5">
        <f t="shared" si="439"/>
        <v>41149</v>
      </c>
      <c r="D847" s="6">
        <v>41149</v>
      </c>
      <c r="E847" s="6">
        <v>43011</v>
      </c>
      <c r="F847" s="6" t="s">
        <v>1876</v>
      </c>
      <c r="G847" s="7"/>
      <c r="H847" s="7"/>
      <c r="I847" s="7" t="s">
        <v>32</v>
      </c>
      <c r="J847" s="7"/>
      <c r="K847" s="29">
        <v>429227</v>
      </c>
      <c r="L847" s="10" t="s">
        <v>1770</v>
      </c>
      <c r="M847" s="10" t="s">
        <v>1783</v>
      </c>
      <c r="N847" s="10" t="s">
        <v>1784</v>
      </c>
      <c r="O847" s="11" t="s">
        <v>1785</v>
      </c>
      <c r="P847" s="12">
        <v>42881</v>
      </c>
      <c r="Q847" s="13">
        <f t="shared" ca="1" si="447"/>
        <v>8.3258042436687205</v>
      </c>
      <c r="R847" s="14">
        <v>1</v>
      </c>
      <c r="S847" s="15">
        <v>872</v>
      </c>
      <c r="T847" s="8">
        <v>872</v>
      </c>
      <c r="U847" s="16">
        <v>45017</v>
      </c>
      <c r="V847" s="17">
        <v>1</v>
      </c>
      <c r="W847" s="16">
        <v>45382</v>
      </c>
      <c r="X847" s="14">
        <v>192</v>
      </c>
      <c r="Y847" s="18">
        <f t="shared" si="436"/>
        <v>192</v>
      </c>
      <c r="Z847" s="18">
        <f t="shared" si="437"/>
        <v>1</v>
      </c>
      <c r="AA847" s="18" t="s">
        <v>36</v>
      </c>
      <c r="AB847" s="26">
        <v>30</v>
      </c>
      <c r="AC847" s="26"/>
      <c r="AD847" s="26"/>
      <c r="AE847" s="147" t="str">
        <f t="shared" si="448"/>
        <v>0</v>
      </c>
      <c r="AF847" s="147" t="str">
        <f t="shared" si="428"/>
        <v>1</v>
      </c>
      <c r="AG847" s="147" t="str">
        <f t="shared" si="449"/>
        <v>0</v>
      </c>
      <c r="AH847" s="147" t="str">
        <f t="shared" si="423"/>
        <v>NO</v>
      </c>
      <c r="AI847" s="147" t="str">
        <f t="shared" si="424"/>
        <v>NO</v>
      </c>
      <c r="AJ847" s="147" t="str">
        <f t="shared" si="425"/>
        <v>NO</v>
      </c>
      <c r="AK847" s="147" t="str">
        <f t="shared" si="426"/>
        <v>NO</v>
      </c>
      <c r="AL847" s="21"/>
      <c r="AM847" s="21">
        <f t="shared" ref="AM847:AM857" si="452">IF(H847="Y",AL847,((AB847*$O$902)-6000))</f>
        <v>8183.0999999999985</v>
      </c>
      <c r="AN847" s="27" t="s">
        <v>37</v>
      </c>
      <c r="AO847" s="21">
        <v>1</v>
      </c>
      <c r="AP847" s="21">
        <f t="shared" si="450"/>
        <v>1</v>
      </c>
      <c r="AQ847" s="149">
        <f t="shared" si="442"/>
        <v>8183.0999999999985</v>
      </c>
      <c r="AR847" s="21">
        <v>8183.0999999999985</v>
      </c>
      <c r="AS847" s="610">
        <v>8183.0999999999985</v>
      </c>
      <c r="AT847" s="112">
        <v>8183.0999999999985</v>
      </c>
      <c r="AU847" s="4"/>
      <c r="AV847" s="4"/>
      <c r="AW847" s="23" t="e">
        <f>VLOOKUP(K847,#REF!,8,FALSE)</f>
        <v>#REF!</v>
      </c>
      <c r="AX847" s="23" t="e">
        <f>VLOOKUP(K847,#REF!,8,FALSE)</f>
        <v>#REF!</v>
      </c>
      <c r="AY847" s="23" t="e">
        <f>VLOOKUP(K847,#REF!,8,FALSE)</f>
        <v>#REF!</v>
      </c>
      <c r="AZ847" s="4"/>
      <c r="BA847" s="272"/>
      <c r="BB847" s="318">
        <f t="shared" si="430"/>
        <v>0</v>
      </c>
      <c r="BC847" s="269">
        <f t="shared" si="431"/>
        <v>8183.0999999999985</v>
      </c>
      <c r="BD847" t="str">
        <f t="shared" si="451"/>
        <v/>
      </c>
      <c r="BP847" s="166">
        <f t="shared" si="446"/>
        <v>8183.0999999999985</v>
      </c>
      <c r="BS847" s="165"/>
      <c r="BX847" s="495">
        <f t="shared" si="443"/>
        <v>8183.0999999999985</v>
      </c>
      <c r="BZ847" s="636">
        <f t="shared" si="444"/>
        <v>0</v>
      </c>
      <c r="CA847" s="633">
        <f t="shared" si="445"/>
        <v>0</v>
      </c>
    </row>
    <row r="848" spans="1:80" x14ac:dyDescent="0.2">
      <c r="A848" s="4">
        <v>1</v>
      </c>
      <c r="B848" s="4">
        <v>1</v>
      </c>
      <c r="C848" s="5">
        <f t="shared" si="439"/>
        <v>41149</v>
      </c>
      <c r="D848" s="6">
        <v>41149</v>
      </c>
      <c r="E848" s="6">
        <v>43011</v>
      </c>
      <c r="F848" s="6" t="s">
        <v>1876</v>
      </c>
      <c r="G848" s="7"/>
      <c r="H848" s="7"/>
      <c r="I848" s="7" t="s">
        <v>32</v>
      </c>
      <c r="J848" s="7"/>
      <c r="K848" s="29">
        <v>429957</v>
      </c>
      <c r="L848" s="10" t="s">
        <v>1770</v>
      </c>
      <c r="M848" s="10" t="s">
        <v>1767</v>
      </c>
      <c r="N848" s="10" t="s">
        <v>1786</v>
      </c>
      <c r="O848" s="11" t="s">
        <v>1787</v>
      </c>
      <c r="P848" s="12">
        <v>42260</v>
      </c>
      <c r="Q848" s="13">
        <f t="shared" ca="1" si="447"/>
        <v>10.026009582477755</v>
      </c>
      <c r="R848" s="14">
        <v>2</v>
      </c>
      <c r="S848" s="15">
        <v>872</v>
      </c>
      <c r="T848" s="8">
        <v>872</v>
      </c>
      <c r="U848" s="16">
        <v>45017</v>
      </c>
      <c r="V848" s="17">
        <v>1</v>
      </c>
      <c r="W848" s="16">
        <v>45128</v>
      </c>
      <c r="X848" s="14">
        <v>63</v>
      </c>
      <c r="Y848" s="18">
        <f t="shared" si="436"/>
        <v>63</v>
      </c>
      <c r="Z848" s="18">
        <f t="shared" si="437"/>
        <v>0.328125</v>
      </c>
      <c r="AA848" s="16" t="s">
        <v>405</v>
      </c>
      <c r="AB848" s="26">
        <v>27</v>
      </c>
      <c r="AC848" s="26"/>
      <c r="AD848" s="26"/>
      <c r="AE848" s="147" t="str">
        <f t="shared" si="448"/>
        <v>0</v>
      </c>
      <c r="AF848" s="147" t="str">
        <f t="shared" si="428"/>
        <v>1</v>
      </c>
      <c r="AG848" s="147" t="str">
        <f t="shared" si="449"/>
        <v>0</v>
      </c>
      <c r="AH848" s="147" t="str">
        <f t="shared" si="423"/>
        <v>NO</v>
      </c>
      <c r="AI848" s="147" t="str">
        <f t="shared" si="424"/>
        <v>NO</v>
      </c>
      <c r="AJ848" s="147" t="str">
        <f t="shared" si="425"/>
        <v>NO</v>
      </c>
      <c r="AK848" s="147" t="str">
        <f t="shared" si="426"/>
        <v>NO</v>
      </c>
      <c r="AL848" s="21"/>
      <c r="AM848" s="21">
        <f t="shared" si="452"/>
        <v>6764.7899999999991</v>
      </c>
      <c r="AN848" s="27" t="s">
        <v>43</v>
      </c>
      <c r="AO848" s="21">
        <v>1</v>
      </c>
      <c r="AP848" s="21">
        <f t="shared" si="450"/>
        <v>0.328125</v>
      </c>
      <c r="AQ848" s="149">
        <f t="shared" si="442"/>
        <v>2219.6967187499995</v>
      </c>
      <c r="AR848" s="21">
        <v>2219.6967187499995</v>
      </c>
      <c r="AS848" s="610">
        <v>2219.6967187499995</v>
      </c>
      <c r="AT848" s="112">
        <v>2219.6967187499995</v>
      </c>
      <c r="AU848" s="4"/>
      <c r="AV848" s="4"/>
      <c r="AW848" s="23" t="s">
        <v>2204</v>
      </c>
      <c r="AX848" s="23" t="e">
        <f>VLOOKUP(K848,#REF!,8,FALSE)</f>
        <v>#REF!</v>
      </c>
      <c r="AY848" s="23" t="e">
        <f>VLOOKUP(K848,#REF!,8,FALSE)</f>
        <v>#REF!</v>
      </c>
      <c r="AZ848" s="4"/>
      <c r="BA848" s="272"/>
      <c r="BB848" s="318">
        <f t="shared" si="430"/>
        <v>0</v>
      </c>
      <c r="BC848" s="269">
        <f t="shared" si="431"/>
        <v>2219.6967187499995</v>
      </c>
      <c r="BD848" t="e">
        <f t="shared" si="451"/>
        <v>#REF!</v>
      </c>
      <c r="BE848" t="s">
        <v>2397</v>
      </c>
      <c r="BF848">
        <v>43011</v>
      </c>
      <c r="BG848" t="e">
        <f>VLOOKUP(K848,#REF!,9,FALSE)</f>
        <v>#REF!</v>
      </c>
      <c r="BJ848">
        <f>AB848</f>
        <v>27</v>
      </c>
      <c r="BK848" s="269">
        <f>AM848</f>
        <v>6764.7899999999991</v>
      </c>
      <c r="BL848" s="108" t="s">
        <v>75</v>
      </c>
      <c r="BO848" s="106">
        <f>BK848/192*127</f>
        <v>4474.6267187499998</v>
      </c>
      <c r="BP848" s="166">
        <f t="shared" si="446"/>
        <v>6694.3234374999993</v>
      </c>
      <c r="BS848" s="165"/>
      <c r="BX848" s="495">
        <f t="shared" si="443"/>
        <v>6694.3234374999993</v>
      </c>
      <c r="BZ848" s="636">
        <f t="shared" si="444"/>
        <v>0</v>
      </c>
      <c r="CA848" s="633">
        <f t="shared" si="445"/>
        <v>4474.6267187499998</v>
      </c>
    </row>
    <row r="849" spans="1:79" x14ac:dyDescent="0.2">
      <c r="A849" s="4">
        <v>1</v>
      </c>
      <c r="B849" s="4">
        <v>1</v>
      </c>
      <c r="C849" s="59">
        <f t="shared" si="439"/>
        <v>41149</v>
      </c>
      <c r="D849" s="60">
        <v>41149</v>
      </c>
      <c r="E849" s="6">
        <v>43011</v>
      </c>
      <c r="F849" s="60" t="s">
        <v>1876</v>
      </c>
      <c r="G849" s="61"/>
      <c r="H849" s="61"/>
      <c r="I849" s="7" t="s">
        <v>32</v>
      </c>
      <c r="J849" s="7"/>
      <c r="K849" s="28">
        <v>440418</v>
      </c>
      <c r="L849" s="10" t="s">
        <v>1770</v>
      </c>
      <c r="M849" s="10" t="s">
        <v>1767</v>
      </c>
      <c r="N849" s="10" t="s">
        <v>1788</v>
      </c>
      <c r="O849" s="25" t="str">
        <f>M849&amp;N849</f>
        <v>RubyStoney-Channon</v>
      </c>
      <c r="P849" s="12">
        <v>42732</v>
      </c>
      <c r="Q849" s="13">
        <f t="shared" ca="1" si="447"/>
        <v>8.7337440109514031</v>
      </c>
      <c r="R849" s="14">
        <v>1</v>
      </c>
      <c r="S849" s="62">
        <v>872</v>
      </c>
      <c r="T849" s="63">
        <v>872</v>
      </c>
      <c r="U849" s="39">
        <v>45017</v>
      </c>
      <c r="V849" s="17">
        <v>1</v>
      </c>
      <c r="W849" s="16">
        <v>45382</v>
      </c>
      <c r="X849" s="14">
        <v>192</v>
      </c>
      <c r="Y849" s="64">
        <f t="shared" si="436"/>
        <v>192</v>
      </c>
      <c r="Z849" s="18">
        <f t="shared" si="437"/>
        <v>1</v>
      </c>
      <c r="AA849" s="18" t="s">
        <v>36</v>
      </c>
      <c r="AB849" s="26">
        <v>32.5</v>
      </c>
      <c r="AC849" s="26"/>
      <c r="AD849" s="26"/>
      <c r="AE849" s="147" t="str">
        <f t="shared" si="448"/>
        <v>0</v>
      </c>
      <c r="AF849" s="147" t="str">
        <f t="shared" si="428"/>
        <v>0</v>
      </c>
      <c r="AG849" s="147" t="str">
        <f t="shared" si="449"/>
        <v>1</v>
      </c>
      <c r="AH849" s="147" t="str">
        <f t="shared" si="423"/>
        <v>NO</v>
      </c>
      <c r="AI849" s="147" t="str">
        <f t="shared" si="424"/>
        <v>NO</v>
      </c>
      <c r="AJ849" s="147" t="str">
        <f t="shared" si="425"/>
        <v>NO</v>
      </c>
      <c r="AK849" s="147" t="str">
        <f t="shared" si="426"/>
        <v>NO</v>
      </c>
      <c r="AL849" s="48"/>
      <c r="AM849" s="21">
        <f t="shared" si="452"/>
        <v>9365.0249999999996</v>
      </c>
      <c r="AN849" s="65" t="s">
        <v>37</v>
      </c>
      <c r="AO849" s="48">
        <v>1</v>
      </c>
      <c r="AP849" s="48">
        <f t="shared" si="450"/>
        <v>1</v>
      </c>
      <c r="AQ849" s="149">
        <f t="shared" si="442"/>
        <v>9365.0249999999996</v>
      </c>
      <c r="AR849" s="48">
        <v>9365.0249999999996</v>
      </c>
      <c r="AS849" s="610">
        <v>9365.0249999999996</v>
      </c>
      <c r="AT849" s="112">
        <v>9365.0249999999996</v>
      </c>
      <c r="AU849" s="4"/>
      <c r="AV849" s="4"/>
      <c r="AW849" s="23" t="e">
        <f>VLOOKUP(K849,#REF!,8,FALSE)</f>
        <v>#REF!</v>
      </c>
      <c r="AX849" s="23" t="e">
        <f>VLOOKUP(K849,#REF!,8,FALSE)</f>
        <v>#REF!</v>
      </c>
      <c r="AY849" s="23" t="e">
        <f>VLOOKUP(K849,#REF!,8,FALSE)</f>
        <v>#REF!</v>
      </c>
      <c r="AZ849" s="4"/>
      <c r="BA849" s="272"/>
      <c r="BB849" s="318">
        <f t="shared" si="430"/>
        <v>0</v>
      </c>
      <c r="BC849" s="269">
        <f t="shared" si="431"/>
        <v>9365.0249999999996</v>
      </c>
      <c r="BD849" t="str">
        <f t="shared" si="451"/>
        <v/>
      </c>
      <c r="BP849" s="166">
        <f t="shared" si="446"/>
        <v>9365.0249999999996</v>
      </c>
      <c r="BS849" s="165"/>
      <c r="BX849" s="495">
        <f t="shared" si="443"/>
        <v>9365.0249999999996</v>
      </c>
      <c r="BZ849" s="636">
        <f t="shared" si="444"/>
        <v>0</v>
      </c>
      <c r="CA849" s="633">
        <f t="shared" si="445"/>
        <v>0</v>
      </c>
    </row>
    <row r="850" spans="1:79" x14ac:dyDescent="0.2">
      <c r="A850" s="4">
        <v>1</v>
      </c>
      <c r="B850" s="4">
        <v>1</v>
      </c>
      <c r="C850" s="59">
        <f t="shared" si="439"/>
        <v>41149</v>
      </c>
      <c r="D850" s="60">
        <v>41149</v>
      </c>
      <c r="E850" s="6">
        <v>43011</v>
      </c>
      <c r="F850" s="60" t="s">
        <v>1876</v>
      </c>
      <c r="G850" s="61"/>
      <c r="H850" s="61"/>
      <c r="I850" s="7" t="s">
        <v>32</v>
      </c>
      <c r="J850" s="7"/>
      <c r="K850" s="28">
        <v>429161</v>
      </c>
      <c r="L850" s="10" t="s">
        <v>1770</v>
      </c>
      <c r="M850" s="10" t="s">
        <v>2482</v>
      </c>
      <c r="N850" s="10" t="s">
        <v>1509</v>
      </c>
      <c r="O850" s="25" t="s">
        <v>2483</v>
      </c>
      <c r="P850" s="12">
        <v>42687</v>
      </c>
      <c r="Q850" s="13">
        <f t="shared" ca="1" si="447"/>
        <v>8.856947296372347</v>
      </c>
      <c r="R850" s="14">
        <v>1</v>
      </c>
      <c r="S850" s="62">
        <v>872</v>
      </c>
      <c r="T850" s="63">
        <v>872</v>
      </c>
      <c r="U850" s="39">
        <v>45119</v>
      </c>
      <c r="V850" s="17">
        <v>56</v>
      </c>
      <c r="W850" s="16">
        <v>45382</v>
      </c>
      <c r="X850" s="14">
        <v>192</v>
      </c>
      <c r="Y850" s="64">
        <f t="shared" si="436"/>
        <v>137</v>
      </c>
      <c r="Z850" s="18">
        <f t="shared" ref="Z850:Z873" si="453">Y850/192</f>
        <v>0.71354166666666663</v>
      </c>
      <c r="AA850" s="18" t="s">
        <v>36</v>
      </c>
      <c r="AB850" s="26">
        <v>30</v>
      </c>
      <c r="AC850" s="26"/>
      <c r="AD850" s="26"/>
      <c r="AE850" s="147" t="str">
        <f t="shared" si="448"/>
        <v>0</v>
      </c>
      <c r="AF850" s="147" t="str">
        <f t="shared" si="428"/>
        <v>1</v>
      </c>
      <c r="AG850" s="147" t="str">
        <f t="shared" si="449"/>
        <v>0</v>
      </c>
      <c r="AH850" s="147" t="str">
        <f t="shared" si="423"/>
        <v>NO</v>
      </c>
      <c r="AI850" s="147" t="str">
        <f t="shared" si="424"/>
        <v>NO</v>
      </c>
      <c r="AJ850" s="147" t="str">
        <f t="shared" si="425"/>
        <v>NO</v>
      </c>
      <c r="AK850" s="147" t="str">
        <f t="shared" si="426"/>
        <v>NO</v>
      </c>
      <c r="AL850" s="48"/>
      <c r="AM850" s="21">
        <f t="shared" si="452"/>
        <v>8183.0999999999985</v>
      </c>
      <c r="AN850" s="65" t="s">
        <v>37</v>
      </c>
      <c r="AO850" s="48">
        <v>1</v>
      </c>
      <c r="AP850" s="48">
        <f t="shared" si="450"/>
        <v>0.71354166666666663</v>
      </c>
      <c r="AQ850" s="149">
        <f t="shared" si="442"/>
        <v>5838.9828124999985</v>
      </c>
      <c r="AR850" s="48">
        <v>0</v>
      </c>
      <c r="AS850" s="610">
        <v>0</v>
      </c>
      <c r="AT850" s="112">
        <v>0</v>
      </c>
      <c r="AU850" s="4"/>
      <c r="AV850" s="4"/>
      <c r="AW850" s="23" t="e">
        <f>VLOOKUP(K850,#REF!,8,FALSE)</f>
        <v>#REF!</v>
      </c>
      <c r="AX850" s="23" t="e">
        <f>VLOOKUP(K850,#REF!,8,FALSE)</f>
        <v>#REF!</v>
      </c>
      <c r="AY850" s="23" t="e">
        <f>VLOOKUP(K850,#REF!,8,FALSE)</f>
        <v>#REF!</v>
      </c>
      <c r="AZ850" s="4"/>
      <c r="BA850" s="272"/>
      <c r="BB850" s="318">
        <f t="shared" si="430"/>
        <v>0</v>
      </c>
      <c r="BC850" s="269">
        <f t="shared" si="431"/>
        <v>0</v>
      </c>
      <c r="BP850" s="166">
        <f t="shared" si="446"/>
        <v>0</v>
      </c>
      <c r="BS850" s="165"/>
      <c r="BX850" s="495">
        <f t="shared" si="443"/>
        <v>5838.9828124999985</v>
      </c>
      <c r="BY850" t="s">
        <v>2471</v>
      </c>
      <c r="BZ850" s="636">
        <f t="shared" si="444"/>
        <v>5838.9828124999985</v>
      </c>
      <c r="CA850" s="633">
        <f t="shared" si="445"/>
        <v>5838.9828124999985</v>
      </c>
    </row>
    <row r="851" spans="1:79" x14ac:dyDescent="0.2">
      <c r="A851" s="4">
        <v>1</v>
      </c>
      <c r="B851" s="4">
        <v>1</v>
      </c>
      <c r="C851" s="5">
        <f t="shared" si="439"/>
        <v>41150</v>
      </c>
      <c r="D851" s="6">
        <v>41150</v>
      </c>
      <c r="E851" s="6">
        <v>43011</v>
      </c>
      <c r="F851" s="6" t="s">
        <v>1606</v>
      </c>
      <c r="G851" s="7"/>
      <c r="H851" s="7"/>
      <c r="I851" s="7" t="s">
        <v>32</v>
      </c>
      <c r="J851" s="7"/>
      <c r="K851" s="29">
        <v>400111</v>
      </c>
      <c r="L851" s="10" t="s">
        <v>1789</v>
      </c>
      <c r="M851" s="10" t="s">
        <v>1790</v>
      </c>
      <c r="N851" s="10" t="s">
        <v>1791</v>
      </c>
      <c r="O851" s="11" t="s">
        <v>1792</v>
      </c>
      <c r="P851" s="12">
        <v>41036</v>
      </c>
      <c r="Q851" s="13">
        <f t="shared" ca="1" si="447"/>
        <v>13.377138945927447</v>
      </c>
      <c r="R851" s="14">
        <v>5</v>
      </c>
      <c r="S851" s="15">
        <v>872</v>
      </c>
      <c r="T851" s="8">
        <v>872</v>
      </c>
      <c r="U851" s="16">
        <v>45017</v>
      </c>
      <c r="V851" s="17">
        <v>1</v>
      </c>
      <c r="W851" s="16">
        <v>45382</v>
      </c>
      <c r="X851" s="14">
        <v>192</v>
      </c>
      <c r="Y851" s="18">
        <f t="shared" si="436"/>
        <v>192</v>
      </c>
      <c r="Z851" s="18">
        <f t="shared" si="453"/>
        <v>1</v>
      </c>
      <c r="AA851" s="18" t="s">
        <v>36</v>
      </c>
      <c r="AB851" s="26">
        <v>30</v>
      </c>
      <c r="AC851" s="26"/>
      <c r="AD851" s="26"/>
      <c r="AE851" s="147" t="str">
        <f t="shared" si="448"/>
        <v>0</v>
      </c>
      <c r="AF851" s="147" t="str">
        <f t="shared" si="428"/>
        <v>1</v>
      </c>
      <c r="AG851" s="147" t="str">
        <f t="shared" si="449"/>
        <v>0</v>
      </c>
      <c r="AH851" s="147" t="str">
        <f t="shared" ref="AH851:AH873" si="454">IF(AD851="BAND3","YES","NO")</f>
        <v>NO</v>
      </c>
      <c r="AI851" s="147" t="str">
        <f t="shared" ref="AI851:AI873" si="455">IF(AD851="BAND4","YES","NO")</f>
        <v>NO</v>
      </c>
      <c r="AJ851" s="147" t="str">
        <f t="shared" ref="AJ851:AJ873" si="456">IF(AD851="BAND5","YES","NO")</f>
        <v>NO</v>
      </c>
      <c r="AK851" s="147" t="str">
        <f t="shared" ref="AK851:AK873" si="457">IF(AD851="BAND6","YES","NO")</f>
        <v>NO</v>
      </c>
      <c r="AL851" s="21"/>
      <c r="AM851" s="21">
        <f t="shared" si="452"/>
        <v>8183.0999999999985</v>
      </c>
      <c r="AN851" s="27" t="s">
        <v>56</v>
      </c>
      <c r="AO851" s="21">
        <v>1</v>
      </c>
      <c r="AP851" s="21">
        <f t="shared" si="450"/>
        <v>1</v>
      </c>
      <c r="AQ851" s="149">
        <f t="shared" si="442"/>
        <v>8183.0999999999985</v>
      </c>
      <c r="AR851" s="21">
        <v>8183.0999999999985</v>
      </c>
      <c r="AS851" s="610">
        <v>8183.0999999999985</v>
      </c>
      <c r="AT851" s="112">
        <v>8183.0999999999985</v>
      </c>
      <c r="AU851" s="4"/>
      <c r="AV851" s="4"/>
      <c r="AW851" s="23" t="e">
        <f>VLOOKUP(K851,#REF!,8,FALSE)</f>
        <v>#REF!</v>
      </c>
      <c r="AX851" s="23" t="e">
        <f>VLOOKUP(K851,#REF!,8,FALSE)</f>
        <v>#REF!</v>
      </c>
      <c r="AY851" s="23" t="e">
        <f>VLOOKUP(K851,#REF!,8,FALSE)</f>
        <v>#REF!</v>
      </c>
      <c r="AZ851" s="4"/>
      <c r="BA851" s="272"/>
      <c r="BB851" s="318">
        <f t="shared" si="430"/>
        <v>0</v>
      </c>
      <c r="BC851" s="269">
        <f t="shared" si="431"/>
        <v>8183.0999999999985</v>
      </c>
      <c r="BD851" t="str">
        <f>BG851&amp;BH851&amp;BI851</f>
        <v/>
      </c>
      <c r="BP851" s="166">
        <f t="shared" si="446"/>
        <v>8183.0999999999985</v>
      </c>
      <c r="BS851" s="165"/>
      <c r="BX851" s="495">
        <f t="shared" si="443"/>
        <v>8183.0999999999985</v>
      </c>
      <c r="BZ851" s="636">
        <f t="shared" si="444"/>
        <v>0</v>
      </c>
      <c r="CA851" s="633">
        <f t="shared" si="445"/>
        <v>0</v>
      </c>
    </row>
    <row r="852" spans="1:79" x14ac:dyDescent="0.2">
      <c r="A852" s="4">
        <v>1</v>
      </c>
      <c r="B852" s="4">
        <v>1</v>
      </c>
      <c r="C852" s="5">
        <f t="shared" si="439"/>
        <v>41150</v>
      </c>
      <c r="D852" s="6">
        <v>41150</v>
      </c>
      <c r="E852" s="6">
        <v>43011</v>
      </c>
      <c r="F852" s="6" t="s">
        <v>1606</v>
      </c>
      <c r="G852" s="7"/>
      <c r="H852" s="7"/>
      <c r="I852" s="7" t="s">
        <v>32</v>
      </c>
      <c r="J852" s="7"/>
      <c r="K852" s="28">
        <v>408765</v>
      </c>
      <c r="L852" s="10" t="s">
        <v>1789</v>
      </c>
      <c r="M852" s="10" t="s">
        <v>247</v>
      </c>
      <c r="N852" s="10" t="s">
        <v>1793</v>
      </c>
      <c r="O852" s="11" t="s">
        <v>1794</v>
      </c>
      <c r="P852" s="12">
        <v>41417</v>
      </c>
      <c r="Q852" s="13">
        <f t="shared" ca="1" si="447"/>
        <v>12.334017796030116</v>
      </c>
      <c r="R852" s="14">
        <v>5</v>
      </c>
      <c r="S852" s="15">
        <v>872</v>
      </c>
      <c r="T852" s="8">
        <v>872</v>
      </c>
      <c r="U852" s="16">
        <v>45017</v>
      </c>
      <c r="V852" s="17">
        <v>1</v>
      </c>
      <c r="W852" s="16">
        <v>45382</v>
      </c>
      <c r="X852" s="14">
        <v>192</v>
      </c>
      <c r="Y852" s="18">
        <f t="shared" si="436"/>
        <v>192</v>
      </c>
      <c r="Z852" s="18">
        <f t="shared" si="453"/>
        <v>1</v>
      </c>
      <c r="AA852" s="18" t="s">
        <v>36</v>
      </c>
      <c r="AB852" s="26">
        <v>25</v>
      </c>
      <c r="AC852" s="26"/>
      <c r="AD852" s="26"/>
      <c r="AE852" s="147" t="str">
        <f t="shared" si="448"/>
        <v>1</v>
      </c>
      <c r="AF852" s="147" t="str">
        <f t="shared" si="428"/>
        <v>0</v>
      </c>
      <c r="AG852" s="147" t="str">
        <f t="shared" si="449"/>
        <v>0</v>
      </c>
      <c r="AH852" s="147" t="str">
        <f t="shared" si="454"/>
        <v>NO</v>
      </c>
      <c r="AI852" s="147" t="str">
        <f t="shared" si="455"/>
        <v>NO</v>
      </c>
      <c r="AJ852" s="147" t="str">
        <f t="shared" si="456"/>
        <v>NO</v>
      </c>
      <c r="AK852" s="147" t="str">
        <f t="shared" si="457"/>
        <v>NO</v>
      </c>
      <c r="AL852" s="21"/>
      <c r="AM852" s="21">
        <f t="shared" si="452"/>
        <v>5819.25</v>
      </c>
      <c r="AN852" s="27" t="s">
        <v>43</v>
      </c>
      <c r="AO852" s="21">
        <v>1</v>
      </c>
      <c r="AP852" s="21">
        <f t="shared" si="450"/>
        <v>1</v>
      </c>
      <c r="AQ852" s="149">
        <f t="shared" si="442"/>
        <v>5819.25</v>
      </c>
      <c r="AR852" s="21">
        <v>5819.25</v>
      </c>
      <c r="AS852" s="610">
        <v>5819.25</v>
      </c>
      <c r="AT852" s="112">
        <v>5819.25</v>
      </c>
      <c r="AU852" s="4"/>
      <c r="AV852" s="4"/>
      <c r="AW852" s="23" t="e">
        <f>VLOOKUP(K852,#REF!,8,FALSE)</f>
        <v>#REF!</v>
      </c>
      <c r="AX852" s="23" t="e">
        <f>VLOOKUP(K852,#REF!,8,FALSE)</f>
        <v>#REF!</v>
      </c>
      <c r="AY852" s="23" t="e">
        <f>VLOOKUP(K852,#REF!,8,FALSE)</f>
        <v>#REF!</v>
      </c>
      <c r="AZ852" s="4"/>
      <c r="BA852" s="272"/>
      <c r="BB852" s="318">
        <f t="shared" si="430"/>
        <v>0</v>
      </c>
      <c r="BC852" s="269">
        <f t="shared" si="431"/>
        <v>5819.25</v>
      </c>
      <c r="BD852" t="str">
        <f>BG852&amp;BH852&amp;BI852</f>
        <v/>
      </c>
      <c r="BP852" s="166">
        <f t="shared" si="446"/>
        <v>5819.25</v>
      </c>
      <c r="BS852" s="165"/>
      <c r="BX852" s="495">
        <f t="shared" si="443"/>
        <v>5819.25</v>
      </c>
      <c r="BZ852" s="636">
        <f t="shared" si="444"/>
        <v>0</v>
      </c>
      <c r="CA852" s="633">
        <f t="shared" si="445"/>
        <v>0</v>
      </c>
    </row>
    <row r="853" spans="1:79" x14ac:dyDescent="0.2">
      <c r="A853" s="4">
        <v>1</v>
      </c>
      <c r="B853" s="4">
        <v>1</v>
      </c>
      <c r="C853" s="5">
        <f t="shared" ref="C853:C873" si="458">D853*1</f>
        <v>41150</v>
      </c>
      <c r="D853" s="6">
        <v>41150</v>
      </c>
      <c r="E853" s="6">
        <v>43011</v>
      </c>
      <c r="F853" s="6" t="s">
        <v>1606</v>
      </c>
      <c r="G853" s="7"/>
      <c r="H853" s="7"/>
      <c r="I853" s="7" t="s">
        <v>32</v>
      </c>
      <c r="J853" s="7"/>
      <c r="K853" s="28">
        <v>419916</v>
      </c>
      <c r="L853" s="10" t="s">
        <v>1789</v>
      </c>
      <c r="M853" s="10" t="s">
        <v>1795</v>
      </c>
      <c r="N853" s="10" t="s">
        <v>1796</v>
      </c>
      <c r="O853" s="11" t="s">
        <v>1797</v>
      </c>
      <c r="P853" s="12">
        <v>42018</v>
      </c>
      <c r="Q853" s="13">
        <f t="shared" ca="1" si="447"/>
        <v>10.688569472963723</v>
      </c>
      <c r="R853" s="14">
        <v>3</v>
      </c>
      <c r="S853" s="15">
        <v>872</v>
      </c>
      <c r="T853" s="8">
        <v>872</v>
      </c>
      <c r="U853" s="16">
        <v>45017</v>
      </c>
      <c r="V853" s="17">
        <v>1</v>
      </c>
      <c r="W853" s="16">
        <v>45382</v>
      </c>
      <c r="X853" s="14">
        <v>192</v>
      </c>
      <c r="Y853" s="18">
        <f t="shared" si="436"/>
        <v>192</v>
      </c>
      <c r="Z853" s="18">
        <f t="shared" si="453"/>
        <v>1</v>
      </c>
      <c r="AA853" s="18" t="s">
        <v>36</v>
      </c>
      <c r="AB853" s="26">
        <v>30</v>
      </c>
      <c r="AC853" s="26"/>
      <c r="AD853" s="26"/>
      <c r="AE853" s="147" t="str">
        <f t="shared" si="448"/>
        <v>0</v>
      </c>
      <c r="AF853" s="147" t="str">
        <f t="shared" si="428"/>
        <v>1</v>
      </c>
      <c r="AG853" s="147" t="str">
        <f t="shared" si="449"/>
        <v>0</v>
      </c>
      <c r="AH853" s="147" t="str">
        <f t="shared" si="454"/>
        <v>NO</v>
      </c>
      <c r="AI853" s="147" t="str">
        <f t="shared" si="455"/>
        <v>NO</v>
      </c>
      <c r="AJ853" s="147" t="str">
        <f t="shared" si="456"/>
        <v>NO</v>
      </c>
      <c r="AK853" s="147" t="str">
        <f t="shared" si="457"/>
        <v>NO</v>
      </c>
      <c r="AL853" s="21"/>
      <c r="AM853" s="21">
        <f t="shared" si="452"/>
        <v>8183.0999999999985</v>
      </c>
      <c r="AN853" s="27" t="s">
        <v>43</v>
      </c>
      <c r="AO853" s="21">
        <v>1</v>
      </c>
      <c r="AP853" s="21">
        <f t="shared" si="450"/>
        <v>1</v>
      </c>
      <c r="AQ853" s="149">
        <f t="shared" si="442"/>
        <v>8183.0999999999985</v>
      </c>
      <c r="AR853" s="21">
        <v>8183.0999999999985</v>
      </c>
      <c r="AS853" s="610">
        <v>8183.0999999999985</v>
      </c>
      <c r="AT853" s="112">
        <v>8183.0999999999985</v>
      </c>
      <c r="AU853" s="4"/>
      <c r="AV853" s="4"/>
      <c r="AW853" s="23" t="e">
        <f>VLOOKUP(K853,#REF!,8,FALSE)</f>
        <v>#REF!</v>
      </c>
      <c r="AX853" s="23" t="e">
        <f>VLOOKUP(K853,#REF!,8,FALSE)</f>
        <v>#REF!</v>
      </c>
      <c r="AY853" s="23" t="e">
        <f>VLOOKUP(K853,#REF!,8,FALSE)</f>
        <v>#REF!</v>
      </c>
      <c r="AZ853" s="4"/>
      <c r="BA853" s="272"/>
      <c r="BB853" s="318">
        <f t="shared" si="430"/>
        <v>0</v>
      </c>
      <c r="BC853" s="269">
        <f t="shared" si="431"/>
        <v>8183.0999999999985</v>
      </c>
      <c r="BD853" t="str">
        <f>BG853&amp;BH853&amp;BI853</f>
        <v/>
      </c>
      <c r="BP853" s="166">
        <f t="shared" si="446"/>
        <v>8183.0999999999985</v>
      </c>
      <c r="BS853" s="165"/>
      <c r="BX853" s="495">
        <f t="shared" si="443"/>
        <v>8183.0999999999985</v>
      </c>
      <c r="BZ853" s="636">
        <f t="shared" si="444"/>
        <v>0</v>
      </c>
      <c r="CA853" s="633">
        <f t="shared" si="445"/>
        <v>0</v>
      </c>
    </row>
    <row r="854" spans="1:79" x14ac:dyDescent="0.2">
      <c r="A854" s="4">
        <v>1</v>
      </c>
      <c r="B854" s="4">
        <v>1</v>
      </c>
      <c r="C854" s="5">
        <f t="shared" si="458"/>
        <v>41150</v>
      </c>
      <c r="D854" s="6">
        <v>41150</v>
      </c>
      <c r="E854" s="6">
        <v>43011</v>
      </c>
      <c r="F854" s="6" t="s">
        <v>1606</v>
      </c>
      <c r="G854" s="7"/>
      <c r="H854" s="7"/>
      <c r="I854" s="7" t="s">
        <v>32</v>
      </c>
      <c r="J854" s="7"/>
      <c r="K854" s="28">
        <v>403871</v>
      </c>
      <c r="L854" s="10" t="s">
        <v>1789</v>
      </c>
      <c r="M854" s="10" t="s">
        <v>1798</v>
      </c>
      <c r="N854" s="10" t="s">
        <v>1245</v>
      </c>
      <c r="O854" s="11" t="s">
        <v>1799</v>
      </c>
      <c r="P854" s="12">
        <v>41084</v>
      </c>
      <c r="Q854" s="13">
        <f t="shared" ca="1" si="447"/>
        <v>13.245722108145106</v>
      </c>
      <c r="R854" s="14">
        <v>6</v>
      </c>
      <c r="S854" s="15">
        <v>872</v>
      </c>
      <c r="T854" s="8">
        <v>872</v>
      </c>
      <c r="U854" s="16">
        <v>45017</v>
      </c>
      <c r="V854" s="17">
        <v>1</v>
      </c>
      <c r="W854" s="16">
        <v>45128</v>
      </c>
      <c r="X854" s="14">
        <v>63</v>
      </c>
      <c r="Y854" s="18">
        <f t="shared" si="436"/>
        <v>63</v>
      </c>
      <c r="Z854" s="18">
        <f t="shared" si="453"/>
        <v>0.328125</v>
      </c>
      <c r="AA854" s="18" t="s">
        <v>48</v>
      </c>
      <c r="AB854" s="26">
        <v>27</v>
      </c>
      <c r="AC854" s="26"/>
      <c r="AD854" s="26"/>
      <c r="AE854" s="147" t="str">
        <f t="shared" si="448"/>
        <v>0</v>
      </c>
      <c r="AF854" s="147" t="str">
        <f t="shared" si="428"/>
        <v>1</v>
      </c>
      <c r="AG854" s="147" t="str">
        <f t="shared" si="449"/>
        <v>0</v>
      </c>
      <c r="AH854" s="147" t="str">
        <f t="shared" si="454"/>
        <v>NO</v>
      </c>
      <c r="AI854" s="147" t="str">
        <f t="shared" si="455"/>
        <v>NO</v>
      </c>
      <c r="AJ854" s="147" t="str">
        <f t="shared" si="456"/>
        <v>NO</v>
      </c>
      <c r="AK854" s="147" t="str">
        <f t="shared" si="457"/>
        <v>NO</v>
      </c>
      <c r="AL854" s="21"/>
      <c r="AM854" s="21">
        <f t="shared" si="452"/>
        <v>6764.7899999999991</v>
      </c>
      <c r="AN854" s="27" t="s">
        <v>43</v>
      </c>
      <c r="AO854" s="21">
        <v>1</v>
      </c>
      <c r="AP854" s="21">
        <f t="shared" si="450"/>
        <v>0.328125</v>
      </c>
      <c r="AQ854" s="149">
        <f t="shared" si="442"/>
        <v>2219.6967187499995</v>
      </c>
      <c r="AR854" s="21">
        <v>2219.6967187499995</v>
      </c>
      <c r="AS854" s="610">
        <v>2219.6967187499995</v>
      </c>
      <c r="AT854" s="112">
        <v>2219.6967187499995</v>
      </c>
      <c r="AU854" s="4"/>
      <c r="AV854" s="4"/>
      <c r="AW854" s="23" t="e">
        <f>VLOOKUP(K854,#REF!,8,FALSE)</f>
        <v>#REF!</v>
      </c>
      <c r="AX854" s="23" t="e">
        <f>VLOOKUP(K854,#REF!,8,FALSE)</f>
        <v>#REF!</v>
      </c>
      <c r="AY854" s="23" t="e">
        <f>VLOOKUP(K854,#REF!,8,FALSE)</f>
        <v>#REF!</v>
      </c>
      <c r="AZ854" s="4"/>
      <c r="BA854" s="272"/>
      <c r="BB854" s="318">
        <f t="shared" si="430"/>
        <v>0</v>
      </c>
      <c r="BC854" s="269">
        <f t="shared" si="431"/>
        <v>2219.6967187499995</v>
      </c>
      <c r="BD854" s="110" t="s">
        <v>2405</v>
      </c>
      <c r="BJ854">
        <f>AB854</f>
        <v>27</v>
      </c>
      <c r="BK854" s="269">
        <f>AM854</f>
        <v>6764.7899999999991</v>
      </c>
      <c r="BO854" s="106">
        <f>BK854/192*127</f>
        <v>4474.6267187499998</v>
      </c>
      <c r="BP854" s="166">
        <f t="shared" si="446"/>
        <v>6694.3234374999993</v>
      </c>
      <c r="BS854" s="165" t="s">
        <v>1495</v>
      </c>
      <c r="BT854" t="s">
        <v>1495</v>
      </c>
      <c r="BX854" s="495">
        <f t="shared" si="443"/>
        <v>6694.3234374999993</v>
      </c>
      <c r="BZ854" s="636">
        <f t="shared" si="444"/>
        <v>0</v>
      </c>
      <c r="CA854" s="633">
        <f t="shared" si="445"/>
        <v>4474.6267187499998</v>
      </c>
    </row>
    <row r="855" spans="1:79" x14ac:dyDescent="0.2">
      <c r="A855" s="4">
        <v>1</v>
      </c>
      <c r="B855" s="4">
        <v>1</v>
      </c>
      <c r="C855" s="5">
        <f t="shared" si="458"/>
        <v>41150</v>
      </c>
      <c r="D855" s="6">
        <v>41150</v>
      </c>
      <c r="E855" s="6">
        <v>43011</v>
      </c>
      <c r="F855" s="6" t="s">
        <v>1606</v>
      </c>
      <c r="G855" s="7"/>
      <c r="H855" s="7"/>
      <c r="I855" s="7" t="s">
        <v>32</v>
      </c>
      <c r="J855" s="7"/>
      <c r="K855" s="28">
        <v>421228</v>
      </c>
      <c r="L855" s="10" t="s">
        <v>1789</v>
      </c>
      <c r="M855" s="10" t="s">
        <v>177</v>
      </c>
      <c r="N855" s="10" t="s">
        <v>1627</v>
      </c>
      <c r="O855" s="11" t="s">
        <v>1800</v>
      </c>
      <c r="P855" s="12">
        <v>41887</v>
      </c>
      <c r="Q855" s="13">
        <f t="shared" ca="1" si="447"/>
        <v>11.047227926078028</v>
      </c>
      <c r="R855" s="14">
        <v>3</v>
      </c>
      <c r="S855" s="15">
        <v>872</v>
      </c>
      <c r="T855" s="8">
        <v>872</v>
      </c>
      <c r="U855" s="16">
        <v>45017</v>
      </c>
      <c r="V855" s="17">
        <v>1</v>
      </c>
      <c r="W855" s="16">
        <v>45382</v>
      </c>
      <c r="X855" s="14">
        <v>192</v>
      </c>
      <c r="Y855" s="18">
        <f t="shared" si="436"/>
        <v>192</v>
      </c>
      <c r="Z855" s="18">
        <f t="shared" si="453"/>
        <v>1</v>
      </c>
      <c r="AA855" s="18" t="s">
        <v>36</v>
      </c>
      <c r="AB855" s="26">
        <v>30</v>
      </c>
      <c r="AC855" s="26"/>
      <c r="AD855" s="26"/>
      <c r="AE855" s="147" t="str">
        <f t="shared" si="448"/>
        <v>0</v>
      </c>
      <c r="AF855" s="147" t="str">
        <f t="shared" si="428"/>
        <v>1</v>
      </c>
      <c r="AG855" s="147" t="str">
        <f t="shared" si="449"/>
        <v>0</v>
      </c>
      <c r="AH855" s="147" t="str">
        <f t="shared" si="454"/>
        <v>NO</v>
      </c>
      <c r="AI855" s="147" t="str">
        <f t="shared" si="455"/>
        <v>NO</v>
      </c>
      <c r="AJ855" s="147" t="str">
        <f t="shared" si="456"/>
        <v>NO</v>
      </c>
      <c r="AK855" s="147" t="str">
        <f t="shared" si="457"/>
        <v>NO</v>
      </c>
      <c r="AL855" s="21"/>
      <c r="AM855" s="21">
        <f t="shared" si="452"/>
        <v>8183.0999999999985</v>
      </c>
      <c r="AN855" s="27"/>
      <c r="AO855" s="21">
        <v>1</v>
      </c>
      <c r="AP855" s="21">
        <f t="shared" si="450"/>
        <v>1</v>
      </c>
      <c r="AQ855" s="149">
        <f t="shared" si="442"/>
        <v>8183.0999999999985</v>
      </c>
      <c r="AR855" s="21">
        <v>8183.0999999999985</v>
      </c>
      <c r="AS855" s="610">
        <v>8183.0999999999985</v>
      </c>
      <c r="AT855" s="112">
        <v>8183.0999999999985</v>
      </c>
      <c r="AU855" s="4"/>
      <c r="AV855" s="4"/>
      <c r="AW855" s="23" t="e">
        <f>VLOOKUP(K855,#REF!,8,FALSE)</f>
        <v>#REF!</v>
      </c>
      <c r="AX855" s="23" t="e">
        <f>VLOOKUP(K855,#REF!,8,FALSE)</f>
        <v>#REF!</v>
      </c>
      <c r="AY855" s="23" t="e">
        <f>VLOOKUP(K855,#REF!,8,FALSE)</f>
        <v>#REF!</v>
      </c>
      <c r="AZ855" s="4"/>
      <c r="BA855" s="272"/>
      <c r="BB855" s="318">
        <f t="shared" si="430"/>
        <v>0</v>
      </c>
      <c r="BC855" s="269">
        <f t="shared" si="431"/>
        <v>8183.0999999999985</v>
      </c>
      <c r="BD855" t="str">
        <f>BG855&amp;BH855&amp;BI855</f>
        <v/>
      </c>
      <c r="BP855" s="166">
        <f t="shared" si="446"/>
        <v>8183.0999999999985</v>
      </c>
      <c r="BS855" s="165"/>
      <c r="BX855" s="495">
        <f t="shared" si="443"/>
        <v>8183.0999999999985</v>
      </c>
      <c r="BZ855" s="636">
        <f t="shared" si="444"/>
        <v>0</v>
      </c>
      <c r="CA855" s="633">
        <f t="shared" si="445"/>
        <v>0</v>
      </c>
    </row>
    <row r="856" spans="1:79" x14ac:dyDescent="0.2">
      <c r="A856" s="4">
        <v>1</v>
      </c>
      <c r="B856" s="4">
        <v>1</v>
      </c>
      <c r="C856" s="5">
        <f t="shared" si="458"/>
        <v>41150</v>
      </c>
      <c r="D856" s="6">
        <v>41150</v>
      </c>
      <c r="E856" s="6">
        <v>43011</v>
      </c>
      <c r="F856" s="6" t="s">
        <v>1606</v>
      </c>
      <c r="G856" s="7"/>
      <c r="H856" s="7"/>
      <c r="I856" s="7" t="s">
        <v>32</v>
      </c>
      <c r="J856" s="7"/>
      <c r="K856" s="28">
        <v>412281</v>
      </c>
      <c r="L856" s="10" t="s">
        <v>1789</v>
      </c>
      <c r="M856" s="10" t="s">
        <v>1801</v>
      </c>
      <c r="N856" s="10" t="s">
        <v>1802</v>
      </c>
      <c r="O856" s="11" t="s">
        <v>1803</v>
      </c>
      <c r="P856" s="12">
        <v>40911</v>
      </c>
      <c r="Q856" s="13">
        <f t="shared" ca="1" si="447"/>
        <v>13.71937029431896</v>
      </c>
      <c r="R856" s="14">
        <v>6</v>
      </c>
      <c r="S856" s="15">
        <v>872</v>
      </c>
      <c r="T856" s="8">
        <v>872</v>
      </c>
      <c r="U856" s="16">
        <v>45017</v>
      </c>
      <c r="V856" s="17">
        <v>1</v>
      </c>
      <c r="W856" s="16">
        <v>45128</v>
      </c>
      <c r="X856" s="14">
        <v>63</v>
      </c>
      <c r="Y856" s="18">
        <f t="shared" si="436"/>
        <v>63</v>
      </c>
      <c r="Z856" s="18">
        <f t="shared" si="453"/>
        <v>0.328125</v>
      </c>
      <c r="AA856" s="18" t="s">
        <v>48</v>
      </c>
      <c r="AB856" s="26">
        <v>30</v>
      </c>
      <c r="AC856" s="26"/>
      <c r="AD856" s="26"/>
      <c r="AE856" s="147" t="str">
        <f t="shared" si="448"/>
        <v>0</v>
      </c>
      <c r="AF856" s="147" t="str">
        <f t="shared" ref="AF856:AF873" si="459">IF(AND(AB856&lt;=30,AB856&gt;=26),"1","0")</f>
        <v>1</v>
      </c>
      <c r="AG856" s="147" t="str">
        <f t="shared" si="449"/>
        <v>0</v>
      </c>
      <c r="AH856" s="147" t="str">
        <f t="shared" si="454"/>
        <v>NO</v>
      </c>
      <c r="AI856" s="147" t="str">
        <f t="shared" si="455"/>
        <v>NO</v>
      </c>
      <c r="AJ856" s="147" t="str">
        <f t="shared" si="456"/>
        <v>NO</v>
      </c>
      <c r="AK856" s="147" t="str">
        <f t="shared" si="457"/>
        <v>NO</v>
      </c>
      <c r="AL856" s="21"/>
      <c r="AM856" s="21">
        <f t="shared" si="452"/>
        <v>8183.0999999999985</v>
      </c>
      <c r="AN856" s="27" t="s">
        <v>43</v>
      </c>
      <c r="AO856" s="21">
        <v>1</v>
      </c>
      <c r="AP856" s="21">
        <f t="shared" si="450"/>
        <v>0.328125</v>
      </c>
      <c r="AQ856" s="149">
        <f t="shared" si="442"/>
        <v>2685.0796874999996</v>
      </c>
      <c r="AR856" s="21">
        <v>2685.0796874999996</v>
      </c>
      <c r="AS856" s="610">
        <v>2685.0796874999996</v>
      </c>
      <c r="AT856" s="112">
        <v>2685.0796874999996</v>
      </c>
      <c r="AU856" s="4"/>
      <c r="AV856" s="4"/>
      <c r="AW856" s="23" t="e">
        <f>VLOOKUP(K856,#REF!,8,FALSE)</f>
        <v>#REF!</v>
      </c>
      <c r="AX856" s="264" t="s">
        <v>2208</v>
      </c>
      <c r="AY856" s="23" t="e">
        <f>VLOOKUP(K856,#REF!,8,FALSE)</f>
        <v>#REF!</v>
      </c>
      <c r="AZ856" s="23" t="s">
        <v>75</v>
      </c>
      <c r="BA856" s="273">
        <f>AM856/3*2</f>
        <v>5455.3999999999987</v>
      </c>
      <c r="BB856" s="318">
        <f t="shared" si="430"/>
        <v>0</v>
      </c>
      <c r="BC856" s="269">
        <f t="shared" si="431"/>
        <v>2685.0796874999996</v>
      </c>
      <c r="BD856" t="e">
        <f>BG856&amp;BH856&amp;BI856</f>
        <v>#REF!</v>
      </c>
      <c r="BE856" t="s">
        <v>2396</v>
      </c>
      <c r="BF856">
        <v>43012</v>
      </c>
      <c r="BH856" t="e">
        <f>VLOOKUP(K856,#REF!,8,FALSE)</f>
        <v>#REF!</v>
      </c>
      <c r="BJ856">
        <f>AB856</f>
        <v>30</v>
      </c>
      <c r="BK856" s="269">
        <f>AM856</f>
        <v>8183.0999999999985</v>
      </c>
      <c r="BL856" s="353"/>
      <c r="BM856" s="353" t="s">
        <v>75</v>
      </c>
      <c r="BN856" s="353"/>
      <c r="BO856" s="106">
        <f>BK856/192*127</f>
        <v>5412.7796874999985</v>
      </c>
      <c r="BP856" s="166">
        <f t="shared" si="446"/>
        <v>8097.8593749999982</v>
      </c>
      <c r="BQ856" s="106">
        <v>5412.7796874999985</v>
      </c>
      <c r="BR856" t="s">
        <v>2446</v>
      </c>
      <c r="BS856" s="165"/>
      <c r="BX856" s="495">
        <f t="shared" si="443"/>
        <v>8097.8593749999982</v>
      </c>
      <c r="BZ856" s="636">
        <f t="shared" si="444"/>
        <v>0</v>
      </c>
      <c r="CA856" s="633">
        <f t="shared" si="445"/>
        <v>5412.7796874999985</v>
      </c>
    </row>
    <row r="857" spans="1:79" x14ac:dyDescent="0.2">
      <c r="A857" s="4">
        <v>1</v>
      </c>
      <c r="B857" s="4">
        <v>1</v>
      </c>
      <c r="C857" s="5">
        <f t="shared" si="458"/>
        <v>41150</v>
      </c>
      <c r="D857" s="6">
        <v>41150</v>
      </c>
      <c r="E857" s="6">
        <v>43011</v>
      </c>
      <c r="F857" s="6" t="s">
        <v>1606</v>
      </c>
      <c r="G857" s="7"/>
      <c r="H857" s="7"/>
      <c r="I857" s="7" t="s">
        <v>32</v>
      </c>
      <c r="J857" s="7"/>
      <c r="K857" s="28">
        <v>412763</v>
      </c>
      <c r="L857" s="10" t="s">
        <v>1789</v>
      </c>
      <c r="M857" s="10" t="s">
        <v>1760</v>
      </c>
      <c r="N857" s="10" t="s">
        <v>1804</v>
      </c>
      <c r="O857" s="11" t="str">
        <f>M857&amp;N857</f>
        <v>LucasWicks</v>
      </c>
      <c r="P857" s="12">
        <v>41460</v>
      </c>
      <c r="Q857" s="13">
        <f t="shared" ca="1" si="447"/>
        <v>12.216290212183436</v>
      </c>
      <c r="R857" s="14">
        <v>5</v>
      </c>
      <c r="S857" s="15">
        <v>872</v>
      </c>
      <c r="T857" s="8">
        <v>872</v>
      </c>
      <c r="U857" s="16">
        <v>45017</v>
      </c>
      <c r="V857" s="17">
        <v>1</v>
      </c>
      <c r="W857" s="102">
        <v>45128</v>
      </c>
      <c r="X857" s="14">
        <v>63</v>
      </c>
      <c r="Y857" s="18">
        <f t="shared" si="436"/>
        <v>63</v>
      </c>
      <c r="Z857" s="18">
        <f t="shared" si="453"/>
        <v>0.328125</v>
      </c>
      <c r="AA857" s="18" t="s">
        <v>36</v>
      </c>
      <c r="AB857" s="26">
        <v>28</v>
      </c>
      <c r="AC857" s="26"/>
      <c r="AD857" s="26"/>
      <c r="AE857" s="147" t="str">
        <f t="shared" si="448"/>
        <v>0</v>
      </c>
      <c r="AF857" s="147" t="str">
        <f t="shared" si="459"/>
        <v>1</v>
      </c>
      <c r="AG857" s="147" t="str">
        <f t="shared" si="449"/>
        <v>0</v>
      </c>
      <c r="AH857" s="147" t="str">
        <f t="shared" si="454"/>
        <v>NO</v>
      </c>
      <c r="AI857" s="147" t="str">
        <f t="shared" si="455"/>
        <v>NO</v>
      </c>
      <c r="AJ857" s="147" t="str">
        <f t="shared" si="456"/>
        <v>NO</v>
      </c>
      <c r="AK857" s="147" t="str">
        <f t="shared" si="457"/>
        <v>NO</v>
      </c>
      <c r="AL857" s="21"/>
      <c r="AM857" s="21">
        <f t="shared" si="452"/>
        <v>7237.5599999999995</v>
      </c>
      <c r="AN857" s="27"/>
      <c r="AO857" s="21">
        <v>1</v>
      </c>
      <c r="AP857" s="21">
        <f t="shared" si="450"/>
        <v>0.328125</v>
      </c>
      <c r="AQ857" s="149">
        <f t="shared" si="442"/>
        <v>2374.8243749999997</v>
      </c>
      <c r="AR857" s="21">
        <v>2374.8243749999997</v>
      </c>
      <c r="AS857" s="610">
        <v>7237.5599999999995</v>
      </c>
      <c r="AT857" s="112">
        <v>7237.5599999999995</v>
      </c>
      <c r="AU857" s="4"/>
      <c r="AV857" s="4"/>
      <c r="AW857" s="23" t="e">
        <f>VLOOKUP(K857,#REF!,8,FALSE)</f>
        <v>#REF!</v>
      </c>
      <c r="AX857" s="23" t="e">
        <f>VLOOKUP(K857,#REF!,8,FALSE)</f>
        <v>#REF!</v>
      </c>
      <c r="AY857" s="23" t="e">
        <f>VLOOKUP(K857,#REF!,8,FALSE)</f>
        <v>#REF!</v>
      </c>
      <c r="AZ857" s="4"/>
      <c r="BA857" s="272"/>
      <c r="BB857" s="318">
        <f t="shared" si="430"/>
        <v>-4862.7356249999993</v>
      </c>
      <c r="BC857" s="269">
        <f t="shared" si="431"/>
        <v>2374.8243749999997</v>
      </c>
      <c r="BD857" t="str">
        <f>BG857&amp;BH857&amp;BI857</f>
        <v/>
      </c>
      <c r="BP857" s="166">
        <f t="shared" si="446"/>
        <v>2374.8243749999997</v>
      </c>
      <c r="BS857" s="165"/>
      <c r="BX857" s="495">
        <f t="shared" si="443"/>
        <v>2374.8243749999997</v>
      </c>
      <c r="BZ857" s="636">
        <f t="shared" si="444"/>
        <v>0</v>
      </c>
      <c r="CA857" s="633">
        <f t="shared" si="445"/>
        <v>-4862.7356249999993</v>
      </c>
    </row>
    <row r="858" spans="1:79" x14ac:dyDescent="0.2">
      <c r="A858" s="4">
        <v>0</v>
      </c>
      <c r="B858" s="4">
        <v>1</v>
      </c>
      <c r="C858" s="5">
        <f t="shared" si="458"/>
        <v>41150</v>
      </c>
      <c r="D858" s="6">
        <v>41150</v>
      </c>
      <c r="E858" s="6">
        <v>43011</v>
      </c>
      <c r="F858" s="6" t="s">
        <v>1606</v>
      </c>
      <c r="G858" s="7"/>
      <c r="H858" s="7"/>
      <c r="I858" s="7" t="s">
        <v>32</v>
      </c>
      <c r="J858" s="7"/>
      <c r="K858" s="28">
        <v>412763</v>
      </c>
      <c r="L858" s="10" t="s">
        <v>1789</v>
      </c>
      <c r="M858" s="10" t="s">
        <v>1760</v>
      </c>
      <c r="N858" s="10" t="s">
        <v>1804</v>
      </c>
      <c r="O858" s="11" t="str">
        <f>M858&amp;N858</f>
        <v>LucasWicks</v>
      </c>
      <c r="P858" s="12">
        <v>41460</v>
      </c>
      <c r="Q858" s="13">
        <f t="shared" ca="1" si="447"/>
        <v>12.216290212183436</v>
      </c>
      <c r="R858" s="14">
        <v>5</v>
      </c>
      <c r="S858" s="15">
        <v>872</v>
      </c>
      <c r="T858" s="8">
        <v>872</v>
      </c>
      <c r="U858" s="16">
        <v>45170</v>
      </c>
      <c r="V858" s="17"/>
      <c r="W858" s="16">
        <v>45382</v>
      </c>
      <c r="X858" s="14">
        <v>192</v>
      </c>
      <c r="Y858" s="18">
        <f t="shared" si="436"/>
        <v>193</v>
      </c>
      <c r="Z858" s="18">
        <f t="shared" si="453"/>
        <v>1.0052083333333333</v>
      </c>
      <c r="AA858" s="18"/>
      <c r="AB858" s="26">
        <v>17491.400000000001</v>
      </c>
      <c r="AC858" s="26"/>
      <c r="AD858" s="26"/>
      <c r="AE858" s="147" t="str">
        <f t="shared" si="448"/>
        <v>0</v>
      </c>
      <c r="AF858" s="147" t="str">
        <f t="shared" si="459"/>
        <v>0</v>
      </c>
      <c r="AG858" s="147" t="str">
        <f t="shared" si="449"/>
        <v>1</v>
      </c>
      <c r="AH858" s="147" t="str">
        <f t="shared" si="454"/>
        <v>NO</v>
      </c>
      <c r="AI858" s="147" t="str">
        <f t="shared" si="455"/>
        <v>NO</v>
      </c>
      <c r="AJ858" s="147" t="str">
        <f t="shared" si="456"/>
        <v>NO</v>
      </c>
      <c r="AK858" s="147" t="str">
        <f t="shared" si="457"/>
        <v>NO</v>
      </c>
      <c r="AL858" s="21"/>
      <c r="AM858" s="21">
        <f>AB858</f>
        <v>17491.400000000001</v>
      </c>
      <c r="AN858" s="27"/>
      <c r="AO858" s="21">
        <v>1</v>
      </c>
      <c r="AP858" s="21">
        <v>1</v>
      </c>
      <c r="AQ858" s="149">
        <f t="shared" si="442"/>
        <v>17491.400000000001</v>
      </c>
      <c r="AR858" s="21">
        <v>17491.400000000001</v>
      </c>
      <c r="AS858" s="610">
        <v>0</v>
      </c>
      <c r="AT858" s="112">
        <v>0</v>
      </c>
      <c r="AU858" s="4"/>
      <c r="AV858" s="4"/>
      <c r="AW858" s="23"/>
      <c r="AX858" s="23"/>
      <c r="AY858" s="23"/>
      <c r="AZ858" s="4"/>
      <c r="BA858" s="272"/>
      <c r="BB858" s="318">
        <f t="shared" si="430"/>
        <v>17491.400000000001</v>
      </c>
      <c r="BC858" s="269">
        <f t="shared" si="431"/>
        <v>17491.400000000001</v>
      </c>
      <c r="BP858" s="166">
        <f t="shared" si="446"/>
        <v>17491.400000000001</v>
      </c>
      <c r="BS858" s="165"/>
      <c r="BX858" s="495">
        <f t="shared" si="443"/>
        <v>17491.400000000001</v>
      </c>
      <c r="BZ858" s="636">
        <f t="shared" si="444"/>
        <v>0</v>
      </c>
      <c r="CA858" s="633">
        <f t="shared" si="445"/>
        <v>17491.400000000001</v>
      </c>
    </row>
    <row r="859" spans="1:79" x14ac:dyDescent="0.2">
      <c r="A859" s="4">
        <v>1</v>
      </c>
      <c r="B859" s="4">
        <v>1</v>
      </c>
      <c r="C859" s="5">
        <f t="shared" si="458"/>
        <v>41150</v>
      </c>
      <c r="D859" s="6">
        <v>41150</v>
      </c>
      <c r="E859" s="6">
        <v>43011</v>
      </c>
      <c r="F859" s="6" t="s">
        <v>1606</v>
      </c>
      <c r="G859" s="7"/>
      <c r="H859" s="7"/>
      <c r="I859" s="7" t="s">
        <v>32</v>
      </c>
      <c r="J859" s="7"/>
      <c r="K859" s="28">
        <v>409441</v>
      </c>
      <c r="L859" s="10" t="s">
        <v>1789</v>
      </c>
      <c r="M859" s="10" t="s">
        <v>1805</v>
      </c>
      <c r="N859" s="10" t="s">
        <v>1806</v>
      </c>
      <c r="O859" s="11" t="s">
        <v>1807</v>
      </c>
      <c r="P859" s="12">
        <v>41475</v>
      </c>
      <c r="Q859" s="13">
        <f t="shared" ca="1" si="447"/>
        <v>12.175222450376454</v>
      </c>
      <c r="R859" s="14">
        <v>5</v>
      </c>
      <c r="S859" s="15">
        <v>872</v>
      </c>
      <c r="T859" s="8">
        <v>872</v>
      </c>
      <c r="U859" s="16">
        <v>45017</v>
      </c>
      <c r="V859" s="17">
        <v>1</v>
      </c>
      <c r="W859" s="16">
        <v>45382</v>
      </c>
      <c r="X859" s="14">
        <v>192</v>
      </c>
      <c r="Y859" s="18">
        <f t="shared" si="436"/>
        <v>192</v>
      </c>
      <c r="Z859" s="18">
        <f t="shared" si="453"/>
        <v>1</v>
      </c>
      <c r="AA859" s="18" t="s">
        <v>36</v>
      </c>
      <c r="AB859" s="26">
        <v>25</v>
      </c>
      <c r="AC859" s="26"/>
      <c r="AD859" s="26"/>
      <c r="AE859" s="147" t="str">
        <f t="shared" si="448"/>
        <v>1</v>
      </c>
      <c r="AF859" s="147" t="str">
        <f t="shared" si="459"/>
        <v>0</v>
      </c>
      <c r="AG859" s="147" t="str">
        <f t="shared" si="449"/>
        <v>0</v>
      </c>
      <c r="AH859" s="147" t="str">
        <f t="shared" si="454"/>
        <v>NO</v>
      </c>
      <c r="AI859" s="147" t="str">
        <f t="shared" si="455"/>
        <v>NO</v>
      </c>
      <c r="AJ859" s="147" t="str">
        <f t="shared" si="456"/>
        <v>NO</v>
      </c>
      <c r="AK859" s="147" t="str">
        <f t="shared" si="457"/>
        <v>NO</v>
      </c>
      <c r="AL859" s="21"/>
      <c r="AM859" s="21">
        <f t="shared" ref="AM859:AM873" si="460">IF(H859="Y",AL859,((AB859*$O$902)-6000))</f>
        <v>5819.25</v>
      </c>
      <c r="AN859" s="27" t="s">
        <v>56</v>
      </c>
      <c r="AO859" s="21">
        <v>1</v>
      </c>
      <c r="AP859" s="21">
        <f t="shared" ref="AP859:AP873" si="461">AO859*Z859</f>
        <v>1</v>
      </c>
      <c r="AQ859" s="149">
        <f t="shared" si="442"/>
        <v>5819.25</v>
      </c>
      <c r="AR859" s="21">
        <v>5819.25</v>
      </c>
      <c r="AS859" s="610">
        <v>5819.25</v>
      </c>
      <c r="AT859" s="112">
        <v>5819.25</v>
      </c>
      <c r="AU859" s="4"/>
      <c r="AV859" s="4"/>
      <c r="AW859" s="23" t="e">
        <f>VLOOKUP(K859,#REF!,8,FALSE)</f>
        <v>#REF!</v>
      </c>
      <c r="AX859" s="23" t="e">
        <f>VLOOKUP(K859,#REF!,8,FALSE)</f>
        <v>#REF!</v>
      </c>
      <c r="AY859" s="23" t="e">
        <f>VLOOKUP(K859,#REF!,8,FALSE)</f>
        <v>#REF!</v>
      </c>
      <c r="AZ859" s="4"/>
      <c r="BA859" s="272"/>
      <c r="BB859" s="318">
        <f t="shared" si="430"/>
        <v>0</v>
      </c>
      <c r="BC859" s="269">
        <f t="shared" si="431"/>
        <v>5819.25</v>
      </c>
      <c r="BD859" t="str">
        <f t="shared" ref="BD859:BD873" si="462">BG859&amp;BH859&amp;BI859</f>
        <v/>
      </c>
      <c r="BP859" s="166">
        <f t="shared" si="446"/>
        <v>5819.25</v>
      </c>
      <c r="BS859" s="165"/>
      <c r="BX859" s="495">
        <f t="shared" si="443"/>
        <v>5819.25</v>
      </c>
      <c r="BZ859" s="636">
        <f t="shared" si="444"/>
        <v>0</v>
      </c>
      <c r="CA859" s="633">
        <f t="shared" si="445"/>
        <v>0</v>
      </c>
    </row>
    <row r="860" spans="1:79" x14ac:dyDescent="0.2">
      <c r="A860" s="4">
        <v>1</v>
      </c>
      <c r="B860" s="4">
        <v>1</v>
      </c>
      <c r="C860" s="5">
        <f t="shared" si="458"/>
        <v>41150</v>
      </c>
      <c r="D860" s="6">
        <v>41150</v>
      </c>
      <c r="E860" s="6">
        <v>43011</v>
      </c>
      <c r="F860" s="6" t="s">
        <v>1606</v>
      </c>
      <c r="G860" s="7"/>
      <c r="H860" s="7"/>
      <c r="I860" s="7" t="s">
        <v>32</v>
      </c>
      <c r="J860" s="7"/>
      <c r="K860" s="28">
        <v>399503</v>
      </c>
      <c r="L860" s="10" t="s">
        <v>1789</v>
      </c>
      <c r="M860" s="10" t="s">
        <v>1808</v>
      </c>
      <c r="N860" s="10" t="s">
        <v>962</v>
      </c>
      <c r="O860" s="11" t="s">
        <v>1809</v>
      </c>
      <c r="P860" s="12">
        <v>40808</v>
      </c>
      <c r="Q860" s="13">
        <f t="shared" ca="1" si="447"/>
        <v>14.001368925393566</v>
      </c>
      <c r="R860" s="14">
        <v>6</v>
      </c>
      <c r="S860" s="15">
        <v>872</v>
      </c>
      <c r="T860" s="8">
        <v>872</v>
      </c>
      <c r="U860" s="16">
        <v>45017</v>
      </c>
      <c r="V860" s="17">
        <v>1</v>
      </c>
      <c r="W860" s="16">
        <v>45128</v>
      </c>
      <c r="X860" s="14">
        <v>63</v>
      </c>
      <c r="Y860" s="18">
        <f t="shared" si="436"/>
        <v>63</v>
      </c>
      <c r="Z860" s="18">
        <f t="shared" si="453"/>
        <v>0.328125</v>
      </c>
      <c r="AA860" s="18" t="s">
        <v>48</v>
      </c>
      <c r="AB860" s="26">
        <v>30</v>
      </c>
      <c r="AC860" s="26"/>
      <c r="AD860" s="26"/>
      <c r="AE860" s="147" t="str">
        <f t="shared" si="448"/>
        <v>0</v>
      </c>
      <c r="AF860" s="147" t="str">
        <f t="shared" si="459"/>
        <v>1</v>
      </c>
      <c r="AG860" s="147" t="str">
        <f t="shared" si="449"/>
        <v>0</v>
      </c>
      <c r="AH860" s="147" t="str">
        <f t="shared" si="454"/>
        <v>NO</v>
      </c>
      <c r="AI860" s="147" t="str">
        <f t="shared" si="455"/>
        <v>NO</v>
      </c>
      <c r="AJ860" s="147" t="str">
        <f t="shared" si="456"/>
        <v>NO</v>
      </c>
      <c r="AK860" s="147" t="str">
        <f t="shared" si="457"/>
        <v>NO</v>
      </c>
      <c r="AL860" s="21"/>
      <c r="AM860" s="21">
        <f t="shared" si="460"/>
        <v>8183.0999999999985</v>
      </c>
      <c r="AN860" s="27" t="s">
        <v>43</v>
      </c>
      <c r="AO860" s="21">
        <v>1</v>
      </c>
      <c r="AP860" s="21">
        <f t="shared" si="461"/>
        <v>0.328125</v>
      </c>
      <c r="AQ860" s="149">
        <f t="shared" si="442"/>
        <v>2685.0796874999996</v>
      </c>
      <c r="AR860" s="21">
        <v>2685.0796874999996</v>
      </c>
      <c r="AS860" s="610">
        <v>2685.0796874999996</v>
      </c>
      <c r="AT860" s="112">
        <v>2685.0796874999996</v>
      </c>
      <c r="AU860" s="4"/>
      <c r="AV860" s="4"/>
      <c r="AW860" s="23" t="e">
        <f>VLOOKUP(K860,#REF!,8,FALSE)</f>
        <v>#REF!</v>
      </c>
      <c r="AX860" s="23" t="s">
        <v>2256</v>
      </c>
      <c r="AY860" s="23" t="e">
        <f>VLOOKUP(K860,#REF!,8,FALSE)</f>
        <v>#REF!</v>
      </c>
      <c r="AZ860" s="4"/>
      <c r="BA860" s="272"/>
      <c r="BB860" s="318">
        <f t="shared" si="430"/>
        <v>0</v>
      </c>
      <c r="BC860" s="269">
        <f t="shared" si="431"/>
        <v>2685.0796874999996</v>
      </c>
      <c r="BD860" t="e">
        <f t="shared" si="462"/>
        <v>#REF!</v>
      </c>
      <c r="BE860" t="s">
        <v>2394</v>
      </c>
      <c r="BF860">
        <v>43012</v>
      </c>
      <c r="BH860" t="e">
        <f>VLOOKUP(K860,#REF!,8,FALSE)</f>
        <v>#REF!</v>
      </c>
      <c r="BJ860">
        <f>AB860</f>
        <v>30</v>
      </c>
      <c r="BK860" s="269">
        <f>AM860</f>
        <v>8183.0999999999985</v>
      </c>
      <c r="BL860" s="353"/>
      <c r="BM860" s="353" t="s">
        <v>75</v>
      </c>
      <c r="BN860" s="353"/>
      <c r="BO860" s="106">
        <f>BK860/192*127</f>
        <v>5412.7796874999985</v>
      </c>
      <c r="BP860" s="166">
        <f t="shared" si="446"/>
        <v>8097.8593749999982</v>
      </c>
      <c r="BS860" s="165"/>
      <c r="BX860" s="495">
        <f t="shared" si="443"/>
        <v>8097.8593749999982</v>
      </c>
      <c r="BZ860" s="636">
        <f t="shared" si="444"/>
        <v>0</v>
      </c>
      <c r="CA860" s="633">
        <f t="shared" si="445"/>
        <v>5412.7796874999985</v>
      </c>
    </row>
    <row r="861" spans="1:79" x14ac:dyDescent="0.2">
      <c r="A861" s="4">
        <v>1</v>
      </c>
      <c r="B861" s="4">
        <v>1</v>
      </c>
      <c r="C861" s="5">
        <f t="shared" si="458"/>
        <v>41150</v>
      </c>
      <c r="D861" s="6">
        <v>41150</v>
      </c>
      <c r="E861" s="6">
        <v>43011</v>
      </c>
      <c r="F861" s="6" t="s">
        <v>1606</v>
      </c>
      <c r="G861" s="7"/>
      <c r="H861" s="7"/>
      <c r="I861" s="7" t="s">
        <v>32</v>
      </c>
      <c r="J861" s="7"/>
      <c r="K861" s="28">
        <v>400054</v>
      </c>
      <c r="L861" s="10" t="s">
        <v>1789</v>
      </c>
      <c r="M861" s="10" t="s">
        <v>443</v>
      </c>
      <c r="N861" s="10" t="s">
        <v>1810</v>
      </c>
      <c r="O861" s="11" t="s">
        <v>1811</v>
      </c>
      <c r="P861" s="12">
        <v>40838</v>
      </c>
      <c r="Q861" s="13">
        <f t="shared" ca="1" si="447"/>
        <v>13.919233401779604</v>
      </c>
      <c r="R861" s="14">
        <v>6</v>
      </c>
      <c r="S861" s="15">
        <v>872</v>
      </c>
      <c r="T861" s="8">
        <v>872</v>
      </c>
      <c r="U861" s="16">
        <v>45017</v>
      </c>
      <c r="V861" s="17">
        <v>1</v>
      </c>
      <c r="W861" s="16">
        <v>45128</v>
      </c>
      <c r="X861" s="14">
        <v>63</v>
      </c>
      <c r="Y861" s="18">
        <f t="shared" si="436"/>
        <v>63</v>
      </c>
      <c r="Z861" s="18">
        <f t="shared" si="453"/>
        <v>0.328125</v>
      </c>
      <c r="AA861" s="18" t="s">
        <v>48</v>
      </c>
      <c r="AB861" s="26">
        <v>25</v>
      </c>
      <c r="AC861" s="26"/>
      <c r="AD861" s="26"/>
      <c r="AE861" s="147" t="str">
        <f t="shared" si="448"/>
        <v>1</v>
      </c>
      <c r="AF861" s="147" t="str">
        <f t="shared" si="459"/>
        <v>0</v>
      </c>
      <c r="AG861" s="147" t="str">
        <f t="shared" si="449"/>
        <v>0</v>
      </c>
      <c r="AH861" s="147" t="str">
        <f t="shared" si="454"/>
        <v>NO</v>
      </c>
      <c r="AI861" s="147" t="str">
        <f t="shared" si="455"/>
        <v>NO</v>
      </c>
      <c r="AJ861" s="147" t="str">
        <f t="shared" si="456"/>
        <v>NO</v>
      </c>
      <c r="AK861" s="147" t="str">
        <f t="shared" si="457"/>
        <v>NO</v>
      </c>
      <c r="AL861" s="21"/>
      <c r="AM861" s="21">
        <f t="shared" si="460"/>
        <v>5819.25</v>
      </c>
      <c r="AN861" s="27" t="s">
        <v>56</v>
      </c>
      <c r="AO861" s="21">
        <v>1</v>
      </c>
      <c r="AP861" s="21">
        <f t="shared" si="461"/>
        <v>0.328125</v>
      </c>
      <c r="AQ861" s="149">
        <f t="shared" si="442"/>
        <v>1909.44140625</v>
      </c>
      <c r="AR861" s="21">
        <v>1909.44140625</v>
      </c>
      <c r="AS861" s="610">
        <v>1909.44140625</v>
      </c>
      <c r="AT861" s="112">
        <v>1909.44140625</v>
      </c>
      <c r="AU861" s="4"/>
      <c r="AV861" s="4"/>
      <c r="AW861" s="23" t="e">
        <f>VLOOKUP(K861,#REF!,8,FALSE)</f>
        <v>#REF!</v>
      </c>
      <c r="AX861" s="23" t="s">
        <v>2256</v>
      </c>
      <c r="AY861" s="23" t="e">
        <f>VLOOKUP(K861,#REF!,8,FALSE)</f>
        <v>#REF!</v>
      </c>
      <c r="AZ861" s="4"/>
      <c r="BA861" s="272"/>
      <c r="BB861" s="318">
        <f t="shared" si="430"/>
        <v>0</v>
      </c>
      <c r="BC861" s="269">
        <f t="shared" si="431"/>
        <v>1909.44140625</v>
      </c>
      <c r="BD861" t="e">
        <f t="shared" si="462"/>
        <v>#REF!</v>
      </c>
      <c r="BE861" t="s">
        <v>2394</v>
      </c>
      <c r="BF861">
        <v>43012</v>
      </c>
      <c r="BH861" t="e">
        <f>VLOOKUP(K861,#REF!,8,FALSE)</f>
        <v>#REF!</v>
      </c>
      <c r="BJ861">
        <f>AB861</f>
        <v>25</v>
      </c>
      <c r="BK861" s="269">
        <f>AM861</f>
        <v>5819.25</v>
      </c>
      <c r="BL861" s="353"/>
      <c r="BM861" s="353" t="s">
        <v>75</v>
      </c>
      <c r="BN861" s="353"/>
      <c r="BO861" s="106">
        <f>BK861/192*127</f>
        <v>3849.19140625</v>
      </c>
      <c r="BP861" s="166">
        <f t="shared" si="446"/>
        <v>5758.6328125</v>
      </c>
      <c r="BS861" s="165"/>
      <c r="BX861" s="495">
        <f t="shared" si="443"/>
        <v>5758.6328125</v>
      </c>
      <c r="BZ861" s="636">
        <f t="shared" si="444"/>
        <v>0</v>
      </c>
      <c r="CA861" s="633">
        <f t="shared" si="445"/>
        <v>3849.19140625</v>
      </c>
    </row>
    <row r="862" spans="1:79" x14ac:dyDescent="0.2">
      <c r="A862" s="4">
        <v>1</v>
      </c>
      <c r="B862" s="4">
        <v>1</v>
      </c>
      <c r="C862" s="5">
        <f t="shared" si="458"/>
        <v>41150</v>
      </c>
      <c r="D862" s="6">
        <v>41150</v>
      </c>
      <c r="E862" s="6">
        <v>43011</v>
      </c>
      <c r="F862" s="6" t="s">
        <v>1606</v>
      </c>
      <c r="G862" s="7"/>
      <c r="H862" s="7"/>
      <c r="I862" s="7" t="s">
        <v>32</v>
      </c>
      <c r="J862" s="7"/>
      <c r="K862" s="28">
        <v>410391</v>
      </c>
      <c r="L862" s="10" t="s">
        <v>1789</v>
      </c>
      <c r="M862" s="10" t="s">
        <v>1812</v>
      </c>
      <c r="N862" s="10" t="s">
        <v>1813</v>
      </c>
      <c r="O862" s="11" t="s">
        <v>1814</v>
      </c>
      <c r="P862" s="12">
        <v>41382</v>
      </c>
      <c r="Q862" s="13">
        <f t="shared" ca="1" si="447"/>
        <v>12.429842573579739</v>
      </c>
      <c r="R862" s="14">
        <v>4</v>
      </c>
      <c r="S862" s="15">
        <v>872</v>
      </c>
      <c r="T862" s="8">
        <v>872</v>
      </c>
      <c r="U862" s="16">
        <v>45017</v>
      </c>
      <c r="V862" s="17">
        <v>1</v>
      </c>
      <c r="W862" s="16">
        <v>45382</v>
      </c>
      <c r="X862" s="14">
        <v>192</v>
      </c>
      <c r="Y862" s="18">
        <f t="shared" si="436"/>
        <v>192</v>
      </c>
      <c r="Z862" s="18">
        <f t="shared" si="453"/>
        <v>1</v>
      </c>
      <c r="AA862" s="18" t="s">
        <v>36</v>
      </c>
      <c r="AB862" s="26">
        <v>25</v>
      </c>
      <c r="AC862" s="26"/>
      <c r="AD862" s="26"/>
      <c r="AE862" s="147" t="str">
        <f t="shared" si="448"/>
        <v>1</v>
      </c>
      <c r="AF862" s="147" t="str">
        <f t="shared" si="459"/>
        <v>0</v>
      </c>
      <c r="AG862" s="147" t="str">
        <f t="shared" si="449"/>
        <v>0</v>
      </c>
      <c r="AH862" s="147" t="str">
        <f t="shared" si="454"/>
        <v>NO</v>
      </c>
      <c r="AI862" s="147" t="str">
        <f t="shared" si="455"/>
        <v>NO</v>
      </c>
      <c r="AJ862" s="147" t="str">
        <f t="shared" si="456"/>
        <v>NO</v>
      </c>
      <c r="AK862" s="147" t="str">
        <f t="shared" si="457"/>
        <v>NO</v>
      </c>
      <c r="AL862" s="21"/>
      <c r="AM862" s="21">
        <f t="shared" si="460"/>
        <v>5819.25</v>
      </c>
      <c r="AN862" s="27"/>
      <c r="AO862" s="21">
        <v>1</v>
      </c>
      <c r="AP862" s="21">
        <f t="shared" si="461"/>
        <v>1</v>
      </c>
      <c r="AQ862" s="149">
        <f t="shared" si="442"/>
        <v>5819.25</v>
      </c>
      <c r="AR862" s="21">
        <v>5819.25</v>
      </c>
      <c r="AS862" s="610">
        <v>5819.25</v>
      </c>
      <c r="AT862" s="112">
        <v>5819.25</v>
      </c>
      <c r="AU862" s="4"/>
      <c r="AV862" s="4"/>
      <c r="AW862" s="23" t="e">
        <f>VLOOKUP(K862,#REF!,8,FALSE)</f>
        <v>#REF!</v>
      </c>
      <c r="AX862" s="23" t="e">
        <f>VLOOKUP(K862,#REF!,8,FALSE)</f>
        <v>#REF!</v>
      </c>
      <c r="AY862" s="23" t="e">
        <f>VLOOKUP(K862,#REF!,8,FALSE)</f>
        <v>#REF!</v>
      </c>
      <c r="AZ862" s="4"/>
      <c r="BA862" s="272"/>
      <c r="BB862" s="318">
        <f t="shared" si="430"/>
        <v>0</v>
      </c>
      <c r="BC862" s="269">
        <f t="shared" si="431"/>
        <v>5819.25</v>
      </c>
      <c r="BD862" t="str">
        <f t="shared" si="462"/>
        <v/>
      </c>
      <c r="BP862" s="166">
        <f t="shared" si="446"/>
        <v>5819.25</v>
      </c>
      <c r="BS862" s="165"/>
      <c r="BX862" s="495">
        <f t="shared" si="443"/>
        <v>5819.25</v>
      </c>
      <c r="BZ862" s="636">
        <f t="shared" si="444"/>
        <v>0</v>
      </c>
      <c r="CA862" s="633">
        <f t="shared" si="445"/>
        <v>0</v>
      </c>
    </row>
    <row r="863" spans="1:79" x14ac:dyDescent="0.2">
      <c r="A863" s="4">
        <v>1</v>
      </c>
      <c r="B863" s="4">
        <v>1</v>
      </c>
      <c r="C863" s="5">
        <f t="shared" si="458"/>
        <v>2000</v>
      </c>
      <c r="D863" s="6">
        <v>2000</v>
      </c>
      <c r="E863" s="121">
        <v>43012</v>
      </c>
      <c r="F863" s="6" t="s">
        <v>1606</v>
      </c>
      <c r="G863" s="7" t="s">
        <v>75</v>
      </c>
      <c r="H863" s="7"/>
      <c r="I863" s="7" t="s">
        <v>32</v>
      </c>
      <c r="J863" s="7"/>
      <c r="K863" s="28">
        <v>435863</v>
      </c>
      <c r="L863" s="34" t="s">
        <v>1815</v>
      </c>
      <c r="M863" s="10" t="s">
        <v>1816</v>
      </c>
      <c r="N863" s="10" t="s">
        <v>407</v>
      </c>
      <c r="O863" s="11" t="s">
        <v>1817</v>
      </c>
      <c r="P863" s="12">
        <v>42944</v>
      </c>
      <c r="Q863" s="13">
        <f t="shared" ca="1" si="447"/>
        <v>8.1533196440793976</v>
      </c>
      <c r="R863" s="14">
        <v>1</v>
      </c>
      <c r="S863" s="15">
        <v>872</v>
      </c>
      <c r="T863" s="8">
        <v>872</v>
      </c>
      <c r="U863" s="16">
        <v>45017</v>
      </c>
      <c r="V863" s="17">
        <v>1</v>
      </c>
      <c r="W863" s="16">
        <v>45382</v>
      </c>
      <c r="X863" s="14">
        <v>192</v>
      </c>
      <c r="Y863" s="18">
        <f t="shared" si="436"/>
        <v>192</v>
      </c>
      <c r="Z863" s="18">
        <f t="shared" si="453"/>
        <v>1</v>
      </c>
      <c r="AA863" s="18" t="s">
        <v>36</v>
      </c>
      <c r="AB863" s="26">
        <v>30</v>
      </c>
      <c r="AC863" s="26"/>
      <c r="AD863" s="26"/>
      <c r="AE863" s="147" t="str">
        <f t="shared" si="448"/>
        <v>0</v>
      </c>
      <c r="AF863" s="147" t="str">
        <f t="shared" si="459"/>
        <v>1</v>
      </c>
      <c r="AG863" s="147" t="str">
        <f t="shared" si="449"/>
        <v>0</v>
      </c>
      <c r="AH863" s="147" t="str">
        <f t="shared" si="454"/>
        <v>NO</v>
      </c>
      <c r="AI863" s="147" t="str">
        <f t="shared" si="455"/>
        <v>NO</v>
      </c>
      <c r="AJ863" s="147" t="str">
        <f t="shared" si="456"/>
        <v>NO</v>
      </c>
      <c r="AK863" s="147" t="str">
        <f t="shared" si="457"/>
        <v>NO</v>
      </c>
      <c r="AL863" s="21"/>
      <c r="AM863" s="21">
        <f t="shared" si="460"/>
        <v>8183.0999999999985</v>
      </c>
      <c r="AN863" s="27" t="s">
        <v>66</v>
      </c>
      <c r="AO863" s="21">
        <v>1</v>
      </c>
      <c r="AP863" s="21">
        <f t="shared" si="461"/>
        <v>1</v>
      </c>
      <c r="AQ863" s="149">
        <f t="shared" si="442"/>
        <v>8183.0999999999985</v>
      </c>
      <c r="AR863" s="21">
        <v>8183.0999999999985</v>
      </c>
      <c r="AS863" s="610">
        <v>8183.0999999999985</v>
      </c>
      <c r="AT863" s="112">
        <v>8183.0999999999985</v>
      </c>
      <c r="AU863" s="4"/>
      <c r="AV863" s="4"/>
      <c r="AW863" s="23" t="e">
        <f>VLOOKUP(K863,#REF!,8,FALSE)</f>
        <v>#REF!</v>
      </c>
      <c r="AX863" s="23" t="e">
        <f>VLOOKUP(K863,#REF!,8,FALSE)</f>
        <v>#REF!</v>
      </c>
      <c r="AY863" s="23" t="e">
        <f>VLOOKUP(K863,#REF!,8,FALSE)</f>
        <v>#REF!</v>
      </c>
      <c r="AZ863" s="4"/>
      <c r="BA863" s="272"/>
      <c r="BB863" s="318">
        <f t="shared" si="430"/>
        <v>0</v>
      </c>
      <c r="BC863" s="269">
        <f t="shared" si="431"/>
        <v>8183.0999999999985</v>
      </c>
      <c r="BD863" t="str">
        <f t="shared" si="462"/>
        <v/>
      </c>
      <c r="BP863" s="166">
        <f t="shared" si="446"/>
        <v>8183.0999999999985</v>
      </c>
      <c r="BS863" s="165"/>
      <c r="BX863" s="495">
        <f t="shared" si="443"/>
        <v>8183.0999999999985</v>
      </c>
      <c r="BZ863" s="636">
        <f t="shared" si="444"/>
        <v>0</v>
      </c>
      <c r="CA863" s="633">
        <f t="shared" si="445"/>
        <v>0</v>
      </c>
    </row>
    <row r="864" spans="1:79" x14ac:dyDescent="0.2">
      <c r="A864" s="4">
        <v>1</v>
      </c>
      <c r="B864" s="4">
        <v>1</v>
      </c>
      <c r="C864" s="5">
        <f t="shared" si="458"/>
        <v>2000</v>
      </c>
      <c r="D864" s="6">
        <v>2000</v>
      </c>
      <c r="E864" s="121">
        <v>43012</v>
      </c>
      <c r="F864" s="6" t="s">
        <v>1606</v>
      </c>
      <c r="G864" s="7" t="s">
        <v>75</v>
      </c>
      <c r="H864" s="7"/>
      <c r="I864" s="7" t="s">
        <v>32</v>
      </c>
      <c r="J864" s="7"/>
      <c r="K864" s="29">
        <v>410023</v>
      </c>
      <c r="L864" s="34" t="s">
        <v>1815</v>
      </c>
      <c r="M864" s="10" t="s">
        <v>476</v>
      </c>
      <c r="N864" s="10" t="s">
        <v>1818</v>
      </c>
      <c r="O864" s="11" t="str">
        <f>M864&amp;N864</f>
        <v>CharlotteQueenan</v>
      </c>
      <c r="P864" s="12">
        <v>41373</v>
      </c>
      <c r="Q864" s="13">
        <f t="shared" ca="1" si="447"/>
        <v>12.454483230663929</v>
      </c>
      <c r="R864" s="14">
        <v>5</v>
      </c>
      <c r="S864" s="15">
        <v>872</v>
      </c>
      <c r="T864" s="8">
        <v>872</v>
      </c>
      <c r="U864" s="16">
        <v>45017</v>
      </c>
      <c r="V864" s="17">
        <v>1</v>
      </c>
      <c r="W864" s="16">
        <v>45382</v>
      </c>
      <c r="X864" s="14">
        <v>192</v>
      </c>
      <c r="Y864" s="18">
        <f t="shared" si="436"/>
        <v>192</v>
      </c>
      <c r="Z864" s="18">
        <f t="shared" si="453"/>
        <v>1</v>
      </c>
      <c r="AA864" s="18" t="s">
        <v>36</v>
      </c>
      <c r="AB864" s="26">
        <v>24</v>
      </c>
      <c r="AC864" s="26"/>
      <c r="AD864" s="26"/>
      <c r="AE864" s="147" t="str">
        <f t="shared" si="448"/>
        <v>1</v>
      </c>
      <c r="AF864" s="147" t="str">
        <f t="shared" si="459"/>
        <v>0</v>
      </c>
      <c r="AG864" s="147" t="str">
        <f t="shared" si="449"/>
        <v>0</v>
      </c>
      <c r="AH864" s="147" t="str">
        <f t="shared" si="454"/>
        <v>NO</v>
      </c>
      <c r="AI864" s="147" t="str">
        <f t="shared" si="455"/>
        <v>NO</v>
      </c>
      <c r="AJ864" s="147" t="str">
        <f t="shared" si="456"/>
        <v>NO</v>
      </c>
      <c r="AK864" s="147" t="str">
        <f t="shared" si="457"/>
        <v>NO</v>
      </c>
      <c r="AL864" s="21"/>
      <c r="AM864" s="21">
        <f t="shared" si="460"/>
        <v>5346.48</v>
      </c>
      <c r="AN864" s="27" t="s">
        <v>56</v>
      </c>
      <c r="AO864" s="21">
        <v>1</v>
      </c>
      <c r="AP864" s="21">
        <f t="shared" si="461"/>
        <v>1</v>
      </c>
      <c r="AQ864" s="149">
        <f t="shared" si="442"/>
        <v>5346.48</v>
      </c>
      <c r="AR864" s="21">
        <v>5346.48</v>
      </c>
      <c r="AS864" s="610">
        <v>5346.48</v>
      </c>
      <c r="AT864" s="112">
        <v>5346.48</v>
      </c>
      <c r="AU864" s="4"/>
      <c r="AV864" s="4"/>
      <c r="AW864" s="23" t="e">
        <f>VLOOKUP(K864,#REF!,8,FALSE)</f>
        <v>#REF!</v>
      </c>
      <c r="AX864" s="23" t="e">
        <f>VLOOKUP(K864,#REF!,8,FALSE)</f>
        <v>#REF!</v>
      </c>
      <c r="AY864" s="23" t="e">
        <f>VLOOKUP(K864,#REF!,8,FALSE)</f>
        <v>#REF!</v>
      </c>
      <c r="AZ864" s="4"/>
      <c r="BA864" s="272"/>
      <c r="BB864" s="318">
        <f t="shared" ref="BB864:BB873" si="463">BC864-AT864</f>
        <v>0</v>
      </c>
      <c r="BC864" s="269">
        <f t="shared" ref="BC864:BC873" si="464">AR864</f>
        <v>5346.48</v>
      </c>
      <c r="BD864" t="str">
        <f t="shared" si="462"/>
        <v/>
      </c>
      <c r="BP864" s="166">
        <f t="shared" si="446"/>
        <v>5346.48</v>
      </c>
      <c r="BS864" s="165"/>
      <c r="BX864" s="495">
        <f t="shared" si="443"/>
        <v>5346.48</v>
      </c>
      <c r="BZ864" s="636">
        <f t="shared" si="444"/>
        <v>0</v>
      </c>
      <c r="CA864" s="633">
        <f t="shared" si="445"/>
        <v>0</v>
      </c>
    </row>
    <row r="865" spans="1:79" x14ac:dyDescent="0.2">
      <c r="A865" s="4">
        <v>1</v>
      </c>
      <c r="B865" s="4">
        <v>1</v>
      </c>
      <c r="C865" s="5">
        <f t="shared" si="458"/>
        <v>2000</v>
      </c>
      <c r="D865" s="6">
        <v>2000</v>
      </c>
      <c r="E865" s="121">
        <v>43012</v>
      </c>
      <c r="F865" s="6" t="s">
        <v>1606</v>
      </c>
      <c r="G865" s="7" t="s">
        <v>75</v>
      </c>
      <c r="H865" s="7"/>
      <c r="I865" s="7" t="s">
        <v>32</v>
      </c>
      <c r="J865" s="7"/>
      <c r="K865" s="29">
        <v>401843</v>
      </c>
      <c r="L865" s="34" t="s">
        <v>1815</v>
      </c>
      <c r="M865" s="10" t="s">
        <v>950</v>
      </c>
      <c r="N865" s="10" t="s">
        <v>1819</v>
      </c>
      <c r="O865" s="11" t="s">
        <v>1820</v>
      </c>
      <c r="P865" s="12">
        <v>41132</v>
      </c>
      <c r="Q865" s="13">
        <f t="shared" ca="1" si="447"/>
        <v>13.114305270362765</v>
      </c>
      <c r="R865" s="14">
        <v>6</v>
      </c>
      <c r="S865" s="15">
        <v>872</v>
      </c>
      <c r="T865" s="8">
        <v>872</v>
      </c>
      <c r="U865" s="16">
        <v>45017</v>
      </c>
      <c r="V865" s="17">
        <v>1</v>
      </c>
      <c r="W865" s="16">
        <v>45128</v>
      </c>
      <c r="X865" s="14">
        <v>63</v>
      </c>
      <c r="Y865" s="18">
        <f t="shared" si="436"/>
        <v>63</v>
      </c>
      <c r="Z865" s="18">
        <f t="shared" si="453"/>
        <v>0.328125</v>
      </c>
      <c r="AA865" s="18" t="s">
        <v>48</v>
      </c>
      <c r="AB865" s="26">
        <v>25</v>
      </c>
      <c r="AC865" s="26"/>
      <c r="AD865" s="26"/>
      <c r="AE865" s="147" t="str">
        <f t="shared" si="448"/>
        <v>1</v>
      </c>
      <c r="AF865" s="147" t="str">
        <f t="shared" si="459"/>
        <v>0</v>
      </c>
      <c r="AG865" s="147" t="str">
        <f t="shared" si="449"/>
        <v>0</v>
      </c>
      <c r="AH865" s="147" t="str">
        <f t="shared" si="454"/>
        <v>NO</v>
      </c>
      <c r="AI865" s="147" t="str">
        <f t="shared" si="455"/>
        <v>NO</v>
      </c>
      <c r="AJ865" s="147" t="str">
        <f t="shared" si="456"/>
        <v>NO</v>
      </c>
      <c r="AK865" s="147" t="str">
        <f t="shared" si="457"/>
        <v>NO</v>
      </c>
      <c r="AL865" s="21"/>
      <c r="AM865" s="21">
        <f t="shared" si="460"/>
        <v>5819.25</v>
      </c>
      <c r="AN865" s="27" t="s">
        <v>43</v>
      </c>
      <c r="AO865" s="21">
        <v>1</v>
      </c>
      <c r="AP865" s="21">
        <f t="shared" si="461"/>
        <v>0.328125</v>
      </c>
      <c r="AQ865" s="149">
        <f t="shared" si="442"/>
        <v>1909.44140625</v>
      </c>
      <c r="AR865" s="21">
        <v>1909.44140625</v>
      </c>
      <c r="AS865" s="610">
        <v>1909.44140625</v>
      </c>
      <c r="AT865" s="112">
        <v>1909.44140625</v>
      </c>
      <c r="AU865" s="4"/>
      <c r="AV865" s="4"/>
      <c r="AW865" s="23" t="e">
        <f>VLOOKUP(K865,#REF!,8,FALSE)</f>
        <v>#REF!</v>
      </c>
      <c r="AX865" s="23" t="s">
        <v>2260</v>
      </c>
      <c r="AY865" s="23" t="e">
        <f>VLOOKUP(K865,#REF!,8,FALSE)</f>
        <v>#REF!</v>
      </c>
      <c r="AZ865" s="4"/>
      <c r="BA865" s="272"/>
      <c r="BB865" s="318">
        <f t="shared" si="463"/>
        <v>0</v>
      </c>
      <c r="BC865" s="269">
        <f t="shared" si="464"/>
        <v>1909.44140625</v>
      </c>
      <c r="BD865" t="e">
        <f t="shared" si="462"/>
        <v>#REF!</v>
      </c>
      <c r="BE865" t="s">
        <v>2394</v>
      </c>
      <c r="BF865">
        <v>43012</v>
      </c>
      <c r="BH865" t="e">
        <f>VLOOKUP(K865,#REF!,8,FALSE)</f>
        <v>#REF!</v>
      </c>
      <c r="BJ865">
        <f>AB865</f>
        <v>25</v>
      </c>
      <c r="BK865" s="269">
        <f>AM865</f>
        <v>5819.25</v>
      </c>
      <c r="BL865" s="353"/>
      <c r="BM865" s="353" t="s">
        <v>75</v>
      </c>
      <c r="BN865" s="353"/>
      <c r="BO865" s="106">
        <f>BK865/192*127</f>
        <v>3849.19140625</v>
      </c>
      <c r="BP865" s="166">
        <f t="shared" si="446"/>
        <v>5758.6328125</v>
      </c>
      <c r="BS865" s="165"/>
      <c r="BX865" s="495">
        <f t="shared" si="443"/>
        <v>5758.6328125</v>
      </c>
      <c r="BZ865" s="636">
        <f t="shared" si="444"/>
        <v>0</v>
      </c>
      <c r="CA865" s="633">
        <f t="shared" si="445"/>
        <v>3849.19140625</v>
      </c>
    </row>
    <row r="866" spans="1:79" x14ac:dyDescent="0.2">
      <c r="A866" s="4">
        <v>1</v>
      </c>
      <c r="B866" s="4">
        <v>1</v>
      </c>
      <c r="C866" s="5">
        <f t="shared" si="458"/>
        <v>2000</v>
      </c>
      <c r="D866" s="6">
        <v>2000</v>
      </c>
      <c r="E866" s="121">
        <v>43012</v>
      </c>
      <c r="F866" s="6" t="s">
        <v>1606</v>
      </c>
      <c r="G866" s="7" t="s">
        <v>75</v>
      </c>
      <c r="H866" s="7"/>
      <c r="I866" s="7" t="s">
        <v>32</v>
      </c>
      <c r="J866" s="7"/>
      <c r="K866" s="29">
        <v>401858</v>
      </c>
      <c r="L866" s="34" t="s">
        <v>1815</v>
      </c>
      <c r="M866" s="10" t="s">
        <v>1821</v>
      </c>
      <c r="N866" s="10" t="s">
        <v>1822</v>
      </c>
      <c r="O866" s="11" t="s">
        <v>1823</v>
      </c>
      <c r="P866" s="12">
        <v>41234</v>
      </c>
      <c r="Q866" s="13">
        <f t="shared" ca="1" si="447"/>
        <v>12.83504449007529</v>
      </c>
      <c r="R866" s="14">
        <v>5</v>
      </c>
      <c r="S866" s="15">
        <v>872</v>
      </c>
      <c r="T866" s="8">
        <v>872</v>
      </c>
      <c r="U866" s="16">
        <v>45044</v>
      </c>
      <c r="V866" s="17">
        <v>11</v>
      </c>
      <c r="W866" s="16">
        <v>45382</v>
      </c>
      <c r="X866" s="14">
        <v>192</v>
      </c>
      <c r="Y866" s="18">
        <f t="shared" si="436"/>
        <v>182</v>
      </c>
      <c r="Z866" s="18">
        <f t="shared" si="453"/>
        <v>0.94791666666666663</v>
      </c>
      <c r="AA866" s="18" t="s">
        <v>36</v>
      </c>
      <c r="AB866" s="26">
        <v>28</v>
      </c>
      <c r="AC866" s="26"/>
      <c r="AD866" s="26"/>
      <c r="AE866" s="147" t="str">
        <f t="shared" si="448"/>
        <v>0</v>
      </c>
      <c r="AF866" s="147" t="str">
        <f t="shared" si="459"/>
        <v>1</v>
      </c>
      <c r="AG866" s="147" t="str">
        <f t="shared" si="449"/>
        <v>0</v>
      </c>
      <c r="AH866" s="147" t="str">
        <f t="shared" si="454"/>
        <v>NO</v>
      </c>
      <c r="AI866" s="147" t="str">
        <f t="shared" si="455"/>
        <v>NO</v>
      </c>
      <c r="AJ866" s="147" t="str">
        <f t="shared" si="456"/>
        <v>NO</v>
      </c>
      <c r="AK866" s="147" t="str">
        <f t="shared" si="457"/>
        <v>NO</v>
      </c>
      <c r="AL866" s="21"/>
      <c r="AM866" s="21">
        <f t="shared" si="460"/>
        <v>7237.5599999999995</v>
      </c>
      <c r="AN866" s="27" t="s">
        <v>37</v>
      </c>
      <c r="AO866" s="21">
        <v>1</v>
      </c>
      <c r="AP866" s="21">
        <f t="shared" si="461"/>
        <v>0.94791666666666663</v>
      </c>
      <c r="AQ866" s="149">
        <f t="shared" si="442"/>
        <v>6860.6037499999993</v>
      </c>
      <c r="AR866" s="21">
        <v>6860.6037499999993</v>
      </c>
      <c r="AS866" s="610">
        <v>0</v>
      </c>
      <c r="AT866" s="112">
        <v>6860.6037499999993</v>
      </c>
      <c r="AU866" s="4"/>
      <c r="AV866" s="4"/>
      <c r="AW866" s="23" t="e">
        <f>VLOOKUP(K866,#REF!,8,FALSE)</f>
        <v>#REF!</v>
      </c>
      <c r="AX866" s="23" t="e">
        <f>VLOOKUP(K866,#REF!,8,FALSE)</f>
        <v>#REF!</v>
      </c>
      <c r="AY866" s="23" t="e">
        <f>VLOOKUP(K866,#REF!,8,FALSE)</f>
        <v>#REF!</v>
      </c>
      <c r="AZ866" s="4"/>
      <c r="BA866" s="272"/>
      <c r="BB866" s="318">
        <f t="shared" si="463"/>
        <v>0</v>
      </c>
      <c r="BC866" s="269">
        <f t="shared" si="464"/>
        <v>6860.6037499999993</v>
      </c>
      <c r="BD866" t="str">
        <f t="shared" si="462"/>
        <v/>
      </c>
      <c r="BP866" s="166">
        <f t="shared" si="446"/>
        <v>6860.6037499999993</v>
      </c>
      <c r="BS866" s="165"/>
      <c r="BX866" s="495">
        <f t="shared" si="443"/>
        <v>6860.6037499999993</v>
      </c>
      <c r="BZ866" s="636">
        <f t="shared" si="444"/>
        <v>0</v>
      </c>
      <c r="CA866" s="633">
        <f t="shared" si="445"/>
        <v>6860.6037499999993</v>
      </c>
    </row>
    <row r="867" spans="1:79" x14ac:dyDescent="0.2">
      <c r="A867" s="4">
        <v>1</v>
      </c>
      <c r="B867" s="4">
        <v>1</v>
      </c>
      <c r="C867" s="5">
        <f t="shared" si="458"/>
        <v>2000</v>
      </c>
      <c r="D867" s="6">
        <v>2000</v>
      </c>
      <c r="E867" s="121">
        <v>43012</v>
      </c>
      <c r="F867" s="6" t="s">
        <v>1606</v>
      </c>
      <c r="G867" s="7" t="s">
        <v>75</v>
      </c>
      <c r="H867" s="7"/>
      <c r="I867" s="7" t="s">
        <v>32</v>
      </c>
      <c r="J867" s="7"/>
      <c r="K867" s="29">
        <v>424946</v>
      </c>
      <c r="L867" s="34" t="s">
        <v>1815</v>
      </c>
      <c r="M867" s="10" t="s">
        <v>1824</v>
      </c>
      <c r="N867" s="10" t="s">
        <v>1825</v>
      </c>
      <c r="O867" s="11" t="s">
        <v>1826</v>
      </c>
      <c r="P867" s="12">
        <v>42346</v>
      </c>
      <c r="Q867" s="13">
        <f t="shared" ca="1" si="447"/>
        <v>9.7905544147843937</v>
      </c>
      <c r="R867" s="14">
        <v>2</v>
      </c>
      <c r="S867" s="15">
        <v>872</v>
      </c>
      <c r="T867" s="8">
        <v>872</v>
      </c>
      <c r="U867" s="16">
        <v>45017</v>
      </c>
      <c r="V867" s="17">
        <v>1</v>
      </c>
      <c r="W867" s="16">
        <v>45382</v>
      </c>
      <c r="X867" s="14">
        <v>192</v>
      </c>
      <c r="Y867" s="18">
        <f t="shared" si="436"/>
        <v>192</v>
      </c>
      <c r="Z867" s="18">
        <f t="shared" si="453"/>
        <v>1</v>
      </c>
      <c r="AA867" s="18" t="s">
        <v>36</v>
      </c>
      <c r="AB867" s="26">
        <v>23</v>
      </c>
      <c r="AC867" s="26"/>
      <c r="AD867" s="26"/>
      <c r="AE867" s="147" t="str">
        <f t="shared" si="448"/>
        <v>1</v>
      </c>
      <c r="AF867" s="147" t="str">
        <f t="shared" si="459"/>
        <v>0</v>
      </c>
      <c r="AG867" s="147" t="str">
        <f t="shared" si="449"/>
        <v>0</v>
      </c>
      <c r="AH867" s="147" t="str">
        <f t="shared" si="454"/>
        <v>NO</v>
      </c>
      <c r="AI867" s="147" t="str">
        <f t="shared" si="455"/>
        <v>NO</v>
      </c>
      <c r="AJ867" s="147" t="str">
        <f t="shared" si="456"/>
        <v>NO</v>
      </c>
      <c r="AK867" s="147" t="str">
        <f t="shared" si="457"/>
        <v>NO</v>
      </c>
      <c r="AL867" s="21"/>
      <c r="AM867" s="21">
        <f t="shared" si="460"/>
        <v>4873.7099999999991</v>
      </c>
      <c r="AN867" s="27" t="s">
        <v>37</v>
      </c>
      <c r="AO867" s="21">
        <v>1</v>
      </c>
      <c r="AP867" s="21">
        <f t="shared" si="461"/>
        <v>1</v>
      </c>
      <c r="AQ867" s="149">
        <f t="shared" si="442"/>
        <v>4873.7099999999991</v>
      </c>
      <c r="AR867" s="21">
        <v>4873.7099999999991</v>
      </c>
      <c r="AS867" s="610">
        <v>4873.7099999999991</v>
      </c>
      <c r="AT867" s="112">
        <v>4873.7099999999991</v>
      </c>
      <c r="AU867" s="4"/>
      <c r="AV867" s="4"/>
      <c r="AW867" s="23" t="e">
        <f>VLOOKUP(K867,#REF!,8,FALSE)</f>
        <v>#REF!</v>
      </c>
      <c r="AX867" s="23" t="e">
        <f>VLOOKUP(K867,#REF!,8,FALSE)</f>
        <v>#REF!</v>
      </c>
      <c r="AY867" s="23" t="e">
        <f>VLOOKUP(K867,#REF!,8,FALSE)</f>
        <v>#REF!</v>
      </c>
      <c r="AZ867" s="4"/>
      <c r="BA867" s="272"/>
      <c r="BB867" s="318">
        <f t="shared" si="463"/>
        <v>0</v>
      </c>
      <c r="BC867" s="269">
        <f t="shared" si="464"/>
        <v>4873.7099999999991</v>
      </c>
      <c r="BD867" t="str">
        <f t="shared" si="462"/>
        <v/>
      </c>
      <c r="BP867" s="166">
        <f t="shared" si="446"/>
        <v>4873.7099999999991</v>
      </c>
      <c r="BS867" s="165"/>
      <c r="BX867" s="495">
        <f t="shared" si="443"/>
        <v>4873.7099999999991</v>
      </c>
      <c r="BZ867" s="636">
        <f t="shared" si="444"/>
        <v>0</v>
      </c>
      <c r="CA867" s="633">
        <f t="shared" si="445"/>
        <v>0</v>
      </c>
    </row>
    <row r="868" spans="1:79" x14ac:dyDescent="0.2">
      <c r="A868" s="4">
        <v>1</v>
      </c>
      <c r="B868" s="4">
        <v>1</v>
      </c>
      <c r="C868" s="5">
        <f t="shared" si="458"/>
        <v>2000</v>
      </c>
      <c r="D868" s="6">
        <v>2000</v>
      </c>
      <c r="E868" s="121">
        <v>43012</v>
      </c>
      <c r="F868" s="6" t="s">
        <v>1606</v>
      </c>
      <c r="G868" s="7" t="s">
        <v>75</v>
      </c>
      <c r="H868" s="7"/>
      <c r="I868" s="7" t="s">
        <v>32</v>
      </c>
      <c r="J868" s="7"/>
      <c r="K868" s="29">
        <v>415608</v>
      </c>
      <c r="L868" s="34" t="s">
        <v>1815</v>
      </c>
      <c r="M868" s="10" t="s">
        <v>2334</v>
      </c>
      <c r="N868" s="10" t="s">
        <v>2335</v>
      </c>
      <c r="O868" s="11" t="s">
        <v>2336</v>
      </c>
      <c r="P868" s="12">
        <v>42173</v>
      </c>
      <c r="Q868" s="13">
        <f t="shared" ca="1" si="447"/>
        <v>10.264202600958248</v>
      </c>
      <c r="R868" s="14">
        <v>3</v>
      </c>
      <c r="S868" s="15">
        <v>872</v>
      </c>
      <c r="T868" s="8">
        <v>872</v>
      </c>
      <c r="U868" s="16">
        <v>45017</v>
      </c>
      <c r="V868" s="17">
        <v>1</v>
      </c>
      <c r="W868" s="16">
        <v>45382</v>
      </c>
      <c r="X868" s="14">
        <v>192</v>
      </c>
      <c r="Y868" s="18">
        <f t="shared" si="436"/>
        <v>192</v>
      </c>
      <c r="Z868" s="18">
        <f t="shared" si="453"/>
        <v>1</v>
      </c>
      <c r="AA868" s="18" t="s">
        <v>36</v>
      </c>
      <c r="AB868" s="26">
        <v>25</v>
      </c>
      <c r="AC868" s="26"/>
      <c r="AD868" s="26"/>
      <c r="AE868" s="147" t="str">
        <f t="shared" si="448"/>
        <v>1</v>
      </c>
      <c r="AF868" s="147" t="str">
        <f t="shared" si="459"/>
        <v>0</v>
      </c>
      <c r="AG868" s="147" t="str">
        <f t="shared" si="449"/>
        <v>0</v>
      </c>
      <c r="AH868" s="147" t="str">
        <f t="shared" si="454"/>
        <v>NO</v>
      </c>
      <c r="AI868" s="147" t="str">
        <f t="shared" si="455"/>
        <v>NO</v>
      </c>
      <c r="AJ868" s="147" t="str">
        <f t="shared" si="456"/>
        <v>NO</v>
      </c>
      <c r="AK868" s="147" t="str">
        <f t="shared" si="457"/>
        <v>NO</v>
      </c>
      <c r="AL868" s="21"/>
      <c r="AM868" s="21">
        <f t="shared" si="460"/>
        <v>5819.25</v>
      </c>
      <c r="AN868" s="27" t="s">
        <v>66</v>
      </c>
      <c r="AO868" s="21">
        <v>1</v>
      </c>
      <c r="AP868" s="21">
        <f t="shared" si="461"/>
        <v>1</v>
      </c>
      <c r="AQ868" s="149">
        <f t="shared" si="442"/>
        <v>5819.25</v>
      </c>
      <c r="AR868" s="21">
        <v>5819.25</v>
      </c>
      <c r="AS868" s="610">
        <v>0</v>
      </c>
      <c r="AT868" s="112">
        <v>0</v>
      </c>
      <c r="AU868" s="4"/>
      <c r="AV868" s="4"/>
      <c r="AW868" s="23"/>
      <c r="AX868" s="23"/>
      <c r="AY868" s="23"/>
      <c r="AZ868" s="4"/>
      <c r="BA868" s="272"/>
      <c r="BB868" s="318">
        <f t="shared" si="463"/>
        <v>5819.25</v>
      </c>
      <c r="BC868" s="269">
        <f t="shared" si="464"/>
        <v>5819.25</v>
      </c>
      <c r="BD868" t="str">
        <f t="shared" si="462"/>
        <v/>
      </c>
      <c r="BP868" s="166">
        <f t="shared" si="446"/>
        <v>5819.25</v>
      </c>
      <c r="BS868" s="165"/>
      <c r="BX868" s="495">
        <f t="shared" si="443"/>
        <v>5819.25</v>
      </c>
      <c r="BZ868" s="636">
        <f t="shared" si="444"/>
        <v>0</v>
      </c>
      <c r="CA868" s="633">
        <f t="shared" si="445"/>
        <v>5819.25</v>
      </c>
    </row>
    <row r="869" spans="1:79" x14ac:dyDescent="0.2">
      <c r="A869" s="4">
        <v>1</v>
      </c>
      <c r="B869" s="4">
        <v>1</v>
      </c>
      <c r="C869" s="5">
        <f t="shared" si="458"/>
        <v>2000</v>
      </c>
      <c r="D869" s="6">
        <v>2000</v>
      </c>
      <c r="E869" s="121">
        <v>43012</v>
      </c>
      <c r="F869" s="6" t="s">
        <v>1606</v>
      </c>
      <c r="G869" s="7" t="s">
        <v>75</v>
      </c>
      <c r="H869" s="7"/>
      <c r="I869" s="7" t="s">
        <v>32</v>
      </c>
      <c r="J869" s="7"/>
      <c r="K869" s="29">
        <v>428823</v>
      </c>
      <c r="L869" s="34" t="s">
        <v>1815</v>
      </c>
      <c r="M869" s="10" t="s">
        <v>427</v>
      </c>
      <c r="N869" s="10" t="s">
        <v>1827</v>
      </c>
      <c r="O869" s="11" t="s">
        <v>1828</v>
      </c>
      <c r="P869" s="12">
        <v>42922</v>
      </c>
      <c r="Q869" s="13">
        <f t="shared" ca="1" si="447"/>
        <v>8.2135523613963031</v>
      </c>
      <c r="R869" s="14">
        <v>1</v>
      </c>
      <c r="S869" s="15">
        <v>872</v>
      </c>
      <c r="T869" s="8">
        <v>872</v>
      </c>
      <c r="U869" s="16">
        <v>45017</v>
      </c>
      <c r="V869" s="17">
        <v>1</v>
      </c>
      <c r="W869" s="16">
        <v>45382</v>
      </c>
      <c r="X869" s="14">
        <v>192</v>
      </c>
      <c r="Y869" s="18">
        <f t="shared" si="436"/>
        <v>192</v>
      </c>
      <c r="Z869" s="18">
        <f t="shared" si="453"/>
        <v>1</v>
      </c>
      <c r="AA869" s="18" t="s">
        <v>36</v>
      </c>
      <c r="AB869" s="26">
        <v>28</v>
      </c>
      <c r="AC869" s="26"/>
      <c r="AD869" s="26"/>
      <c r="AE869" s="147" t="str">
        <f t="shared" si="448"/>
        <v>0</v>
      </c>
      <c r="AF869" s="147" t="str">
        <f t="shared" si="459"/>
        <v>1</v>
      </c>
      <c r="AG869" s="147" t="str">
        <f t="shared" si="449"/>
        <v>0</v>
      </c>
      <c r="AH869" s="147" t="str">
        <f t="shared" si="454"/>
        <v>NO</v>
      </c>
      <c r="AI869" s="147" t="str">
        <f t="shared" si="455"/>
        <v>NO</v>
      </c>
      <c r="AJ869" s="147" t="str">
        <f t="shared" si="456"/>
        <v>NO</v>
      </c>
      <c r="AK869" s="147" t="str">
        <f t="shared" si="457"/>
        <v>NO</v>
      </c>
      <c r="AL869" s="21"/>
      <c r="AM869" s="21">
        <f t="shared" si="460"/>
        <v>7237.5599999999995</v>
      </c>
      <c r="AN869" s="27"/>
      <c r="AO869" s="21">
        <v>1</v>
      </c>
      <c r="AP869" s="21">
        <f t="shared" si="461"/>
        <v>1</v>
      </c>
      <c r="AQ869" s="149">
        <f t="shared" si="442"/>
        <v>7237.5599999999995</v>
      </c>
      <c r="AR869" s="21">
        <v>7237.5599999999995</v>
      </c>
      <c r="AS869" s="610">
        <v>7237.5599999999995</v>
      </c>
      <c r="AT869" s="112">
        <v>7237.5599999999995</v>
      </c>
      <c r="AU869" s="4"/>
      <c r="AV869" s="4"/>
      <c r="AW869" s="23" t="e">
        <f>VLOOKUP(K869,#REF!,8,FALSE)</f>
        <v>#REF!</v>
      </c>
      <c r="AX869" s="23" t="e">
        <f>VLOOKUP(K869,#REF!,8,FALSE)</f>
        <v>#REF!</v>
      </c>
      <c r="AY869" s="23" t="e">
        <f>VLOOKUP(K869,#REF!,8,FALSE)</f>
        <v>#REF!</v>
      </c>
      <c r="AZ869" s="4"/>
      <c r="BA869" s="272"/>
      <c r="BB869" s="318">
        <f t="shared" si="463"/>
        <v>0</v>
      </c>
      <c r="BC869" s="269">
        <f t="shared" si="464"/>
        <v>7237.5599999999995</v>
      </c>
      <c r="BD869" t="str">
        <f t="shared" si="462"/>
        <v/>
      </c>
      <c r="BP869" s="166">
        <f t="shared" si="446"/>
        <v>7237.5599999999995</v>
      </c>
      <c r="BS869" s="165"/>
      <c r="BX869" s="495">
        <f t="shared" si="443"/>
        <v>7237.5599999999995</v>
      </c>
      <c r="BZ869" s="636">
        <f t="shared" si="444"/>
        <v>0</v>
      </c>
      <c r="CA869" s="633">
        <f t="shared" si="445"/>
        <v>0</v>
      </c>
    </row>
    <row r="870" spans="1:79" x14ac:dyDescent="0.2">
      <c r="A870" s="4">
        <v>1</v>
      </c>
      <c r="B870" s="4">
        <v>1</v>
      </c>
      <c r="C870" s="5">
        <f t="shared" si="458"/>
        <v>2000</v>
      </c>
      <c r="D870" s="6">
        <v>2000</v>
      </c>
      <c r="E870" s="121">
        <v>43012</v>
      </c>
      <c r="F870" s="6" t="s">
        <v>1606</v>
      </c>
      <c r="G870" s="7" t="s">
        <v>75</v>
      </c>
      <c r="H870" s="7"/>
      <c r="I870" s="7" t="s">
        <v>32</v>
      </c>
      <c r="J870" s="7"/>
      <c r="K870" s="29">
        <v>436862</v>
      </c>
      <c r="L870" s="34" t="s">
        <v>1815</v>
      </c>
      <c r="M870" s="10" t="s">
        <v>1829</v>
      </c>
      <c r="N870" s="10" t="s">
        <v>1830</v>
      </c>
      <c r="O870" s="11" t="str">
        <f>M870&amp;N870</f>
        <v>JoyceAjiboye</v>
      </c>
      <c r="P870" s="12">
        <v>42908</v>
      </c>
      <c r="Q870" s="13">
        <f t="shared" ca="1" si="447"/>
        <v>8.2518822724161538</v>
      </c>
      <c r="R870" s="14">
        <v>1</v>
      </c>
      <c r="S870" s="15">
        <v>872</v>
      </c>
      <c r="T870" s="8">
        <v>872</v>
      </c>
      <c r="U870" s="16">
        <v>45017</v>
      </c>
      <c r="V870" s="17">
        <v>1</v>
      </c>
      <c r="W870" s="16">
        <v>45382</v>
      </c>
      <c r="X870" s="14">
        <v>192</v>
      </c>
      <c r="Y870" s="18">
        <f t="shared" si="436"/>
        <v>192</v>
      </c>
      <c r="Z870" s="18">
        <f t="shared" si="453"/>
        <v>1</v>
      </c>
      <c r="AA870" s="18" t="s">
        <v>36</v>
      </c>
      <c r="AB870" s="26">
        <v>30</v>
      </c>
      <c r="AC870" s="26"/>
      <c r="AD870" s="26"/>
      <c r="AE870" s="147" t="str">
        <f t="shared" si="448"/>
        <v>0</v>
      </c>
      <c r="AF870" s="147" t="str">
        <f t="shared" si="459"/>
        <v>1</v>
      </c>
      <c r="AG870" s="147" t="str">
        <f t="shared" si="449"/>
        <v>0</v>
      </c>
      <c r="AH870" s="147" t="str">
        <f t="shared" si="454"/>
        <v>NO</v>
      </c>
      <c r="AI870" s="147" t="str">
        <f t="shared" si="455"/>
        <v>NO</v>
      </c>
      <c r="AJ870" s="147" t="str">
        <f t="shared" si="456"/>
        <v>NO</v>
      </c>
      <c r="AK870" s="147" t="str">
        <f t="shared" si="457"/>
        <v>NO</v>
      </c>
      <c r="AL870" s="21"/>
      <c r="AM870" s="21">
        <f t="shared" si="460"/>
        <v>8183.0999999999985</v>
      </c>
      <c r="AN870" s="27" t="s">
        <v>37</v>
      </c>
      <c r="AO870" s="21">
        <v>1</v>
      </c>
      <c r="AP870" s="21">
        <f t="shared" si="461"/>
        <v>1</v>
      </c>
      <c r="AQ870" s="149">
        <f t="shared" si="442"/>
        <v>8183.0999999999985</v>
      </c>
      <c r="AR870" s="21">
        <v>8183.0999999999985</v>
      </c>
      <c r="AS870" s="610">
        <v>8183.0999999999985</v>
      </c>
      <c r="AT870" s="112">
        <v>8183.0999999999985</v>
      </c>
      <c r="AU870" s="4"/>
      <c r="AV870" s="4"/>
      <c r="AW870" s="23" t="e">
        <f>VLOOKUP(K870,#REF!,8,FALSE)</f>
        <v>#REF!</v>
      </c>
      <c r="AX870" s="23" t="e">
        <f>VLOOKUP(K870,#REF!,8,FALSE)</f>
        <v>#REF!</v>
      </c>
      <c r="AY870" s="23" t="e">
        <f>VLOOKUP(K870,#REF!,8,FALSE)</f>
        <v>#REF!</v>
      </c>
      <c r="AZ870" s="4"/>
      <c r="BA870" s="272"/>
      <c r="BB870" s="318">
        <f t="shared" si="463"/>
        <v>0</v>
      </c>
      <c r="BC870" s="269">
        <f t="shared" si="464"/>
        <v>8183.0999999999985</v>
      </c>
      <c r="BD870" t="str">
        <f t="shared" si="462"/>
        <v/>
      </c>
      <c r="BP870" s="166">
        <f t="shared" si="446"/>
        <v>8183.0999999999985</v>
      </c>
      <c r="BS870" s="165"/>
      <c r="BX870" s="495">
        <f t="shared" si="443"/>
        <v>8183.0999999999985</v>
      </c>
      <c r="BZ870" s="636">
        <f t="shared" si="444"/>
        <v>0</v>
      </c>
      <c r="CA870" s="633">
        <f t="shared" si="445"/>
        <v>0</v>
      </c>
    </row>
    <row r="871" spans="1:79" x14ac:dyDescent="0.2">
      <c r="A871" s="4">
        <v>1</v>
      </c>
      <c r="B871" s="4">
        <v>1</v>
      </c>
      <c r="C871" s="5">
        <f t="shared" si="458"/>
        <v>2000</v>
      </c>
      <c r="D871" s="6">
        <v>2000</v>
      </c>
      <c r="E871" s="121">
        <v>43012</v>
      </c>
      <c r="F871" s="6" t="s">
        <v>1606</v>
      </c>
      <c r="G871" s="7" t="s">
        <v>75</v>
      </c>
      <c r="H871" s="7"/>
      <c r="I871" s="7" t="s">
        <v>32</v>
      </c>
      <c r="J871" s="7"/>
      <c r="K871" s="29">
        <v>422268</v>
      </c>
      <c r="L871" s="34" t="s">
        <v>1815</v>
      </c>
      <c r="M871" s="10" t="s">
        <v>1831</v>
      </c>
      <c r="N871" s="10" t="s">
        <v>898</v>
      </c>
      <c r="O871" s="11" t="s">
        <v>1832</v>
      </c>
      <c r="P871" s="12">
        <v>42216</v>
      </c>
      <c r="Q871" s="13">
        <f t="shared" ca="1" si="447"/>
        <v>10.146475017111568</v>
      </c>
      <c r="R871" s="14">
        <v>3</v>
      </c>
      <c r="S871" s="15">
        <v>872</v>
      </c>
      <c r="T871" s="8">
        <v>872</v>
      </c>
      <c r="U871" s="16">
        <v>45017</v>
      </c>
      <c r="V871" s="17">
        <v>1</v>
      </c>
      <c r="W871" s="16">
        <v>45382</v>
      </c>
      <c r="X871" s="14">
        <v>192</v>
      </c>
      <c r="Y871" s="18">
        <f t="shared" si="436"/>
        <v>192</v>
      </c>
      <c r="Z871" s="18">
        <f t="shared" si="453"/>
        <v>1</v>
      </c>
      <c r="AA871" s="18" t="s">
        <v>36</v>
      </c>
      <c r="AB871" s="26">
        <v>25</v>
      </c>
      <c r="AC871" s="26"/>
      <c r="AD871" s="26"/>
      <c r="AE871" s="147" t="str">
        <f t="shared" si="448"/>
        <v>1</v>
      </c>
      <c r="AF871" s="147" t="str">
        <f t="shared" si="459"/>
        <v>0</v>
      </c>
      <c r="AG871" s="147" t="str">
        <f t="shared" si="449"/>
        <v>0</v>
      </c>
      <c r="AH871" s="147" t="str">
        <f t="shared" si="454"/>
        <v>NO</v>
      </c>
      <c r="AI871" s="147" t="str">
        <f t="shared" si="455"/>
        <v>NO</v>
      </c>
      <c r="AJ871" s="147" t="str">
        <f t="shared" si="456"/>
        <v>NO</v>
      </c>
      <c r="AK871" s="147" t="str">
        <f t="shared" si="457"/>
        <v>NO</v>
      </c>
      <c r="AL871" s="21"/>
      <c r="AM871" s="21">
        <f t="shared" si="460"/>
        <v>5819.25</v>
      </c>
      <c r="AN871" s="27" t="s">
        <v>37</v>
      </c>
      <c r="AO871" s="21">
        <v>1</v>
      </c>
      <c r="AP871" s="21">
        <f t="shared" si="461"/>
        <v>1</v>
      </c>
      <c r="AQ871" s="149">
        <f t="shared" si="442"/>
        <v>5819.25</v>
      </c>
      <c r="AR871" s="21">
        <v>5819.25</v>
      </c>
      <c r="AS871" s="610">
        <v>5819.25</v>
      </c>
      <c r="AT871" s="112">
        <v>5819.25</v>
      </c>
      <c r="AU871" s="4"/>
      <c r="AV871" s="4"/>
      <c r="AW871" s="23" t="e">
        <f>VLOOKUP(K871,#REF!,8,FALSE)</f>
        <v>#REF!</v>
      </c>
      <c r="AX871" s="23" t="e">
        <f>VLOOKUP(K871,#REF!,8,FALSE)</f>
        <v>#REF!</v>
      </c>
      <c r="AY871" s="23" t="e">
        <f>VLOOKUP(K871,#REF!,8,FALSE)</f>
        <v>#REF!</v>
      </c>
      <c r="AZ871" s="4"/>
      <c r="BA871" s="272"/>
      <c r="BB871" s="318">
        <f t="shared" si="463"/>
        <v>0</v>
      </c>
      <c r="BC871" s="269">
        <f t="shared" si="464"/>
        <v>5819.25</v>
      </c>
      <c r="BD871" t="str">
        <f t="shared" si="462"/>
        <v/>
      </c>
      <c r="BP871" s="166">
        <f t="shared" si="446"/>
        <v>5819.25</v>
      </c>
      <c r="BS871" s="165"/>
      <c r="BX871" s="495">
        <f t="shared" si="443"/>
        <v>5819.25</v>
      </c>
      <c r="BZ871" s="636">
        <f t="shared" si="444"/>
        <v>0</v>
      </c>
      <c r="CA871" s="633">
        <f t="shared" si="445"/>
        <v>0</v>
      </c>
    </row>
    <row r="872" spans="1:79" x14ac:dyDescent="0.2">
      <c r="A872" s="4">
        <v>1</v>
      </c>
      <c r="B872" s="4">
        <v>1</v>
      </c>
      <c r="C872" s="5">
        <f t="shared" si="458"/>
        <v>2000</v>
      </c>
      <c r="D872" s="6">
        <v>2000</v>
      </c>
      <c r="E872" s="121">
        <v>43012</v>
      </c>
      <c r="F872" s="6" t="s">
        <v>1606</v>
      </c>
      <c r="G872" s="7" t="s">
        <v>75</v>
      </c>
      <c r="H872" s="7"/>
      <c r="I872" s="7" t="s">
        <v>32</v>
      </c>
      <c r="J872" s="7"/>
      <c r="K872" s="29">
        <v>437508</v>
      </c>
      <c r="L872" s="34" t="s">
        <v>1815</v>
      </c>
      <c r="M872" s="10" t="s">
        <v>1657</v>
      </c>
      <c r="N872" s="10" t="s">
        <v>1270</v>
      </c>
      <c r="O872" s="11" t="s">
        <v>1833</v>
      </c>
      <c r="P872" s="12">
        <v>43017</v>
      </c>
      <c r="Q872" s="13">
        <f t="shared" ca="1" si="447"/>
        <v>7.953456536618754</v>
      </c>
      <c r="R872" s="14">
        <v>0</v>
      </c>
      <c r="S872" s="15">
        <v>872</v>
      </c>
      <c r="T872" s="8">
        <v>872</v>
      </c>
      <c r="U872" s="16">
        <v>45017</v>
      </c>
      <c r="V872" s="17">
        <v>1</v>
      </c>
      <c r="W872" s="16">
        <v>45382</v>
      </c>
      <c r="X872" s="14">
        <v>192</v>
      </c>
      <c r="Y872" s="18">
        <f t="shared" si="436"/>
        <v>192</v>
      </c>
      <c r="Z872" s="18">
        <f t="shared" si="453"/>
        <v>1</v>
      </c>
      <c r="AA872" s="18" t="s">
        <v>36</v>
      </c>
      <c r="AB872" s="26">
        <v>25</v>
      </c>
      <c r="AC872" s="26"/>
      <c r="AD872" s="26"/>
      <c r="AE872" s="147" t="str">
        <f t="shared" si="448"/>
        <v>1</v>
      </c>
      <c r="AF872" s="147" t="str">
        <f t="shared" si="459"/>
        <v>0</v>
      </c>
      <c r="AG872" s="147" t="str">
        <f t="shared" si="449"/>
        <v>0</v>
      </c>
      <c r="AH872" s="147" t="str">
        <f t="shared" si="454"/>
        <v>NO</v>
      </c>
      <c r="AI872" s="147" t="str">
        <f t="shared" si="455"/>
        <v>NO</v>
      </c>
      <c r="AJ872" s="147" t="str">
        <f t="shared" si="456"/>
        <v>NO</v>
      </c>
      <c r="AK872" s="147" t="str">
        <f t="shared" si="457"/>
        <v>NO</v>
      </c>
      <c r="AL872" s="21"/>
      <c r="AM872" s="21">
        <f t="shared" si="460"/>
        <v>5819.25</v>
      </c>
      <c r="AN872" s="27" t="s">
        <v>56</v>
      </c>
      <c r="AO872" s="21">
        <v>1</v>
      </c>
      <c r="AP872" s="21">
        <f t="shared" si="461"/>
        <v>1</v>
      </c>
      <c r="AQ872" s="149">
        <f t="shared" si="442"/>
        <v>5819.25</v>
      </c>
      <c r="AR872" s="21">
        <v>5819.25</v>
      </c>
      <c r="AS872" s="610">
        <v>5819.25</v>
      </c>
      <c r="AT872" s="112">
        <v>5819.25</v>
      </c>
      <c r="AU872" s="4"/>
      <c r="AV872" s="4"/>
      <c r="AW872" s="23" t="e">
        <f>VLOOKUP(K872,#REF!,8,FALSE)</f>
        <v>#REF!</v>
      </c>
      <c r="AX872" s="23" t="e">
        <f>VLOOKUP(K872,#REF!,8,FALSE)</f>
        <v>#REF!</v>
      </c>
      <c r="AY872" s="23" t="e">
        <f>VLOOKUP(K872,#REF!,8,FALSE)</f>
        <v>#REF!</v>
      </c>
      <c r="AZ872" s="4"/>
      <c r="BA872" s="272"/>
      <c r="BB872" s="318">
        <f t="shared" si="463"/>
        <v>0</v>
      </c>
      <c r="BC872" s="269">
        <f t="shared" si="464"/>
        <v>5819.25</v>
      </c>
      <c r="BD872" t="str">
        <f t="shared" si="462"/>
        <v/>
      </c>
      <c r="BP872" s="166">
        <f t="shared" ref="BP872:BP873" si="465">BC872+BO872</f>
        <v>5819.25</v>
      </c>
      <c r="BS872" s="165"/>
      <c r="BX872" s="495">
        <f t="shared" si="443"/>
        <v>5819.25</v>
      </c>
      <c r="BZ872" s="636">
        <f t="shared" si="444"/>
        <v>0</v>
      </c>
      <c r="CA872" s="633">
        <f t="shared" si="445"/>
        <v>0</v>
      </c>
    </row>
    <row r="873" spans="1:79" x14ac:dyDescent="0.2">
      <c r="A873" s="4">
        <v>1</v>
      </c>
      <c r="B873" s="4">
        <v>1</v>
      </c>
      <c r="C873" s="5">
        <f t="shared" si="458"/>
        <v>2000</v>
      </c>
      <c r="D873" s="6">
        <v>2000</v>
      </c>
      <c r="E873" s="121">
        <v>43012</v>
      </c>
      <c r="F873" s="6" t="s">
        <v>1606</v>
      </c>
      <c r="G873" s="7" t="s">
        <v>75</v>
      </c>
      <c r="H873" s="7"/>
      <c r="I873" s="7" t="s">
        <v>32</v>
      </c>
      <c r="J873" s="7"/>
      <c r="K873" s="29">
        <v>442716</v>
      </c>
      <c r="L873" s="34" t="s">
        <v>1815</v>
      </c>
      <c r="M873" s="10" t="s">
        <v>1834</v>
      </c>
      <c r="N873" s="10" t="s">
        <v>844</v>
      </c>
      <c r="O873" s="11" t="str">
        <f>M873&amp;N873</f>
        <v>RiditSharma</v>
      </c>
      <c r="P873" s="12">
        <v>42278</v>
      </c>
      <c r="Q873" s="13">
        <f t="shared" ca="1" si="447"/>
        <v>9.9767282683093779</v>
      </c>
      <c r="R873" s="14">
        <v>2</v>
      </c>
      <c r="S873" s="15">
        <v>872</v>
      </c>
      <c r="T873" s="8">
        <v>872</v>
      </c>
      <c r="U873" s="16">
        <v>45017</v>
      </c>
      <c r="V873" s="17">
        <v>1</v>
      </c>
      <c r="W873" s="16">
        <v>45382</v>
      </c>
      <c r="X873" s="14">
        <v>192</v>
      </c>
      <c r="Y873" s="18">
        <f t="shared" si="436"/>
        <v>192</v>
      </c>
      <c r="Z873" s="18">
        <f t="shared" si="453"/>
        <v>1</v>
      </c>
      <c r="AA873" s="18" t="s">
        <v>36</v>
      </c>
      <c r="AB873" s="26">
        <v>35</v>
      </c>
      <c r="AC873" s="26"/>
      <c r="AD873" s="26"/>
      <c r="AE873" s="147" t="str">
        <f t="shared" si="448"/>
        <v>0</v>
      </c>
      <c r="AF873" s="147" t="str">
        <f t="shared" si="459"/>
        <v>0</v>
      </c>
      <c r="AG873" s="147" t="str">
        <f t="shared" si="449"/>
        <v>1</v>
      </c>
      <c r="AH873" s="147" t="str">
        <f t="shared" si="454"/>
        <v>NO</v>
      </c>
      <c r="AI873" s="147" t="str">
        <f t="shared" si="455"/>
        <v>NO</v>
      </c>
      <c r="AJ873" s="147" t="str">
        <f t="shared" si="456"/>
        <v>NO</v>
      </c>
      <c r="AK873" s="147" t="str">
        <f t="shared" si="457"/>
        <v>NO</v>
      </c>
      <c r="AL873" s="21"/>
      <c r="AM873" s="21">
        <f t="shared" si="460"/>
        <v>10546.95</v>
      </c>
      <c r="AN873" s="27" t="s">
        <v>81</v>
      </c>
      <c r="AO873" s="21">
        <v>1</v>
      </c>
      <c r="AP873" s="21">
        <f t="shared" si="461"/>
        <v>1</v>
      </c>
      <c r="AQ873" s="149">
        <f t="shared" si="442"/>
        <v>10546.95</v>
      </c>
      <c r="AR873" s="21">
        <v>10546.95</v>
      </c>
      <c r="AS873" s="610">
        <v>10546.95</v>
      </c>
      <c r="AT873" s="112">
        <v>10546.95</v>
      </c>
      <c r="AU873" s="4"/>
      <c r="AV873" s="4"/>
      <c r="AW873" s="23" t="e">
        <f>VLOOKUP(K873,#REF!,8,FALSE)</f>
        <v>#REF!</v>
      </c>
      <c r="AX873" s="23" t="e">
        <f>VLOOKUP(K873,#REF!,8,FALSE)</f>
        <v>#REF!</v>
      </c>
      <c r="AY873" s="23" t="e">
        <f>VLOOKUP(K873,#REF!,8,FALSE)</f>
        <v>#REF!</v>
      </c>
      <c r="AZ873" s="4"/>
      <c r="BA873" s="272"/>
      <c r="BB873" s="318">
        <f t="shared" si="463"/>
        <v>0</v>
      </c>
      <c r="BC873" s="269">
        <f t="shared" si="464"/>
        <v>10546.95</v>
      </c>
      <c r="BD873" t="str">
        <f t="shared" si="462"/>
        <v/>
      </c>
      <c r="BP873" s="166">
        <f t="shared" si="465"/>
        <v>10546.95</v>
      </c>
      <c r="BS873" s="165"/>
      <c r="BX873" s="495">
        <f t="shared" si="443"/>
        <v>10546.95</v>
      </c>
      <c r="BZ873" s="636">
        <f t="shared" si="444"/>
        <v>0</v>
      </c>
      <c r="CA873" s="633">
        <f t="shared" si="445"/>
        <v>0</v>
      </c>
    </row>
    <row r="874" spans="1:79" x14ac:dyDescent="0.2">
      <c r="A874" s="4">
        <v>1</v>
      </c>
      <c r="B874" s="4">
        <v>1</v>
      </c>
      <c r="C874" s="5">
        <f t="shared" ref="C874:C891" si="466">D874*1</f>
        <v>41151</v>
      </c>
      <c r="D874" s="6">
        <v>41151</v>
      </c>
      <c r="E874" s="6">
        <v>43011</v>
      </c>
      <c r="F874" s="6" t="s">
        <v>1606</v>
      </c>
      <c r="G874" s="7"/>
      <c r="H874" s="7"/>
      <c r="I874" s="7" t="s">
        <v>32</v>
      </c>
      <c r="J874" s="7"/>
      <c r="K874" s="29">
        <v>434593</v>
      </c>
      <c r="L874" s="34" t="s">
        <v>1835</v>
      </c>
      <c r="M874" s="10" t="s">
        <v>704</v>
      </c>
      <c r="N874" s="10" t="s">
        <v>1836</v>
      </c>
      <c r="O874" s="11" t="s">
        <v>1837</v>
      </c>
      <c r="P874" s="12">
        <v>42940</v>
      </c>
      <c r="Q874" s="13">
        <f t="shared" ref="Q874:Q891" ca="1" si="467">(TODAY()-P874)/365.25</f>
        <v>8.1642710472279258</v>
      </c>
      <c r="R874" s="14">
        <v>1</v>
      </c>
      <c r="S874" s="15">
        <v>872</v>
      </c>
      <c r="T874" s="8">
        <v>872</v>
      </c>
      <c r="U874" s="16">
        <v>45017</v>
      </c>
      <c r="V874" s="17">
        <v>1</v>
      </c>
      <c r="W874" s="16">
        <v>45382</v>
      </c>
      <c r="X874" s="14">
        <v>192</v>
      </c>
      <c r="Y874" s="18">
        <f t="shared" ref="Y874:Y891" si="468">X874-V874+1</f>
        <v>192</v>
      </c>
      <c r="Z874" s="18">
        <f t="shared" ref="Z874:Z891" si="469">Y874/192</f>
        <v>1</v>
      </c>
      <c r="AA874" s="18" t="s">
        <v>36</v>
      </c>
      <c r="AB874" s="26">
        <v>30</v>
      </c>
      <c r="AC874" s="26"/>
      <c r="AD874" s="26"/>
      <c r="AE874" s="147" t="str">
        <f t="shared" ref="AE874:AE891" si="470">IF(AND(AB874&lt;=25,AB874&gt;=20),"1","0")</f>
        <v>0</v>
      </c>
      <c r="AF874" s="147" t="str">
        <f t="shared" ref="AF874:AF891" si="471">IF(AND(AB874&lt;=30,AB874&gt;=26),"1","0")</f>
        <v>1</v>
      </c>
      <c r="AG874" s="147" t="str">
        <f t="shared" ref="AG874:AG891" si="472">IF(AB874&gt;=31,"1","0")</f>
        <v>0</v>
      </c>
      <c r="AH874" s="147" t="str">
        <f t="shared" ref="AH874:AH891" si="473">IF(AD874="BAND3","YES","NO")</f>
        <v>NO</v>
      </c>
      <c r="AI874" s="147" t="str">
        <f t="shared" ref="AI874:AI891" si="474">IF(AD874="BAND4","YES","NO")</f>
        <v>NO</v>
      </c>
      <c r="AJ874" s="147" t="str">
        <f t="shared" ref="AJ874:AJ891" si="475">IF(AD874="BAND5","YES","NO")</f>
        <v>NO</v>
      </c>
      <c r="AK874" s="147" t="str">
        <f t="shared" ref="AK874:AK891" si="476">IF(AD874="BAND6","YES","NO")</f>
        <v>NO</v>
      </c>
      <c r="AL874" s="21"/>
      <c r="AM874" s="21">
        <f t="shared" ref="AM874:AM891" si="477">IF(H874="Y",AL874,((AB874*$O$902)-6000))</f>
        <v>8183.0999999999985</v>
      </c>
      <c r="AN874" s="27" t="s">
        <v>37</v>
      </c>
      <c r="AO874" s="21">
        <v>1</v>
      </c>
      <c r="AP874" s="21">
        <f t="shared" ref="AP874:AP891" si="478">AO874*Z874</f>
        <v>1</v>
      </c>
      <c r="AQ874" s="149">
        <f t="shared" ref="AQ874:AQ891" si="479">AP874*AM874</f>
        <v>8183.0999999999985</v>
      </c>
      <c r="AR874" s="21">
        <v>8183.0999999999985</v>
      </c>
      <c r="AS874" s="610">
        <v>8183.0999999999985</v>
      </c>
      <c r="AT874" s="112">
        <v>8183.0999999999985</v>
      </c>
      <c r="AU874" s="4"/>
      <c r="AV874" s="4"/>
      <c r="AW874" s="23" t="e">
        <f>VLOOKUP(K874,#REF!,8,FALSE)</f>
        <v>#REF!</v>
      </c>
      <c r="AX874" s="23" t="e">
        <f>VLOOKUP(K874,#REF!,8,FALSE)</f>
        <v>#REF!</v>
      </c>
      <c r="AY874" s="23" t="e">
        <f>VLOOKUP(K874,#REF!,8,FALSE)</f>
        <v>#REF!</v>
      </c>
      <c r="AZ874" s="4"/>
      <c r="BA874" s="272"/>
      <c r="BB874" s="318">
        <f t="shared" ref="BB874:BB891" si="480">BC874-AT874</f>
        <v>0</v>
      </c>
      <c r="BC874" s="269">
        <f t="shared" ref="BC874:BC891" si="481">AR874</f>
        <v>8183.0999999999985</v>
      </c>
      <c r="BD874" t="str">
        <f t="shared" ref="BD874:BD878" si="482">BG874&amp;BH874&amp;BI874</f>
        <v/>
      </c>
      <c r="BP874" s="166">
        <f t="shared" ref="BP874:BP891" si="483">BC874+BO874</f>
        <v>8183.0999999999985</v>
      </c>
      <c r="BS874" s="165"/>
      <c r="BX874" s="495">
        <f t="shared" ref="BX874:BX891" si="484">AQ874+BO874+BU874</f>
        <v>8183.0999999999985</v>
      </c>
      <c r="BZ874" s="636">
        <f t="shared" si="444"/>
        <v>0</v>
      </c>
      <c r="CA874" s="633">
        <f t="shared" si="445"/>
        <v>0</v>
      </c>
    </row>
    <row r="875" spans="1:79" x14ac:dyDescent="0.2">
      <c r="A875" s="4">
        <v>1</v>
      </c>
      <c r="B875" s="4">
        <v>1</v>
      </c>
      <c r="C875" s="5">
        <f t="shared" si="466"/>
        <v>41151</v>
      </c>
      <c r="D875" s="6">
        <v>41151</v>
      </c>
      <c r="E875" s="6">
        <v>43011</v>
      </c>
      <c r="F875" s="6" t="s">
        <v>1606</v>
      </c>
      <c r="G875" s="7"/>
      <c r="H875" s="7"/>
      <c r="I875" s="7" t="s">
        <v>32</v>
      </c>
      <c r="J875" s="7"/>
      <c r="K875" s="29">
        <v>403948</v>
      </c>
      <c r="L875" s="34" t="s">
        <v>1835</v>
      </c>
      <c r="M875" s="10" t="s">
        <v>1838</v>
      </c>
      <c r="N875" s="10" t="s">
        <v>339</v>
      </c>
      <c r="O875" s="11" t="s">
        <v>1839</v>
      </c>
      <c r="P875" s="12">
        <v>40925</v>
      </c>
      <c r="Q875" s="13">
        <f t="shared" ca="1" si="467"/>
        <v>13.681040383299111</v>
      </c>
      <c r="R875" s="14">
        <v>6</v>
      </c>
      <c r="S875" s="15">
        <v>872</v>
      </c>
      <c r="T875" s="8">
        <v>872</v>
      </c>
      <c r="U875" s="16">
        <v>45017</v>
      </c>
      <c r="V875" s="17">
        <v>1</v>
      </c>
      <c r="W875" s="16">
        <v>45128</v>
      </c>
      <c r="X875" s="14">
        <v>63</v>
      </c>
      <c r="Y875" s="18">
        <f t="shared" si="468"/>
        <v>63</v>
      </c>
      <c r="Z875" s="18">
        <f t="shared" si="469"/>
        <v>0.328125</v>
      </c>
      <c r="AA875" s="18" t="s">
        <v>48</v>
      </c>
      <c r="AB875" s="26">
        <v>30</v>
      </c>
      <c r="AC875" s="26"/>
      <c r="AD875" s="26"/>
      <c r="AE875" s="147" t="str">
        <f t="shared" si="470"/>
        <v>0</v>
      </c>
      <c r="AF875" s="147" t="str">
        <f t="shared" si="471"/>
        <v>1</v>
      </c>
      <c r="AG875" s="147" t="str">
        <f t="shared" si="472"/>
        <v>0</v>
      </c>
      <c r="AH875" s="147" t="str">
        <f t="shared" si="473"/>
        <v>NO</v>
      </c>
      <c r="AI875" s="147" t="str">
        <f t="shared" si="474"/>
        <v>NO</v>
      </c>
      <c r="AJ875" s="147" t="str">
        <f t="shared" si="475"/>
        <v>NO</v>
      </c>
      <c r="AK875" s="147" t="str">
        <f t="shared" si="476"/>
        <v>NO</v>
      </c>
      <c r="AL875" s="21"/>
      <c r="AM875" s="21">
        <f t="shared" si="477"/>
        <v>8183.0999999999985</v>
      </c>
      <c r="AN875" s="27" t="s">
        <v>43</v>
      </c>
      <c r="AO875" s="21">
        <v>1</v>
      </c>
      <c r="AP875" s="21">
        <f t="shared" si="478"/>
        <v>0.328125</v>
      </c>
      <c r="AQ875" s="149">
        <f t="shared" si="479"/>
        <v>2685.0796874999996</v>
      </c>
      <c r="AR875" s="21">
        <v>2685.0796874999996</v>
      </c>
      <c r="AS875" s="610">
        <v>2685.0796874999996</v>
      </c>
      <c r="AT875" s="112">
        <v>2685.0796874999996</v>
      </c>
      <c r="AU875" s="4"/>
      <c r="AV875" s="4"/>
      <c r="AW875" s="23" t="e">
        <f>VLOOKUP(K875,#REF!,8,FALSE)</f>
        <v>#REF!</v>
      </c>
      <c r="AX875" s="23" t="s">
        <v>2267</v>
      </c>
      <c r="AY875" s="23" t="e">
        <f>VLOOKUP(K875,#REF!,8,FALSE)</f>
        <v>#REF!</v>
      </c>
      <c r="AZ875" s="23" t="s">
        <v>75</v>
      </c>
      <c r="BA875" s="273">
        <f>AM875/3*2</f>
        <v>5455.3999999999987</v>
      </c>
      <c r="BB875" s="318">
        <f t="shared" si="480"/>
        <v>0</v>
      </c>
      <c r="BC875" s="269">
        <f t="shared" si="481"/>
        <v>2685.0796874999996</v>
      </c>
      <c r="BD875" t="e">
        <f t="shared" si="482"/>
        <v>#REF!</v>
      </c>
      <c r="BH875" t="e">
        <f>VLOOKUP(K875,#REF!,8,FALSE)</f>
        <v>#REF!</v>
      </c>
      <c r="BJ875">
        <f>AB875</f>
        <v>30</v>
      </c>
      <c r="BK875" s="269">
        <f>AM875</f>
        <v>8183.0999999999985</v>
      </c>
      <c r="BL875" s="353"/>
      <c r="BM875" s="353" t="s">
        <v>75</v>
      </c>
      <c r="BN875" s="353"/>
      <c r="BO875" s="106">
        <f>BK875/192*127</f>
        <v>5412.7796874999985</v>
      </c>
      <c r="BP875" s="166">
        <f t="shared" si="483"/>
        <v>8097.8593749999982</v>
      </c>
      <c r="BQ875" s="106">
        <v>5412.7796874999985</v>
      </c>
      <c r="BR875" t="s">
        <v>2446</v>
      </c>
      <c r="BS875" s="165">
        <v>43009</v>
      </c>
      <c r="BT875" t="s">
        <v>2554</v>
      </c>
      <c r="BU875" s="109"/>
      <c r="BV875" s="110" t="s">
        <v>2568</v>
      </c>
      <c r="BX875" s="495">
        <f>AQ875+BO875+BU875-BO875</f>
        <v>2685.0796874999996</v>
      </c>
      <c r="BY875" t="s">
        <v>2558</v>
      </c>
      <c r="BZ875" s="636">
        <f t="shared" si="444"/>
        <v>-5412.7796874999985</v>
      </c>
      <c r="CA875" s="633">
        <f t="shared" si="445"/>
        <v>0</v>
      </c>
    </row>
    <row r="876" spans="1:79" x14ac:dyDescent="0.2">
      <c r="A876" s="4">
        <v>1</v>
      </c>
      <c r="B876" s="4">
        <v>1</v>
      </c>
      <c r="C876" s="5">
        <f t="shared" si="466"/>
        <v>41151</v>
      </c>
      <c r="D876" s="6">
        <v>41151</v>
      </c>
      <c r="E876" s="6">
        <v>43011</v>
      </c>
      <c r="F876" s="6" t="s">
        <v>1606</v>
      </c>
      <c r="G876" s="7"/>
      <c r="H876" s="7"/>
      <c r="I876" s="7" t="s">
        <v>32</v>
      </c>
      <c r="J876" s="7"/>
      <c r="K876" s="29">
        <v>399856</v>
      </c>
      <c r="L876" s="34" t="s">
        <v>1835</v>
      </c>
      <c r="M876" s="10" t="s">
        <v>1272</v>
      </c>
      <c r="N876" s="10" t="s">
        <v>962</v>
      </c>
      <c r="O876" s="11" t="s">
        <v>1840</v>
      </c>
      <c r="P876" s="12">
        <v>41225</v>
      </c>
      <c r="Q876" s="13">
        <f t="shared" ca="1" si="467"/>
        <v>12.85968514715948</v>
      </c>
      <c r="R876" s="14">
        <v>5</v>
      </c>
      <c r="S876" s="15">
        <v>872</v>
      </c>
      <c r="T876" s="8">
        <v>872</v>
      </c>
      <c r="U876" s="16">
        <v>45017</v>
      </c>
      <c r="V876" s="17">
        <v>1</v>
      </c>
      <c r="W876" s="16">
        <v>45382</v>
      </c>
      <c r="X876" s="14">
        <v>192</v>
      </c>
      <c r="Y876" s="18">
        <f t="shared" si="468"/>
        <v>192</v>
      </c>
      <c r="Z876" s="18">
        <f t="shared" si="469"/>
        <v>1</v>
      </c>
      <c r="AA876" s="18" t="s">
        <v>36</v>
      </c>
      <c r="AB876" s="26">
        <v>27</v>
      </c>
      <c r="AC876" s="26"/>
      <c r="AD876" s="26"/>
      <c r="AE876" s="147" t="str">
        <f t="shared" si="470"/>
        <v>0</v>
      </c>
      <c r="AF876" s="147" t="str">
        <f t="shared" si="471"/>
        <v>1</v>
      </c>
      <c r="AG876" s="147" t="str">
        <f t="shared" si="472"/>
        <v>0</v>
      </c>
      <c r="AH876" s="147" t="str">
        <f t="shared" si="473"/>
        <v>NO</v>
      </c>
      <c r="AI876" s="147" t="str">
        <f t="shared" si="474"/>
        <v>NO</v>
      </c>
      <c r="AJ876" s="147" t="str">
        <f t="shared" si="475"/>
        <v>NO</v>
      </c>
      <c r="AK876" s="147" t="str">
        <f t="shared" si="476"/>
        <v>NO</v>
      </c>
      <c r="AL876" s="21"/>
      <c r="AM876" s="21">
        <f t="shared" si="477"/>
        <v>6764.7899999999991</v>
      </c>
      <c r="AN876" s="27" t="s">
        <v>43</v>
      </c>
      <c r="AO876" s="21">
        <v>1</v>
      </c>
      <c r="AP876" s="21">
        <f t="shared" si="478"/>
        <v>1</v>
      </c>
      <c r="AQ876" s="149">
        <f t="shared" si="479"/>
        <v>6764.7899999999991</v>
      </c>
      <c r="AR876" s="21">
        <v>6764.7899999999991</v>
      </c>
      <c r="AS876" s="610">
        <v>6764.7899999999991</v>
      </c>
      <c r="AT876" s="112">
        <v>6764.7899999999991</v>
      </c>
      <c r="AU876" s="4"/>
      <c r="AV876" s="4"/>
      <c r="AW876" s="23" t="e">
        <f>VLOOKUP(K876,#REF!,8,FALSE)</f>
        <v>#REF!</v>
      </c>
      <c r="AX876" s="23" t="e">
        <f>VLOOKUP(K876,#REF!,8,FALSE)</f>
        <v>#REF!</v>
      </c>
      <c r="AY876" s="23" t="e">
        <f>VLOOKUP(K876,#REF!,8,FALSE)</f>
        <v>#REF!</v>
      </c>
      <c r="AZ876" s="4"/>
      <c r="BA876" s="272"/>
      <c r="BB876" s="318">
        <f t="shared" si="480"/>
        <v>0</v>
      </c>
      <c r="BC876" s="269">
        <f t="shared" si="481"/>
        <v>6764.7899999999991</v>
      </c>
      <c r="BD876" t="str">
        <f t="shared" si="482"/>
        <v/>
      </c>
      <c r="BP876" s="166">
        <f t="shared" si="483"/>
        <v>6764.7899999999991</v>
      </c>
      <c r="BS876" s="165"/>
      <c r="BX876" s="495">
        <f t="shared" si="484"/>
        <v>6764.7899999999991</v>
      </c>
      <c r="BZ876" s="636">
        <f t="shared" si="444"/>
        <v>0</v>
      </c>
      <c r="CA876" s="633">
        <f t="shared" si="445"/>
        <v>0</v>
      </c>
    </row>
    <row r="877" spans="1:79" x14ac:dyDescent="0.2">
      <c r="A877" s="4">
        <v>1</v>
      </c>
      <c r="B877" s="4">
        <v>1</v>
      </c>
      <c r="C877" s="5">
        <f t="shared" si="466"/>
        <v>41151</v>
      </c>
      <c r="D877" s="6">
        <v>41151</v>
      </c>
      <c r="E877" s="6">
        <v>43011</v>
      </c>
      <c r="F877" s="6" t="s">
        <v>1606</v>
      </c>
      <c r="G877" s="7"/>
      <c r="H877" s="7"/>
      <c r="I877" s="7" t="s">
        <v>32</v>
      </c>
      <c r="J877" s="7"/>
      <c r="K877" s="29">
        <v>433406</v>
      </c>
      <c r="L877" s="34" t="s">
        <v>1835</v>
      </c>
      <c r="M877" s="10" t="s">
        <v>1841</v>
      </c>
      <c r="N877" s="10" t="s">
        <v>379</v>
      </c>
      <c r="O877" s="11" t="s">
        <v>1842</v>
      </c>
      <c r="P877" s="12">
        <v>42829</v>
      </c>
      <c r="Q877" s="13">
        <f t="shared" ca="1" si="467"/>
        <v>8.4681724845995898</v>
      </c>
      <c r="R877" s="14">
        <v>1</v>
      </c>
      <c r="S877" s="15">
        <v>872</v>
      </c>
      <c r="T877" s="8">
        <v>872</v>
      </c>
      <c r="U877" s="16">
        <v>45017</v>
      </c>
      <c r="V877" s="17">
        <v>1</v>
      </c>
      <c r="W877" s="16">
        <v>45382</v>
      </c>
      <c r="X877" s="14">
        <v>192</v>
      </c>
      <c r="Y877" s="18">
        <f t="shared" si="468"/>
        <v>192</v>
      </c>
      <c r="Z877" s="18">
        <f t="shared" si="469"/>
        <v>1</v>
      </c>
      <c r="AA877" s="18" t="s">
        <v>36</v>
      </c>
      <c r="AB877" s="26">
        <v>30</v>
      </c>
      <c r="AC877" s="26"/>
      <c r="AD877" s="26"/>
      <c r="AE877" s="147" t="str">
        <f t="shared" si="470"/>
        <v>0</v>
      </c>
      <c r="AF877" s="147" t="str">
        <f t="shared" si="471"/>
        <v>1</v>
      </c>
      <c r="AG877" s="147" t="str">
        <f t="shared" si="472"/>
        <v>0</v>
      </c>
      <c r="AH877" s="147" t="str">
        <f t="shared" si="473"/>
        <v>NO</v>
      </c>
      <c r="AI877" s="147" t="str">
        <f t="shared" si="474"/>
        <v>NO</v>
      </c>
      <c r="AJ877" s="147" t="str">
        <f t="shared" si="475"/>
        <v>NO</v>
      </c>
      <c r="AK877" s="147" t="str">
        <f t="shared" si="476"/>
        <v>NO</v>
      </c>
      <c r="AL877" s="21"/>
      <c r="AM877" s="21">
        <f t="shared" si="477"/>
        <v>8183.0999999999985</v>
      </c>
      <c r="AN877" s="27" t="s">
        <v>37</v>
      </c>
      <c r="AO877" s="21">
        <v>1</v>
      </c>
      <c r="AP877" s="21">
        <f t="shared" si="478"/>
        <v>1</v>
      </c>
      <c r="AQ877" s="149">
        <f t="shared" si="479"/>
        <v>8183.0999999999985</v>
      </c>
      <c r="AR877" s="21">
        <v>8183.0999999999985</v>
      </c>
      <c r="AS877" s="610">
        <v>8183.0999999999985</v>
      </c>
      <c r="AT877" s="112">
        <v>8183.0999999999985</v>
      </c>
      <c r="AU877" s="4"/>
      <c r="AV877" s="4"/>
      <c r="AW877" s="23" t="e">
        <f>VLOOKUP(K877,#REF!,8,FALSE)</f>
        <v>#REF!</v>
      </c>
      <c r="AX877" s="23" t="e">
        <f>VLOOKUP(K877,#REF!,8,FALSE)</f>
        <v>#REF!</v>
      </c>
      <c r="AY877" s="23" t="e">
        <f>VLOOKUP(K877,#REF!,8,FALSE)</f>
        <v>#REF!</v>
      </c>
      <c r="AZ877" s="4"/>
      <c r="BA877" s="272"/>
      <c r="BB877" s="318">
        <f t="shared" si="480"/>
        <v>0</v>
      </c>
      <c r="BC877" s="269">
        <f t="shared" si="481"/>
        <v>8183.0999999999985</v>
      </c>
      <c r="BD877" t="str">
        <f t="shared" si="482"/>
        <v/>
      </c>
      <c r="BP877" s="166">
        <f t="shared" si="483"/>
        <v>8183.0999999999985</v>
      </c>
      <c r="BS877" s="165"/>
      <c r="BX877" s="495">
        <f t="shared" si="484"/>
        <v>8183.0999999999985</v>
      </c>
      <c r="BZ877" s="636">
        <f t="shared" si="444"/>
        <v>0</v>
      </c>
      <c r="CA877" s="633">
        <f t="shared" si="445"/>
        <v>0</v>
      </c>
    </row>
    <row r="878" spans="1:79" x14ac:dyDescent="0.2">
      <c r="A878" s="4">
        <v>1</v>
      </c>
      <c r="B878" s="4">
        <v>1</v>
      </c>
      <c r="C878" s="5">
        <f t="shared" si="466"/>
        <v>41151</v>
      </c>
      <c r="D878" s="6">
        <v>41151</v>
      </c>
      <c r="E878" s="6">
        <v>43011</v>
      </c>
      <c r="F878" s="6" t="s">
        <v>1606</v>
      </c>
      <c r="G878" s="7"/>
      <c r="H878" s="7"/>
      <c r="I878" s="7" t="s">
        <v>32</v>
      </c>
      <c r="J878" s="7"/>
      <c r="K878" s="29">
        <v>399974</v>
      </c>
      <c r="L878" s="10" t="s">
        <v>1835</v>
      </c>
      <c r="M878" s="10" t="s">
        <v>1748</v>
      </c>
      <c r="N878" s="10" t="s">
        <v>548</v>
      </c>
      <c r="O878" s="11" t="s">
        <v>1843</v>
      </c>
      <c r="P878" s="12">
        <v>40822</v>
      </c>
      <c r="Q878" s="13">
        <f t="shared" ca="1" si="467"/>
        <v>13.963039014373717</v>
      </c>
      <c r="R878" s="14">
        <v>6</v>
      </c>
      <c r="S878" s="15">
        <v>872</v>
      </c>
      <c r="T878" s="8">
        <v>872</v>
      </c>
      <c r="U878" s="16">
        <v>45017</v>
      </c>
      <c r="V878" s="17">
        <v>1</v>
      </c>
      <c r="W878" s="16">
        <v>45128</v>
      </c>
      <c r="X878" s="14">
        <v>63</v>
      </c>
      <c r="Y878" s="18">
        <f t="shared" si="468"/>
        <v>63</v>
      </c>
      <c r="Z878" s="18">
        <f t="shared" si="469"/>
        <v>0.328125</v>
      </c>
      <c r="AA878" s="18" t="s">
        <v>48</v>
      </c>
      <c r="AB878" s="26">
        <v>30</v>
      </c>
      <c r="AC878" s="26"/>
      <c r="AD878" s="26"/>
      <c r="AE878" s="147" t="str">
        <f t="shared" si="470"/>
        <v>0</v>
      </c>
      <c r="AF878" s="147" t="str">
        <f t="shared" si="471"/>
        <v>1</v>
      </c>
      <c r="AG878" s="147" t="str">
        <f t="shared" si="472"/>
        <v>0</v>
      </c>
      <c r="AH878" s="147" t="str">
        <f t="shared" si="473"/>
        <v>NO</v>
      </c>
      <c r="AI878" s="147" t="str">
        <f t="shared" si="474"/>
        <v>NO</v>
      </c>
      <c r="AJ878" s="147" t="str">
        <f t="shared" si="475"/>
        <v>NO</v>
      </c>
      <c r="AK878" s="147" t="str">
        <f t="shared" si="476"/>
        <v>NO</v>
      </c>
      <c r="AL878" s="21"/>
      <c r="AM878" s="21">
        <f t="shared" si="477"/>
        <v>8183.0999999999985</v>
      </c>
      <c r="AN878" s="27" t="s">
        <v>37</v>
      </c>
      <c r="AO878" s="21">
        <v>1</v>
      </c>
      <c r="AP878" s="21">
        <f t="shared" si="478"/>
        <v>0.328125</v>
      </c>
      <c r="AQ878" s="149">
        <f t="shared" si="479"/>
        <v>2685.0796874999996</v>
      </c>
      <c r="AR878" s="21">
        <v>2685.0796874999996</v>
      </c>
      <c r="AS878" s="610">
        <v>2685.0796874999996</v>
      </c>
      <c r="AT878" s="112">
        <v>2685.0796874999996</v>
      </c>
      <c r="AU878" s="4"/>
      <c r="AV878" s="4"/>
      <c r="AW878" s="23" t="e">
        <f>VLOOKUP(K878,#REF!,8,FALSE)</f>
        <v>#REF!</v>
      </c>
      <c r="AX878" s="264" t="s">
        <v>2208</v>
      </c>
      <c r="AY878" s="23" t="e">
        <f>VLOOKUP(K878,#REF!,8,FALSE)</f>
        <v>#REF!</v>
      </c>
      <c r="AZ878" s="23" t="s">
        <v>75</v>
      </c>
      <c r="BA878" s="273">
        <f>AM878/3*2</f>
        <v>5455.3999999999987</v>
      </c>
      <c r="BB878" s="318">
        <f t="shared" si="480"/>
        <v>0</v>
      </c>
      <c r="BC878" s="269">
        <f t="shared" si="481"/>
        <v>2685.0796874999996</v>
      </c>
      <c r="BD878" t="e">
        <f t="shared" si="482"/>
        <v>#REF!</v>
      </c>
      <c r="BE878" t="s">
        <v>2396</v>
      </c>
      <c r="BH878" t="e">
        <f>VLOOKUP(K878,#REF!,8,FALSE)</f>
        <v>#REF!</v>
      </c>
      <c r="BJ878">
        <f>AB878</f>
        <v>30</v>
      </c>
      <c r="BK878" s="269">
        <f>AM878</f>
        <v>8183.0999999999985</v>
      </c>
      <c r="BL878" s="353"/>
      <c r="BM878" s="353" t="s">
        <v>75</v>
      </c>
      <c r="BN878" s="353"/>
      <c r="BO878" s="106">
        <f>BK878/192*127</f>
        <v>5412.7796874999985</v>
      </c>
      <c r="BP878" s="166">
        <f t="shared" si="483"/>
        <v>8097.8593749999982</v>
      </c>
      <c r="BQ878" s="106">
        <v>5412.7796874999985</v>
      </c>
      <c r="BR878" t="s">
        <v>2446</v>
      </c>
      <c r="BS878" s="165"/>
      <c r="BX878" s="495">
        <f t="shared" si="484"/>
        <v>8097.8593749999982</v>
      </c>
      <c r="BZ878" s="636">
        <f t="shared" si="444"/>
        <v>0</v>
      </c>
      <c r="CA878" s="633">
        <f t="shared" si="445"/>
        <v>5412.7796874999985</v>
      </c>
    </row>
    <row r="879" spans="1:79" x14ac:dyDescent="0.2">
      <c r="A879" s="4">
        <v>0</v>
      </c>
      <c r="B879" s="4">
        <v>1</v>
      </c>
      <c r="C879" s="5">
        <f t="shared" si="466"/>
        <v>41151</v>
      </c>
      <c r="D879" s="6">
        <v>41151</v>
      </c>
      <c r="E879" s="6">
        <v>43011</v>
      </c>
      <c r="F879" s="6" t="s">
        <v>1606</v>
      </c>
      <c r="G879" s="7"/>
      <c r="H879" s="7"/>
      <c r="I879" s="7" t="s">
        <v>32</v>
      </c>
      <c r="J879" s="7"/>
      <c r="K879" s="128">
        <v>450079</v>
      </c>
      <c r="L879" s="10" t="s">
        <v>1835</v>
      </c>
      <c r="M879" s="128" t="s">
        <v>638</v>
      </c>
      <c r="N879" s="128" t="s">
        <v>379</v>
      </c>
      <c r="O879" s="128" t="s">
        <v>2347</v>
      </c>
      <c r="P879" s="330">
        <v>43614</v>
      </c>
      <c r="Q879" s="13">
        <f t="shared" ca="1" si="467"/>
        <v>6.3189596167008899</v>
      </c>
      <c r="R879" s="14">
        <v>0</v>
      </c>
      <c r="S879" s="15">
        <v>872</v>
      </c>
      <c r="T879" s="8">
        <v>872</v>
      </c>
      <c r="U879" s="102">
        <v>45173</v>
      </c>
      <c r="V879" s="17">
        <v>66</v>
      </c>
      <c r="W879" s="16">
        <v>45382</v>
      </c>
      <c r="X879" s="14">
        <v>192</v>
      </c>
      <c r="Y879" s="18">
        <f t="shared" si="468"/>
        <v>127</v>
      </c>
      <c r="Z879" s="18">
        <f t="shared" si="469"/>
        <v>0.66145833333333337</v>
      </c>
      <c r="AA879" s="18"/>
      <c r="AB879" s="26">
        <v>30</v>
      </c>
      <c r="AC879" s="26"/>
      <c r="AD879" s="26"/>
      <c r="AE879" s="147" t="str">
        <f t="shared" si="470"/>
        <v>0</v>
      </c>
      <c r="AF879" s="147" t="str">
        <f t="shared" si="471"/>
        <v>1</v>
      </c>
      <c r="AG879" s="147" t="str">
        <f t="shared" si="472"/>
        <v>0</v>
      </c>
      <c r="AH879" s="147" t="str">
        <f t="shared" si="473"/>
        <v>NO</v>
      </c>
      <c r="AI879" s="147" t="str">
        <f t="shared" si="474"/>
        <v>NO</v>
      </c>
      <c r="AJ879" s="147" t="str">
        <f t="shared" si="475"/>
        <v>NO</v>
      </c>
      <c r="AK879" s="147" t="str">
        <f t="shared" si="476"/>
        <v>NO</v>
      </c>
      <c r="AL879" s="21"/>
      <c r="AM879" s="21">
        <f t="shared" si="477"/>
        <v>8183.0999999999985</v>
      </c>
      <c r="AN879" s="27"/>
      <c r="AO879" s="21">
        <v>1</v>
      </c>
      <c r="AP879" s="21">
        <f t="shared" si="478"/>
        <v>0.66145833333333337</v>
      </c>
      <c r="AQ879" s="149">
        <f t="shared" si="479"/>
        <v>5412.7796874999995</v>
      </c>
      <c r="AR879" s="21">
        <v>5412.7796874999995</v>
      </c>
      <c r="AS879" s="610">
        <v>0</v>
      </c>
      <c r="AT879" s="112">
        <v>0</v>
      </c>
      <c r="AU879" s="4"/>
      <c r="AV879" s="4"/>
      <c r="AW879" s="23"/>
      <c r="AX879" s="264"/>
      <c r="AY879" s="23"/>
      <c r="AZ879" s="23"/>
      <c r="BA879" s="273"/>
      <c r="BB879" s="318">
        <f t="shared" si="480"/>
        <v>5412.7796874999995</v>
      </c>
      <c r="BC879" s="269">
        <f t="shared" si="481"/>
        <v>5412.7796874999995</v>
      </c>
      <c r="BD879" t="s">
        <v>2455</v>
      </c>
      <c r="BP879" s="166">
        <f t="shared" si="483"/>
        <v>5412.7796874999995</v>
      </c>
      <c r="BS879" s="165"/>
      <c r="BX879" s="495">
        <f t="shared" si="484"/>
        <v>5412.7796874999995</v>
      </c>
      <c r="BZ879" s="636">
        <f t="shared" si="444"/>
        <v>0</v>
      </c>
      <c r="CA879" s="633">
        <f t="shared" si="445"/>
        <v>5412.7796874999995</v>
      </c>
    </row>
    <row r="880" spans="1:79" x14ac:dyDescent="0.2">
      <c r="A880" s="4">
        <v>1</v>
      </c>
      <c r="B880" s="4">
        <v>1</v>
      </c>
      <c r="C880" s="5">
        <f t="shared" si="466"/>
        <v>41151</v>
      </c>
      <c r="D880" s="6">
        <v>41151</v>
      </c>
      <c r="E880" s="6">
        <v>43011</v>
      </c>
      <c r="F880" s="6" t="s">
        <v>1606</v>
      </c>
      <c r="G880" s="7"/>
      <c r="H880" s="7"/>
      <c r="I880" s="7" t="s">
        <v>32</v>
      </c>
      <c r="J880" s="7"/>
      <c r="K880" s="29">
        <v>402893</v>
      </c>
      <c r="L880" s="10" t="s">
        <v>1835</v>
      </c>
      <c r="M880" s="10" t="s">
        <v>1767</v>
      </c>
      <c r="N880" s="10" t="s">
        <v>1844</v>
      </c>
      <c r="O880" s="11" t="s">
        <v>1845</v>
      </c>
      <c r="P880" s="12">
        <v>40940</v>
      </c>
      <c r="Q880" s="13">
        <f t="shared" ca="1" si="467"/>
        <v>13.639972621492129</v>
      </c>
      <c r="R880" s="14">
        <v>6</v>
      </c>
      <c r="S880" s="15">
        <v>872</v>
      </c>
      <c r="T880" s="8">
        <v>872</v>
      </c>
      <c r="U880" s="16">
        <v>45017</v>
      </c>
      <c r="V880" s="17">
        <v>1</v>
      </c>
      <c r="W880" s="16">
        <v>45128</v>
      </c>
      <c r="X880" s="14">
        <v>63</v>
      </c>
      <c r="Y880" s="18">
        <f t="shared" si="468"/>
        <v>63</v>
      </c>
      <c r="Z880" s="18">
        <f t="shared" si="469"/>
        <v>0.328125</v>
      </c>
      <c r="AA880" s="18" t="s">
        <v>48</v>
      </c>
      <c r="AB880" s="26">
        <v>25</v>
      </c>
      <c r="AC880" s="26"/>
      <c r="AD880" s="26"/>
      <c r="AE880" s="147" t="str">
        <f t="shared" si="470"/>
        <v>1</v>
      </c>
      <c r="AF880" s="147" t="str">
        <f t="shared" si="471"/>
        <v>0</v>
      </c>
      <c r="AG880" s="147" t="str">
        <f t="shared" si="472"/>
        <v>0</v>
      </c>
      <c r="AH880" s="147" t="str">
        <f t="shared" si="473"/>
        <v>NO</v>
      </c>
      <c r="AI880" s="147" t="str">
        <f t="shared" si="474"/>
        <v>NO</v>
      </c>
      <c r="AJ880" s="147" t="str">
        <f t="shared" si="475"/>
        <v>NO</v>
      </c>
      <c r="AK880" s="147" t="str">
        <f t="shared" si="476"/>
        <v>NO</v>
      </c>
      <c r="AL880" s="21"/>
      <c r="AM880" s="21">
        <f t="shared" si="477"/>
        <v>5819.25</v>
      </c>
      <c r="AN880" s="27" t="s">
        <v>56</v>
      </c>
      <c r="AO880" s="21">
        <v>1</v>
      </c>
      <c r="AP880" s="21">
        <f t="shared" si="478"/>
        <v>0.328125</v>
      </c>
      <c r="AQ880" s="149">
        <f t="shared" si="479"/>
        <v>1909.44140625</v>
      </c>
      <c r="AR880" s="21">
        <v>1909.44140625</v>
      </c>
      <c r="AS880" s="610">
        <v>1909.44140625</v>
      </c>
      <c r="AT880" s="112">
        <v>1909.44140625</v>
      </c>
      <c r="AU880" s="4"/>
      <c r="AV880" s="4"/>
      <c r="AW880" s="23" t="e">
        <f>VLOOKUP(K880,#REF!,8,FALSE)</f>
        <v>#REF!</v>
      </c>
      <c r="AX880" s="23" t="s">
        <v>2267</v>
      </c>
      <c r="AY880" s="23" t="e">
        <f>VLOOKUP(K880,#REF!,8,FALSE)</f>
        <v>#REF!</v>
      </c>
      <c r="AZ880" s="23" t="s">
        <v>75</v>
      </c>
      <c r="BA880" s="273">
        <f>AM880/3*2</f>
        <v>3879.5</v>
      </c>
      <c r="BB880" s="318">
        <f t="shared" si="480"/>
        <v>0</v>
      </c>
      <c r="BC880" s="269">
        <f t="shared" si="481"/>
        <v>1909.44140625</v>
      </c>
      <c r="BD880" t="s">
        <v>2267</v>
      </c>
      <c r="BE880" t="s">
        <v>2267</v>
      </c>
      <c r="BH880" t="e">
        <f>VLOOKUP(K880,#REF!,8,FALSE)</f>
        <v>#REF!</v>
      </c>
      <c r="BJ880">
        <f>AB880</f>
        <v>25</v>
      </c>
      <c r="BK880" s="269">
        <f>AM880</f>
        <v>5819.25</v>
      </c>
      <c r="BL880" s="353"/>
      <c r="BM880" s="353" t="s">
        <v>75</v>
      </c>
      <c r="BN880" s="353"/>
      <c r="BO880" s="106">
        <f t="shared" ref="BO880:BO881" si="485">BK880/192*127</f>
        <v>3849.19140625</v>
      </c>
      <c r="BP880" s="166">
        <f t="shared" si="483"/>
        <v>5758.6328125</v>
      </c>
      <c r="BQ880" s="106">
        <v>3849.19140625</v>
      </c>
      <c r="BR880" t="s">
        <v>2446</v>
      </c>
      <c r="BS880" s="165"/>
      <c r="BX880" s="495">
        <f t="shared" si="484"/>
        <v>5758.6328125</v>
      </c>
      <c r="BZ880" s="636">
        <f t="shared" si="444"/>
        <v>0</v>
      </c>
      <c r="CA880" s="633">
        <f t="shared" si="445"/>
        <v>3849.19140625</v>
      </c>
    </row>
    <row r="881" spans="1:79" x14ac:dyDescent="0.2">
      <c r="A881" s="4">
        <v>1</v>
      </c>
      <c r="B881" s="4">
        <v>1</v>
      </c>
      <c r="C881" s="5">
        <f t="shared" si="466"/>
        <v>41151</v>
      </c>
      <c r="D881" s="6">
        <v>41151</v>
      </c>
      <c r="E881" s="6">
        <v>43011</v>
      </c>
      <c r="F881" s="6" t="s">
        <v>1606</v>
      </c>
      <c r="G881" s="7"/>
      <c r="H881" s="7"/>
      <c r="I881" s="7" t="s">
        <v>32</v>
      </c>
      <c r="J881" s="7"/>
      <c r="K881" s="29">
        <v>424019</v>
      </c>
      <c r="L881" s="10" t="s">
        <v>1835</v>
      </c>
      <c r="M881" s="10" t="s">
        <v>788</v>
      </c>
      <c r="N881" s="10" t="s">
        <v>1846</v>
      </c>
      <c r="O881" s="11" t="s">
        <v>1847</v>
      </c>
      <c r="P881" s="12">
        <v>40984</v>
      </c>
      <c r="Q881" s="13">
        <f t="shared" ca="1" si="467"/>
        <v>13.519507186858316</v>
      </c>
      <c r="R881" s="14">
        <v>6</v>
      </c>
      <c r="S881" s="15">
        <v>872</v>
      </c>
      <c r="T881" s="8">
        <v>872</v>
      </c>
      <c r="U881" s="16">
        <v>45017</v>
      </c>
      <c r="V881" s="17">
        <v>1</v>
      </c>
      <c r="W881" s="16">
        <v>45128</v>
      </c>
      <c r="X881" s="14">
        <v>63</v>
      </c>
      <c r="Y881" s="18">
        <f t="shared" si="468"/>
        <v>63</v>
      </c>
      <c r="Z881" s="18">
        <f t="shared" si="469"/>
        <v>0.328125</v>
      </c>
      <c r="AA881" s="18" t="s">
        <v>48</v>
      </c>
      <c r="AB881" s="26">
        <v>25</v>
      </c>
      <c r="AC881" s="26"/>
      <c r="AD881" s="26"/>
      <c r="AE881" s="147" t="str">
        <f t="shared" si="470"/>
        <v>1</v>
      </c>
      <c r="AF881" s="147" t="str">
        <f t="shared" si="471"/>
        <v>0</v>
      </c>
      <c r="AG881" s="147" t="str">
        <f t="shared" si="472"/>
        <v>0</v>
      </c>
      <c r="AH881" s="147" t="str">
        <f t="shared" si="473"/>
        <v>NO</v>
      </c>
      <c r="AI881" s="147" t="str">
        <f t="shared" si="474"/>
        <v>NO</v>
      </c>
      <c r="AJ881" s="147" t="str">
        <f t="shared" si="475"/>
        <v>NO</v>
      </c>
      <c r="AK881" s="147" t="str">
        <f t="shared" si="476"/>
        <v>NO</v>
      </c>
      <c r="AL881" s="21"/>
      <c r="AM881" s="21">
        <f t="shared" si="477"/>
        <v>5819.25</v>
      </c>
      <c r="AN881" s="27" t="s">
        <v>56</v>
      </c>
      <c r="AO881" s="21">
        <v>1</v>
      </c>
      <c r="AP881" s="21">
        <f t="shared" si="478"/>
        <v>0.328125</v>
      </c>
      <c r="AQ881" s="149">
        <f t="shared" si="479"/>
        <v>1909.44140625</v>
      </c>
      <c r="AR881" s="21">
        <v>1909.44140625</v>
      </c>
      <c r="AS881" s="610">
        <v>1909.44140625</v>
      </c>
      <c r="AT881" s="112">
        <v>1909.44140625</v>
      </c>
      <c r="AU881" s="4"/>
      <c r="AV881" s="4"/>
      <c r="AW881" s="23" t="e">
        <f>VLOOKUP(K881,#REF!,8,FALSE)</f>
        <v>#REF!</v>
      </c>
      <c r="AX881" s="23" t="s">
        <v>2253</v>
      </c>
      <c r="AY881" s="23" t="e">
        <f>VLOOKUP(K881,#REF!,8,FALSE)</f>
        <v>#REF!</v>
      </c>
      <c r="AZ881" s="4"/>
      <c r="BA881" s="272"/>
      <c r="BB881" s="318">
        <f t="shared" si="480"/>
        <v>0</v>
      </c>
      <c r="BC881" s="269">
        <f t="shared" si="481"/>
        <v>1909.44140625</v>
      </c>
      <c r="BD881" t="e">
        <f t="shared" ref="BD881:BD891" si="486">BG881&amp;BH881&amp;BI881</f>
        <v>#REF!</v>
      </c>
      <c r="BE881" t="s">
        <v>2394</v>
      </c>
      <c r="BF881">
        <v>43012</v>
      </c>
      <c r="BH881" t="e">
        <f>VLOOKUP(K881,#REF!,8,FALSE)</f>
        <v>#REF!</v>
      </c>
      <c r="BJ881">
        <f>AB881</f>
        <v>25</v>
      </c>
      <c r="BK881" s="269">
        <f>AM881</f>
        <v>5819.25</v>
      </c>
      <c r="BL881" s="353"/>
      <c r="BM881" s="353" t="s">
        <v>75</v>
      </c>
      <c r="BN881" s="353"/>
      <c r="BO881" s="106">
        <f t="shared" si="485"/>
        <v>3849.19140625</v>
      </c>
      <c r="BP881" s="166">
        <f t="shared" si="483"/>
        <v>5758.6328125</v>
      </c>
      <c r="BS881" s="165"/>
      <c r="BX881" s="495">
        <f t="shared" si="484"/>
        <v>5758.6328125</v>
      </c>
      <c r="BZ881" s="636">
        <f t="shared" si="444"/>
        <v>0</v>
      </c>
      <c r="CA881" s="633">
        <f t="shared" si="445"/>
        <v>3849.19140625</v>
      </c>
    </row>
    <row r="882" spans="1:79" x14ac:dyDescent="0.2">
      <c r="A882" s="4">
        <v>1</v>
      </c>
      <c r="B882" s="4">
        <v>1</v>
      </c>
      <c r="C882" s="5">
        <f t="shared" si="466"/>
        <v>41152</v>
      </c>
      <c r="D882" s="6">
        <v>41152</v>
      </c>
      <c r="E882" s="6">
        <v>43011</v>
      </c>
      <c r="F882" s="6" t="s">
        <v>1606</v>
      </c>
      <c r="G882" s="7"/>
      <c r="H882" s="7"/>
      <c r="I882" s="7" t="s">
        <v>32</v>
      </c>
      <c r="J882" s="7"/>
      <c r="K882" s="29">
        <v>410020</v>
      </c>
      <c r="L882" s="10" t="s">
        <v>1848</v>
      </c>
      <c r="M882" s="10" t="s">
        <v>1307</v>
      </c>
      <c r="N882" s="10" t="s">
        <v>339</v>
      </c>
      <c r="O882" s="11" t="s">
        <v>1849</v>
      </c>
      <c r="P882" s="12">
        <v>41497</v>
      </c>
      <c r="Q882" s="13">
        <f t="shared" ca="1" si="467"/>
        <v>12.114989733059549</v>
      </c>
      <c r="R882" s="14">
        <v>5</v>
      </c>
      <c r="S882" s="15">
        <v>872</v>
      </c>
      <c r="T882" s="8">
        <v>872</v>
      </c>
      <c r="U882" s="16">
        <v>45017</v>
      </c>
      <c r="V882" s="17">
        <v>1</v>
      </c>
      <c r="W882" s="16">
        <v>45382</v>
      </c>
      <c r="X882" s="14">
        <v>192</v>
      </c>
      <c r="Y882" s="18">
        <f t="shared" si="468"/>
        <v>192</v>
      </c>
      <c r="Z882" s="18">
        <f t="shared" si="469"/>
        <v>1</v>
      </c>
      <c r="AA882" s="18" t="s">
        <v>36</v>
      </c>
      <c r="AB882" s="26">
        <v>25</v>
      </c>
      <c r="AC882" s="26"/>
      <c r="AD882" s="26"/>
      <c r="AE882" s="147" t="str">
        <f t="shared" si="470"/>
        <v>1</v>
      </c>
      <c r="AF882" s="147" t="str">
        <f t="shared" si="471"/>
        <v>0</v>
      </c>
      <c r="AG882" s="147" t="str">
        <f t="shared" si="472"/>
        <v>0</v>
      </c>
      <c r="AH882" s="147" t="str">
        <f t="shared" si="473"/>
        <v>NO</v>
      </c>
      <c r="AI882" s="147" t="str">
        <f t="shared" si="474"/>
        <v>NO</v>
      </c>
      <c r="AJ882" s="147" t="str">
        <f t="shared" si="475"/>
        <v>NO</v>
      </c>
      <c r="AK882" s="147" t="str">
        <f t="shared" si="476"/>
        <v>NO</v>
      </c>
      <c r="AL882" s="21"/>
      <c r="AM882" s="21">
        <f t="shared" si="477"/>
        <v>5819.25</v>
      </c>
      <c r="AN882" s="27" t="s">
        <v>56</v>
      </c>
      <c r="AO882" s="21">
        <v>1</v>
      </c>
      <c r="AP882" s="21">
        <f t="shared" si="478"/>
        <v>1</v>
      </c>
      <c r="AQ882" s="149">
        <f t="shared" si="479"/>
        <v>5819.25</v>
      </c>
      <c r="AR882" s="21">
        <v>5819.25</v>
      </c>
      <c r="AS882" s="610">
        <v>5819.25</v>
      </c>
      <c r="AT882" s="112">
        <v>5819.25</v>
      </c>
      <c r="AU882" s="4"/>
      <c r="AV882" s="4"/>
      <c r="AW882" s="23" t="e">
        <f>VLOOKUP(K882,#REF!,8,FALSE)</f>
        <v>#REF!</v>
      </c>
      <c r="AX882" s="23" t="e">
        <f>VLOOKUP(K882,#REF!,8,FALSE)</f>
        <v>#REF!</v>
      </c>
      <c r="AY882" s="23" t="e">
        <f>VLOOKUP(K882,#REF!,8,FALSE)</f>
        <v>#REF!</v>
      </c>
      <c r="AZ882" s="4"/>
      <c r="BA882" s="272"/>
      <c r="BB882" s="318">
        <f t="shared" si="480"/>
        <v>0</v>
      </c>
      <c r="BC882" s="269">
        <f t="shared" si="481"/>
        <v>5819.25</v>
      </c>
      <c r="BD882" t="str">
        <f t="shared" si="486"/>
        <v/>
      </c>
      <c r="BP882" s="166">
        <f t="shared" si="483"/>
        <v>5819.25</v>
      </c>
      <c r="BS882" s="165"/>
      <c r="BX882" s="495">
        <f t="shared" si="484"/>
        <v>5819.25</v>
      </c>
      <c r="BZ882" s="636">
        <f t="shared" si="444"/>
        <v>0</v>
      </c>
      <c r="CA882" s="633">
        <f t="shared" si="445"/>
        <v>0</v>
      </c>
    </row>
    <row r="883" spans="1:79" x14ac:dyDescent="0.2">
      <c r="A883" s="4">
        <v>1</v>
      </c>
      <c r="B883" s="4">
        <v>1</v>
      </c>
      <c r="C883" s="5">
        <f t="shared" si="466"/>
        <v>41152</v>
      </c>
      <c r="D883" s="6">
        <v>41152</v>
      </c>
      <c r="E883" s="6">
        <v>43011</v>
      </c>
      <c r="F883" s="6" t="s">
        <v>1606</v>
      </c>
      <c r="G883" s="7"/>
      <c r="H883" s="7"/>
      <c r="I883" s="7" t="s">
        <v>32</v>
      </c>
      <c r="J883" s="7"/>
      <c r="K883" s="29">
        <v>423020</v>
      </c>
      <c r="L883" s="10" t="s">
        <v>1848</v>
      </c>
      <c r="M883" s="10" t="s">
        <v>40</v>
      </c>
      <c r="N883" s="10" t="s">
        <v>1850</v>
      </c>
      <c r="O883" s="11" t="s">
        <v>1851</v>
      </c>
      <c r="P883" s="12">
        <v>40932</v>
      </c>
      <c r="Q883" s="13">
        <f t="shared" ca="1" si="467"/>
        <v>13.661875427789186</v>
      </c>
      <c r="R883" s="14">
        <v>6</v>
      </c>
      <c r="S883" s="15">
        <v>872</v>
      </c>
      <c r="T883" s="8">
        <v>872</v>
      </c>
      <c r="U883" s="16">
        <v>45017</v>
      </c>
      <c r="V883" s="17">
        <v>1</v>
      </c>
      <c r="W883" s="16">
        <v>45128</v>
      </c>
      <c r="X883" s="14">
        <v>63</v>
      </c>
      <c r="Y883" s="18">
        <f t="shared" si="468"/>
        <v>63</v>
      </c>
      <c r="Z883" s="18">
        <f t="shared" si="469"/>
        <v>0.328125</v>
      </c>
      <c r="AA883" s="18" t="s">
        <v>48</v>
      </c>
      <c r="AB883" s="26">
        <v>30</v>
      </c>
      <c r="AC883" s="26"/>
      <c r="AD883" s="26"/>
      <c r="AE883" s="147" t="str">
        <f t="shared" si="470"/>
        <v>0</v>
      </c>
      <c r="AF883" s="147" t="str">
        <f t="shared" si="471"/>
        <v>1</v>
      </c>
      <c r="AG883" s="147" t="str">
        <f t="shared" si="472"/>
        <v>0</v>
      </c>
      <c r="AH883" s="147" t="str">
        <f t="shared" si="473"/>
        <v>NO</v>
      </c>
      <c r="AI883" s="147" t="str">
        <f t="shared" si="474"/>
        <v>NO</v>
      </c>
      <c r="AJ883" s="147" t="str">
        <f t="shared" si="475"/>
        <v>NO</v>
      </c>
      <c r="AK883" s="147" t="str">
        <f t="shared" si="476"/>
        <v>NO</v>
      </c>
      <c r="AL883" s="21"/>
      <c r="AM883" s="21">
        <f t="shared" si="477"/>
        <v>8183.0999999999985</v>
      </c>
      <c r="AN883" s="27" t="s">
        <v>56</v>
      </c>
      <c r="AO883" s="21">
        <v>1</v>
      </c>
      <c r="AP883" s="21">
        <f t="shared" si="478"/>
        <v>0.328125</v>
      </c>
      <c r="AQ883" s="149">
        <f t="shared" si="479"/>
        <v>2685.0796874999996</v>
      </c>
      <c r="AR883" s="21">
        <v>2685.0796874999996</v>
      </c>
      <c r="AS883" s="610">
        <v>2685.0796874999996</v>
      </c>
      <c r="AT883" s="112">
        <v>2685.0796874999996</v>
      </c>
      <c r="AU883" s="4"/>
      <c r="AV883" s="4"/>
      <c r="AW883" s="23" t="e">
        <f>VLOOKUP(K883,#REF!,8,FALSE)</f>
        <v>#REF!</v>
      </c>
      <c r="AX883" s="23" t="s">
        <v>2261</v>
      </c>
      <c r="AY883" s="23" t="e">
        <f>VLOOKUP(K883,#REF!,8,FALSE)</f>
        <v>#REF!</v>
      </c>
      <c r="AZ883" s="4"/>
      <c r="BA883" s="272"/>
      <c r="BB883" s="318">
        <f t="shared" si="480"/>
        <v>0</v>
      </c>
      <c r="BC883" s="269">
        <f t="shared" si="481"/>
        <v>2685.0796874999996</v>
      </c>
      <c r="BD883" t="e">
        <f t="shared" si="486"/>
        <v>#REF!</v>
      </c>
      <c r="BE883" t="s">
        <v>2394</v>
      </c>
      <c r="BF883">
        <v>43012</v>
      </c>
      <c r="BH883" t="e">
        <f>VLOOKUP(K883,#REF!,8,FALSE)</f>
        <v>#REF!</v>
      </c>
      <c r="BJ883">
        <f>AB883</f>
        <v>30</v>
      </c>
      <c r="BK883" s="269">
        <f>AM883</f>
        <v>8183.0999999999985</v>
      </c>
      <c r="BL883" s="353"/>
      <c r="BM883" s="353" t="s">
        <v>75</v>
      </c>
      <c r="BN883" s="353"/>
      <c r="BO883" s="106">
        <f>BK883/192*127</f>
        <v>5412.7796874999985</v>
      </c>
      <c r="BP883" s="166">
        <f t="shared" si="483"/>
        <v>8097.8593749999982</v>
      </c>
      <c r="BS883" s="165"/>
      <c r="BX883" s="495">
        <f t="shared" si="484"/>
        <v>8097.8593749999982</v>
      </c>
      <c r="BZ883" s="636">
        <f t="shared" si="444"/>
        <v>0</v>
      </c>
      <c r="CA883" s="633">
        <f t="shared" si="445"/>
        <v>5412.7796874999985</v>
      </c>
    </row>
    <row r="884" spans="1:79" x14ac:dyDescent="0.2">
      <c r="A884" s="4">
        <v>1</v>
      </c>
      <c r="B884" s="4">
        <v>1</v>
      </c>
      <c r="C884" s="5">
        <f t="shared" si="466"/>
        <v>41152</v>
      </c>
      <c r="D884" s="6">
        <v>41152</v>
      </c>
      <c r="E884" s="6">
        <v>43011</v>
      </c>
      <c r="F884" s="6" t="s">
        <v>1606</v>
      </c>
      <c r="G884" s="7"/>
      <c r="H884" s="7"/>
      <c r="I884" s="7" t="s">
        <v>32</v>
      </c>
      <c r="J884" s="7"/>
      <c r="K884" s="29">
        <v>438335</v>
      </c>
      <c r="L884" s="10" t="s">
        <v>1848</v>
      </c>
      <c r="M884" s="10" t="s">
        <v>462</v>
      </c>
      <c r="N884" s="10" t="s">
        <v>608</v>
      </c>
      <c r="O884" s="11" t="s">
        <v>1852</v>
      </c>
      <c r="P884" s="12">
        <v>42343</v>
      </c>
      <c r="Q884" s="13">
        <f t="shared" ca="1" si="467"/>
        <v>9.7987679671457908</v>
      </c>
      <c r="R884" s="14">
        <v>2</v>
      </c>
      <c r="S884" s="15">
        <v>872</v>
      </c>
      <c r="T884" s="8">
        <v>872</v>
      </c>
      <c r="U884" s="16">
        <v>45017</v>
      </c>
      <c r="V884" s="17">
        <v>1</v>
      </c>
      <c r="W884" s="16">
        <v>45382</v>
      </c>
      <c r="X884" s="14">
        <v>192</v>
      </c>
      <c r="Y884" s="18">
        <f t="shared" si="468"/>
        <v>192</v>
      </c>
      <c r="Z884" s="18">
        <f t="shared" si="469"/>
        <v>1</v>
      </c>
      <c r="AA884" s="18" t="s">
        <v>36</v>
      </c>
      <c r="AB884" s="26">
        <v>30</v>
      </c>
      <c r="AC884" s="26"/>
      <c r="AD884" s="26"/>
      <c r="AE884" s="147" t="str">
        <f t="shared" si="470"/>
        <v>0</v>
      </c>
      <c r="AF884" s="147" t="str">
        <f t="shared" si="471"/>
        <v>1</v>
      </c>
      <c r="AG884" s="147" t="str">
        <f t="shared" si="472"/>
        <v>0</v>
      </c>
      <c r="AH884" s="147" t="str">
        <f t="shared" si="473"/>
        <v>NO</v>
      </c>
      <c r="AI884" s="147" t="str">
        <f t="shared" si="474"/>
        <v>NO</v>
      </c>
      <c r="AJ884" s="147" t="str">
        <f t="shared" si="475"/>
        <v>NO</v>
      </c>
      <c r="AK884" s="147" t="str">
        <f t="shared" si="476"/>
        <v>NO</v>
      </c>
      <c r="AL884" s="21"/>
      <c r="AM884" s="21">
        <f t="shared" si="477"/>
        <v>8183.0999999999985</v>
      </c>
      <c r="AN884" s="27" t="s">
        <v>43</v>
      </c>
      <c r="AO884" s="21">
        <v>1</v>
      </c>
      <c r="AP884" s="21">
        <f t="shared" si="478"/>
        <v>1</v>
      </c>
      <c r="AQ884" s="149">
        <f t="shared" si="479"/>
        <v>8183.0999999999985</v>
      </c>
      <c r="AR884" s="21">
        <v>8183.0999999999985</v>
      </c>
      <c r="AS884" s="610">
        <v>8183.0999999999985</v>
      </c>
      <c r="AT884" s="112">
        <v>8183.1</v>
      </c>
      <c r="AU884" s="4"/>
      <c r="AV884" s="4"/>
      <c r="AW884" s="23" t="e">
        <f>VLOOKUP(K884,#REF!,8,FALSE)</f>
        <v>#REF!</v>
      </c>
      <c r="AX884" s="23" t="e">
        <f>VLOOKUP(K884,#REF!,8,FALSE)</f>
        <v>#REF!</v>
      </c>
      <c r="AY884" s="23" t="e">
        <f>VLOOKUP(K884,#REF!,8,FALSE)</f>
        <v>#REF!</v>
      </c>
      <c r="AZ884" s="4"/>
      <c r="BA884" s="272"/>
      <c r="BB884" s="318">
        <f t="shared" si="480"/>
        <v>0</v>
      </c>
      <c r="BC884" s="269">
        <f t="shared" si="481"/>
        <v>8183.0999999999985</v>
      </c>
      <c r="BD884" t="str">
        <f t="shared" si="486"/>
        <v/>
      </c>
      <c r="BP884" s="166">
        <f t="shared" si="483"/>
        <v>8183.0999999999985</v>
      </c>
      <c r="BS884" s="165"/>
      <c r="BX884" s="495">
        <f t="shared" si="484"/>
        <v>8183.0999999999985</v>
      </c>
      <c r="BZ884" s="636">
        <f t="shared" si="444"/>
        <v>0</v>
      </c>
      <c r="CA884" s="633">
        <f t="shared" si="445"/>
        <v>0</v>
      </c>
    </row>
    <row r="885" spans="1:79" x14ac:dyDescent="0.2">
      <c r="A885" s="4">
        <v>1</v>
      </c>
      <c r="B885" s="4">
        <v>1</v>
      </c>
      <c r="C885" s="5">
        <f t="shared" si="466"/>
        <v>41152</v>
      </c>
      <c r="D885" s="6">
        <v>41152</v>
      </c>
      <c r="E885" s="6">
        <v>43011</v>
      </c>
      <c r="F885" s="6" t="s">
        <v>1606</v>
      </c>
      <c r="G885" s="7"/>
      <c r="H885" s="7"/>
      <c r="I885" s="7" t="s">
        <v>32</v>
      </c>
      <c r="J885" s="7"/>
      <c r="K885" s="29">
        <v>407649</v>
      </c>
      <c r="L885" s="10" t="s">
        <v>1848</v>
      </c>
      <c r="M885" s="10" t="s">
        <v>2485</v>
      </c>
      <c r="N885" s="10" t="s">
        <v>2486</v>
      </c>
      <c r="O885" s="11" t="s">
        <v>2487</v>
      </c>
      <c r="P885" s="12">
        <v>41632</v>
      </c>
      <c r="Q885" s="13">
        <f t="shared" ca="1" si="467"/>
        <v>11.745379876796715</v>
      </c>
      <c r="R885" s="14">
        <v>5</v>
      </c>
      <c r="S885" s="15">
        <v>872</v>
      </c>
      <c r="T885" s="8">
        <v>872</v>
      </c>
      <c r="U885" s="16">
        <v>45113</v>
      </c>
      <c r="V885" s="17">
        <v>52</v>
      </c>
      <c r="W885" s="16">
        <v>45382</v>
      </c>
      <c r="X885" s="14">
        <v>192</v>
      </c>
      <c r="Y885" s="18">
        <f t="shared" si="468"/>
        <v>141</v>
      </c>
      <c r="Z885" s="18">
        <f t="shared" si="469"/>
        <v>0.734375</v>
      </c>
      <c r="AA885" s="18" t="s">
        <v>36</v>
      </c>
      <c r="AB885" s="26">
        <v>25</v>
      </c>
      <c r="AC885" s="26"/>
      <c r="AD885" s="26"/>
      <c r="AE885" s="147" t="str">
        <f t="shared" si="470"/>
        <v>1</v>
      </c>
      <c r="AF885" s="147" t="str">
        <f t="shared" si="471"/>
        <v>0</v>
      </c>
      <c r="AG885" s="147" t="str">
        <f t="shared" si="472"/>
        <v>0</v>
      </c>
      <c r="AH885" s="147" t="str">
        <f t="shared" si="473"/>
        <v>NO</v>
      </c>
      <c r="AI885" s="147" t="str">
        <f t="shared" si="474"/>
        <v>NO</v>
      </c>
      <c r="AJ885" s="147" t="str">
        <f t="shared" si="475"/>
        <v>NO</v>
      </c>
      <c r="AK885" s="147" t="str">
        <f t="shared" si="476"/>
        <v>NO</v>
      </c>
      <c r="AL885" s="21"/>
      <c r="AM885" s="21">
        <f t="shared" si="477"/>
        <v>5819.25</v>
      </c>
      <c r="AN885" s="27" t="s">
        <v>66</v>
      </c>
      <c r="AO885" s="21">
        <v>1</v>
      </c>
      <c r="AP885" s="21">
        <f t="shared" si="478"/>
        <v>0.734375</v>
      </c>
      <c r="AQ885" s="149">
        <f t="shared" si="479"/>
        <v>4273.51171875</v>
      </c>
      <c r="AR885" s="21">
        <v>0</v>
      </c>
      <c r="AS885" s="610">
        <v>0</v>
      </c>
      <c r="AT885" s="112">
        <v>0</v>
      </c>
      <c r="AU885" s="4"/>
      <c r="AV885" s="4"/>
      <c r="AW885" s="23" t="e">
        <f>VLOOKUP(K885,#REF!,8,FALSE)</f>
        <v>#REF!</v>
      </c>
      <c r="AX885" s="23" t="e">
        <f>VLOOKUP(K885,#REF!,8,FALSE)</f>
        <v>#REF!</v>
      </c>
      <c r="AY885" s="23" t="e">
        <f>VLOOKUP(K885,#REF!,8,FALSE)</f>
        <v>#REF!</v>
      </c>
      <c r="AZ885" s="4"/>
      <c r="BA885" s="272"/>
      <c r="BB885" s="318">
        <f t="shared" si="480"/>
        <v>0</v>
      </c>
      <c r="BC885" s="269">
        <f t="shared" si="481"/>
        <v>0</v>
      </c>
      <c r="BP885" s="166">
        <f t="shared" si="483"/>
        <v>0</v>
      </c>
      <c r="BS885" s="165"/>
      <c r="BX885" s="495">
        <f t="shared" si="484"/>
        <v>4273.51171875</v>
      </c>
      <c r="BZ885" s="636">
        <f t="shared" si="444"/>
        <v>4273.51171875</v>
      </c>
      <c r="CA885" s="633">
        <f t="shared" si="445"/>
        <v>4273.51171875</v>
      </c>
    </row>
    <row r="886" spans="1:79" x14ac:dyDescent="0.2">
      <c r="A886" s="4">
        <v>1</v>
      </c>
      <c r="B886" s="4">
        <v>1</v>
      </c>
      <c r="C886" s="5">
        <f t="shared" si="466"/>
        <v>41152</v>
      </c>
      <c r="D886" s="6">
        <v>41152</v>
      </c>
      <c r="E886" s="6">
        <v>43011</v>
      </c>
      <c r="F886" s="6" t="s">
        <v>1606</v>
      </c>
      <c r="G886" s="7"/>
      <c r="H886" s="7"/>
      <c r="I886" s="7" t="s">
        <v>32</v>
      </c>
      <c r="J886" s="7"/>
      <c r="K886" s="29">
        <v>425088</v>
      </c>
      <c r="L886" s="10" t="s">
        <v>1848</v>
      </c>
      <c r="M886" s="10" t="s">
        <v>556</v>
      </c>
      <c r="N886" s="10" t="s">
        <v>410</v>
      </c>
      <c r="O886" s="11" t="s">
        <v>1853</v>
      </c>
      <c r="P886" s="12">
        <v>42394</v>
      </c>
      <c r="Q886" s="13">
        <f t="shared" ca="1" si="467"/>
        <v>9.6591375770020527</v>
      </c>
      <c r="R886" s="14">
        <v>2</v>
      </c>
      <c r="S886" s="15">
        <v>872</v>
      </c>
      <c r="T886" s="8">
        <v>872</v>
      </c>
      <c r="U886" s="16">
        <v>45017</v>
      </c>
      <c r="V886" s="17">
        <v>1</v>
      </c>
      <c r="W886" s="16">
        <v>45382</v>
      </c>
      <c r="X886" s="14">
        <v>192</v>
      </c>
      <c r="Y886" s="18">
        <f t="shared" si="468"/>
        <v>192</v>
      </c>
      <c r="Z886" s="18">
        <f t="shared" si="469"/>
        <v>1</v>
      </c>
      <c r="AA886" s="18" t="s">
        <v>36</v>
      </c>
      <c r="AB886" s="26">
        <v>30</v>
      </c>
      <c r="AC886" s="26"/>
      <c r="AD886" s="26"/>
      <c r="AE886" s="147" t="str">
        <f t="shared" si="470"/>
        <v>0</v>
      </c>
      <c r="AF886" s="147" t="str">
        <f t="shared" si="471"/>
        <v>1</v>
      </c>
      <c r="AG886" s="147" t="str">
        <f t="shared" si="472"/>
        <v>0</v>
      </c>
      <c r="AH886" s="147" t="str">
        <f t="shared" si="473"/>
        <v>NO</v>
      </c>
      <c r="AI886" s="147" t="str">
        <f t="shared" si="474"/>
        <v>NO</v>
      </c>
      <c r="AJ886" s="147" t="str">
        <f t="shared" si="475"/>
        <v>NO</v>
      </c>
      <c r="AK886" s="147" t="str">
        <f t="shared" si="476"/>
        <v>NO</v>
      </c>
      <c r="AL886" s="21"/>
      <c r="AM886" s="21">
        <f t="shared" si="477"/>
        <v>8183.0999999999985</v>
      </c>
      <c r="AN886" s="27" t="s">
        <v>536</v>
      </c>
      <c r="AO886" s="21">
        <v>1</v>
      </c>
      <c r="AP886" s="21">
        <f t="shared" si="478"/>
        <v>1</v>
      </c>
      <c r="AQ886" s="149">
        <f t="shared" si="479"/>
        <v>8183.0999999999985</v>
      </c>
      <c r="AR886" s="21">
        <v>8183.0999999999985</v>
      </c>
      <c r="AS886" s="610">
        <v>8183.0999999999985</v>
      </c>
      <c r="AT886" s="112">
        <v>8183.0999999999985</v>
      </c>
      <c r="AU886" s="4"/>
      <c r="AV886" s="4"/>
      <c r="AW886" s="23" t="e">
        <f>VLOOKUP(K886,#REF!,8,FALSE)</f>
        <v>#REF!</v>
      </c>
      <c r="AX886" s="23" t="e">
        <f>VLOOKUP(K886,#REF!,8,FALSE)</f>
        <v>#REF!</v>
      </c>
      <c r="AY886" s="23" t="e">
        <f>VLOOKUP(K886,#REF!,8,FALSE)</f>
        <v>#REF!</v>
      </c>
      <c r="AZ886" s="4"/>
      <c r="BA886" s="272"/>
      <c r="BB886" s="318">
        <f t="shared" si="480"/>
        <v>0</v>
      </c>
      <c r="BC886" s="269">
        <f t="shared" si="481"/>
        <v>8183.0999999999985</v>
      </c>
      <c r="BD886" t="str">
        <f t="shared" si="486"/>
        <v/>
      </c>
      <c r="BP886" s="166">
        <f t="shared" si="483"/>
        <v>8183.0999999999985</v>
      </c>
      <c r="BS886" s="165"/>
      <c r="BX886" s="495">
        <f t="shared" si="484"/>
        <v>8183.0999999999985</v>
      </c>
      <c r="BZ886" s="636">
        <f t="shared" si="444"/>
        <v>0</v>
      </c>
      <c r="CA886" s="633">
        <f t="shared" si="445"/>
        <v>0</v>
      </c>
    </row>
    <row r="887" spans="1:79" x14ac:dyDescent="0.2">
      <c r="A887" s="4">
        <v>1</v>
      </c>
      <c r="B887" s="4">
        <v>1</v>
      </c>
      <c r="C887" s="5">
        <f t="shared" si="466"/>
        <v>41152</v>
      </c>
      <c r="D887" s="6">
        <v>41152</v>
      </c>
      <c r="E887" s="6">
        <v>43011</v>
      </c>
      <c r="F887" s="6" t="s">
        <v>1606</v>
      </c>
      <c r="G887" s="7"/>
      <c r="H887" s="7"/>
      <c r="I887" s="7" t="s">
        <v>32</v>
      </c>
      <c r="J887" s="7"/>
      <c r="K887" s="29">
        <v>419603</v>
      </c>
      <c r="L887" s="10" t="s">
        <v>1848</v>
      </c>
      <c r="M887" s="10" t="s">
        <v>1063</v>
      </c>
      <c r="N887" s="10" t="s">
        <v>178</v>
      </c>
      <c r="O887" s="11" t="s">
        <v>1854</v>
      </c>
      <c r="P887" s="12">
        <v>42025</v>
      </c>
      <c r="Q887" s="13">
        <f t="shared" ca="1" si="467"/>
        <v>10.669404517453799</v>
      </c>
      <c r="R887" s="14">
        <v>3</v>
      </c>
      <c r="S887" s="15">
        <v>872</v>
      </c>
      <c r="T887" s="8">
        <v>872</v>
      </c>
      <c r="U887" s="16">
        <v>45017</v>
      </c>
      <c r="V887" s="17">
        <v>1</v>
      </c>
      <c r="W887" s="16">
        <v>45382</v>
      </c>
      <c r="X887" s="14">
        <v>192</v>
      </c>
      <c r="Y887" s="18">
        <f t="shared" si="468"/>
        <v>192</v>
      </c>
      <c r="Z887" s="18">
        <f t="shared" si="469"/>
        <v>1</v>
      </c>
      <c r="AA887" s="18" t="s">
        <v>36</v>
      </c>
      <c r="AB887" s="26">
        <v>30</v>
      </c>
      <c r="AC887" s="26"/>
      <c r="AD887" s="26"/>
      <c r="AE887" s="147" t="str">
        <f t="shared" si="470"/>
        <v>0</v>
      </c>
      <c r="AF887" s="147" t="str">
        <f t="shared" si="471"/>
        <v>1</v>
      </c>
      <c r="AG887" s="147" t="str">
        <f t="shared" si="472"/>
        <v>0</v>
      </c>
      <c r="AH887" s="147" t="str">
        <f t="shared" si="473"/>
        <v>NO</v>
      </c>
      <c r="AI887" s="147" t="str">
        <f t="shared" si="474"/>
        <v>NO</v>
      </c>
      <c r="AJ887" s="147" t="str">
        <f t="shared" si="475"/>
        <v>NO</v>
      </c>
      <c r="AK887" s="147" t="str">
        <f t="shared" si="476"/>
        <v>NO</v>
      </c>
      <c r="AL887" s="21"/>
      <c r="AM887" s="21">
        <f t="shared" si="477"/>
        <v>8183.0999999999985</v>
      </c>
      <c r="AN887" s="27" t="s">
        <v>37</v>
      </c>
      <c r="AO887" s="21">
        <v>1</v>
      </c>
      <c r="AP887" s="21">
        <f t="shared" si="478"/>
        <v>1</v>
      </c>
      <c r="AQ887" s="149">
        <f t="shared" si="479"/>
        <v>8183.0999999999985</v>
      </c>
      <c r="AR887" s="21">
        <v>8183.0999999999985</v>
      </c>
      <c r="AS887" s="610">
        <v>8183.0999999999985</v>
      </c>
      <c r="AT887" s="112">
        <v>8183.0999999999985</v>
      </c>
      <c r="AU887" s="4"/>
      <c r="AV887" s="4"/>
      <c r="AW887" s="23" t="e">
        <f>VLOOKUP(K887,#REF!,8,FALSE)</f>
        <v>#REF!</v>
      </c>
      <c r="AX887" s="23" t="e">
        <f>VLOOKUP(K887,#REF!,8,FALSE)</f>
        <v>#REF!</v>
      </c>
      <c r="AY887" s="23" t="e">
        <f>VLOOKUP(K887,#REF!,8,FALSE)</f>
        <v>#REF!</v>
      </c>
      <c r="AZ887" s="4"/>
      <c r="BA887" s="272"/>
      <c r="BB887" s="318">
        <f t="shared" si="480"/>
        <v>0</v>
      </c>
      <c r="BC887" s="269">
        <f t="shared" si="481"/>
        <v>8183.0999999999985</v>
      </c>
      <c r="BD887" t="str">
        <f t="shared" si="486"/>
        <v/>
      </c>
      <c r="BP887" s="166">
        <f t="shared" si="483"/>
        <v>8183.0999999999985</v>
      </c>
      <c r="BS887" s="165"/>
      <c r="BX887" s="495">
        <f t="shared" si="484"/>
        <v>8183.0999999999985</v>
      </c>
      <c r="BZ887" s="636">
        <f t="shared" si="444"/>
        <v>0</v>
      </c>
      <c r="CA887" s="633">
        <f t="shared" si="445"/>
        <v>0</v>
      </c>
    </row>
    <row r="888" spans="1:79" x14ac:dyDescent="0.2">
      <c r="A888" s="4">
        <v>1</v>
      </c>
      <c r="B888" s="4">
        <v>1</v>
      </c>
      <c r="C888" s="5">
        <f>D888*1</f>
        <v>41152</v>
      </c>
      <c r="D888" s="6">
        <v>41152</v>
      </c>
      <c r="E888" s="6">
        <v>43011</v>
      </c>
      <c r="F888" s="6" t="s">
        <v>1606</v>
      </c>
      <c r="G888" s="7"/>
      <c r="H888" s="7"/>
      <c r="I888" s="7" t="s">
        <v>32</v>
      </c>
      <c r="J888" s="7"/>
      <c r="K888" s="29">
        <v>403346</v>
      </c>
      <c r="L888" s="10" t="s">
        <v>1848</v>
      </c>
      <c r="M888" s="10" t="s">
        <v>132</v>
      </c>
      <c r="N888" s="10" t="s">
        <v>1855</v>
      </c>
      <c r="O888" s="11" t="s">
        <v>1856</v>
      </c>
      <c r="P888" s="12">
        <v>41210</v>
      </c>
      <c r="Q888" s="13">
        <f t="shared" ca="1" si="467"/>
        <v>12.900752908966462</v>
      </c>
      <c r="R888" s="14">
        <v>5</v>
      </c>
      <c r="S888" s="15">
        <v>872</v>
      </c>
      <c r="T888" s="8">
        <v>872</v>
      </c>
      <c r="U888" s="16">
        <v>45020</v>
      </c>
      <c r="V888" s="17">
        <v>1</v>
      </c>
      <c r="W888" s="16">
        <v>45382</v>
      </c>
      <c r="X888" s="14">
        <v>192</v>
      </c>
      <c r="Y888" s="18">
        <f>X888-V888+1</f>
        <v>192</v>
      </c>
      <c r="Z888" s="18">
        <f>Y888/192</f>
        <v>1</v>
      </c>
      <c r="AA888" s="18" t="s">
        <v>36</v>
      </c>
      <c r="AB888" s="26">
        <v>27</v>
      </c>
      <c r="AC888" s="26"/>
      <c r="AD888" s="26"/>
      <c r="AE888" s="147" t="str">
        <f t="shared" si="470"/>
        <v>0</v>
      </c>
      <c r="AF888" s="147" t="str">
        <f t="shared" si="471"/>
        <v>1</v>
      </c>
      <c r="AG888" s="147" t="str">
        <f t="shared" si="472"/>
        <v>0</v>
      </c>
      <c r="AH888" s="147" t="str">
        <f t="shared" si="473"/>
        <v>NO</v>
      </c>
      <c r="AI888" s="147" t="str">
        <f t="shared" si="474"/>
        <v>NO</v>
      </c>
      <c r="AJ888" s="147" t="str">
        <f t="shared" si="475"/>
        <v>NO</v>
      </c>
      <c r="AK888" s="147" t="str">
        <f t="shared" si="476"/>
        <v>NO</v>
      </c>
      <c r="AL888" s="21"/>
      <c r="AM888" s="21">
        <f t="shared" si="477"/>
        <v>6764.7899999999991</v>
      </c>
      <c r="AN888" s="27" t="s">
        <v>536</v>
      </c>
      <c r="AO888" s="21">
        <v>1</v>
      </c>
      <c r="AP888" s="21">
        <f>AO888*Z888</f>
        <v>1</v>
      </c>
      <c r="AQ888" s="149">
        <f t="shared" si="479"/>
        <v>6764.7899999999991</v>
      </c>
      <c r="AR888" s="21">
        <v>6764.7899999999991</v>
      </c>
      <c r="AS888" s="610">
        <v>0</v>
      </c>
      <c r="AT888" s="112">
        <v>6764.7899999999991</v>
      </c>
      <c r="AU888" s="4"/>
      <c r="AV888" s="4"/>
      <c r="AW888" s="23" t="e">
        <f>VLOOKUP(K888,#REF!,8,FALSE)</f>
        <v>#REF!</v>
      </c>
      <c r="AX888" s="23" t="e">
        <f>VLOOKUP(K888,#REF!,8,FALSE)</f>
        <v>#REF!</v>
      </c>
      <c r="AY888" s="23" t="e">
        <f>VLOOKUP(K888,#REF!,8,FALSE)</f>
        <v>#REF!</v>
      </c>
      <c r="AZ888" s="4"/>
      <c r="BA888" s="272"/>
      <c r="BB888" s="318">
        <f t="shared" si="480"/>
        <v>0</v>
      </c>
      <c r="BC888" s="269">
        <f t="shared" si="481"/>
        <v>6764.7899999999991</v>
      </c>
      <c r="BD888" t="str">
        <f t="shared" si="486"/>
        <v/>
      </c>
      <c r="BP888" s="166">
        <f t="shared" si="483"/>
        <v>6764.7899999999991</v>
      </c>
      <c r="BS888" s="165"/>
      <c r="BX888" s="495">
        <f t="shared" si="484"/>
        <v>6764.7899999999991</v>
      </c>
      <c r="BZ888" s="636">
        <f t="shared" si="444"/>
        <v>0</v>
      </c>
      <c r="CA888" s="633">
        <f t="shared" si="445"/>
        <v>6764.7899999999991</v>
      </c>
    </row>
    <row r="889" spans="1:79" x14ac:dyDescent="0.2">
      <c r="A889" s="4">
        <v>1</v>
      </c>
      <c r="B889" s="4">
        <v>1</v>
      </c>
      <c r="C889" s="5">
        <f t="shared" si="466"/>
        <v>41152</v>
      </c>
      <c r="D889" s="6">
        <v>41152</v>
      </c>
      <c r="E889" s="6">
        <v>43011</v>
      </c>
      <c r="F889" s="6" t="s">
        <v>1606</v>
      </c>
      <c r="G889" s="7"/>
      <c r="H889" s="7"/>
      <c r="I889" s="7" t="s">
        <v>32</v>
      </c>
      <c r="J889" s="7"/>
      <c r="K889" s="29">
        <v>420836</v>
      </c>
      <c r="L889" s="10" t="s">
        <v>1848</v>
      </c>
      <c r="M889" s="10" t="s">
        <v>1857</v>
      </c>
      <c r="N889" s="10" t="s">
        <v>1858</v>
      </c>
      <c r="O889" s="11" t="s">
        <v>1859</v>
      </c>
      <c r="P889" s="12">
        <v>40802</v>
      </c>
      <c r="Q889" s="13">
        <f t="shared" ca="1" si="467"/>
        <v>14.017796030116358</v>
      </c>
      <c r="R889" s="14">
        <v>6</v>
      </c>
      <c r="S889" s="15">
        <v>872</v>
      </c>
      <c r="T889" s="8">
        <v>872</v>
      </c>
      <c r="U889" s="16">
        <v>45017</v>
      </c>
      <c r="V889" s="17">
        <v>1</v>
      </c>
      <c r="W889" s="16">
        <v>45128</v>
      </c>
      <c r="X889" s="14">
        <v>63</v>
      </c>
      <c r="Y889" s="18">
        <f t="shared" si="468"/>
        <v>63</v>
      </c>
      <c r="Z889" s="18">
        <f t="shared" si="469"/>
        <v>0.328125</v>
      </c>
      <c r="AA889" s="18" t="s">
        <v>48</v>
      </c>
      <c r="AB889" s="26">
        <v>30</v>
      </c>
      <c r="AC889" s="26"/>
      <c r="AD889" s="26"/>
      <c r="AE889" s="147" t="str">
        <f t="shared" si="470"/>
        <v>0</v>
      </c>
      <c r="AF889" s="147" t="str">
        <f t="shared" si="471"/>
        <v>1</v>
      </c>
      <c r="AG889" s="147" t="str">
        <f t="shared" si="472"/>
        <v>0</v>
      </c>
      <c r="AH889" s="147" t="str">
        <f t="shared" si="473"/>
        <v>NO</v>
      </c>
      <c r="AI889" s="147" t="str">
        <f t="shared" si="474"/>
        <v>NO</v>
      </c>
      <c r="AJ889" s="147" t="str">
        <f t="shared" si="475"/>
        <v>NO</v>
      </c>
      <c r="AK889" s="147" t="str">
        <f t="shared" si="476"/>
        <v>NO</v>
      </c>
      <c r="AL889" s="21"/>
      <c r="AM889" s="21">
        <f t="shared" si="477"/>
        <v>8183.0999999999985</v>
      </c>
      <c r="AN889" s="27" t="s">
        <v>37</v>
      </c>
      <c r="AO889" s="21">
        <v>1</v>
      </c>
      <c r="AP889" s="21">
        <f t="shared" si="478"/>
        <v>0.328125</v>
      </c>
      <c r="AQ889" s="149">
        <f t="shared" si="479"/>
        <v>2685.0796874999996</v>
      </c>
      <c r="AR889" s="21">
        <v>2685.0796874999996</v>
      </c>
      <c r="AS889" s="610">
        <v>2685.0796874999996</v>
      </c>
      <c r="AT889" s="112">
        <v>2685.0796874999996</v>
      </c>
      <c r="AU889" s="4"/>
      <c r="AV889" s="4"/>
      <c r="AW889" s="23" t="e">
        <f>VLOOKUP(K889,#REF!,8,FALSE)</f>
        <v>#REF!</v>
      </c>
      <c r="AX889" s="263" t="s">
        <v>2219</v>
      </c>
      <c r="AY889" s="23" t="e">
        <f>VLOOKUP(K889,#REF!,8,FALSE)</f>
        <v>#REF!</v>
      </c>
      <c r="AZ889" s="4"/>
      <c r="BA889" s="272"/>
      <c r="BB889" s="318">
        <f t="shared" si="480"/>
        <v>0</v>
      </c>
      <c r="BC889" s="269">
        <f t="shared" si="481"/>
        <v>2685.0796874999996</v>
      </c>
      <c r="BD889" t="e">
        <f t="shared" si="486"/>
        <v>#REF!</v>
      </c>
      <c r="BE889" t="s">
        <v>2396</v>
      </c>
      <c r="BH889" t="e">
        <f>VLOOKUP(K889,#REF!,8,FALSE)</f>
        <v>#REF!</v>
      </c>
      <c r="BK889" s="269"/>
      <c r="BL889" s="353"/>
      <c r="BM889" s="353" t="s">
        <v>75</v>
      </c>
      <c r="BN889" s="353"/>
      <c r="BO889" s="106"/>
      <c r="BP889" s="166">
        <f t="shared" si="483"/>
        <v>2685.0796874999996</v>
      </c>
      <c r="BS889" s="165"/>
      <c r="BX889" s="495">
        <f t="shared" si="484"/>
        <v>2685.0796874999996</v>
      </c>
      <c r="BZ889" s="636">
        <f t="shared" si="444"/>
        <v>0</v>
      </c>
      <c r="CA889" s="633">
        <f t="shared" si="445"/>
        <v>0</v>
      </c>
    </row>
    <row r="890" spans="1:79" x14ac:dyDescent="0.2">
      <c r="A890" s="4">
        <v>1</v>
      </c>
      <c r="B890" s="4">
        <v>1</v>
      </c>
      <c r="C890" s="5">
        <f t="shared" si="466"/>
        <v>41152</v>
      </c>
      <c r="D890" s="6">
        <v>41152</v>
      </c>
      <c r="E890" s="6">
        <v>43011</v>
      </c>
      <c r="F890" s="6" t="s">
        <v>1606</v>
      </c>
      <c r="G890" s="7"/>
      <c r="H890" s="7"/>
      <c r="I890" s="7" t="s">
        <v>32</v>
      </c>
      <c r="J890" s="7"/>
      <c r="K890" s="29">
        <v>415101</v>
      </c>
      <c r="L890" s="10" t="s">
        <v>1848</v>
      </c>
      <c r="M890" s="10" t="s">
        <v>1860</v>
      </c>
      <c r="N890" s="10" t="s">
        <v>1647</v>
      </c>
      <c r="O890" s="11" t="s">
        <v>1861</v>
      </c>
      <c r="P890" s="12">
        <v>41793</v>
      </c>
      <c r="Q890" s="13">
        <f t="shared" ca="1" si="467"/>
        <v>11.304585900068446</v>
      </c>
      <c r="R890" s="14">
        <v>4</v>
      </c>
      <c r="S890" s="15">
        <v>872</v>
      </c>
      <c r="T890" s="8">
        <v>872</v>
      </c>
      <c r="U890" s="16">
        <v>45017</v>
      </c>
      <c r="V890" s="17">
        <v>1</v>
      </c>
      <c r="W890" s="16">
        <v>45382</v>
      </c>
      <c r="X890" s="14">
        <v>192</v>
      </c>
      <c r="Y890" s="18">
        <f t="shared" si="468"/>
        <v>192</v>
      </c>
      <c r="Z890" s="18">
        <f t="shared" si="469"/>
        <v>1</v>
      </c>
      <c r="AA890" s="18" t="s">
        <v>36</v>
      </c>
      <c r="AB890" s="26">
        <v>25</v>
      </c>
      <c r="AC890" s="26"/>
      <c r="AD890" s="26"/>
      <c r="AE890" s="147" t="str">
        <f t="shared" si="470"/>
        <v>1</v>
      </c>
      <c r="AF890" s="147" t="str">
        <f t="shared" si="471"/>
        <v>0</v>
      </c>
      <c r="AG890" s="147" t="str">
        <f t="shared" si="472"/>
        <v>0</v>
      </c>
      <c r="AH890" s="147" t="str">
        <f t="shared" si="473"/>
        <v>NO</v>
      </c>
      <c r="AI890" s="147" t="str">
        <f t="shared" si="474"/>
        <v>NO</v>
      </c>
      <c r="AJ890" s="147" t="str">
        <f t="shared" si="475"/>
        <v>NO</v>
      </c>
      <c r="AK890" s="147" t="str">
        <f t="shared" si="476"/>
        <v>NO</v>
      </c>
      <c r="AL890" s="21"/>
      <c r="AM890" s="21">
        <f t="shared" si="477"/>
        <v>5819.25</v>
      </c>
      <c r="AN890" s="27" t="s">
        <v>37</v>
      </c>
      <c r="AO890" s="21">
        <v>1</v>
      </c>
      <c r="AP890" s="21">
        <f t="shared" si="478"/>
        <v>1</v>
      </c>
      <c r="AQ890" s="149">
        <f t="shared" si="479"/>
        <v>5819.25</v>
      </c>
      <c r="AR890" s="21">
        <v>5819.25</v>
      </c>
      <c r="AS890" s="610">
        <v>5819.25</v>
      </c>
      <c r="AT890" s="112">
        <v>5819.25</v>
      </c>
      <c r="AU890" s="4"/>
      <c r="AV890" s="4"/>
      <c r="AW890" s="23" t="e">
        <f>VLOOKUP(K890,#REF!,8,FALSE)</f>
        <v>#REF!</v>
      </c>
      <c r="AX890" s="23" t="e">
        <f>VLOOKUP(K890,#REF!,8,FALSE)</f>
        <v>#REF!</v>
      </c>
      <c r="AY890" s="23" t="e">
        <f>VLOOKUP(K890,#REF!,8,FALSE)</f>
        <v>#REF!</v>
      </c>
      <c r="AZ890" s="4"/>
      <c r="BA890" s="272"/>
      <c r="BB890" s="318">
        <f t="shared" si="480"/>
        <v>0</v>
      </c>
      <c r="BC890" s="269">
        <f t="shared" si="481"/>
        <v>5819.25</v>
      </c>
      <c r="BD890" t="str">
        <f t="shared" si="486"/>
        <v/>
      </c>
      <c r="BP890" s="166">
        <f t="shared" si="483"/>
        <v>5819.25</v>
      </c>
      <c r="BS890" s="165"/>
      <c r="BX890" s="495">
        <f t="shared" si="484"/>
        <v>5819.25</v>
      </c>
      <c r="BZ890" s="636">
        <f t="shared" si="444"/>
        <v>0</v>
      </c>
      <c r="CA890" s="633">
        <f t="shared" si="445"/>
        <v>0</v>
      </c>
    </row>
    <row r="891" spans="1:79" x14ac:dyDescent="0.2">
      <c r="A891" s="4">
        <v>1</v>
      </c>
      <c r="B891" s="4">
        <v>1</v>
      </c>
      <c r="C891" s="275">
        <f t="shared" si="466"/>
        <v>41152</v>
      </c>
      <c r="D891" s="276">
        <v>41152</v>
      </c>
      <c r="E891" s="276">
        <v>43011</v>
      </c>
      <c r="F891" s="276" t="s">
        <v>1606</v>
      </c>
      <c r="G891" s="277"/>
      <c r="H891" s="277"/>
      <c r="I891" s="277" t="s">
        <v>32</v>
      </c>
      <c r="J891" s="277"/>
      <c r="K891" s="278">
        <v>425005</v>
      </c>
      <c r="L891" s="43" t="s">
        <v>1848</v>
      </c>
      <c r="M891" s="43" t="s">
        <v>942</v>
      </c>
      <c r="N891" s="43" t="s">
        <v>1862</v>
      </c>
      <c r="O891" s="279" t="s">
        <v>1863</v>
      </c>
      <c r="P891" s="280">
        <v>42305</v>
      </c>
      <c r="Q891" s="281">
        <f t="shared" ca="1" si="467"/>
        <v>9.9028062970568111</v>
      </c>
      <c r="R891" s="282">
        <v>2</v>
      </c>
      <c r="S891" s="283">
        <v>872</v>
      </c>
      <c r="T891" s="284">
        <v>872</v>
      </c>
      <c r="U891" s="169">
        <v>45017</v>
      </c>
      <c r="V891" s="285">
        <v>1</v>
      </c>
      <c r="W891" s="169">
        <v>45382</v>
      </c>
      <c r="X891" s="282">
        <v>192</v>
      </c>
      <c r="Y891" s="286">
        <f t="shared" si="468"/>
        <v>192</v>
      </c>
      <c r="Z891" s="286">
        <f t="shared" si="469"/>
        <v>1</v>
      </c>
      <c r="AA891" s="286" t="s">
        <v>36</v>
      </c>
      <c r="AB891" s="287">
        <v>30</v>
      </c>
      <c r="AC891" s="287"/>
      <c r="AD891" s="287"/>
      <c r="AE891" s="147" t="str">
        <f t="shared" si="470"/>
        <v>0</v>
      </c>
      <c r="AF891" s="147" t="str">
        <f t="shared" si="471"/>
        <v>1</v>
      </c>
      <c r="AG891" s="147" t="str">
        <f t="shared" si="472"/>
        <v>0</v>
      </c>
      <c r="AH891" s="288" t="str">
        <f t="shared" si="473"/>
        <v>NO</v>
      </c>
      <c r="AI891" s="288" t="str">
        <f t="shared" si="474"/>
        <v>NO</v>
      </c>
      <c r="AJ891" s="288" t="str">
        <f t="shared" si="475"/>
        <v>NO</v>
      </c>
      <c r="AK891" s="288" t="str">
        <f t="shared" si="476"/>
        <v>NO</v>
      </c>
      <c r="AL891" s="289"/>
      <c r="AM891" s="289">
        <f t="shared" si="477"/>
        <v>8183.0999999999985</v>
      </c>
      <c r="AN891" s="290" t="s">
        <v>37</v>
      </c>
      <c r="AO891" s="289">
        <v>1</v>
      </c>
      <c r="AP891" s="289">
        <f t="shared" si="478"/>
        <v>1</v>
      </c>
      <c r="AQ891" s="149">
        <f t="shared" si="479"/>
        <v>8183.0999999999985</v>
      </c>
      <c r="AR891" s="289">
        <v>8183.0999999999985</v>
      </c>
      <c r="AS891" s="612">
        <v>8183.0999999999985</v>
      </c>
      <c r="AT891" s="112">
        <v>8183.0999999999985</v>
      </c>
      <c r="AU891" s="4"/>
      <c r="AV891" s="4"/>
      <c r="AW891" s="23" t="e">
        <f>VLOOKUP(K891,#REF!,8,FALSE)</f>
        <v>#REF!</v>
      </c>
      <c r="AX891" s="23" t="e">
        <f>VLOOKUP(K891,#REF!,8,FALSE)</f>
        <v>#REF!</v>
      </c>
      <c r="AY891" s="23" t="e">
        <f>VLOOKUP(K891,#REF!,8,FALSE)</f>
        <v>#REF!</v>
      </c>
      <c r="AZ891" s="4"/>
      <c r="BA891" s="272"/>
      <c r="BB891" s="318">
        <f t="shared" si="480"/>
        <v>0</v>
      </c>
      <c r="BC891" s="269">
        <f t="shared" si="481"/>
        <v>8183.0999999999985</v>
      </c>
      <c r="BD891" t="str">
        <f t="shared" si="486"/>
        <v/>
      </c>
      <c r="BP891" s="166">
        <f t="shared" si="483"/>
        <v>8183.0999999999985</v>
      </c>
      <c r="BS891" s="165"/>
      <c r="BX891" s="495">
        <f t="shared" si="484"/>
        <v>8183.0999999999985</v>
      </c>
      <c r="BZ891" s="636">
        <f t="shared" si="444"/>
        <v>0</v>
      </c>
      <c r="CA891" s="633">
        <f t="shared" si="445"/>
        <v>0</v>
      </c>
    </row>
    <row r="892" spans="1:79" ht="16.350000000000001" customHeight="1" thickBot="1" x14ac:dyDescent="0.25">
      <c r="A892" s="291">
        <f>SUM(A2:A891)</f>
        <v>762</v>
      </c>
      <c r="B892" s="291" t="s">
        <v>2420</v>
      </c>
      <c r="C892" s="292"/>
      <c r="D892" s="293"/>
      <c r="E892" s="293"/>
      <c r="F892" s="293"/>
      <c r="G892" s="294"/>
      <c r="H892" s="294"/>
      <c r="I892" s="294"/>
      <c r="J892" s="294"/>
      <c r="K892" s="295"/>
      <c r="L892" s="291"/>
      <c r="M892" s="291"/>
      <c r="N892" s="291"/>
      <c r="O892" s="296"/>
      <c r="P892" s="297"/>
      <c r="Q892" s="298"/>
      <c r="R892" s="299"/>
      <c r="S892" s="300"/>
      <c r="T892" s="301"/>
      <c r="U892" s="302"/>
      <c r="V892" s="299"/>
      <c r="W892" s="302"/>
      <c r="X892" s="299"/>
      <c r="Y892" s="303"/>
      <c r="Z892" s="303"/>
      <c r="AA892" s="303"/>
      <c r="AB892" s="304"/>
      <c r="AC892" s="304"/>
      <c r="AD892" s="304"/>
      <c r="AE892" s="304"/>
      <c r="AF892" s="304"/>
      <c r="AG892" s="304"/>
      <c r="AH892" s="304"/>
      <c r="AI892" s="304"/>
      <c r="AJ892" s="304"/>
      <c r="AK892" s="304"/>
      <c r="AL892" s="305"/>
      <c r="AM892" s="306">
        <f>SUM(AM4:AM891)</f>
        <v>7865374.1846847897</v>
      </c>
      <c r="AN892" s="307"/>
      <c r="AO892" s="306"/>
      <c r="AP892" s="306"/>
      <c r="AQ892" s="306">
        <f>SUM(AQ2:AQ891)</f>
        <v>5957899.1366393697</v>
      </c>
      <c r="AR892" s="306">
        <f>SUM(AR2:AR891)</f>
        <v>5953654.3875528304</v>
      </c>
      <c r="AS892" s="308">
        <f>SUM(AS2:AS891)</f>
        <v>4731161.7094278382</v>
      </c>
      <c r="AT892" s="306">
        <f>SUM(AT4:AT891)</f>
        <v>5744400.0377090806</v>
      </c>
      <c r="AU892" s="306">
        <f>SUM(AU4:AU891)</f>
        <v>0</v>
      </c>
      <c r="AV892" s="306">
        <f>SUM(AV4:AV891)</f>
        <v>23996</v>
      </c>
      <c r="AW892" s="306"/>
      <c r="AX892" s="306"/>
      <c r="AY892" s="306"/>
      <c r="AZ892" s="306">
        <f>SUM(AZ4:AZ891)</f>
        <v>0</v>
      </c>
      <c r="BA892" s="306">
        <f>SUM(BA4:BA891)</f>
        <v>340653.90645654674</v>
      </c>
      <c r="BB892" s="319">
        <f>SUM(BB4:BB891)</f>
        <v>196658.54984374999</v>
      </c>
      <c r="BC892" s="306">
        <f>SUM(BC4:BC891)</f>
        <v>5922964.6875528311</v>
      </c>
      <c r="BD892" s="306"/>
      <c r="BE892" s="306"/>
      <c r="BF892" s="306"/>
      <c r="BG892" s="306"/>
      <c r="BH892" s="306"/>
      <c r="BI892" s="306"/>
      <c r="BJ892" s="306"/>
      <c r="BK892" s="306">
        <f t="shared" ref="BK892:BR892" si="487">SUM(BK4:BK891)</f>
        <v>1224035.5796848205</v>
      </c>
      <c r="BL892" s="361">
        <f t="shared" si="487"/>
        <v>0</v>
      </c>
      <c r="BM892" s="361">
        <f t="shared" si="487"/>
        <v>0</v>
      </c>
      <c r="BN892" s="361">
        <f t="shared" si="487"/>
        <v>0</v>
      </c>
      <c r="BO892" s="306">
        <f t="shared" si="487"/>
        <v>805816.31119777099</v>
      </c>
      <c r="BP892" s="306">
        <f t="shared" si="487"/>
        <v>6727181.8126568412</v>
      </c>
      <c r="BQ892" s="494">
        <f t="shared" si="487"/>
        <v>121122.16197902156</v>
      </c>
      <c r="BR892" s="494">
        <f t="shared" si="487"/>
        <v>0</v>
      </c>
      <c r="BS892" s="643"/>
      <c r="BT892" s="494"/>
      <c r="BU892" s="494">
        <f>SUM(BU4:BU891)</f>
        <v>0</v>
      </c>
      <c r="BV892" s="494"/>
      <c r="BW892" s="494"/>
      <c r="BX892" s="496">
        <f>SUM(BX4:BX891)</f>
        <v>6743354.778149629</v>
      </c>
      <c r="BY892" s="634">
        <f t="shared" ref="BY892:CA892" si="488">SUM(BY4:BY891)</f>
        <v>0</v>
      </c>
      <c r="BZ892" s="496">
        <f t="shared" si="488"/>
        <v>16172.965492788448</v>
      </c>
      <c r="CA892" s="635">
        <f t="shared" si="488"/>
        <v>2012193.0687218115</v>
      </c>
    </row>
    <row r="893" spans="1:79" ht="13.5" thickTop="1" x14ac:dyDescent="0.2">
      <c r="A893" s="4">
        <f>COUNT(A4:A891)</f>
        <v>886</v>
      </c>
      <c r="B893" s="4" t="s">
        <v>2421</v>
      </c>
      <c r="C893" s="3"/>
      <c r="D893" s="72"/>
      <c r="E893" s="72"/>
      <c r="F893" s="72"/>
      <c r="G893" s="73"/>
      <c r="H893" s="73"/>
      <c r="I893" s="73"/>
      <c r="J893" s="73"/>
      <c r="K893" s="40"/>
      <c r="L893" s="4"/>
      <c r="M893" s="4"/>
      <c r="N893" s="4"/>
      <c r="O893" s="74"/>
      <c r="P893" s="50"/>
      <c r="Q893" s="75"/>
      <c r="R893" s="76"/>
      <c r="S893" s="77"/>
      <c r="T893" s="2"/>
      <c r="U893" s="78"/>
      <c r="V893" s="76"/>
      <c r="W893" s="78"/>
      <c r="X893" s="76"/>
      <c r="Y893" s="79"/>
      <c r="Z893" s="79"/>
      <c r="AA893" s="79"/>
      <c r="AB893" s="80"/>
      <c r="AC893" s="80"/>
      <c r="AD893" s="80"/>
      <c r="AE893" s="80"/>
      <c r="AF893" s="80"/>
      <c r="AG893" s="80"/>
      <c r="AH893" s="80"/>
      <c r="AI893" s="80"/>
      <c r="AJ893" s="80"/>
      <c r="AK893" s="80"/>
      <c r="AL893" s="44"/>
      <c r="AM893" s="44"/>
      <c r="AN893" s="81"/>
      <c r="AO893" s="44"/>
      <c r="AP893" s="44"/>
      <c r="AQ893" s="44"/>
      <c r="AR893" s="129"/>
      <c r="AS893" s="129">
        <v>0</v>
      </c>
      <c r="AT893" s="4"/>
      <c r="AU893" s="4"/>
      <c r="AV893" s="4"/>
      <c r="AW893" s="4"/>
      <c r="AX893" s="4"/>
      <c r="AY893" s="4"/>
      <c r="AZ893" s="4"/>
      <c r="BA893" s="166"/>
    </row>
    <row r="894" spans="1:79" x14ac:dyDescent="0.2">
      <c r="A894" s="4"/>
      <c r="B894" s="4"/>
      <c r="C894" s="3"/>
      <c r="D894" s="72"/>
      <c r="E894" s="72"/>
      <c r="F894" s="72"/>
      <c r="G894" s="73"/>
      <c r="H894" s="73"/>
      <c r="I894" s="73"/>
      <c r="J894" s="73"/>
      <c r="K894" s="40"/>
      <c r="L894" s="4"/>
      <c r="M894" s="4"/>
      <c r="N894" s="4"/>
      <c r="O894" s="74"/>
      <c r="P894" s="50"/>
      <c r="Q894" s="75"/>
      <c r="R894" s="76"/>
      <c r="S894" s="77"/>
      <c r="T894" s="2"/>
      <c r="U894" s="78"/>
      <c r="V894" s="76"/>
      <c r="W894" s="78"/>
      <c r="X894" s="76"/>
      <c r="Y894" s="79"/>
      <c r="Z894" s="79"/>
      <c r="AA894" s="79"/>
      <c r="AB894" s="80"/>
      <c r="AC894" s="80"/>
      <c r="AD894" s="80"/>
      <c r="AE894" s="80"/>
      <c r="AF894" s="80"/>
      <c r="AG894" s="80"/>
      <c r="AH894" s="80"/>
      <c r="AI894" s="80"/>
      <c r="AJ894" s="80"/>
      <c r="AK894" s="80"/>
      <c r="AL894" s="44"/>
      <c r="AM894" s="44"/>
      <c r="AN894" s="81"/>
      <c r="AO894" s="44"/>
      <c r="AP894" s="44"/>
      <c r="AQ894" s="44"/>
      <c r="AR894" s="129"/>
      <c r="AS894" s="129"/>
      <c r="AT894" s="4"/>
      <c r="AU894" s="4"/>
      <c r="AV894" s="4"/>
      <c r="AW894" s="4"/>
      <c r="AX894" s="4"/>
      <c r="AY894" s="4"/>
      <c r="AZ894" s="4"/>
      <c r="BA894" s="166"/>
    </row>
    <row r="895" spans="1:79" ht="15.75" thickBot="1" x14ac:dyDescent="0.25">
      <c r="A895" s="4"/>
      <c r="B895" s="4"/>
      <c r="C895" s="3"/>
      <c r="D895" s="82"/>
      <c r="E895" s="82"/>
      <c r="F895" s="72"/>
      <c r="G895" s="73"/>
      <c r="H895" s="73"/>
      <c r="I895" s="73"/>
      <c r="J895" s="73"/>
      <c r="K895" s="72"/>
      <c r="L895" s="83"/>
      <c r="M895" s="83"/>
      <c r="N895" s="83"/>
      <c r="O895" s="84"/>
      <c r="P895" s="85"/>
      <c r="Q895" s="85"/>
      <c r="R895" s="2"/>
      <c r="S895" s="77"/>
      <c r="T895" s="2"/>
      <c r="U895" s="78"/>
      <c r="V895" s="85"/>
      <c r="W895" s="78"/>
      <c r="X895" s="86"/>
      <c r="Y895" s="85"/>
      <c r="Z895" s="85"/>
      <c r="AA895" s="85"/>
      <c r="AB895" s="73"/>
      <c r="AC895" s="73"/>
      <c r="AD895" s="73"/>
      <c r="AE895" s="73"/>
      <c r="AF895" s="73"/>
      <c r="AG895" s="73"/>
      <c r="AH895" s="73"/>
      <c r="AI895" s="73"/>
      <c r="AJ895" s="73"/>
      <c r="AK895" s="73"/>
      <c r="AL895" s="44"/>
      <c r="AM895" s="44"/>
      <c r="AN895" s="81"/>
      <c r="AO895" s="72"/>
      <c r="AP895" s="87"/>
      <c r="AQ895" s="87"/>
      <c r="AR895" s="528">
        <v>5953654.3875528304</v>
      </c>
      <c r="AS895" s="613">
        <v>4731161.71</v>
      </c>
      <c r="AT895" s="310">
        <v>5744400.0377090806</v>
      </c>
      <c r="AU895" s="4"/>
      <c r="AV895" s="4"/>
      <c r="AW895" s="4"/>
      <c r="AX895" s="4"/>
      <c r="AY895" s="4"/>
      <c r="AZ895" s="4"/>
      <c r="BC895" s="106"/>
      <c r="BP895" s="106">
        <v>6677148.5812505921</v>
      </c>
    </row>
    <row r="896" spans="1:79" x14ac:dyDescent="0.2">
      <c r="A896" s="4"/>
      <c r="B896" s="4"/>
      <c r="C896" s="3"/>
      <c r="D896" s="82"/>
      <c r="E896" s="82"/>
      <c r="F896" s="72"/>
      <c r="G896" s="73"/>
      <c r="H896" s="73"/>
      <c r="I896" s="73"/>
      <c r="J896" s="73"/>
      <c r="K896" s="72"/>
      <c r="L896" s="88" t="s">
        <v>1864</v>
      </c>
      <c r="M896" s="83"/>
      <c r="N896" s="83"/>
      <c r="O896" s="89" t="s">
        <v>1865</v>
      </c>
      <c r="P896" s="85"/>
      <c r="Q896" s="85"/>
      <c r="R896" s="2"/>
      <c r="S896" s="77"/>
      <c r="T896" s="2"/>
      <c r="U896" s="78"/>
      <c r="V896" s="85"/>
      <c r="W896" s="78"/>
      <c r="X896" s="86"/>
      <c r="Y896" s="85"/>
      <c r="Z896" s="85"/>
      <c r="AA896" s="85"/>
      <c r="AB896" s="73"/>
      <c r="AC896" s="73"/>
      <c r="AD896" s="73"/>
      <c r="AE896" s="73"/>
      <c r="AF896" s="73"/>
      <c r="AG896" s="73"/>
      <c r="AH896" s="73"/>
      <c r="AI896" s="73"/>
      <c r="AJ896" s="73"/>
      <c r="AK896" s="73"/>
      <c r="AL896" s="44"/>
      <c r="AM896" s="44"/>
      <c r="AN896" s="81"/>
      <c r="AO896" s="72"/>
      <c r="AP896" s="87"/>
      <c r="AQ896" s="87"/>
      <c r="AR896" s="44"/>
      <c r="AS896" s="129"/>
      <c r="AT896" s="4"/>
      <c r="AU896" s="4"/>
      <c r="AV896" s="4"/>
      <c r="AW896" s="4"/>
      <c r="AX896" s="4"/>
      <c r="AY896" s="4"/>
      <c r="AZ896" s="4"/>
    </row>
    <row r="897" spans="1:55" ht="25.5" x14ac:dyDescent="0.2">
      <c r="A897" s="4"/>
      <c r="B897" s="4"/>
      <c r="C897" s="3"/>
      <c r="D897" s="72"/>
      <c r="E897" s="72"/>
      <c r="F897" s="72"/>
      <c r="G897" s="73"/>
      <c r="H897" s="73"/>
      <c r="I897" s="73"/>
      <c r="J897" s="73"/>
      <c r="K897" s="72"/>
      <c r="L897" s="90" t="s">
        <v>1866</v>
      </c>
      <c r="M897" s="83"/>
      <c r="N897" s="83"/>
      <c r="O897" s="91" t="s">
        <v>1866</v>
      </c>
      <c r="P897" s="85"/>
      <c r="Q897" s="85"/>
      <c r="R897" s="2"/>
      <c r="S897" s="77"/>
      <c r="T897" s="2"/>
      <c r="U897" s="78"/>
      <c r="V897" s="85"/>
      <c r="W897" s="78"/>
      <c r="X897" s="86"/>
      <c r="Y897" s="85"/>
      <c r="Z897" s="85"/>
      <c r="AA897" s="85"/>
      <c r="AB897" s="73"/>
      <c r="AC897" s="73"/>
      <c r="AD897" s="73"/>
      <c r="AE897" s="73"/>
      <c r="AF897" s="73"/>
      <c r="AG897" s="73"/>
      <c r="AH897" s="73"/>
      <c r="AI897" s="73"/>
      <c r="AJ897" s="73"/>
      <c r="AK897" s="73"/>
      <c r="AL897" s="44"/>
      <c r="AM897" s="92"/>
      <c r="AN897" s="81"/>
      <c r="AO897" s="72"/>
      <c r="AP897" s="87"/>
      <c r="AQ897" s="87"/>
      <c r="AR897" s="44">
        <f>AR895-AR892</f>
        <v>0</v>
      </c>
      <c r="AS897" s="130"/>
      <c r="AT897" s="4"/>
      <c r="AU897" s="4"/>
      <c r="AV897" s="4"/>
      <c r="AW897" s="4"/>
      <c r="AX897" s="4"/>
      <c r="AY897" s="4"/>
      <c r="AZ897" s="4"/>
      <c r="BC897" s="166"/>
    </row>
    <row r="898" spans="1:55" x14ac:dyDescent="0.2">
      <c r="A898" s="4"/>
      <c r="B898" s="4"/>
      <c r="C898" s="3"/>
      <c r="D898" s="72"/>
      <c r="E898" s="72"/>
      <c r="F898" s="72"/>
      <c r="G898" s="73"/>
      <c r="H898" s="73"/>
      <c r="I898" s="73"/>
      <c r="J898" s="73"/>
      <c r="K898" s="72"/>
      <c r="L898" s="90" t="s">
        <v>1867</v>
      </c>
      <c r="M898" s="83"/>
      <c r="N898" s="83"/>
      <c r="O898" s="93" t="s">
        <v>1868</v>
      </c>
      <c r="P898" s="94"/>
      <c r="Q898" s="78"/>
      <c r="R898" s="2"/>
      <c r="S898" s="77"/>
      <c r="T898" s="2"/>
      <c r="U898" s="78"/>
      <c r="V898" s="85"/>
      <c r="W898" s="78"/>
      <c r="X898" s="86"/>
      <c r="Y898" s="85"/>
      <c r="Z898" s="85"/>
      <c r="AA898" s="85"/>
      <c r="AB898" s="73"/>
      <c r="AC898" s="73"/>
      <c r="AD898" s="73"/>
      <c r="AE898" s="73"/>
      <c r="AF898" s="73"/>
      <c r="AG898" s="73"/>
      <c r="AH898" s="73"/>
      <c r="AI898" s="73"/>
      <c r="AJ898" s="73"/>
      <c r="AK898" s="73"/>
      <c r="AL898" s="44"/>
      <c r="AM898" s="44"/>
      <c r="AN898" s="81"/>
      <c r="AO898" s="72"/>
      <c r="AP898" s="87"/>
      <c r="AQ898" s="87"/>
      <c r="AR898" s="44"/>
      <c r="AS898" s="129"/>
      <c r="AT898" s="4"/>
      <c r="AU898" s="4"/>
      <c r="AV898" s="4"/>
      <c r="AW898" s="4"/>
      <c r="AX898" s="4"/>
      <c r="AY898" s="4"/>
      <c r="AZ898" s="4"/>
    </row>
    <row r="899" spans="1:55" x14ac:dyDescent="0.2">
      <c r="A899" s="4"/>
      <c r="B899" s="4"/>
      <c r="C899" s="3"/>
      <c r="D899" s="72"/>
      <c r="E899" s="72"/>
      <c r="F899" s="72"/>
      <c r="G899" s="73"/>
      <c r="H899" s="73"/>
      <c r="I899" s="73"/>
      <c r="J899" s="73"/>
      <c r="K899" s="72"/>
      <c r="L899" s="90" t="s">
        <v>1869</v>
      </c>
      <c r="M899" s="83"/>
      <c r="N899" s="83"/>
      <c r="O899" s="93" t="s">
        <v>1869</v>
      </c>
      <c r="P899" s="78"/>
      <c r="Q899" s="78"/>
      <c r="R899" s="2"/>
      <c r="S899" s="77"/>
      <c r="T899" s="2"/>
      <c r="U899" s="78"/>
      <c r="V899" s="85"/>
      <c r="W899" s="78"/>
      <c r="X899" s="86"/>
      <c r="Y899" s="85"/>
      <c r="Z899" s="85"/>
      <c r="AA899" s="85"/>
      <c r="AB899" s="73"/>
      <c r="AC899" s="73"/>
      <c r="AD899" s="73"/>
      <c r="AE899" s="73"/>
      <c r="AF899" s="73"/>
      <c r="AG899" s="73"/>
      <c r="AH899" s="73"/>
      <c r="AI899" s="73"/>
      <c r="AJ899" s="73"/>
      <c r="AK899" s="73"/>
      <c r="AL899" s="44"/>
      <c r="AM899" s="44"/>
      <c r="AN899" s="81"/>
      <c r="AO899" s="72"/>
      <c r="AP899" s="87"/>
      <c r="AQ899" s="87"/>
      <c r="AR899" s="44"/>
      <c r="AS899" s="129"/>
      <c r="AT899" s="4"/>
      <c r="AU899" s="4"/>
      <c r="AV899" s="4"/>
      <c r="AW899" s="4"/>
      <c r="AX899" s="4"/>
      <c r="AY899" s="4"/>
      <c r="AZ899" s="4"/>
    </row>
    <row r="900" spans="1:55" ht="13.5" thickBot="1" x14ac:dyDescent="0.25">
      <c r="A900" s="44"/>
      <c r="B900" s="44"/>
      <c r="C900" s="3"/>
      <c r="D900" s="72"/>
      <c r="E900" s="72"/>
      <c r="F900" s="72"/>
      <c r="G900" s="73"/>
      <c r="H900" s="73"/>
      <c r="I900" s="73"/>
      <c r="J900" s="73"/>
      <c r="K900" s="72"/>
      <c r="L900" s="95" t="s">
        <v>1870</v>
      </c>
      <c r="M900" s="83"/>
      <c r="N900" s="83"/>
      <c r="O900" s="96" t="s">
        <v>1871</v>
      </c>
      <c r="P900" s="78"/>
      <c r="Q900" s="78"/>
      <c r="R900" s="2"/>
      <c r="S900" s="77"/>
      <c r="T900" s="2"/>
      <c r="U900" s="78"/>
      <c r="V900" s="85"/>
      <c r="W900" s="78"/>
      <c r="X900" s="86"/>
      <c r="Y900" s="85"/>
      <c r="Z900" s="85"/>
      <c r="AA900" s="85"/>
      <c r="AB900" s="73"/>
      <c r="AC900" s="73"/>
      <c r="AD900" s="73"/>
      <c r="AE900" s="73"/>
      <c r="AF900" s="73"/>
      <c r="AG900" s="73"/>
      <c r="AH900" s="73"/>
      <c r="AI900" s="73"/>
      <c r="AJ900" s="73"/>
      <c r="AK900" s="73"/>
      <c r="AL900" s="44"/>
      <c r="AM900" s="44"/>
      <c r="AN900" s="81"/>
      <c r="AO900" s="72"/>
      <c r="AP900" s="87"/>
      <c r="AQ900" s="87"/>
      <c r="AR900" s="44"/>
      <c r="AS900" s="129"/>
      <c r="AT900" s="4"/>
      <c r="AU900" s="4"/>
      <c r="AV900" s="4"/>
      <c r="AW900" s="4"/>
      <c r="AX900" s="4"/>
      <c r="AY900" s="4"/>
      <c r="AZ900" s="4"/>
    </row>
    <row r="901" spans="1:55" x14ac:dyDescent="0.2">
      <c r="A901" s="44"/>
      <c r="B901" s="44"/>
      <c r="C901" s="3"/>
      <c r="D901" s="72"/>
      <c r="E901" s="72"/>
      <c r="F901" s="72"/>
      <c r="G901" s="73"/>
      <c r="H901" s="73"/>
      <c r="I901" s="73"/>
      <c r="J901" s="73"/>
      <c r="K901" s="72"/>
      <c r="L901" s="83"/>
      <c r="M901" s="83"/>
      <c r="N901" s="83"/>
      <c r="O901" s="97"/>
      <c r="P901" s="78"/>
      <c r="Q901" s="78"/>
      <c r="R901" s="2"/>
      <c r="S901" s="77"/>
      <c r="T901" s="2"/>
      <c r="U901" s="78"/>
      <c r="V901" s="85"/>
      <c r="W901" s="78"/>
      <c r="X901" s="86"/>
      <c r="Y901" s="85"/>
      <c r="Z901" s="85"/>
      <c r="AA901" s="85"/>
      <c r="AB901" s="73"/>
      <c r="AC901" s="73"/>
      <c r="AD901" s="73"/>
      <c r="AE901" s="73"/>
      <c r="AF901" s="73"/>
      <c r="AG901" s="73"/>
      <c r="AH901" s="73"/>
      <c r="AI901" s="73"/>
      <c r="AJ901" s="73"/>
      <c r="AK901" s="73"/>
      <c r="AL901" s="44"/>
      <c r="AM901" s="44"/>
      <c r="AN901" s="81"/>
      <c r="AO901" s="72"/>
      <c r="AP901" s="87"/>
      <c r="AQ901" s="87"/>
      <c r="AR901" s="44"/>
      <c r="AS901" s="129"/>
      <c r="AT901" s="4"/>
      <c r="AU901" s="4"/>
      <c r="AV901" s="4"/>
      <c r="AW901" s="4"/>
      <c r="AX901" s="4"/>
      <c r="AY901" s="4"/>
      <c r="AZ901" s="4"/>
    </row>
    <row r="902" spans="1:55" x14ac:dyDescent="0.2">
      <c r="L902" t="s">
        <v>1872</v>
      </c>
      <c r="O902">
        <v>472.77</v>
      </c>
      <c r="P902" t="s">
        <v>1873</v>
      </c>
    </row>
    <row r="908" spans="1:55" x14ac:dyDescent="0.2">
      <c r="N908" t="s">
        <v>1874</v>
      </c>
    </row>
    <row r="909" spans="1:55" x14ac:dyDescent="0.2">
      <c r="L909" s="131" t="s">
        <v>33</v>
      </c>
      <c r="M909" s="131"/>
      <c r="N909" s="131" t="s">
        <v>1606</v>
      </c>
      <c r="O909" s="131">
        <v>41101</v>
      </c>
      <c r="P909" s="131"/>
      <c r="Q909" s="131"/>
      <c r="R909" s="131"/>
    </row>
    <row r="910" spans="1:55" x14ac:dyDescent="0.2">
      <c r="L910" s="131" t="s">
        <v>1875</v>
      </c>
      <c r="M910" s="131"/>
      <c r="N910" s="131" t="s">
        <v>1606</v>
      </c>
      <c r="O910" s="131">
        <v>41154</v>
      </c>
      <c r="P910" s="131"/>
      <c r="Q910" s="131"/>
      <c r="R910" s="131"/>
    </row>
    <row r="911" spans="1:55" x14ac:dyDescent="0.2">
      <c r="L911" s="131" t="s">
        <v>76</v>
      </c>
      <c r="M911" s="131"/>
      <c r="N911" s="131" t="s">
        <v>1606</v>
      </c>
      <c r="O911" s="131">
        <v>2004</v>
      </c>
      <c r="P911" s="131"/>
      <c r="Q911" s="131"/>
      <c r="R911" s="131"/>
    </row>
    <row r="912" spans="1:55" x14ac:dyDescent="0.2">
      <c r="L912" s="131" t="s">
        <v>114</v>
      </c>
      <c r="M912" s="131"/>
      <c r="N912" s="131" t="s">
        <v>1606</v>
      </c>
      <c r="O912" s="131">
        <v>41103</v>
      </c>
      <c r="P912" s="131"/>
      <c r="Q912" s="131"/>
      <c r="R912" s="131" t="s">
        <v>1606</v>
      </c>
    </row>
    <row r="913" spans="12:18" x14ac:dyDescent="0.2">
      <c r="L913" s="131" t="s">
        <v>124</v>
      </c>
      <c r="M913" s="131"/>
      <c r="N913" s="131" t="s">
        <v>1606</v>
      </c>
      <c r="O913" s="131">
        <v>41104</v>
      </c>
      <c r="P913" s="131"/>
      <c r="Q913" s="131"/>
      <c r="R913" s="131" t="s">
        <v>1606</v>
      </c>
    </row>
    <row r="914" spans="12:18" x14ac:dyDescent="0.2">
      <c r="L914" s="131" t="s">
        <v>304</v>
      </c>
      <c r="M914" s="131"/>
      <c r="N914" s="131" t="s">
        <v>1606</v>
      </c>
      <c r="O914" s="131">
        <v>41105</v>
      </c>
      <c r="P914" s="131"/>
      <c r="Q914" s="131"/>
      <c r="R914" s="131" t="s">
        <v>1606</v>
      </c>
    </row>
    <row r="915" spans="12:18" x14ac:dyDescent="0.2">
      <c r="L915" s="131" t="s">
        <v>331</v>
      </c>
      <c r="M915" s="131"/>
      <c r="N915" s="131" t="s">
        <v>1606</v>
      </c>
      <c r="O915" s="131">
        <v>41155</v>
      </c>
      <c r="P915" s="131"/>
      <c r="Q915" s="131"/>
      <c r="R915" s="131" t="s">
        <v>1606</v>
      </c>
    </row>
    <row r="916" spans="12:18" x14ac:dyDescent="0.2">
      <c r="L916" s="131" t="s">
        <v>358</v>
      </c>
      <c r="M916" s="131"/>
      <c r="N916" s="131" t="s">
        <v>1606</v>
      </c>
      <c r="O916" s="131">
        <v>41107</v>
      </c>
      <c r="P916" s="131"/>
      <c r="Q916" s="131"/>
      <c r="R916" s="131" t="s">
        <v>1606</v>
      </c>
    </row>
    <row r="917" spans="12:18" x14ac:dyDescent="0.2">
      <c r="L917" s="131" t="s">
        <v>367</v>
      </c>
      <c r="M917" s="131"/>
      <c r="N917" s="131" t="s">
        <v>1606</v>
      </c>
      <c r="O917" s="131">
        <v>41108</v>
      </c>
      <c r="P917" s="131"/>
      <c r="Q917" s="131"/>
      <c r="R917" s="131" t="s">
        <v>1606</v>
      </c>
    </row>
    <row r="918" spans="12:18" x14ac:dyDescent="0.2">
      <c r="L918" s="131" t="s">
        <v>401</v>
      </c>
      <c r="M918" s="131"/>
      <c r="N918" s="131" t="s">
        <v>1876</v>
      </c>
      <c r="O918" s="131">
        <v>41109</v>
      </c>
      <c r="P918" s="131"/>
      <c r="Q918" s="131"/>
      <c r="R918" s="131" t="s">
        <v>1606</v>
      </c>
    </row>
    <row r="919" spans="12:18" x14ac:dyDescent="0.2">
      <c r="L919" s="131" t="s">
        <v>391</v>
      </c>
      <c r="M919" s="131"/>
      <c r="N919" s="131" t="s">
        <v>1606</v>
      </c>
      <c r="O919" s="131">
        <v>41509</v>
      </c>
      <c r="P919" s="131"/>
      <c r="Q919" s="131"/>
      <c r="R919" s="131" t="s">
        <v>1606</v>
      </c>
    </row>
    <row r="920" spans="12:18" x14ac:dyDescent="0.2">
      <c r="L920" s="131" t="s">
        <v>422</v>
      </c>
      <c r="M920" s="131"/>
      <c r="N920" s="131" t="s">
        <v>1606</v>
      </c>
      <c r="O920" s="131">
        <v>41110</v>
      </c>
      <c r="P920" s="131"/>
      <c r="Q920" s="131"/>
      <c r="R920" s="131" t="s">
        <v>1876</v>
      </c>
    </row>
    <row r="921" spans="12:18" x14ac:dyDescent="0.2">
      <c r="L921" s="131" t="s">
        <v>550</v>
      </c>
      <c r="M921" s="131"/>
      <c r="N921" s="131" t="s">
        <v>1606</v>
      </c>
      <c r="O921" s="131">
        <v>2002</v>
      </c>
      <c r="P921" s="131"/>
      <c r="Q921" s="131"/>
      <c r="R921" s="131" t="s">
        <v>1606</v>
      </c>
    </row>
    <row r="922" spans="12:18" x14ac:dyDescent="0.2">
      <c r="L922" s="131" t="s">
        <v>602</v>
      </c>
      <c r="M922" s="131"/>
      <c r="N922" s="131" t="s">
        <v>1606</v>
      </c>
      <c r="O922" s="131">
        <v>41111</v>
      </c>
      <c r="P922" s="131"/>
      <c r="Q922" s="131"/>
      <c r="R922" s="131" t="s">
        <v>1606</v>
      </c>
    </row>
    <row r="923" spans="12:18" x14ac:dyDescent="0.2">
      <c r="L923" s="131" t="s">
        <v>611</v>
      </c>
      <c r="M923" s="131"/>
      <c r="N923" s="131" t="s">
        <v>1606</v>
      </c>
      <c r="O923" s="131">
        <v>41112</v>
      </c>
      <c r="P923" s="131"/>
      <c r="Q923" s="131"/>
      <c r="R923" s="131" t="s">
        <v>1606</v>
      </c>
    </row>
    <row r="924" spans="12:18" x14ac:dyDescent="0.2">
      <c r="L924" s="131" t="s">
        <v>615</v>
      </c>
      <c r="M924" s="131"/>
      <c r="N924" s="131" t="s">
        <v>1606</v>
      </c>
      <c r="O924" s="131">
        <v>2003</v>
      </c>
      <c r="P924" s="131"/>
      <c r="Q924" s="131"/>
      <c r="R924" s="131" t="s">
        <v>1606</v>
      </c>
    </row>
    <row r="925" spans="12:18" x14ac:dyDescent="0.2">
      <c r="L925" s="131" t="s">
        <v>675</v>
      </c>
      <c r="M925" s="131"/>
      <c r="N925" s="131" t="s">
        <v>1876</v>
      </c>
      <c r="O925" s="131">
        <v>41113</v>
      </c>
      <c r="P925" s="131"/>
      <c r="Q925" s="131"/>
      <c r="R925" s="131" t="s">
        <v>1606</v>
      </c>
    </row>
    <row r="926" spans="12:18" x14ac:dyDescent="0.2">
      <c r="L926" s="131" t="s">
        <v>686</v>
      </c>
      <c r="M926" s="131"/>
      <c r="N926" s="131" t="s">
        <v>1606</v>
      </c>
      <c r="O926" s="131">
        <v>41114</v>
      </c>
      <c r="P926" s="131"/>
      <c r="Q926" s="131"/>
      <c r="R926" s="131" t="s">
        <v>1606</v>
      </c>
    </row>
    <row r="927" spans="12:18" x14ac:dyDescent="0.2">
      <c r="L927" s="131" t="s">
        <v>700</v>
      </c>
      <c r="M927" s="131"/>
      <c r="N927" s="131" t="s">
        <v>1606</v>
      </c>
      <c r="O927" s="131">
        <v>41115</v>
      </c>
      <c r="P927" s="131"/>
      <c r="Q927" s="131"/>
      <c r="R927" s="131" t="s">
        <v>1876</v>
      </c>
    </row>
    <row r="928" spans="12:18" x14ac:dyDescent="0.2">
      <c r="L928" s="131" t="s">
        <v>712</v>
      </c>
      <c r="M928" s="131"/>
      <c r="N928" s="131" t="s">
        <v>1606</v>
      </c>
      <c r="O928" s="131">
        <v>41116</v>
      </c>
      <c r="P928" s="131"/>
      <c r="Q928" s="131"/>
      <c r="R928" s="131" t="s">
        <v>1606</v>
      </c>
    </row>
    <row r="929" spans="12:18" x14ac:dyDescent="0.2">
      <c r="L929" s="131" t="s">
        <v>724</v>
      </c>
      <c r="M929" s="131"/>
      <c r="N929" s="131" t="s">
        <v>1606</v>
      </c>
      <c r="O929" s="131">
        <v>41117</v>
      </c>
      <c r="P929" s="131"/>
      <c r="Q929" s="131"/>
      <c r="R929" s="131" t="s">
        <v>1606</v>
      </c>
    </row>
    <row r="930" spans="12:18" x14ac:dyDescent="0.2">
      <c r="L930" s="131" t="s">
        <v>762</v>
      </c>
      <c r="M930" s="131"/>
      <c r="N930" s="131" t="s">
        <v>1606</v>
      </c>
      <c r="O930" s="131">
        <v>41118</v>
      </c>
      <c r="P930" s="131"/>
      <c r="Q930" s="131"/>
      <c r="R930" s="131" t="s">
        <v>1606</v>
      </c>
    </row>
    <row r="931" spans="12:18" x14ac:dyDescent="0.2">
      <c r="L931" s="131" t="s">
        <v>791</v>
      </c>
      <c r="M931" s="131"/>
      <c r="N931" s="131" t="s">
        <v>1606</v>
      </c>
      <c r="O931" s="131">
        <v>41119</v>
      </c>
      <c r="P931" s="131"/>
      <c r="Q931" s="131"/>
      <c r="R931" s="131" t="s">
        <v>1606</v>
      </c>
    </row>
    <row r="932" spans="12:18" x14ac:dyDescent="0.2">
      <c r="L932" s="131" t="s">
        <v>852</v>
      </c>
      <c r="M932" s="131"/>
      <c r="N932" s="131" t="s">
        <v>1606</v>
      </c>
      <c r="O932" s="131">
        <v>41120</v>
      </c>
      <c r="P932" s="131"/>
      <c r="Q932" s="131"/>
      <c r="R932" s="131" t="s">
        <v>1606</v>
      </c>
    </row>
    <row r="933" spans="12:18" x14ac:dyDescent="0.2">
      <c r="L933" s="131" t="s">
        <v>903</v>
      </c>
      <c r="M933" s="131"/>
      <c r="N933" s="131" t="s">
        <v>1606</v>
      </c>
      <c r="O933" s="131">
        <v>41121</v>
      </c>
      <c r="P933" s="131"/>
      <c r="Q933" s="131"/>
      <c r="R933" s="131" t="s">
        <v>1606</v>
      </c>
    </row>
    <row r="934" spans="12:18" x14ac:dyDescent="0.2">
      <c r="L934" s="131" t="s">
        <v>945</v>
      </c>
      <c r="M934" s="131"/>
      <c r="N934" s="131" t="s">
        <v>1606</v>
      </c>
      <c r="O934" s="131">
        <v>41122</v>
      </c>
      <c r="P934" s="131"/>
      <c r="Q934" s="131"/>
      <c r="R934" s="131" t="s">
        <v>1606</v>
      </c>
    </row>
    <row r="935" spans="12:18" x14ac:dyDescent="0.2">
      <c r="L935" s="131" t="s">
        <v>1150</v>
      </c>
      <c r="M935" s="131"/>
      <c r="N935" s="131" t="s">
        <v>1606</v>
      </c>
      <c r="O935" s="131">
        <v>41125</v>
      </c>
      <c r="P935" s="131"/>
      <c r="Q935" s="131"/>
      <c r="R935" s="131" t="s">
        <v>1606</v>
      </c>
    </row>
    <row r="936" spans="12:18" x14ac:dyDescent="0.2">
      <c r="L936" s="131" t="s">
        <v>1196</v>
      </c>
      <c r="M936" s="131"/>
      <c r="N936" s="131" t="s">
        <v>1876</v>
      </c>
      <c r="O936" s="131">
        <v>41126</v>
      </c>
      <c r="P936" s="131"/>
      <c r="Q936" s="131"/>
      <c r="R936" s="131" t="s">
        <v>1606</v>
      </c>
    </row>
    <row r="937" spans="12:18" x14ac:dyDescent="0.2">
      <c r="L937" s="131" t="s">
        <v>1199</v>
      </c>
      <c r="M937" s="131"/>
      <c r="N937" s="131" t="s">
        <v>1606</v>
      </c>
      <c r="O937" s="131">
        <v>41127</v>
      </c>
      <c r="P937" s="131"/>
      <c r="Q937" s="131"/>
      <c r="R937" s="131" t="s">
        <v>1606</v>
      </c>
    </row>
    <row r="938" spans="12:18" x14ac:dyDescent="0.2">
      <c r="L938" s="131" t="s">
        <v>1269</v>
      </c>
      <c r="M938" s="131"/>
      <c r="N938" s="131" t="s">
        <v>1876</v>
      </c>
      <c r="O938" s="131">
        <v>41129</v>
      </c>
      <c r="P938" s="131"/>
      <c r="Q938" s="131"/>
      <c r="R938" s="131" t="s">
        <v>1876</v>
      </c>
    </row>
    <row r="939" spans="12:18" x14ac:dyDescent="0.2">
      <c r="L939" s="131" t="s">
        <v>1280</v>
      </c>
      <c r="M939" s="131"/>
      <c r="N939" s="131" t="s">
        <v>1606</v>
      </c>
      <c r="O939" s="131">
        <v>41130</v>
      </c>
      <c r="P939" s="131"/>
      <c r="Q939" s="131"/>
      <c r="R939" s="131" t="s">
        <v>1606</v>
      </c>
    </row>
    <row r="940" spans="12:18" x14ac:dyDescent="0.2">
      <c r="L940" s="131" t="s">
        <v>1303</v>
      </c>
      <c r="M940" s="131"/>
      <c r="N940" s="131" t="s">
        <v>1606</v>
      </c>
      <c r="O940" s="131">
        <v>41131</v>
      </c>
      <c r="P940" s="131"/>
      <c r="Q940" s="131"/>
      <c r="R940" s="131" t="s">
        <v>1606</v>
      </c>
    </row>
    <row r="941" spans="12:18" x14ac:dyDescent="0.2">
      <c r="L941" s="131" t="s">
        <v>1342</v>
      </c>
      <c r="M941" s="131"/>
      <c r="N941" s="131" t="s">
        <v>1606</v>
      </c>
      <c r="O941" s="131">
        <v>41132</v>
      </c>
      <c r="P941" s="131"/>
      <c r="Q941" s="131"/>
      <c r="R941" s="131" t="s">
        <v>1876</v>
      </c>
    </row>
    <row r="942" spans="12:18" x14ac:dyDescent="0.2">
      <c r="L942" s="131" t="s">
        <v>1359</v>
      </c>
      <c r="M942" s="131"/>
      <c r="N942" s="131" t="s">
        <v>1876</v>
      </c>
      <c r="O942" s="131">
        <v>41133</v>
      </c>
      <c r="P942" s="131"/>
      <c r="Q942" s="131"/>
      <c r="R942" s="131" t="s">
        <v>1606</v>
      </c>
    </row>
    <row r="943" spans="12:18" x14ac:dyDescent="0.2">
      <c r="L943" s="131" t="s">
        <v>1372</v>
      </c>
      <c r="M943" s="131"/>
      <c r="N943" s="131" t="s">
        <v>1606</v>
      </c>
      <c r="O943" s="131">
        <v>41134</v>
      </c>
      <c r="P943" s="131"/>
      <c r="Q943" s="131"/>
      <c r="R943" s="131" t="s">
        <v>1606</v>
      </c>
    </row>
    <row r="944" spans="12:18" x14ac:dyDescent="0.2">
      <c r="L944" s="131" t="s">
        <v>1382</v>
      </c>
      <c r="M944" s="131"/>
      <c r="N944" s="131" t="s">
        <v>1876</v>
      </c>
      <c r="O944" s="131">
        <v>41135</v>
      </c>
      <c r="P944" s="131"/>
      <c r="Q944" s="131"/>
      <c r="R944" s="131" t="s">
        <v>1606</v>
      </c>
    </row>
    <row r="945" spans="12:18" x14ac:dyDescent="0.2">
      <c r="L945" s="131" t="s">
        <v>1407</v>
      </c>
      <c r="M945" s="131"/>
      <c r="N945" s="131" t="s">
        <v>1606</v>
      </c>
      <c r="O945" s="131">
        <v>41136</v>
      </c>
      <c r="P945" s="131"/>
      <c r="Q945" s="131"/>
      <c r="R945" s="131" t="s">
        <v>1876</v>
      </c>
    </row>
    <row r="946" spans="12:18" x14ac:dyDescent="0.2">
      <c r="L946" s="131" t="s">
        <v>1420</v>
      </c>
      <c r="M946" s="131"/>
      <c r="N946" s="131" t="s">
        <v>1606</v>
      </c>
      <c r="O946" s="131">
        <v>41137</v>
      </c>
      <c r="P946" s="131"/>
      <c r="Q946" s="131"/>
      <c r="R946" s="131" t="s">
        <v>1606</v>
      </c>
    </row>
    <row r="947" spans="12:18" x14ac:dyDescent="0.2">
      <c r="L947" s="131" t="s">
        <v>1427</v>
      </c>
      <c r="M947" s="131"/>
      <c r="N947" s="131" t="s">
        <v>1606</v>
      </c>
      <c r="O947" s="131">
        <v>41138</v>
      </c>
      <c r="P947" s="131"/>
      <c r="Q947" s="131"/>
      <c r="R947" s="131" t="s">
        <v>1876</v>
      </c>
    </row>
    <row r="948" spans="12:18" x14ac:dyDescent="0.2">
      <c r="L948" s="131" t="s">
        <v>1567</v>
      </c>
      <c r="M948" s="131"/>
      <c r="N948" s="131" t="s">
        <v>1606</v>
      </c>
      <c r="O948" s="131">
        <v>41139</v>
      </c>
      <c r="P948" s="131"/>
      <c r="Q948" s="131"/>
      <c r="R948" s="131" t="s">
        <v>1606</v>
      </c>
    </row>
    <row r="949" spans="12:18" x14ac:dyDescent="0.2">
      <c r="L949" s="131" t="s">
        <v>1602</v>
      </c>
      <c r="M949" s="131"/>
      <c r="N949" s="131" t="s">
        <v>1606</v>
      </c>
      <c r="O949" s="131">
        <v>41140</v>
      </c>
      <c r="P949" s="131"/>
      <c r="Q949" s="131"/>
      <c r="R949" s="131" t="s">
        <v>1606</v>
      </c>
    </row>
    <row r="950" spans="12:18" x14ac:dyDescent="0.2">
      <c r="L950" s="131" t="s">
        <v>1607</v>
      </c>
      <c r="M950" s="131"/>
      <c r="N950" s="131" t="s">
        <v>1606</v>
      </c>
      <c r="O950" s="131">
        <v>41141</v>
      </c>
      <c r="P950" s="131"/>
      <c r="Q950" s="131"/>
      <c r="R950" s="131" t="s">
        <v>1606</v>
      </c>
    </row>
    <row r="951" spans="12:18" x14ac:dyDescent="0.2">
      <c r="L951" s="131" t="s">
        <v>1616</v>
      </c>
      <c r="M951" s="131"/>
      <c r="N951" s="131" t="s">
        <v>1606</v>
      </c>
      <c r="O951" s="131">
        <v>41142</v>
      </c>
      <c r="P951" s="131"/>
      <c r="Q951" s="131"/>
      <c r="R951" s="131" t="s">
        <v>1606</v>
      </c>
    </row>
    <row r="952" spans="12:18" x14ac:dyDescent="0.2">
      <c r="L952" s="131" t="s">
        <v>1612</v>
      </c>
      <c r="M952" s="131"/>
      <c r="N952" s="131" t="s">
        <v>1606</v>
      </c>
      <c r="O952" s="131">
        <v>41143</v>
      </c>
      <c r="P952" s="131"/>
      <c r="Q952" s="131"/>
      <c r="R952" s="131" t="s">
        <v>1606</v>
      </c>
    </row>
    <row r="953" spans="12:18" x14ac:dyDescent="0.2">
      <c r="L953" s="131" t="s">
        <v>1673</v>
      </c>
      <c r="M953" s="131"/>
      <c r="N953" s="131" t="s">
        <v>1876</v>
      </c>
      <c r="O953" s="131">
        <v>41144</v>
      </c>
      <c r="P953" s="131"/>
      <c r="Q953" s="131"/>
      <c r="R953" s="131" t="s">
        <v>1606</v>
      </c>
    </row>
    <row r="954" spans="12:18" x14ac:dyDescent="0.2">
      <c r="L954" s="131" t="s">
        <v>1685</v>
      </c>
      <c r="M954" s="131"/>
      <c r="N954" s="131" t="s">
        <v>1876</v>
      </c>
      <c r="O954" s="131">
        <v>41145</v>
      </c>
      <c r="P954" s="131"/>
      <c r="Q954" s="131"/>
      <c r="R954" s="131" t="s">
        <v>1606</v>
      </c>
    </row>
    <row r="955" spans="12:18" x14ac:dyDescent="0.2">
      <c r="L955" s="131" t="s">
        <v>1712</v>
      </c>
      <c r="M955" s="131"/>
      <c r="N955" s="131" t="s">
        <v>1606</v>
      </c>
      <c r="O955" s="131">
        <v>41146</v>
      </c>
      <c r="P955" s="131"/>
      <c r="Q955" s="131"/>
      <c r="R955" s="131" t="s">
        <v>1606</v>
      </c>
    </row>
    <row r="956" spans="12:18" x14ac:dyDescent="0.2">
      <c r="L956" s="131" t="s">
        <v>1755</v>
      </c>
      <c r="M956" s="131"/>
      <c r="N956" s="131" t="s">
        <v>1606</v>
      </c>
      <c r="O956" s="131">
        <v>2001</v>
      </c>
      <c r="P956" s="131"/>
      <c r="Q956" s="131"/>
      <c r="R956" s="131" t="s">
        <v>1876</v>
      </c>
    </row>
    <row r="957" spans="12:18" x14ac:dyDescent="0.2">
      <c r="L957" s="131" t="s">
        <v>1764</v>
      </c>
      <c r="M957" s="131"/>
      <c r="N957" s="131" t="s">
        <v>1606</v>
      </c>
      <c r="O957" s="131">
        <v>41147</v>
      </c>
      <c r="P957" s="131"/>
      <c r="Q957" s="131"/>
      <c r="R957" s="131" t="s">
        <v>1876</v>
      </c>
    </row>
    <row r="958" spans="12:18" x14ac:dyDescent="0.2">
      <c r="L958" s="131" t="s">
        <v>1770</v>
      </c>
      <c r="M958" s="131"/>
      <c r="N958" s="131" t="s">
        <v>1876</v>
      </c>
      <c r="O958" s="131">
        <v>41149</v>
      </c>
      <c r="P958" s="131"/>
      <c r="Q958" s="131"/>
      <c r="R958" s="131" t="s">
        <v>1606</v>
      </c>
    </row>
    <row r="959" spans="12:18" x14ac:dyDescent="0.2">
      <c r="L959" s="131" t="s">
        <v>1789</v>
      </c>
      <c r="M959" s="131"/>
      <c r="N959" s="131" t="s">
        <v>1606</v>
      </c>
      <c r="O959" s="131">
        <v>41150</v>
      </c>
      <c r="P959" s="131"/>
      <c r="Q959" s="131"/>
      <c r="R959" s="131" t="s">
        <v>1606</v>
      </c>
    </row>
    <row r="960" spans="12:18" x14ac:dyDescent="0.2">
      <c r="L960" s="131" t="s">
        <v>1815</v>
      </c>
      <c r="M960" s="131"/>
      <c r="N960" s="131" t="s">
        <v>1606</v>
      </c>
      <c r="O960" s="131">
        <v>2000</v>
      </c>
      <c r="P960" s="131"/>
      <c r="Q960" s="131"/>
      <c r="R960" s="131" t="s">
        <v>1606</v>
      </c>
    </row>
    <row r="961" spans="12:18" x14ac:dyDescent="0.2">
      <c r="L961" s="131" t="s">
        <v>1835</v>
      </c>
      <c r="M961" s="131"/>
      <c r="N961" s="131" t="s">
        <v>1606</v>
      </c>
      <c r="O961" s="131">
        <v>41151</v>
      </c>
      <c r="P961" s="131"/>
      <c r="Q961" s="131"/>
      <c r="R961" s="131" t="s">
        <v>1606</v>
      </c>
    </row>
    <row r="962" spans="12:18" x14ac:dyDescent="0.2">
      <c r="L962" s="131" t="s">
        <v>1848</v>
      </c>
      <c r="M962" s="131"/>
      <c r="N962" s="131" t="s">
        <v>1606</v>
      </c>
      <c r="O962" s="131">
        <v>41152</v>
      </c>
      <c r="P962" s="131"/>
      <c r="Q962" s="131"/>
      <c r="R962" s="131" t="s">
        <v>1876</v>
      </c>
    </row>
    <row r="963" spans="12:18" x14ac:dyDescent="0.2">
      <c r="L963" s="131" t="s">
        <v>975</v>
      </c>
      <c r="M963" s="131"/>
      <c r="N963" s="131" t="s">
        <v>1606</v>
      </c>
      <c r="O963" s="131">
        <v>41153</v>
      </c>
      <c r="P963" s="131"/>
      <c r="Q963" s="131"/>
      <c r="R963" s="131" t="s">
        <v>1606</v>
      </c>
    </row>
    <row r="964" spans="12:18" x14ac:dyDescent="0.2">
      <c r="L964" s="131" t="s">
        <v>1877</v>
      </c>
      <c r="M964" s="131"/>
      <c r="N964" s="131"/>
      <c r="O964" s="131"/>
      <c r="P964" s="131"/>
      <c r="Q964" s="131"/>
      <c r="R964" s="131" t="s">
        <v>1606</v>
      </c>
    </row>
    <row r="965" spans="12:18" x14ac:dyDescent="0.2">
      <c r="L965" s="131" t="s">
        <v>158</v>
      </c>
      <c r="M965" s="131"/>
      <c r="N965" s="131" t="s">
        <v>1606</v>
      </c>
      <c r="O965" s="131">
        <v>4001</v>
      </c>
      <c r="P965" s="131"/>
      <c r="Q965" s="131"/>
      <c r="R965" s="131" t="s">
        <v>1606</v>
      </c>
    </row>
    <row r="966" spans="12:18" x14ac:dyDescent="0.2">
      <c r="L966" s="131" t="s">
        <v>239</v>
      </c>
      <c r="M966" s="131"/>
      <c r="N966" s="131" t="s">
        <v>1606</v>
      </c>
      <c r="O966" s="131">
        <v>41201</v>
      </c>
      <c r="P966" s="131"/>
      <c r="Q966" s="131"/>
      <c r="R966" s="131" t="s">
        <v>1606</v>
      </c>
    </row>
    <row r="967" spans="12:18" x14ac:dyDescent="0.2">
      <c r="L967" s="131" t="s">
        <v>454</v>
      </c>
      <c r="M967" s="131"/>
      <c r="N967" s="131" t="s">
        <v>1606</v>
      </c>
      <c r="O967" s="131">
        <v>41202</v>
      </c>
      <c r="P967" s="131"/>
      <c r="Q967" s="131"/>
      <c r="R967" s="131" t="s">
        <v>1606</v>
      </c>
    </row>
    <row r="968" spans="12:18" x14ac:dyDescent="0.2">
      <c r="L968" s="131" t="s">
        <v>648</v>
      </c>
      <c r="M968" s="131"/>
      <c r="N968" s="131" t="s">
        <v>1606</v>
      </c>
      <c r="O968" s="131">
        <v>41203</v>
      </c>
      <c r="P968" s="131"/>
      <c r="Q968" s="131"/>
      <c r="R968" s="131"/>
    </row>
    <row r="969" spans="12:18" x14ac:dyDescent="0.2">
      <c r="L969" s="131" t="s">
        <v>884</v>
      </c>
      <c r="M969" s="131"/>
      <c r="N969" s="131" t="s">
        <v>1606</v>
      </c>
      <c r="O969" s="131">
        <v>41204</v>
      </c>
      <c r="P969" s="131"/>
      <c r="Q969" s="131"/>
      <c r="R969" s="131" t="s">
        <v>1606</v>
      </c>
    </row>
    <row r="970" spans="12:18" x14ac:dyDescent="0.2">
      <c r="L970" s="131" t="s">
        <v>988</v>
      </c>
      <c r="M970" s="131"/>
      <c r="N970" s="131" t="s">
        <v>1606</v>
      </c>
      <c r="O970" s="131">
        <v>41205</v>
      </c>
      <c r="P970" s="131"/>
      <c r="Q970" s="131"/>
      <c r="R970" s="131" t="s">
        <v>1606</v>
      </c>
    </row>
    <row r="971" spans="12:18" x14ac:dyDescent="0.2">
      <c r="L971" s="131" t="s">
        <v>1162</v>
      </c>
      <c r="M971" s="131"/>
      <c r="N971" s="131" t="s">
        <v>1606</v>
      </c>
      <c r="O971" s="131">
        <v>4000</v>
      </c>
      <c r="P971" s="131"/>
      <c r="Q971" s="131"/>
      <c r="R971" s="131" t="s">
        <v>1606</v>
      </c>
    </row>
    <row r="972" spans="12:18" x14ac:dyDescent="0.2">
      <c r="L972" s="131" t="s">
        <v>1207</v>
      </c>
      <c r="M972" s="131"/>
      <c r="N972" s="131" t="s">
        <v>1606</v>
      </c>
      <c r="O972" s="131">
        <v>41206</v>
      </c>
      <c r="P972" s="131"/>
      <c r="Q972" s="131"/>
      <c r="R972" s="131" t="s">
        <v>1606</v>
      </c>
    </row>
    <row r="973" spans="12:18" x14ac:dyDescent="0.2">
      <c r="L973" s="131" t="s">
        <v>1454</v>
      </c>
      <c r="M973" s="131"/>
      <c r="N973" s="131" t="s">
        <v>1606</v>
      </c>
      <c r="O973" s="131">
        <v>41208</v>
      </c>
      <c r="P973" s="131"/>
      <c r="Q973" s="131"/>
      <c r="R973" s="131" t="s">
        <v>1606</v>
      </c>
    </row>
    <row r="974" spans="12:18" x14ac:dyDescent="0.2">
      <c r="L974" s="131" t="s">
        <v>1623</v>
      </c>
      <c r="M974" s="131"/>
      <c r="N974" s="131" t="s">
        <v>1606</v>
      </c>
      <c r="O974" s="131">
        <v>41209</v>
      </c>
      <c r="P974" s="131"/>
      <c r="Q974" s="131"/>
      <c r="R974" s="131" t="s">
        <v>1606</v>
      </c>
    </row>
    <row r="975" spans="12:18" x14ac:dyDescent="0.2">
      <c r="L975" s="131" t="s">
        <v>1162</v>
      </c>
      <c r="M975" s="131"/>
      <c r="N975" s="131"/>
      <c r="O975" s="131">
        <v>4000</v>
      </c>
      <c r="P975" s="131"/>
      <c r="Q975" s="131"/>
      <c r="R975" s="131" t="s">
        <v>1606</v>
      </c>
    </row>
    <row r="976" spans="12:18" x14ac:dyDescent="0.2">
      <c r="L976" s="131" t="s">
        <v>1207</v>
      </c>
      <c r="M976" s="131"/>
      <c r="N976" s="131"/>
      <c r="O976" s="131">
        <v>41206</v>
      </c>
      <c r="P976" s="131">
        <v>4505</v>
      </c>
      <c r="Q976" s="131"/>
      <c r="R976" s="131" t="s">
        <v>1606</v>
      </c>
    </row>
    <row r="977" spans="12:80" x14ac:dyDescent="0.2">
      <c r="L977" s="131" t="s">
        <v>1454</v>
      </c>
      <c r="M977" s="131"/>
      <c r="N977" s="131"/>
      <c r="O977" s="131">
        <v>41208</v>
      </c>
      <c r="P977" s="131">
        <v>4048</v>
      </c>
      <c r="Q977" s="131"/>
      <c r="R977" s="131" t="s">
        <v>1606</v>
      </c>
    </row>
    <row r="978" spans="12:80" x14ac:dyDescent="0.2">
      <c r="L978" s="131" t="s">
        <v>1623</v>
      </c>
      <c r="M978" s="131"/>
      <c r="N978" s="131"/>
      <c r="O978" s="131">
        <v>41209</v>
      </c>
      <c r="P978" s="131">
        <v>4060</v>
      </c>
      <c r="Q978" s="131"/>
      <c r="R978" s="131" t="s">
        <v>1606</v>
      </c>
    </row>
    <row r="979" spans="12:80" x14ac:dyDescent="0.2">
      <c r="BX979" s="639">
        <f>BX892-CA892</f>
        <v>4731161.7094278177</v>
      </c>
      <c r="BY979" t="s">
        <v>1887</v>
      </c>
      <c r="CA979" s="637">
        <v>4731161.7094278382</v>
      </c>
      <c r="CB979" t="s">
        <v>2551</v>
      </c>
    </row>
    <row r="980" spans="12:80" x14ac:dyDescent="0.2">
      <c r="CA980" s="638">
        <f>SUBTOTAL(9,CA892:CA979)</f>
        <v>6743354.7781496495</v>
      </c>
    </row>
    <row r="981" spans="12:80" x14ac:dyDescent="0.2">
      <c r="CA981" s="637">
        <f>BX892-CA980</f>
        <v>-2.0489096641540527E-8</v>
      </c>
      <c r="CB981" t="s">
        <v>1887</v>
      </c>
    </row>
  </sheetData>
  <autoFilter ref="A1:BY978" xr:uid="{8BD9A8D8-B10E-43C9-B704-C7B6FA8DB4B5}">
    <filterColumn colId="68" showButton="0"/>
    <sortState xmlns:xlrd2="http://schemas.microsoft.com/office/spreadsheetml/2017/richdata2" ref="A19:BY873">
      <sortCondition ref="AN1:AN978"/>
    </sortState>
  </autoFilter>
  <mergeCells count="1">
    <mergeCell ref="BQ1:BR1"/>
  </mergeCells>
  <pageMargins left="0.7" right="0.7" top="0.75" bottom="0.75" header="0.3" footer="0.3"/>
  <pageSetup paperSize="9" orientation="portrait" r:id="rId1"/>
  <headerFooter>
    <oddFooter>&amp;L_x000D_&amp;1#&amp;"Calibri"&amp;10&amp;K000000 Confidential: Information that needs to be handled with care to avoid loss, damage or inappropriate access. Information which incorrectly disseminated could cause some distress to a limited number of individuals.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06373E-43A4-4C24-A991-B265373A3876}">
  <sheetPr codeName="Sheet8"/>
  <dimension ref="A3:J81"/>
  <sheetViews>
    <sheetView workbookViewId="0">
      <selection activeCell="A36" sqref="A4:A80"/>
      <pivotSelection pane="bottomRight" showHeader="1" axis="axisRow" activeRow="35" previousRow="35" click="1" r:id="rId1">
        <pivotArea dataOnly="0" labelOnly="1" fieldPosition="0">
          <references count="1">
            <reference field="11" count="0"/>
          </references>
        </pivotArea>
      </pivotSelection>
    </sheetView>
  </sheetViews>
  <sheetFormatPr defaultRowHeight="12.75" x14ac:dyDescent="0.2"/>
  <cols>
    <col min="1" max="1" width="34" bestFit="1" customWidth="1"/>
    <col min="2" max="2" width="26" style="648" bestFit="1" customWidth="1"/>
    <col min="3" max="3" width="14.5703125" bestFit="1" customWidth="1"/>
    <col min="4" max="4" width="7.42578125" customWidth="1"/>
    <col min="5" max="6" width="5" bestFit="1" customWidth="1"/>
    <col min="7" max="7" width="27.42578125" customWidth="1"/>
    <col min="8" max="8" width="20.42578125" customWidth="1"/>
    <col min="9" max="9" width="13.42578125" style="108" customWidth="1"/>
    <col min="10" max="10" width="8.42578125" customWidth="1"/>
    <col min="11" max="67" width="6" bestFit="1" customWidth="1"/>
    <col min="68" max="68" width="15.5703125" bestFit="1" customWidth="1"/>
    <col min="69" max="69" width="16.5703125" bestFit="1" customWidth="1"/>
    <col min="70" max="70" width="14" bestFit="1" customWidth="1"/>
    <col min="71" max="71" width="15.42578125" bestFit="1" customWidth="1"/>
    <col min="72" max="72" width="12.42578125" bestFit="1" customWidth="1"/>
    <col min="73" max="74" width="12.85546875" bestFit="1" customWidth="1"/>
    <col min="75" max="75" width="14" bestFit="1" customWidth="1"/>
    <col min="76" max="76" width="18.42578125" bestFit="1" customWidth="1"/>
    <col min="77" max="77" width="14.85546875" bestFit="1" customWidth="1"/>
    <col min="78" max="78" width="12.140625" bestFit="1" customWidth="1"/>
    <col min="79" max="79" width="16.42578125" bestFit="1" customWidth="1"/>
    <col min="80" max="80" width="15.42578125" bestFit="1" customWidth="1"/>
    <col min="81" max="81" width="12.140625" bestFit="1" customWidth="1"/>
    <col min="82" max="82" width="17.5703125" bestFit="1" customWidth="1"/>
    <col min="83" max="83" width="12.85546875" bestFit="1" customWidth="1"/>
    <col min="84" max="84" width="13.42578125" bestFit="1" customWidth="1"/>
    <col min="85" max="85" width="12.42578125" bestFit="1" customWidth="1"/>
    <col min="86" max="86" width="15.140625" bestFit="1" customWidth="1"/>
    <col min="87" max="87" width="16" bestFit="1" customWidth="1"/>
    <col min="88" max="88" width="14.42578125" bestFit="1" customWidth="1"/>
    <col min="89" max="89" width="11.5703125" bestFit="1" customWidth="1"/>
    <col min="90" max="90" width="11" bestFit="1" customWidth="1"/>
    <col min="91" max="91" width="13.42578125" bestFit="1" customWidth="1"/>
    <col min="92" max="92" width="19.85546875" bestFit="1" customWidth="1"/>
    <col min="93" max="93" width="15.140625" bestFit="1" customWidth="1"/>
    <col min="94" max="94" width="11.5703125" bestFit="1" customWidth="1"/>
    <col min="95" max="95" width="12" bestFit="1" customWidth="1"/>
    <col min="96" max="96" width="18.140625" bestFit="1" customWidth="1"/>
    <col min="97" max="97" width="19.42578125" bestFit="1" customWidth="1"/>
    <col min="98" max="98" width="19.5703125" bestFit="1" customWidth="1"/>
    <col min="99" max="99" width="18" bestFit="1" customWidth="1"/>
    <col min="100" max="100" width="15.85546875" bestFit="1" customWidth="1"/>
    <col min="101" max="101" width="19" bestFit="1" customWidth="1"/>
    <col min="102" max="102" width="16.42578125" bestFit="1" customWidth="1"/>
    <col min="103" max="103" width="16.5703125" bestFit="1" customWidth="1"/>
    <col min="104" max="104" width="16.42578125" bestFit="1" customWidth="1"/>
    <col min="105" max="105" width="17.5703125" bestFit="1" customWidth="1"/>
    <col min="106" max="106" width="15.140625" bestFit="1" customWidth="1"/>
    <col min="107" max="107" width="10.5703125" bestFit="1" customWidth="1"/>
    <col min="108" max="108" width="24.140625" bestFit="1" customWidth="1"/>
    <col min="109" max="109" width="12.140625" bestFit="1" customWidth="1"/>
    <col min="110" max="110" width="12.42578125" bestFit="1" customWidth="1"/>
    <col min="111" max="111" width="9.85546875" bestFit="1" customWidth="1"/>
    <col min="112" max="112" width="10.5703125" bestFit="1" customWidth="1"/>
    <col min="113" max="113" width="11" bestFit="1" customWidth="1"/>
    <col min="114" max="114" width="21.85546875" bestFit="1" customWidth="1"/>
    <col min="115" max="115" width="10.42578125" bestFit="1" customWidth="1"/>
    <col min="116" max="116" width="11.5703125" bestFit="1" customWidth="1"/>
    <col min="117" max="117" width="8.85546875" bestFit="1" customWidth="1"/>
    <col min="118" max="119" width="9.85546875" bestFit="1" customWidth="1"/>
    <col min="120" max="120" width="11.140625" bestFit="1" customWidth="1"/>
    <col min="121" max="121" width="14.85546875" bestFit="1" customWidth="1"/>
    <col min="122" max="122" width="10.42578125" bestFit="1" customWidth="1"/>
    <col min="123" max="123" width="15.85546875" bestFit="1" customWidth="1"/>
    <col min="124" max="124" width="12.140625" bestFit="1" customWidth="1"/>
    <col min="125" max="125" width="15" bestFit="1" customWidth="1"/>
    <col min="126" max="126" width="13.42578125" bestFit="1" customWidth="1"/>
    <col min="127" max="127" width="16" bestFit="1" customWidth="1"/>
    <col min="128" max="128" width="16.85546875" bestFit="1" customWidth="1"/>
    <col min="129" max="129" width="13.5703125" bestFit="1" customWidth="1"/>
    <col min="130" max="130" width="13.85546875" bestFit="1" customWidth="1"/>
    <col min="131" max="131" width="16.42578125" bestFit="1" customWidth="1"/>
    <col min="132" max="132" width="20.85546875" bestFit="1" customWidth="1"/>
    <col min="133" max="133" width="16.140625" bestFit="1" customWidth="1"/>
    <col min="134" max="134" width="15.42578125" bestFit="1" customWidth="1"/>
    <col min="135" max="135" width="20.140625" bestFit="1" customWidth="1"/>
    <col min="136" max="136" width="13.5703125" bestFit="1" customWidth="1"/>
    <col min="137" max="137" width="10.85546875" bestFit="1" customWidth="1"/>
    <col min="138" max="138" width="12.42578125" bestFit="1" customWidth="1"/>
    <col min="139" max="139" width="11.85546875" bestFit="1" customWidth="1"/>
    <col min="140" max="140" width="12.42578125" bestFit="1" customWidth="1"/>
    <col min="141" max="141" width="16.5703125" bestFit="1" customWidth="1"/>
    <col min="142" max="142" width="13.85546875" bestFit="1" customWidth="1"/>
    <col min="143" max="143" width="15.5703125" bestFit="1" customWidth="1"/>
    <col min="144" max="144" width="13.42578125" bestFit="1" customWidth="1"/>
    <col min="145" max="145" width="15.85546875" bestFit="1" customWidth="1"/>
    <col min="146" max="146" width="12.42578125" bestFit="1" customWidth="1"/>
    <col min="147" max="147" width="21" bestFit="1" customWidth="1"/>
    <col min="148" max="148" width="15.42578125" bestFit="1" customWidth="1"/>
    <col min="149" max="149" width="12.42578125" bestFit="1" customWidth="1"/>
    <col min="150" max="150" width="10.42578125" bestFit="1" customWidth="1"/>
    <col min="151" max="151" width="13.42578125" bestFit="1" customWidth="1"/>
    <col min="152" max="152" width="12.5703125" bestFit="1" customWidth="1"/>
    <col min="153" max="153" width="14.140625" bestFit="1" customWidth="1"/>
    <col min="154" max="154" width="11.5703125" bestFit="1" customWidth="1"/>
    <col min="155" max="155" width="15.85546875" bestFit="1" customWidth="1"/>
    <col min="156" max="157" width="12.42578125" bestFit="1" customWidth="1"/>
    <col min="158" max="158" width="16.85546875" bestFit="1" customWidth="1"/>
    <col min="159" max="159" width="12.5703125" bestFit="1" customWidth="1"/>
    <col min="160" max="160" width="20.5703125" bestFit="1" customWidth="1"/>
    <col min="161" max="161" width="16.42578125" bestFit="1" customWidth="1"/>
    <col min="162" max="162" width="14.5703125" bestFit="1" customWidth="1"/>
    <col min="163" max="163" width="13.5703125" bestFit="1" customWidth="1"/>
    <col min="164" max="164" width="15" bestFit="1" customWidth="1"/>
    <col min="165" max="165" width="11.42578125" bestFit="1" customWidth="1"/>
    <col min="166" max="166" width="8" bestFit="1" customWidth="1"/>
    <col min="167" max="167" width="10" bestFit="1" customWidth="1"/>
    <col min="168" max="168" width="12.85546875" bestFit="1" customWidth="1"/>
    <col min="169" max="169" width="15.5703125" bestFit="1" customWidth="1"/>
    <col min="170" max="170" width="13.42578125" bestFit="1" customWidth="1"/>
    <col min="171" max="171" width="16.5703125" bestFit="1" customWidth="1"/>
    <col min="172" max="172" width="12.5703125" bestFit="1" customWidth="1"/>
    <col min="173" max="173" width="16.42578125" bestFit="1" customWidth="1"/>
    <col min="174" max="174" width="16" bestFit="1" customWidth="1"/>
    <col min="175" max="175" width="15.5703125" bestFit="1" customWidth="1"/>
    <col min="176" max="176" width="16.42578125" bestFit="1" customWidth="1"/>
    <col min="177" max="177" width="16.85546875" bestFit="1" customWidth="1"/>
    <col min="178" max="178" width="15.42578125" bestFit="1" customWidth="1"/>
    <col min="179" max="179" width="13.42578125" bestFit="1" customWidth="1"/>
    <col min="180" max="180" width="12.85546875" bestFit="1" customWidth="1"/>
    <col min="181" max="181" width="15.42578125" bestFit="1" customWidth="1"/>
    <col min="182" max="182" width="14.42578125" bestFit="1" customWidth="1"/>
    <col min="183" max="183" width="13.85546875" bestFit="1" customWidth="1"/>
    <col min="184" max="184" width="13.5703125" bestFit="1" customWidth="1"/>
    <col min="185" max="185" width="20" bestFit="1" customWidth="1"/>
    <col min="186" max="186" width="13.140625" bestFit="1" customWidth="1"/>
    <col min="187" max="187" width="16" bestFit="1" customWidth="1"/>
    <col min="188" max="188" width="14.42578125" bestFit="1" customWidth="1"/>
    <col min="189" max="190" width="18.42578125" bestFit="1" customWidth="1"/>
    <col min="191" max="191" width="13.42578125" bestFit="1" customWidth="1"/>
    <col min="192" max="192" width="26.42578125" bestFit="1" customWidth="1"/>
    <col min="193" max="193" width="10.85546875" bestFit="1" customWidth="1"/>
    <col min="194" max="194" width="16.42578125" bestFit="1" customWidth="1"/>
    <col min="195" max="195" width="19.140625" bestFit="1" customWidth="1"/>
    <col min="196" max="196" width="13.140625" bestFit="1" customWidth="1"/>
    <col min="197" max="197" width="16.42578125" bestFit="1" customWidth="1"/>
    <col min="198" max="198" width="17.5703125" bestFit="1" customWidth="1"/>
    <col min="199" max="199" width="12.42578125" bestFit="1" customWidth="1"/>
    <col min="200" max="200" width="17.42578125" bestFit="1" customWidth="1"/>
    <col min="201" max="201" width="13.140625" bestFit="1" customWidth="1"/>
    <col min="202" max="202" width="13.5703125" bestFit="1" customWidth="1"/>
    <col min="203" max="203" width="12" bestFit="1" customWidth="1"/>
    <col min="204" max="204" width="13.5703125" bestFit="1" customWidth="1"/>
    <col min="205" max="205" width="17" bestFit="1" customWidth="1"/>
    <col min="206" max="206" width="15.5703125" bestFit="1" customWidth="1"/>
    <col min="207" max="207" width="16.140625" bestFit="1" customWidth="1"/>
    <col min="208" max="208" width="17.42578125" bestFit="1" customWidth="1"/>
    <col min="209" max="210" width="16.42578125" bestFit="1" customWidth="1"/>
    <col min="211" max="211" width="12.5703125" bestFit="1" customWidth="1"/>
    <col min="212" max="213" width="12.85546875" bestFit="1" customWidth="1"/>
    <col min="214" max="214" width="16.42578125" bestFit="1" customWidth="1"/>
    <col min="215" max="215" width="17.42578125" bestFit="1" customWidth="1"/>
    <col min="216" max="216" width="16.42578125" bestFit="1" customWidth="1"/>
    <col min="217" max="217" width="13.5703125" bestFit="1" customWidth="1"/>
    <col min="218" max="218" width="14.5703125" bestFit="1" customWidth="1"/>
    <col min="219" max="219" width="16.42578125" bestFit="1" customWidth="1"/>
    <col min="220" max="220" width="16.5703125" bestFit="1" customWidth="1"/>
    <col min="221" max="222" width="17.85546875" bestFit="1" customWidth="1"/>
    <col min="223" max="223" width="24.42578125" bestFit="1" customWidth="1"/>
    <col min="224" max="224" width="13.140625" bestFit="1" customWidth="1"/>
    <col min="225" max="225" width="18" bestFit="1" customWidth="1"/>
    <col min="226" max="226" width="21.5703125" bestFit="1" customWidth="1"/>
    <col min="227" max="227" width="24.5703125" bestFit="1" customWidth="1"/>
    <col min="228" max="228" width="14.140625" bestFit="1" customWidth="1"/>
    <col min="229" max="229" width="11.5703125" bestFit="1" customWidth="1"/>
    <col min="230" max="230" width="17.85546875" bestFit="1" customWidth="1"/>
    <col min="231" max="231" width="11.140625" bestFit="1" customWidth="1"/>
    <col min="232" max="232" width="12.42578125" bestFit="1" customWidth="1"/>
    <col min="233" max="233" width="13.140625" bestFit="1" customWidth="1"/>
    <col min="234" max="234" width="11.5703125" bestFit="1" customWidth="1"/>
    <col min="235" max="235" width="14.5703125" bestFit="1" customWidth="1"/>
    <col min="236" max="236" width="12.42578125" bestFit="1" customWidth="1"/>
    <col min="237" max="237" width="16.5703125" bestFit="1" customWidth="1"/>
    <col min="238" max="238" width="18.5703125" bestFit="1" customWidth="1"/>
    <col min="239" max="239" width="10.85546875" bestFit="1" customWidth="1"/>
    <col min="240" max="240" width="13.42578125" bestFit="1" customWidth="1"/>
    <col min="241" max="241" width="18.42578125" bestFit="1" customWidth="1"/>
    <col min="242" max="242" width="18.85546875" bestFit="1" customWidth="1"/>
    <col min="243" max="243" width="11.42578125" bestFit="1" customWidth="1"/>
    <col min="244" max="244" width="12" bestFit="1" customWidth="1"/>
    <col min="245" max="245" width="11.5703125" bestFit="1" customWidth="1"/>
    <col min="246" max="246" width="10.140625" bestFit="1" customWidth="1"/>
    <col min="247" max="247" width="14.140625" bestFit="1" customWidth="1"/>
    <col min="248" max="248" width="11.140625" bestFit="1" customWidth="1"/>
    <col min="249" max="249" width="16.5703125" bestFit="1" customWidth="1"/>
    <col min="250" max="250" width="15.5703125" bestFit="1" customWidth="1"/>
    <col min="251" max="251" width="14.140625" bestFit="1" customWidth="1"/>
    <col min="252" max="253" width="17.42578125" bestFit="1" customWidth="1"/>
    <col min="254" max="254" width="12.5703125" bestFit="1" customWidth="1"/>
    <col min="255" max="255" width="13.5703125" bestFit="1" customWidth="1"/>
    <col min="256" max="256" width="12.140625" bestFit="1" customWidth="1"/>
    <col min="257" max="257" width="14.85546875" bestFit="1" customWidth="1"/>
    <col min="258" max="258" width="13.140625" bestFit="1" customWidth="1"/>
    <col min="259" max="259" width="14.42578125" bestFit="1" customWidth="1"/>
    <col min="260" max="260" width="10.5703125" bestFit="1" customWidth="1"/>
    <col min="261" max="261" width="15.140625" bestFit="1" customWidth="1"/>
    <col min="262" max="262" width="18.42578125" bestFit="1" customWidth="1"/>
    <col min="263" max="263" width="10.42578125" bestFit="1" customWidth="1"/>
    <col min="264" max="264" width="18.5703125" bestFit="1" customWidth="1"/>
    <col min="265" max="265" width="18.140625" bestFit="1" customWidth="1"/>
    <col min="266" max="266" width="23.140625" bestFit="1" customWidth="1"/>
    <col min="267" max="267" width="12" bestFit="1" customWidth="1"/>
    <col min="268" max="268" width="13.42578125" bestFit="1" customWidth="1"/>
    <col min="269" max="269" width="11.5703125" bestFit="1" customWidth="1"/>
    <col min="271" max="271" width="11.140625" bestFit="1" customWidth="1"/>
    <col min="272" max="272" width="11.85546875" bestFit="1" customWidth="1"/>
    <col min="273" max="273" width="12.140625" bestFit="1" customWidth="1"/>
    <col min="274" max="274" width="18.140625" bestFit="1" customWidth="1"/>
    <col min="275" max="275" width="10.5703125" bestFit="1" customWidth="1"/>
    <col min="276" max="276" width="12.85546875" bestFit="1" customWidth="1"/>
    <col min="277" max="277" width="18.42578125" bestFit="1" customWidth="1"/>
    <col min="278" max="278" width="19.85546875" bestFit="1" customWidth="1"/>
    <col min="279" max="279" width="13.5703125" bestFit="1" customWidth="1"/>
    <col min="280" max="280" width="15.5703125" bestFit="1" customWidth="1"/>
    <col min="281" max="281" width="11.140625" bestFit="1" customWidth="1"/>
    <col min="282" max="282" width="12.42578125" bestFit="1" customWidth="1"/>
    <col min="283" max="283" width="11.42578125" bestFit="1" customWidth="1"/>
    <col min="284" max="284" width="10.5703125" bestFit="1" customWidth="1"/>
    <col min="285" max="285" width="13.5703125" bestFit="1" customWidth="1"/>
    <col min="286" max="286" width="16.42578125" bestFit="1" customWidth="1"/>
    <col min="287" max="288" width="12.140625" bestFit="1" customWidth="1"/>
    <col min="289" max="289" width="12" bestFit="1" customWidth="1"/>
    <col min="290" max="290" width="12.140625" bestFit="1" customWidth="1"/>
    <col min="291" max="291" width="12.85546875" bestFit="1" customWidth="1"/>
    <col min="292" max="292" width="16.85546875" bestFit="1" customWidth="1"/>
    <col min="293" max="293" width="13.85546875" bestFit="1" customWidth="1"/>
    <col min="294" max="294" width="9.42578125" bestFit="1" customWidth="1"/>
    <col min="295" max="295" width="12.5703125" bestFit="1" customWidth="1"/>
    <col min="296" max="296" width="12.85546875" bestFit="1" customWidth="1"/>
    <col min="297" max="297" width="11.140625" bestFit="1" customWidth="1"/>
    <col min="298" max="298" width="10.85546875" bestFit="1" customWidth="1"/>
    <col min="299" max="299" width="11.5703125" bestFit="1" customWidth="1"/>
    <col min="300" max="301" width="11.42578125" bestFit="1" customWidth="1"/>
    <col min="302" max="302" width="22.5703125" bestFit="1" customWidth="1"/>
    <col min="303" max="303" width="28.42578125" bestFit="1" customWidth="1"/>
    <col min="304" max="304" width="11.85546875" bestFit="1" customWidth="1"/>
    <col min="305" max="305" width="12.140625" bestFit="1" customWidth="1"/>
    <col min="306" max="306" width="21.42578125" bestFit="1" customWidth="1"/>
    <col min="307" max="307" width="22.140625" bestFit="1" customWidth="1"/>
    <col min="308" max="308" width="18" bestFit="1" customWidth="1"/>
    <col min="309" max="309" width="14.42578125" bestFit="1" customWidth="1"/>
    <col min="310" max="310" width="3.42578125" bestFit="1" customWidth="1"/>
    <col min="311" max="311" width="12.5703125" bestFit="1" customWidth="1"/>
    <col min="312" max="312" width="14.42578125" bestFit="1" customWidth="1"/>
    <col min="313" max="313" width="10" bestFit="1" customWidth="1"/>
    <col min="314" max="314" width="15.140625" bestFit="1" customWidth="1"/>
    <col min="315" max="315" width="14.140625" bestFit="1" customWidth="1"/>
    <col min="316" max="316" width="11.85546875" bestFit="1" customWidth="1"/>
    <col min="317" max="317" width="13.42578125" bestFit="1" customWidth="1"/>
    <col min="318" max="318" width="12.5703125" bestFit="1" customWidth="1"/>
    <col min="319" max="319" width="11.42578125" bestFit="1" customWidth="1"/>
    <col min="320" max="320" width="14.5703125" bestFit="1" customWidth="1"/>
    <col min="321" max="321" width="13.42578125" bestFit="1" customWidth="1"/>
    <col min="322" max="322" width="27" bestFit="1" customWidth="1"/>
    <col min="323" max="323" width="15.42578125" bestFit="1" customWidth="1"/>
    <col min="324" max="324" width="19.140625" bestFit="1" customWidth="1"/>
    <col min="325" max="325" width="13.140625" bestFit="1" customWidth="1"/>
    <col min="326" max="326" width="18.5703125" bestFit="1" customWidth="1"/>
    <col min="327" max="327" width="24.42578125" bestFit="1" customWidth="1"/>
    <col min="328" max="328" width="17.5703125" bestFit="1" customWidth="1"/>
    <col min="329" max="329" width="15" bestFit="1" customWidth="1"/>
    <col min="330" max="330" width="16.140625" bestFit="1" customWidth="1"/>
    <col min="331" max="331" width="15" bestFit="1" customWidth="1"/>
    <col min="332" max="332" width="15.42578125" bestFit="1" customWidth="1"/>
    <col min="333" max="333" width="12.42578125" bestFit="1" customWidth="1"/>
    <col min="334" max="334" width="23.5703125" bestFit="1" customWidth="1"/>
    <col min="335" max="335" width="14.85546875" bestFit="1" customWidth="1"/>
    <col min="336" max="336" width="11.42578125" bestFit="1" customWidth="1"/>
    <col min="337" max="337" width="13.140625" bestFit="1" customWidth="1"/>
    <col min="338" max="338" width="20.5703125" bestFit="1" customWidth="1"/>
    <col min="339" max="339" width="10.5703125" bestFit="1" customWidth="1"/>
    <col min="340" max="340" width="14.140625" bestFit="1" customWidth="1"/>
    <col min="341" max="341" width="10.42578125" bestFit="1" customWidth="1"/>
    <col min="342" max="342" width="17.5703125" bestFit="1" customWidth="1"/>
    <col min="343" max="343" width="15.42578125" bestFit="1" customWidth="1"/>
    <col min="344" max="344" width="19.42578125" bestFit="1" customWidth="1"/>
    <col min="345" max="345" width="15.85546875" bestFit="1" customWidth="1"/>
    <col min="346" max="346" width="12.5703125" bestFit="1" customWidth="1"/>
    <col min="347" max="348" width="12.42578125" bestFit="1" customWidth="1"/>
    <col min="349" max="349" width="16.5703125" bestFit="1" customWidth="1"/>
    <col min="350" max="350" width="13.5703125" bestFit="1" customWidth="1"/>
    <col min="351" max="351" width="14.42578125" bestFit="1" customWidth="1"/>
    <col min="352" max="352" width="12.5703125" bestFit="1" customWidth="1"/>
    <col min="353" max="353" width="11" bestFit="1" customWidth="1"/>
    <col min="354" max="354" width="12.42578125" bestFit="1" customWidth="1"/>
    <col min="355" max="355" width="12" bestFit="1" customWidth="1"/>
    <col min="356" max="356" width="13.42578125" bestFit="1" customWidth="1"/>
    <col min="357" max="357" width="15.42578125" bestFit="1" customWidth="1"/>
    <col min="358" max="358" width="13.42578125" bestFit="1" customWidth="1"/>
    <col min="359" max="359" width="12.5703125" bestFit="1" customWidth="1"/>
    <col min="360" max="360" width="14.5703125" bestFit="1" customWidth="1"/>
    <col min="361" max="361" width="12.140625" bestFit="1" customWidth="1"/>
    <col min="362" max="362" width="22.85546875" bestFit="1" customWidth="1"/>
    <col min="363" max="363" width="16" bestFit="1" customWidth="1"/>
    <col min="364" max="364" width="15" bestFit="1" customWidth="1"/>
    <col min="365" max="365" width="10.140625" bestFit="1" customWidth="1"/>
    <col min="366" max="366" width="13.42578125" bestFit="1" customWidth="1"/>
    <col min="367" max="367" width="9.5703125" bestFit="1" customWidth="1"/>
    <col min="368" max="368" width="11.5703125" bestFit="1" customWidth="1"/>
    <col min="369" max="369" width="12.42578125" bestFit="1" customWidth="1"/>
    <col min="370" max="370" width="12.140625" bestFit="1" customWidth="1"/>
    <col min="371" max="371" width="10.5703125" bestFit="1" customWidth="1"/>
    <col min="372" max="372" width="14.5703125" bestFit="1" customWidth="1"/>
    <col min="373" max="373" width="14.42578125" bestFit="1" customWidth="1"/>
    <col min="374" max="374" width="11.85546875" bestFit="1" customWidth="1"/>
    <col min="375" max="375" width="13.140625" bestFit="1" customWidth="1"/>
    <col min="376" max="376" width="14.5703125" bestFit="1" customWidth="1"/>
    <col min="377" max="377" width="12.5703125" bestFit="1" customWidth="1"/>
    <col min="378" max="378" width="14" bestFit="1" customWidth="1"/>
    <col min="379" max="379" width="19.140625" bestFit="1" customWidth="1"/>
    <col min="380" max="380" width="14.42578125" bestFit="1" customWidth="1"/>
    <col min="381" max="381" width="11" bestFit="1" customWidth="1"/>
    <col min="382" max="382" width="16.42578125" bestFit="1" customWidth="1"/>
    <col min="383" max="383" width="12.5703125" bestFit="1" customWidth="1"/>
    <col min="384" max="384" width="11.5703125" bestFit="1" customWidth="1"/>
    <col min="385" max="385" width="13.140625" bestFit="1" customWidth="1"/>
    <col min="386" max="386" width="15.5703125" bestFit="1" customWidth="1"/>
    <col min="387" max="387" width="12.140625" bestFit="1" customWidth="1"/>
    <col min="388" max="388" width="10.5703125" bestFit="1" customWidth="1"/>
    <col min="389" max="389" width="11.5703125" bestFit="1" customWidth="1"/>
    <col min="390" max="390" width="14" bestFit="1" customWidth="1"/>
    <col min="391" max="391" width="10" bestFit="1" customWidth="1"/>
    <col min="392" max="392" width="11" bestFit="1" customWidth="1"/>
    <col min="393" max="393" width="12.42578125" bestFit="1" customWidth="1"/>
    <col min="394" max="394" width="11.5703125" bestFit="1" customWidth="1"/>
    <col min="395" max="395" width="15" bestFit="1" customWidth="1"/>
    <col min="396" max="396" width="13.140625" bestFit="1" customWidth="1"/>
    <col min="397" max="397" width="8.85546875" bestFit="1" customWidth="1"/>
    <col min="398" max="398" width="14.42578125" bestFit="1" customWidth="1"/>
    <col min="399" max="399" width="12.42578125" bestFit="1" customWidth="1"/>
    <col min="400" max="400" width="14.5703125" bestFit="1" customWidth="1"/>
    <col min="401" max="401" width="17.5703125" bestFit="1" customWidth="1"/>
    <col min="402" max="402" width="18" bestFit="1" customWidth="1"/>
    <col min="403" max="403" width="15.42578125" bestFit="1" customWidth="1"/>
    <col min="404" max="404" width="13.5703125" bestFit="1" customWidth="1"/>
    <col min="405" max="405" width="15.5703125" bestFit="1" customWidth="1"/>
    <col min="406" max="406" width="12.5703125" bestFit="1" customWidth="1"/>
    <col min="407" max="407" width="10.42578125" bestFit="1" customWidth="1"/>
    <col min="408" max="408" width="19.85546875" bestFit="1" customWidth="1"/>
    <col min="409" max="409" width="11.42578125" bestFit="1" customWidth="1"/>
    <col min="410" max="410" width="13.5703125" bestFit="1" customWidth="1"/>
    <col min="411" max="411" width="26" bestFit="1" customWidth="1"/>
    <col min="412" max="412" width="13.140625" bestFit="1" customWidth="1"/>
    <col min="413" max="413" width="11" bestFit="1" customWidth="1"/>
    <col min="414" max="414" width="13.5703125" bestFit="1" customWidth="1"/>
    <col min="415" max="415" width="10.5703125" bestFit="1" customWidth="1"/>
    <col min="416" max="416" width="10.140625" bestFit="1" customWidth="1"/>
    <col min="417" max="418" width="12.140625" bestFit="1" customWidth="1"/>
    <col min="420" max="420" width="12" bestFit="1" customWidth="1"/>
    <col min="421" max="421" width="10.5703125" bestFit="1" customWidth="1"/>
    <col min="422" max="422" width="11.5703125" bestFit="1" customWidth="1"/>
    <col min="423" max="423" width="11" bestFit="1" customWidth="1"/>
    <col min="424" max="424" width="12.42578125" bestFit="1" customWidth="1"/>
    <col min="425" max="426" width="13.5703125" bestFit="1" customWidth="1"/>
    <col min="427" max="427" width="15.5703125" bestFit="1" customWidth="1"/>
    <col min="428" max="428" width="11.42578125" bestFit="1" customWidth="1"/>
    <col min="429" max="429" width="12.85546875" bestFit="1" customWidth="1"/>
    <col min="430" max="430" width="19" bestFit="1" customWidth="1"/>
    <col min="431" max="431" width="13.140625" bestFit="1" customWidth="1"/>
    <col min="432" max="432" width="12.42578125" bestFit="1" customWidth="1"/>
    <col min="433" max="433" width="12.5703125" bestFit="1" customWidth="1"/>
    <col min="434" max="434" width="14.5703125" bestFit="1" customWidth="1"/>
    <col min="435" max="435" width="12.85546875" bestFit="1" customWidth="1"/>
    <col min="436" max="436" width="14.5703125" bestFit="1" customWidth="1"/>
    <col min="437" max="437" width="12.85546875" bestFit="1" customWidth="1"/>
    <col min="438" max="438" width="13.42578125" bestFit="1" customWidth="1"/>
    <col min="439" max="439" width="14.140625" bestFit="1" customWidth="1"/>
    <col min="440" max="440" width="12.85546875" bestFit="1" customWidth="1"/>
    <col min="441" max="441" width="11.42578125" bestFit="1" customWidth="1"/>
    <col min="442" max="442" width="14.5703125" bestFit="1" customWidth="1"/>
    <col min="443" max="443" width="13.42578125" bestFit="1" customWidth="1"/>
    <col min="444" max="444" width="11" bestFit="1" customWidth="1"/>
    <col min="445" max="445" width="11.5703125" bestFit="1" customWidth="1"/>
    <col min="446" max="446" width="9.42578125" bestFit="1" customWidth="1"/>
    <col min="447" max="447" width="11.140625" bestFit="1" customWidth="1"/>
    <col min="448" max="448" width="11.42578125" bestFit="1" customWidth="1"/>
    <col min="449" max="449" width="12.140625" bestFit="1" customWidth="1"/>
    <col min="450" max="450" width="9.5703125" bestFit="1" customWidth="1"/>
    <col min="451" max="451" width="12.42578125" bestFit="1" customWidth="1"/>
    <col min="452" max="452" width="12.5703125" bestFit="1" customWidth="1"/>
    <col min="453" max="453" width="14.5703125" bestFit="1" customWidth="1"/>
    <col min="454" max="454" width="12.140625" bestFit="1" customWidth="1"/>
    <col min="455" max="455" width="10.140625" bestFit="1" customWidth="1"/>
    <col min="456" max="456" width="13.5703125" bestFit="1" customWidth="1"/>
    <col min="457" max="457" width="18.140625" bestFit="1" customWidth="1"/>
    <col min="458" max="459" width="12.5703125" bestFit="1" customWidth="1"/>
    <col min="460" max="460" width="14" bestFit="1" customWidth="1"/>
    <col min="461" max="461" width="9.42578125" bestFit="1" customWidth="1"/>
    <col min="462" max="462" width="8.5703125" bestFit="1" customWidth="1"/>
    <col min="463" max="463" width="14.85546875" bestFit="1" customWidth="1"/>
    <col min="464" max="464" width="19.85546875" bestFit="1" customWidth="1"/>
    <col min="465" max="465" width="20.42578125" bestFit="1" customWidth="1"/>
    <col min="466" max="466" width="13.5703125" bestFit="1" customWidth="1"/>
    <col min="467" max="467" width="14" bestFit="1" customWidth="1"/>
    <col min="468" max="468" width="12.42578125" bestFit="1" customWidth="1"/>
    <col min="469" max="469" width="12.85546875" bestFit="1" customWidth="1"/>
    <col min="470" max="470" width="15.5703125" bestFit="1" customWidth="1"/>
    <col min="471" max="471" width="14.42578125" bestFit="1" customWidth="1"/>
    <col min="472" max="472" width="14.5703125" bestFit="1" customWidth="1"/>
    <col min="473" max="473" width="10.42578125" bestFit="1" customWidth="1"/>
    <col min="474" max="474" width="14" bestFit="1" customWidth="1"/>
    <col min="475" max="475" width="12.42578125" bestFit="1" customWidth="1"/>
    <col min="476" max="476" width="13.5703125" bestFit="1" customWidth="1"/>
    <col min="477" max="477" width="23.5703125" bestFit="1" customWidth="1"/>
    <col min="478" max="478" width="15.5703125" bestFit="1" customWidth="1"/>
    <col min="479" max="479" width="12.85546875" bestFit="1" customWidth="1"/>
    <col min="480" max="480" width="15.42578125" bestFit="1" customWidth="1"/>
    <col min="481" max="481" width="12.5703125" bestFit="1" customWidth="1"/>
    <col min="482" max="482" width="13.42578125" bestFit="1" customWidth="1"/>
    <col min="483" max="483" width="14.42578125" bestFit="1" customWidth="1"/>
    <col min="484" max="484" width="15.5703125" bestFit="1" customWidth="1"/>
    <col min="485" max="485" width="18.42578125" bestFit="1" customWidth="1"/>
    <col min="486" max="486" width="21.42578125" bestFit="1" customWidth="1"/>
    <col min="487" max="487" width="14.5703125" bestFit="1" customWidth="1"/>
    <col min="488" max="488" width="12.5703125" bestFit="1" customWidth="1"/>
    <col min="489" max="490" width="13.42578125" bestFit="1" customWidth="1"/>
    <col min="491" max="491" width="12" bestFit="1" customWidth="1"/>
    <col min="492" max="492" width="13.42578125" bestFit="1" customWidth="1"/>
    <col min="493" max="493" width="9.5703125" bestFit="1" customWidth="1"/>
    <col min="494" max="494" width="11" bestFit="1" customWidth="1"/>
    <col min="495" max="495" width="13.42578125" bestFit="1" customWidth="1"/>
    <col min="496" max="496" width="15.42578125" bestFit="1" customWidth="1"/>
    <col min="497" max="497" width="19.42578125" bestFit="1" customWidth="1"/>
    <col min="498" max="498" width="12.5703125" bestFit="1" customWidth="1"/>
    <col min="499" max="499" width="12.85546875" bestFit="1" customWidth="1"/>
    <col min="500" max="500" width="9.42578125" bestFit="1" customWidth="1"/>
    <col min="501" max="501" width="17" bestFit="1" customWidth="1"/>
    <col min="502" max="502" width="14.140625" bestFit="1" customWidth="1"/>
    <col min="503" max="503" width="12.42578125" bestFit="1" customWidth="1"/>
    <col min="504" max="504" width="13.5703125" bestFit="1" customWidth="1"/>
    <col min="505" max="505" width="10.42578125" bestFit="1" customWidth="1"/>
    <col min="506" max="506" width="12" bestFit="1" customWidth="1"/>
    <col min="507" max="507" width="12.42578125" bestFit="1" customWidth="1"/>
    <col min="508" max="508" width="17.42578125" bestFit="1" customWidth="1"/>
    <col min="509" max="509" width="13.42578125" bestFit="1" customWidth="1"/>
    <col min="510" max="510" width="14.140625" bestFit="1" customWidth="1"/>
    <col min="511" max="511" width="23.85546875" bestFit="1" customWidth="1"/>
    <col min="512" max="512" width="15" bestFit="1" customWidth="1"/>
    <col min="513" max="513" width="19" bestFit="1" customWidth="1"/>
    <col min="514" max="514" width="22.85546875" bestFit="1" customWidth="1"/>
    <col min="515" max="515" width="15.5703125" bestFit="1" customWidth="1"/>
    <col min="516" max="516" width="13.5703125" bestFit="1" customWidth="1"/>
    <col min="517" max="517" width="12.85546875" bestFit="1" customWidth="1"/>
    <col min="518" max="518" width="14.5703125" bestFit="1" customWidth="1"/>
    <col min="519" max="519" width="15.140625" bestFit="1" customWidth="1"/>
    <col min="520" max="520" width="13.42578125" bestFit="1" customWidth="1"/>
    <col min="521" max="521" width="15.42578125" bestFit="1" customWidth="1"/>
    <col min="522" max="522" width="16" bestFit="1" customWidth="1"/>
    <col min="523" max="523" width="17.85546875" bestFit="1" customWidth="1"/>
    <col min="524" max="524" width="11.5703125" bestFit="1" customWidth="1"/>
    <col min="525" max="525" width="11.140625" bestFit="1" customWidth="1"/>
    <col min="526" max="526" width="12.42578125" bestFit="1" customWidth="1"/>
    <col min="527" max="527" width="18.42578125" bestFit="1" customWidth="1"/>
    <col min="528" max="528" width="12.42578125" bestFit="1" customWidth="1"/>
    <col min="529" max="529" width="16.42578125" bestFit="1" customWidth="1"/>
    <col min="530" max="530" width="12.42578125" bestFit="1" customWidth="1"/>
    <col min="531" max="531" width="10.85546875" bestFit="1" customWidth="1"/>
    <col min="532" max="532" width="9.5703125" bestFit="1" customWidth="1"/>
    <col min="533" max="533" width="11" bestFit="1" customWidth="1"/>
    <col min="534" max="534" width="13.5703125" bestFit="1" customWidth="1"/>
    <col min="535" max="535" width="19.42578125" bestFit="1" customWidth="1"/>
    <col min="536" max="536" width="14.85546875" bestFit="1" customWidth="1"/>
    <col min="537" max="537" width="18.140625" bestFit="1" customWidth="1"/>
    <col min="538" max="538" width="16.140625" bestFit="1" customWidth="1"/>
    <col min="539" max="539" width="14.42578125" bestFit="1" customWidth="1"/>
    <col min="540" max="540" width="19.42578125" bestFit="1" customWidth="1"/>
    <col min="541" max="541" width="14" bestFit="1" customWidth="1"/>
    <col min="542" max="542" width="13.42578125" bestFit="1" customWidth="1"/>
    <col min="543" max="543" width="14.85546875" bestFit="1" customWidth="1"/>
    <col min="544" max="544" width="13.140625" bestFit="1" customWidth="1"/>
    <col min="545" max="545" width="9.5703125" bestFit="1" customWidth="1"/>
    <col min="546" max="546" width="9.85546875" bestFit="1" customWidth="1"/>
    <col min="547" max="547" width="16.5703125" bestFit="1" customWidth="1"/>
    <col min="548" max="548" width="15.85546875" bestFit="1" customWidth="1"/>
    <col min="549" max="549" width="11.42578125" bestFit="1" customWidth="1"/>
    <col min="550" max="550" width="13.140625" bestFit="1" customWidth="1"/>
    <col min="551" max="551" width="10.85546875" bestFit="1" customWidth="1"/>
    <col min="552" max="552" width="20.42578125" bestFit="1" customWidth="1"/>
    <col min="553" max="553" width="10.42578125" bestFit="1" customWidth="1"/>
    <col min="554" max="554" width="20.140625" bestFit="1" customWidth="1"/>
    <col min="555" max="555" width="11.5703125" bestFit="1" customWidth="1"/>
    <col min="556" max="556" width="14.85546875" bestFit="1" customWidth="1"/>
    <col min="557" max="557" width="14.42578125" bestFit="1" customWidth="1"/>
    <col min="558" max="558" width="19.42578125" bestFit="1" customWidth="1"/>
    <col min="559" max="559" width="16.140625" bestFit="1" customWidth="1"/>
    <col min="560" max="560" width="9.5703125" bestFit="1" customWidth="1"/>
    <col min="561" max="561" width="12.85546875" bestFit="1" customWidth="1"/>
    <col min="562" max="562" width="26.5703125" bestFit="1" customWidth="1"/>
    <col min="563" max="563" width="9.5703125" bestFit="1" customWidth="1"/>
    <col min="564" max="564" width="10.42578125" bestFit="1" customWidth="1"/>
    <col min="565" max="565" width="9.5703125" bestFit="1" customWidth="1"/>
    <col min="566" max="566" width="9.85546875" bestFit="1" customWidth="1"/>
    <col min="567" max="567" width="9" bestFit="1" customWidth="1"/>
    <col min="568" max="568" width="19.5703125" bestFit="1" customWidth="1"/>
    <col min="569" max="569" width="12.5703125" bestFit="1" customWidth="1"/>
    <col min="570" max="570" width="11" bestFit="1" customWidth="1"/>
    <col min="571" max="571" width="11.85546875" bestFit="1" customWidth="1"/>
    <col min="572" max="572" width="12.5703125" bestFit="1" customWidth="1"/>
    <col min="573" max="573" width="13.140625" bestFit="1" customWidth="1"/>
    <col min="574" max="574" width="23.42578125" bestFit="1" customWidth="1"/>
    <col min="575" max="575" width="15.42578125" bestFit="1" customWidth="1"/>
    <col min="576" max="576" width="12.85546875" bestFit="1" customWidth="1"/>
    <col min="577" max="577" width="16.85546875" bestFit="1" customWidth="1"/>
    <col min="578" max="578" width="11.140625" bestFit="1" customWidth="1"/>
    <col min="579" max="579" width="10.42578125" bestFit="1" customWidth="1"/>
    <col min="580" max="580" width="9.5703125" bestFit="1" customWidth="1"/>
    <col min="581" max="581" width="28.140625" bestFit="1" customWidth="1"/>
    <col min="582" max="582" width="11.5703125" bestFit="1" customWidth="1"/>
    <col min="583" max="583" width="11.42578125" bestFit="1" customWidth="1"/>
    <col min="584" max="584" width="9.42578125" bestFit="1" customWidth="1"/>
    <col min="585" max="585" width="12.85546875" bestFit="1" customWidth="1"/>
    <col min="586" max="586" width="14.42578125" bestFit="1" customWidth="1"/>
    <col min="587" max="587" width="19.85546875" bestFit="1" customWidth="1"/>
    <col min="588" max="588" width="11.5703125" bestFit="1" customWidth="1"/>
    <col min="589" max="589" width="14" bestFit="1" customWidth="1"/>
    <col min="590" max="590" width="12.85546875" bestFit="1" customWidth="1"/>
    <col min="591" max="591" width="13.5703125" bestFit="1" customWidth="1"/>
    <col min="592" max="592" width="13.42578125" bestFit="1" customWidth="1"/>
    <col min="593" max="593" width="13.5703125" bestFit="1" customWidth="1"/>
    <col min="594" max="594" width="12" bestFit="1" customWidth="1"/>
    <col min="595" max="595" width="14.5703125" bestFit="1" customWidth="1"/>
    <col min="596" max="596" width="12.42578125" bestFit="1" customWidth="1"/>
    <col min="597" max="597" width="13.5703125" bestFit="1" customWidth="1"/>
    <col min="598" max="598" width="12.42578125" bestFit="1" customWidth="1"/>
    <col min="599" max="599" width="12.5703125" bestFit="1" customWidth="1"/>
    <col min="600" max="600" width="15.42578125" bestFit="1" customWidth="1"/>
    <col min="601" max="601" width="15.140625" bestFit="1" customWidth="1"/>
    <col min="602" max="602" width="24.140625" bestFit="1" customWidth="1"/>
    <col min="603" max="603" width="13.5703125" bestFit="1" customWidth="1"/>
    <col min="604" max="604" width="11.5703125" bestFit="1" customWidth="1"/>
    <col min="605" max="605" width="14.42578125" bestFit="1" customWidth="1"/>
    <col min="606" max="606" width="11.85546875" bestFit="1" customWidth="1"/>
    <col min="607" max="607" width="14.5703125" bestFit="1" customWidth="1"/>
    <col min="608" max="608" width="12.5703125" bestFit="1" customWidth="1"/>
    <col min="609" max="609" width="14.42578125" bestFit="1" customWidth="1"/>
    <col min="610" max="610" width="15.85546875" bestFit="1" customWidth="1"/>
    <col min="611" max="611" width="14.140625" bestFit="1" customWidth="1"/>
    <col min="612" max="612" width="12.42578125" bestFit="1" customWidth="1"/>
    <col min="613" max="613" width="9.5703125" bestFit="1" customWidth="1"/>
    <col min="614" max="614" width="14" bestFit="1" customWidth="1"/>
    <col min="615" max="615" width="11.5703125" bestFit="1" customWidth="1"/>
    <col min="616" max="616" width="9.85546875" bestFit="1" customWidth="1"/>
    <col min="617" max="617" width="10.42578125" bestFit="1" customWidth="1"/>
    <col min="618" max="618" width="13.5703125" bestFit="1" customWidth="1"/>
    <col min="619" max="619" width="12.140625" bestFit="1" customWidth="1"/>
    <col min="620" max="620" width="14.140625" bestFit="1" customWidth="1"/>
    <col min="621" max="621" width="12.42578125" bestFit="1" customWidth="1"/>
    <col min="622" max="622" width="19" bestFit="1" customWidth="1"/>
    <col min="623" max="623" width="15.140625" bestFit="1" customWidth="1"/>
    <col min="624" max="624" width="17.42578125" bestFit="1" customWidth="1"/>
    <col min="625" max="625" width="14.5703125" bestFit="1" customWidth="1"/>
    <col min="626" max="626" width="11.5703125" bestFit="1" customWidth="1"/>
    <col min="627" max="627" width="14.42578125" bestFit="1" customWidth="1"/>
    <col min="628" max="628" width="16.42578125" bestFit="1" customWidth="1"/>
    <col min="629" max="629" width="19" bestFit="1" customWidth="1"/>
    <col min="630" max="630" width="17.42578125" bestFit="1" customWidth="1"/>
    <col min="631" max="631" width="18.42578125" bestFit="1" customWidth="1"/>
    <col min="632" max="632" width="15.5703125" bestFit="1" customWidth="1"/>
    <col min="633" max="633" width="25.42578125" bestFit="1" customWidth="1"/>
    <col min="634" max="634" width="18.42578125" bestFit="1" customWidth="1"/>
    <col min="635" max="635" width="17.85546875" bestFit="1" customWidth="1"/>
    <col min="636" max="636" width="20" bestFit="1" customWidth="1"/>
    <col min="637" max="637" width="23.85546875" bestFit="1" customWidth="1"/>
    <col min="638" max="638" width="15.5703125" bestFit="1" customWidth="1"/>
    <col min="639" max="639" width="19" bestFit="1" customWidth="1"/>
    <col min="640" max="641" width="16.5703125" bestFit="1" customWidth="1"/>
    <col min="642" max="642" width="14.5703125" bestFit="1" customWidth="1"/>
    <col min="643" max="643" width="13.5703125" bestFit="1" customWidth="1"/>
    <col min="644" max="644" width="11" bestFit="1" customWidth="1"/>
    <col min="645" max="645" width="11.42578125" bestFit="1" customWidth="1"/>
    <col min="646" max="646" width="13.5703125" bestFit="1" customWidth="1"/>
    <col min="647" max="647" width="9.85546875" bestFit="1" customWidth="1"/>
    <col min="648" max="648" width="14.140625" bestFit="1" customWidth="1"/>
    <col min="649" max="649" width="25.140625" bestFit="1" customWidth="1"/>
    <col min="650" max="650" width="10.5703125" bestFit="1" customWidth="1"/>
    <col min="651" max="652" width="12.5703125" bestFit="1" customWidth="1"/>
    <col min="653" max="653" width="20.5703125" bestFit="1" customWidth="1"/>
    <col min="654" max="654" width="14" bestFit="1" customWidth="1"/>
    <col min="655" max="656" width="11.5703125" bestFit="1" customWidth="1"/>
    <col min="657" max="657" width="12.5703125" bestFit="1" customWidth="1"/>
    <col min="658" max="658" width="20.5703125" bestFit="1" customWidth="1"/>
    <col min="659" max="659" width="10.5703125" bestFit="1" customWidth="1"/>
    <col min="660" max="660" width="13.42578125" bestFit="1" customWidth="1"/>
    <col min="661" max="661" width="11.140625" bestFit="1" customWidth="1"/>
    <col min="662" max="662" width="13.5703125" bestFit="1" customWidth="1"/>
    <col min="663" max="663" width="13.140625" bestFit="1" customWidth="1"/>
    <col min="664" max="664" width="11.85546875" bestFit="1" customWidth="1"/>
    <col min="665" max="665" width="11.42578125" bestFit="1" customWidth="1"/>
    <col min="666" max="667" width="11.5703125" bestFit="1" customWidth="1"/>
    <col min="668" max="668" width="15.5703125" bestFit="1" customWidth="1"/>
    <col min="669" max="669" width="22.5703125" bestFit="1" customWidth="1"/>
    <col min="670" max="670" width="11.140625" bestFit="1" customWidth="1"/>
    <col min="671" max="671" width="12" bestFit="1" customWidth="1"/>
    <col min="672" max="672" width="21.140625" bestFit="1" customWidth="1"/>
    <col min="673" max="673" width="20.85546875" bestFit="1" customWidth="1"/>
    <col min="674" max="674" width="12.140625" bestFit="1" customWidth="1"/>
    <col min="675" max="675" width="10.140625" bestFit="1" customWidth="1"/>
    <col min="676" max="676" width="11.5703125" bestFit="1" customWidth="1"/>
    <col min="677" max="677" width="11.42578125" bestFit="1" customWidth="1"/>
    <col min="678" max="678" width="9.85546875" bestFit="1" customWidth="1"/>
    <col min="679" max="679" width="13.5703125" bestFit="1" customWidth="1"/>
    <col min="680" max="680" width="15.85546875" bestFit="1" customWidth="1"/>
    <col min="681" max="681" width="12" bestFit="1" customWidth="1"/>
    <col min="682" max="682" width="21" bestFit="1" customWidth="1"/>
    <col min="683" max="683" width="10.5703125" bestFit="1" customWidth="1"/>
    <col min="684" max="684" width="13.5703125" bestFit="1" customWidth="1"/>
    <col min="685" max="685" width="10.5703125" bestFit="1" customWidth="1"/>
    <col min="686" max="686" width="15.5703125" bestFit="1" customWidth="1"/>
    <col min="687" max="687" width="14.85546875" bestFit="1" customWidth="1"/>
    <col min="688" max="688" width="15.5703125" bestFit="1" customWidth="1"/>
    <col min="689" max="689" width="23.85546875" bestFit="1" customWidth="1"/>
    <col min="690" max="690" width="12" bestFit="1" customWidth="1"/>
    <col min="691" max="691" width="11.42578125" bestFit="1" customWidth="1"/>
    <col min="692" max="692" width="20.5703125" bestFit="1" customWidth="1"/>
    <col min="693" max="693" width="14.85546875" bestFit="1" customWidth="1"/>
    <col min="694" max="694" width="16" bestFit="1" customWidth="1"/>
    <col min="695" max="695" width="13.5703125" bestFit="1" customWidth="1"/>
    <col min="696" max="696" width="11.42578125" bestFit="1" customWidth="1"/>
    <col min="697" max="697" width="18.42578125" bestFit="1" customWidth="1"/>
    <col min="698" max="698" width="18.140625" bestFit="1" customWidth="1"/>
    <col min="699" max="699" width="12.5703125" bestFit="1" customWidth="1"/>
    <col min="700" max="700" width="14.5703125" bestFit="1" customWidth="1"/>
    <col min="701" max="701" width="12" bestFit="1" customWidth="1"/>
    <col min="702" max="702" width="16.42578125" bestFit="1" customWidth="1"/>
    <col min="703" max="703" width="20.5703125" bestFit="1" customWidth="1"/>
    <col min="704" max="704" width="18.140625" bestFit="1" customWidth="1"/>
    <col min="705" max="705" width="13.5703125" bestFit="1" customWidth="1"/>
    <col min="706" max="706" width="11.42578125" bestFit="1" customWidth="1"/>
    <col min="707" max="707" width="10.42578125" bestFit="1" customWidth="1"/>
    <col min="708" max="708" width="10.5703125" bestFit="1" customWidth="1"/>
    <col min="709" max="709" width="11.42578125" bestFit="1" customWidth="1"/>
    <col min="710" max="710" width="23.85546875" bestFit="1" customWidth="1"/>
    <col min="711" max="711" width="12.42578125" bestFit="1" customWidth="1"/>
    <col min="712" max="712" width="13.42578125" bestFit="1" customWidth="1"/>
    <col min="713" max="713" width="13.5703125" bestFit="1" customWidth="1"/>
    <col min="714" max="714" width="10.85546875" bestFit="1" customWidth="1"/>
    <col min="715" max="715" width="18.42578125" bestFit="1" customWidth="1"/>
    <col min="716" max="716" width="15.42578125" bestFit="1" customWidth="1"/>
    <col min="717" max="717" width="11.140625" bestFit="1" customWidth="1"/>
    <col min="718" max="718" width="15.42578125" bestFit="1" customWidth="1"/>
    <col min="719" max="719" width="16.5703125" bestFit="1" customWidth="1"/>
    <col min="720" max="721" width="12.5703125" bestFit="1" customWidth="1"/>
    <col min="722" max="722" width="30.42578125" bestFit="1" customWidth="1"/>
    <col min="723" max="723" width="14.85546875" bestFit="1" customWidth="1"/>
    <col min="724" max="724" width="12.85546875" bestFit="1" customWidth="1"/>
    <col min="725" max="725" width="12.42578125" bestFit="1" customWidth="1"/>
    <col min="726" max="726" width="14.5703125" bestFit="1" customWidth="1"/>
    <col min="727" max="727" width="12.140625" bestFit="1" customWidth="1"/>
    <col min="728" max="728" width="12.85546875" bestFit="1" customWidth="1"/>
    <col min="729" max="729" width="10.5703125" bestFit="1" customWidth="1"/>
    <col min="730" max="730" width="20.85546875" bestFit="1" customWidth="1"/>
    <col min="731" max="731" width="11.42578125" bestFit="1" customWidth="1"/>
    <col min="732" max="732" width="16.5703125" bestFit="1" customWidth="1"/>
    <col min="733" max="733" width="14.85546875" bestFit="1" customWidth="1"/>
    <col min="734" max="734" width="18.42578125" bestFit="1" customWidth="1"/>
    <col min="735" max="735" width="18.140625" bestFit="1" customWidth="1"/>
    <col min="736" max="736" width="14.42578125" bestFit="1" customWidth="1"/>
    <col min="737" max="737" width="10.140625" bestFit="1" customWidth="1"/>
    <col min="738" max="738" width="14.42578125" bestFit="1" customWidth="1"/>
    <col min="739" max="739" width="17.5703125" bestFit="1" customWidth="1"/>
    <col min="740" max="740" width="12.5703125" bestFit="1" customWidth="1"/>
    <col min="741" max="741" width="16.5703125" bestFit="1" customWidth="1"/>
    <col min="742" max="742" width="14" bestFit="1" customWidth="1"/>
    <col min="743" max="743" width="12.85546875" bestFit="1" customWidth="1"/>
    <col min="744" max="744" width="12" bestFit="1" customWidth="1"/>
    <col min="745" max="745" width="16.42578125" bestFit="1" customWidth="1"/>
    <col min="746" max="746" width="14.42578125" bestFit="1" customWidth="1"/>
    <col min="747" max="747" width="13.42578125" bestFit="1" customWidth="1"/>
    <col min="748" max="748" width="15.42578125" bestFit="1" customWidth="1"/>
    <col min="749" max="749" width="15.140625" bestFit="1" customWidth="1"/>
    <col min="750" max="750" width="14" bestFit="1" customWidth="1"/>
    <col min="751" max="751" width="13.42578125" bestFit="1" customWidth="1"/>
    <col min="752" max="752" width="15.140625" bestFit="1" customWidth="1"/>
    <col min="753" max="753" width="12.85546875" bestFit="1" customWidth="1"/>
    <col min="754" max="754" width="18.42578125" bestFit="1" customWidth="1"/>
    <col min="755" max="755" width="14.85546875" bestFit="1" customWidth="1"/>
    <col min="756" max="756" width="20.5703125" bestFit="1" customWidth="1"/>
    <col min="757" max="757" width="14.5703125" bestFit="1" customWidth="1"/>
    <col min="758" max="758" width="20.42578125" bestFit="1" customWidth="1"/>
    <col min="759" max="759" width="15.140625" bestFit="1" customWidth="1"/>
    <col min="760" max="760" width="17.5703125" bestFit="1" customWidth="1"/>
    <col min="761" max="761" width="17.85546875" bestFit="1" customWidth="1"/>
    <col min="762" max="762" width="12.85546875" bestFit="1" customWidth="1"/>
    <col min="763" max="763" width="15.42578125" bestFit="1" customWidth="1"/>
    <col min="764" max="764" width="11.85546875" bestFit="1" customWidth="1"/>
    <col min="765" max="765" width="14.5703125" bestFit="1" customWidth="1"/>
    <col min="766" max="766" width="24.5703125" bestFit="1" customWidth="1"/>
    <col min="767" max="767" width="14.140625" bestFit="1" customWidth="1"/>
    <col min="768" max="768" width="14.85546875" bestFit="1" customWidth="1"/>
    <col min="769" max="769" width="13.140625" bestFit="1" customWidth="1"/>
    <col min="770" max="770" width="18.85546875" bestFit="1" customWidth="1"/>
    <col min="771" max="771" width="12.5703125" bestFit="1" customWidth="1"/>
    <col min="772" max="772" width="21" bestFit="1" customWidth="1"/>
    <col min="773" max="773" width="16" bestFit="1" customWidth="1"/>
    <col min="774" max="774" width="17.85546875" bestFit="1" customWidth="1"/>
    <col min="775" max="777" width="13.5703125" bestFit="1" customWidth="1"/>
    <col min="778" max="778" width="15.5703125" bestFit="1" customWidth="1"/>
    <col min="779" max="779" width="15.140625" bestFit="1" customWidth="1"/>
    <col min="780" max="780" width="16.140625" bestFit="1" customWidth="1"/>
    <col min="781" max="781" width="9.5703125" bestFit="1" customWidth="1"/>
    <col min="782" max="782" width="12.85546875" bestFit="1" customWidth="1"/>
    <col min="783" max="783" width="12.42578125" bestFit="1" customWidth="1"/>
    <col min="784" max="784" width="12.5703125" bestFit="1" customWidth="1"/>
    <col min="785" max="785" width="12.42578125" bestFit="1" customWidth="1"/>
    <col min="786" max="786" width="9.5703125" bestFit="1" customWidth="1"/>
    <col min="787" max="787" width="10.85546875" bestFit="1" customWidth="1"/>
    <col min="788" max="788" width="14.42578125" bestFit="1" customWidth="1"/>
    <col min="789" max="789" width="12" bestFit="1" customWidth="1"/>
    <col min="790" max="790" width="10.85546875" bestFit="1" customWidth="1"/>
    <col min="791" max="791" width="12.140625" bestFit="1" customWidth="1"/>
    <col min="792" max="792" width="14.5703125" bestFit="1" customWidth="1"/>
    <col min="793" max="793" width="15.5703125" bestFit="1" customWidth="1"/>
    <col min="794" max="795" width="13.5703125" bestFit="1" customWidth="1"/>
    <col min="796" max="796" width="14.5703125" bestFit="1" customWidth="1"/>
    <col min="797" max="797" width="13.42578125" bestFit="1" customWidth="1"/>
    <col min="798" max="798" width="16.5703125" bestFit="1" customWidth="1"/>
    <col min="799" max="799" width="14.140625" bestFit="1" customWidth="1"/>
    <col min="800" max="800" width="15.42578125" bestFit="1" customWidth="1"/>
    <col min="801" max="801" width="13.5703125" bestFit="1" customWidth="1"/>
    <col min="802" max="802" width="14.85546875" bestFit="1" customWidth="1"/>
    <col min="803" max="803" width="11.42578125" bestFit="1" customWidth="1"/>
    <col min="804" max="804" width="19.140625" bestFit="1" customWidth="1"/>
    <col min="805" max="805" width="14.5703125" bestFit="1" customWidth="1"/>
    <col min="806" max="806" width="13.42578125" bestFit="1" customWidth="1"/>
    <col min="807" max="807" width="11.5703125" bestFit="1" customWidth="1"/>
    <col min="808" max="808" width="15.42578125" bestFit="1" customWidth="1"/>
    <col min="809" max="809" width="10.85546875" bestFit="1" customWidth="1"/>
    <col min="810" max="810" width="11.42578125" bestFit="1" customWidth="1"/>
    <col min="811" max="812" width="10.140625" bestFit="1" customWidth="1"/>
    <col min="813" max="813" width="13.42578125" bestFit="1" customWidth="1"/>
    <col min="814" max="814" width="11.85546875" bestFit="1" customWidth="1"/>
    <col min="815" max="815" width="15" bestFit="1" customWidth="1"/>
    <col min="816" max="816" width="11.5703125" bestFit="1" customWidth="1"/>
    <col min="817" max="817" width="17.42578125" bestFit="1" customWidth="1"/>
    <col min="818" max="818" width="11.5703125" bestFit="1" customWidth="1"/>
    <col min="819" max="819" width="12.5703125" bestFit="1" customWidth="1"/>
    <col min="820" max="820" width="13.42578125" bestFit="1" customWidth="1"/>
    <col min="821" max="821" width="11.42578125" bestFit="1" customWidth="1"/>
    <col min="822" max="822" width="25.85546875" bestFit="1" customWidth="1"/>
    <col min="823" max="823" width="12.5703125" bestFit="1" customWidth="1"/>
    <col min="824" max="824" width="11.5703125" bestFit="1" customWidth="1"/>
    <col min="825" max="825" width="17.42578125" bestFit="1" customWidth="1"/>
    <col min="826" max="826" width="17.85546875" bestFit="1" customWidth="1"/>
    <col min="827" max="827" width="13.5703125" bestFit="1" customWidth="1"/>
    <col min="828" max="828" width="14.5703125" bestFit="1" customWidth="1"/>
    <col min="829" max="829" width="14.42578125" bestFit="1" customWidth="1"/>
    <col min="830" max="830" width="21.140625" bestFit="1" customWidth="1"/>
    <col min="831" max="831" width="11.5703125" bestFit="1" customWidth="1"/>
    <col min="832" max="832" width="19.85546875" bestFit="1" customWidth="1"/>
    <col min="833" max="833" width="13.140625" bestFit="1" customWidth="1"/>
    <col min="834" max="834" width="14" bestFit="1" customWidth="1"/>
    <col min="835" max="835" width="15.5703125" bestFit="1" customWidth="1"/>
    <col min="836" max="836" width="14.42578125" bestFit="1" customWidth="1"/>
    <col min="837" max="837" width="9" bestFit="1" customWidth="1"/>
    <col min="838" max="838" width="11.85546875" bestFit="1" customWidth="1"/>
    <col min="839" max="839" width="11.140625" bestFit="1" customWidth="1"/>
    <col min="840" max="840" width="11.42578125" bestFit="1" customWidth="1"/>
    <col min="841" max="841" width="9.42578125" bestFit="1" customWidth="1"/>
    <col min="842" max="842" width="13.5703125" bestFit="1" customWidth="1"/>
    <col min="843" max="843" width="11" bestFit="1" customWidth="1"/>
    <col min="844" max="845" width="12" bestFit="1" customWidth="1"/>
  </cols>
  <sheetData>
    <row r="3" spans="1:10" x14ac:dyDescent="0.2">
      <c r="A3" s="355" t="s">
        <v>2409</v>
      </c>
      <c r="B3" s="648" t="s">
        <v>2580</v>
      </c>
      <c r="C3" t="s">
        <v>2581</v>
      </c>
      <c r="D3" t="s">
        <v>2582</v>
      </c>
      <c r="G3" s="355" t="s">
        <v>2409</v>
      </c>
      <c r="H3" s="649" t="s">
        <v>2580</v>
      </c>
      <c r="I3" s="108" t="s">
        <v>2581</v>
      </c>
      <c r="J3" t="s">
        <v>2582</v>
      </c>
    </row>
    <row r="4" spans="1:10" x14ac:dyDescent="0.2">
      <c r="A4" s="105" t="s">
        <v>2457</v>
      </c>
      <c r="B4" s="648">
        <v>14947.889999999998</v>
      </c>
      <c r="C4">
        <v>2</v>
      </c>
      <c r="D4">
        <f>GETPIVOTDATA("Sum of Annual Value 23-24",$A$3,"School","Alder Grove CofE Primary School")/GETPIVOTDATA("Count of Name",$A$3,"School","Alder Grove CofE Primary School")</f>
        <v>7473.9449999999988</v>
      </c>
      <c r="G4" s="105" t="s">
        <v>2457</v>
      </c>
      <c r="H4" s="648">
        <v>14947.889999999998</v>
      </c>
      <c r="I4" s="108">
        <v>2</v>
      </c>
    </row>
    <row r="5" spans="1:10" x14ac:dyDescent="0.2">
      <c r="A5" s="105" t="s">
        <v>33</v>
      </c>
      <c r="B5" s="648">
        <v>100526.31</v>
      </c>
      <c r="C5">
        <v>16</v>
      </c>
      <c r="D5">
        <f>GETPIVOTDATA("Sum of Annual Value 23-24",$A$3,"School","Aldryngton Primary")/GETPIVOTDATA("Count of Name",$A$3,"School","Aldryngton Primary")</f>
        <v>6282.8943749999999</v>
      </c>
      <c r="G5" s="105" t="s">
        <v>33</v>
      </c>
      <c r="H5" s="648">
        <v>100526.31</v>
      </c>
      <c r="I5" s="108">
        <v>16</v>
      </c>
    </row>
    <row r="6" spans="1:10" x14ac:dyDescent="0.2">
      <c r="A6" s="105" t="s">
        <v>76</v>
      </c>
      <c r="B6" s="648">
        <v>99046.900000000009</v>
      </c>
      <c r="C6">
        <v>13</v>
      </c>
      <c r="D6">
        <f>GETPIVOTDATA("Sum of Annual Value 23-24",$A$3,"School","All Saints Primary")/GETPIVOTDATA("Count of Name",$A$3,"School","All Saints Primary")</f>
        <v>7618.9923076923087</v>
      </c>
      <c r="G6" s="105" t="s">
        <v>76</v>
      </c>
      <c r="H6" s="648">
        <v>99046.900000000009</v>
      </c>
      <c r="I6" s="108">
        <v>13</v>
      </c>
    </row>
    <row r="7" spans="1:10" x14ac:dyDescent="0.2">
      <c r="A7" s="105" t="s">
        <v>1875</v>
      </c>
      <c r="C7">
        <v>1</v>
      </c>
      <c r="D7">
        <f t="shared" ref="D7:D10" si="0">GETPIVOTDATA("Sum of Annual Value 23-24",$A$3,"School","Aldryngton Primary")/GETPIVOTDATA("Count of Name",$A$3,"School","Aldryngton Primary")</f>
        <v>6282.8943749999999</v>
      </c>
      <c r="G7" s="105" t="s">
        <v>1875</v>
      </c>
      <c r="H7" s="648"/>
      <c r="I7" s="108">
        <v>1</v>
      </c>
    </row>
    <row r="8" spans="1:10" x14ac:dyDescent="0.2">
      <c r="A8" s="105" t="s">
        <v>114</v>
      </c>
      <c r="B8" s="648">
        <v>21385.919999999998</v>
      </c>
      <c r="C8">
        <v>5</v>
      </c>
      <c r="D8">
        <f t="shared" si="0"/>
        <v>6282.8943749999999</v>
      </c>
      <c r="G8" s="105" t="s">
        <v>114</v>
      </c>
      <c r="H8" s="648">
        <v>21385.919999999998</v>
      </c>
      <c r="I8" s="108">
        <v>5</v>
      </c>
    </row>
    <row r="9" spans="1:10" x14ac:dyDescent="0.2">
      <c r="A9" s="105" t="s">
        <v>124</v>
      </c>
      <c r="B9" s="648">
        <v>89930.659999999974</v>
      </c>
      <c r="C9">
        <v>15</v>
      </c>
      <c r="D9">
        <f t="shared" si="0"/>
        <v>6282.8943749999999</v>
      </c>
      <c r="G9" s="105" t="s">
        <v>124</v>
      </c>
      <c r="H9" s="648">
        <v>89930.659999999974</v>
      </c>
      <c r="I9" s="108">
        <v>15</v>
      </c>
    </row>
    <row r="10" spans="1:10" x14ac:dyDescent="0.2">
      <c r="A10" s="105" t="s">
        <v>158</v>
      </c>
      <c r="B10" s="648">
        <v>274978.18999999994</v>
      </c>
      <c r="C10">
        <v>34</v>
      </c>
      <c r="D10">
        <f t="shared" si="0"/>
        <v>6282.8943749999999</v>
      </c>
      <c r="G10" s="105" t="s">
        <v>158</v>
      </c>
      <c r="H10" s="648">
        <v>274978.18999999994</v>
      </c>
      <c r="I10" s="108">
        <v>34</v>
      </c>
    </row>
    <row r="11" spans="1:10" x14ac:dyDescent="0.2">
      <c r="A11" s="105" t="s">
        <v>2412</v>
      </c>
      <c r="B11" s="648">
        <v>8183.0999999999985</v>
      </c>
      <c r="C11">
        <v>1</v>
      </c>
      <c r="D11">
        <f t="shared" ref="D11:D68" si="1">SUM(GETPIVOTDATA("Sum of Annual Value 23-24",$A$3,"School","Alder Grove CofE Primary School"))/GETPIVOTDATA("Count of Name",$A$3,"School","Alder Grove CofE Primary School")</f>
        <v>7473.9449999999988</v>
      </c>
      <c r="G11" s="105" t="s">
        <v>2412</v>
      </c>
      <c r="H11" s="648">
        <v>8183.0999999999985</v>
      </c>
      <c r="I11" s="108">
        <v>1</v>
      </c>
    </row>
    <row r="12" spans="1:10" x14ac:dyDescent="0.2">
      <c r="A12" s="105" t="s">
        <v>239</v>
      </c>
      <c r="B12" s="648">
        <v>179100.83000000005</v>
      </c>
      <c r="C12">
        <v>27</v>
      </c>
      <c r="D12">
        <f t="shared" si="1"/>
        <v>7473.9449999999988</v>
      </c>
      <c r="G12" s="105" t="s">
        <v>239</v>
      </c>
      <c r="H12" s="648">
        <v>179100.83000000005</v>
      </c>
      <c r="I12" s="108">
        <v>27</v>
      </c>
    </row>
    <row r="13" spans="1:10" x14ac:dyDescent="0.2">
      <c r="A13" s="105" t="s">
        <v>1866</v>
      </c>
      <c r="C13">
        <v>1</v>
      </c>
      <c r="D13">
        <f t="shared" si="1"/>
        <v>7473.9449999999988</v>
      </c>
      <c r="G13" s="105" t="s">
        <v>1866</v>
      </c>
      <c r="H13" s="648"/>
      <c r="I13" s="108">
        <v>1</v>
      </c>
    </row>
    <row r="14" spans="1:10" x14ac:dyDescent="0.2">
      <c r="A14" s="105" t="s">
        <v>304</v>
      </c>
      <c r="B14" s="648">
        <v>124217.16</v>
      </c>
      <c r="C14">
        <v>14</v>
      </c>
      <c r="D14">
        <f t="shared" si="1"/>
        <v>7473.9449999999988</v>
      </c>
      <c r="G14" s="105" t="s">
        <v>304</v>
      </c>
      <c r="H14" s="648">
        <v>124217.16</v>
      </c>
      <c r="I14" s="108">
        <v>14</v>
      </c>
    </row>
    <row r="15" spans="1:10" x14ac:dyDescent="0.2">
      <c r="A15" s="105" t="s">
        <v>331</v>
      </c>
      <c r="B15" s="648">
        <v>102413.23000000001</v>
      </c>
      <c r="C15">
        <v>14</v>
      </c>
      <c r="D15">
        <f t="shared" si="1"/>
        <v>7473.9449999999988</v>
      </c>
      <c r="G15" s="105" t="s">
        <v>331</v>
      </c>
      <c r="H15" s="648">
        <v>102413.23000000001</v>
      </c>
      <c r="I15" s="108">
        <v>14</v>
      </c>
    </row>
    <row r="16" spans="1:10" x14ac:dyDescent="0.2">
      <c r="A16" s="105" t="s">
        <v>358</v>
      </c>
      <c r="B16" s="648">
        <v>21712.679999999997</v>
      </c>
      <c r="C16">
        <v>4</v>
      </c>
      <c r="D16">
        <f t="shared" si="1"/>
        <v>7473.9449999999988</v>
      </c>
      <c r="G16" s="105" t="s">
        <v>358</v>
      </c>
      <c r="H16" s="648">
        <v>21712.679999999997</v>
      </c>
      <c r="I16" s="108">
        <v>4</v>
      </c>
    </row>
    <row r="17" spans="1:9" x14ac:dyDescent="0.2">
      <c r="A17" s="105" t="s">
        <v>1867</v>
      </c>
      <c r="C17">
        <v>1</v>
      </c>
      <c r="D17">
        <f t="shared" si="1"/>
        <v>7473.9449999999988</v>
      </c>
      <c r="G17" s="105" t="s">
        <v>1867</v>
      </c>
      <c r="H17" s="648"/>
      <c r="I17" s="108">
        <v>1</v>
      </c>
    </row>
    <row r="18" spans="1:9" x14ac:dyDescent="0.2">
      <c r="A18" s="105" t="s">
        <v>367</v>
      </c>
      <c r="B18" s="648">
        <v>70910.34</v>
      </c>
      <c r="C18">
        <v>11</v>
      </c>
      <c r="D18">
        <f t="shared" si="1"/>
        <v>7473.9449999999988</v>
      </c>
      <c r="G18" s="105" t="s">
        <v>367</v>
      </c>
      <c r="H18" s="648">
        <v>70910.34</v>
      </c>
      <c r="I18" s="108">
        <v>11</v>
      </c>
    </row>
    <row r="19" spans="1:9" x14ac:dyDescent="0.2">
      <c r="A19" s="105" t="s">
        <v>391</v>
      </c>
      <c r="B19" s="648">
        <v>194731.55</v>
      </c>
      <c r="C19">
        <v>7</v>
      </c>
      <c r="D19">
        <f t="shared" si="1"/>
        <v>7473.9449999999988</v>
      </c>
      <c r="G19" s="105" t="s">
        <v>391</v>
      </c>
      <c r="H19" s="648">
        <v>194731.55</v>
      </c>
      <c r="I19" s="108">
        <v>7</v>
      </c>
    </row>
    <row r="20" spans="1:9" x14ac:dyDescent="0.2">
      <c r="A20" s="105" t="s">
        <v>401</v>
      </c>
      <c r="B20" s="648">
        <v>130187.84999999999</v>
      </c>
      <c r="C20">
        <v>18</v>
      </c>
      <c r="D20">
        <f t="shared" si="1"/>
        <v>7473.9449999999988</v>
      </c>
      <c r="G20" s="105" t="s">
        <v>401</v>
      </c>
      <c r="H20" s="648">
        <v>130187.84999999999</v>
      </c>
      <c r="I20" s="108">
        <v>18</v>
      </c>
    </row>
    <row r="21" spans="1:9" x14ac:dyDescent="0.2">
      <c r="A21" s="105" t="s">
        <v>422</v>
      </c>
      <c r="B21" s="648">
        <v>233795.34000000003</v>
      </c>
      <c r="C21">
        <v>32</v>
      </c>
      <c r="D21">
        <f t="shared" si="1"/>
        <v>7473.9449999999988</v>
      </c>
      <c r="G21" s="105" t="s">
        <v>422</v>
      </c>
      <c r="H21" s="648">
        <v>233795.34000000003</v>
      </c>
      <c r="I21" s="108">
        <v>32</v>
      </c>
    </row>
    <row r="22" spans="1:9" x14ac:dyDescent="0.2">
      <c r="A22" s="105" t="s">
        <v>2553</v>
      </c>
      <c r="B22" s="648">
        <v>20767.139999999996</v>
      </c>
      <c r="C22">
        <v>3</v>
      </c>
      <c r="D22">
        <f t="shared" si="1"/>
        <v>7473.9449999999988</v>
      </c>
      <c r="G22" s="105" t="s">
        <v>2553</v>
      </c>
      <c r="H22" s="648">
        <v>20767.139999999996</v>
      </c>
      <c r="I22" s="108">
        <v>3</v>
      </c>
    </row>
    <row r="23" spans="1:9" x14ac:dyDescent="0.2">
      <c r="A23" s="105" t="s">
        <v>454</v>
      </c>
      <c r="B23" s="648">
        <v>289386.17</v>
      </c>
      <c r="C23">
        <v>49</v>
      </c>
      <c r="D23">
        <f t="shared" si="1"/>
        <v>7473.9449999999988</v>
      </c>
      <c r="G23" s="105" t="s">
        <v>454</v>
      </c>
      <c r="H23" s="648">
        <v>289386.17</v>
      </c>
      <c r="I23" s="108">
        <v>49</v>
      </c>
    </row>
    <row r="24" spans="1:9" x14ac:dyDescent="0.2">
      <c r="A24" s="105" t="s">
        <v>550</v>
      </c>
      <c r="B24" s="648">
        <v>194819.43000000005</v>
      </c>
      <c r="C24">
        <v>25</v>
      </c>
      <c r="D24">
        <f t="shared" si="1"/>
        <v>7473.9449999999988</v>
      </c>
      <c r="G24" s="105" t="s">
        <v>550</v>
      </c>
      <c r="H24" s="648">
        <v>194819.43000000005</v>
      </c>
      <c r="I24" s="108">
        <v>25</v>
      </c>
    </row>
    <row r="25" spans="1:9" x14ac:dyDescent="0.2">
      <c r="A25" s="105" t="s">
        <v>602</v>
      </c>
      <c r="B25" s="648">
        <v>52880.759999999995</v>
      </c>
      <c r="C25">
        <v>7</v>
      </c>
      <c r="D25">
        <f t="shared" si="1"/>
        <v>7473.9449999999988</v>
      </c>
      <c r="G25" s="105" t="s">
        <v>602</v>
      </c>
      <c r="H25" s="648">
        <v>52880.759999999995</v>
      </c>
      <c r="I25" s="108">
        <v>7</v>
      </c>
    </row>
    <row r="26" spans="1:9" x14ac:dyDescent="0.2">
      <c r="A26" s="105" t="s">
        <v>611</v>
      </c>
      <c r="B26" s="648">
        <v>4361</v>
      </c>
      <c r="C26">
        <v>2</v>
      </c>
      <c r="D26">
        <f t="shared" si="1"/>
        <v>7473.9449999999988</v>
      </c>
      <c r="G26" s="105" t="s">
        <v>611</v>
      </c>
      <c r="H26" s="648">
        <v>4361</v>
      </c>
      <c r="I26" s="108">
        <v>2</v>
      </c>
    </row>
    <row r="27" spans="1:9" x14ac:dyDescent="0.2">
      <c r="A27" s="105" t="s">
        <v>615</v>
      </c>
      <c r="B27" s="648">
        <v>119056.73999999999</v>
      </c>
      <c r="C27">
        <v>17</v>
      </c>
      <c r="D27">
        <f t="shared" si="1"/>
        <v>7473.9449999999988</v>
      </c>
      <c r="G27" s="105" t="s">
        <v>615</v>
      </c>
      <c r="H27" s="648">
        <v>119056.73999999999</v>
      </c>
      <c r="I27" s="108">
        <v>17</v>
      </c>
    </row>
    <row r="28" spans="1:9" x14ac:dyDescent="0.2">
      <c r="A28" s="105" t="s">
        <v>648</v>
      </c>
      <c r="B28" s="648">
        <v>110111.13000000003</v>
      </c>
      <c r="C28">
        <v>14</v>
      </c>
      <c r="D28">
        <f t="shared" si="1"/>
        <v>7473.9449999999988</v>
      </c>
      <c r="G28" s="105" t="s">
        <v>648</v>
      </c>
      <c r="H28" s="648">
        <v>110111.13000000003</v>
      </c>
      <c r="I28" s="108">
        <v>14</v>
      </c>
    </row>
    <row r="29" spans="1:9" x14ac:dyDescent="0.2">
      <c r="A29" s="105" t="s">
        <v>675</v>
      </c>
      <c r="B29" s="648">
        <v>41304.409999999996</v>
      </c>
      <c r="C29">
        <v>6</v>
      </c>
      <c r="D29">
        <f t="shared" si="1"/>
        <v>7473.9449999999988</v>
      </c>
      <c r="G29" s="105" t="s">
        <v>675</v>
      </c>
      <c r="H29" s="648">
        <v>41304.409999999996</v>
      </c>
      <c r="I29" s="108">
        <v>6</v>
      </c>
    </row>
    <row r="30" spans="1:9" x14ac:dyDescent="0.2">
      <c r="A30" s="105" t="s">
        <v>686</v>
      </c>
      <c r="B30" s="648">
        <v>60627.26</v>
      </c>
      <c r="C30">
        <v>10</v>
      </c>
      <c r="D30">
        <f t="shared" si="1"/>
        <v>7473.9449999999988</v>
      </c>
      <c r="G30" s="105" t="s">
        <v>686</v>
      </c>
      <c r="H30" s="648">
        <v>60627.26</v>
      </c>
      <c r="I30" s="108">
        <v>10</v>
      </c>
    </row>
    <row r="31" spans="1:9" x14ac:dyDescent="0.2">
      <c r="A31" s="105" t="s">
        <v>700</v>
      </c>
      <c r="B31" s="648">
        <v>31503.009999999995</v>
      </c>
      <c r="C31">
        <v>6</v>
      </c>
      <c r="D31">
        <f t="shared" si="1"/>
        <v>7473.9449999999988</v>
      </c>
      <c r="G31" s="105" t="s">
        <v>700</v>
      </c>
      <c r="H31" s="648">
        <v>31503.009999999995</v>
      </c>
      <c r="I31" s="108">
        <v>6</v>
      </c>
    </row>
    <row r="32" spans="1:9" x14ac:dyDescent="0.2">
      <c r="A32" s="105" t="s">
        <v>712</v>
      </c>
      <c r="B32" s="648">
        <v>38078.879999999997</v>
      </c>
      <c r="C32">
        <v>6</v>
      </c>
      <c r="D32">
        <f t="shared" si="1"/>
        <v>7473.9449999999988</v>
      </c>
      <c r="G32" s="105" t="s">
        <v>712</v>
      </c>
      <c r="H32" s="648">
        <v>38078.879999999997</v>
      </c>
      <c r="I32" s="108">
        <v>6</v>
      </c>
    </row>
    <row r="33" spans="1:9" x14ac:dyDescent="0.2">
      <c r="A33" s="105" t="s">
        <v>724</v>
      </c>
      <c r="B33" s="648">
        <v>129149.67000000001</v>
      </c>
      <c r="C33">
        <v>17</v>
      </c>
      <c r="D33">
        <f t="shared" si="1"/>
        <v>7473.9449999999988</v>
      </c>
      <c r="G33" s="105" t="s">
        <v>724</v>
      </c>
      <c r="H33" s="648">
        <v>129149.67000000001</v>
      </c>
      <c r="I33" s="108">
        <v>17</v>
      </c>
    </row>
    <row r="34" spans="1:9" x14ac:dyDescent="0.2">
      <c r="A34" s="105" t="s">
        <v>762</v>
      </c>
      <c r="B34" s="648">
        <v>73359.679999999993</v>
      </c>
      <c r="C34">
        <v>13</v>
      </c>
      <c r="D34">
        <f t="shared" si="1"/>
        <v>7473.9449999999988</v>
      </c>
      <c r="G34" s="105" t="s">
        <v>762</v>
      </c>
      <c r="H34" s="648">
        <v>73359.679999999993</v>
      </c>
      <c r="I34" s="108">
        <v>13</v>
      </c>
    </row>
    <row r="35" spans="1:9" x14ac:dyDescent="0.2">
      <c r="A35" s="105" t="s">
        <v>791</v>
      </c>
      <c r="B35" s="648">
        <v>268797.69</v>
      </c>
      <c r="C35">
        <v>27</v>
      </c>
      <c r="D35">
        <f t="shared" si="1"/>
        <v>7473.9449999999988</v>
      </c>
      <c r="G35" s="105" t="s">
        <v>791</v>
      </c>
      <c r="H35" s="648">
        <v>268797.69</v>
      </c>
      <c r="I35" s="108">
        <v>27</v>
      </c>
    </row>
    <row r="36" spans="1:9" x14ac:dyDescent="0.2">
      <c r="A36" s="105" t="s">
        <v>852</v>
      </c>
      <c r="B36" s="648">
        <v>110719.16999999998</v>
      </c>
      <c r="C36">
        <v>13</v>
      </c>
      <c r="D36">
        <f t="shared" si="1"/>
        <v>7473.9449999999988</v>
      </c>
      <c r="G36" s="105" t="s">
        <v>852</v>
      </c>
      <c r="H36" s="648">
        <v>110719.16999999998</v>
      </c>
      <c r="I36" s="108">
        <v>13</v>
      </c>
    </row>
    <row r="37" spans="1:9" x14ac:dyDescent="0.2">
      <c r="A37" s="105" t="s">
        <v>884</v>
      </c>
      <c r="B37" s="648">
        <v>47499.539999999994</v>
      </c>
      <c r="C37">
        <v>9</v>
      </c>
      <c r="D37">
        <f t="shared" si="1"/>
        <v>7473.9449999999988</v>
      </c>
      <c r="G37" s="105" t="s">
        <v>884</v>
      </c>
      <c r="H37" s="648">
        <v>47499.539999999994</v>
      </c>
      <c r="I37" s="108">
        <v>9</v>
      </c>
    </row>
    <row r="38" spans="1:9" x14ac:dyDescent="0.2">
      <c r="A38" s="105" t="s">
        <v>1872</v>
      </c>
      <c r="C38">
        <v>1</v>
      </c>
      <c r="D38">
        <f t="shared" si="1"/>
        <v>7473.9449999999988</v>
      </c>
      <c r="G38" s="105" t="s">
        <v>1872</v>
      </c>
      <c r="H38" s="648"/>
      <c r="I38" s="108">
        <v>1</v>
      </c>
    </row>
    <row r="39" spans="1:9" x14ac:dyDescent="0.2">
      <c r="A39" s="105" t="s">
        <v>903</v>
      </c>
      <c r="B39" s="648">
        <v>150625.59999999998</v>
      </c>
      <c r="C39">
        <v>21</v>
      </c>
      <c r="D39">
        <f t="shared" si="1"/>
        <v>7473.9449999999988</v>
      </c>
      <c r="G39" s="105" t="s">
        <v>903</v>
      </c>
      <c r="H39" s="648">
        <v>150625.59999999998</v>
      </c>
      <c r="I39" s="108">
        <v>21</v>
      </c>
    </row>
    <row r="40" spans="1:9" x14ac:dyDescent="0.2">
      <c r="A40" s="105" t="s">
        <v>945</v>
      </c>
      <c r="B40" s="648">
        <v>111051.66</v>
      </c>
      <c r="C40">
        <v>14</v>
      </c>
      <c r="D40">
        <f t="shared" si="1"/>
        <v>7473.9449999999988</v>
      </c>
      <c r="G40" s="105" t="s">
        <v>945</v>
      </c>
      <c r="H40" s="648">
        <v>111051.66</v>
      </c>
      <c r="I40" s="108">
        <v>14</v>
      </c>
    </row>
    <row r="41" spans="1:9" x14ac:dyDescent="0.2">
      <c r="A41" s="105" t="s">
        <v>975</v>
      </c>
      <c r="B41" s="648">
        <v>66737.899999999994</v>
      </c>
      <c r="C41">
        <v>10</v>
      </c>
      <c r="D41">
        <f t="shared" si="1"/>
        <v>7473.9449999999988</v>
      </c>
      <c r="G41" s="105" t="s">
        <v>975</v>
      </c>
      <c r="H41" s="648">
        <v>66737.899999999994</v>
      </c>
      <c r="I41" s="108">
        <v>10</v>
      </c>
    </row>
    <row r="42" spans="1:9" x14ac:dyDescent="0.2">
      <c r="A42" s="105" t="s">
        <v>988</v>
      </c>
      <c r="B42" s="648">
        <v>1009822.35</v>
      </c>
      <c r="C42">
        <v>73</v>
      </c>
      <c r="D42">
        <f t="shared" si="1"/>
        <v>7473.9449999999988</v>
      </c>
      <c r="G42" s="105" t="s">
        <v>988</v>
      </c>
      <c r="H42" s="648">
        <v>1009822.35</v>
      </c>
      <c r="I42" s="108">
        <v>73</v>
      </c>
    </row>
    <row r="43" spans="1:9" x14ac:dyDescent="0.2">
      <c r="A43" s="105" t="s">
        <v>1150</v>
      </c>
      <c r="B43" s="648">
        <v>64611.839999999997</v>
      </c>
      <c r="C43">
        <v>9</v>
      </c>
      <c r="D43">
        <f t="shared" si="1"/>
        <v>7473.9449999999988</v>
      </c>
      <c r="G43" s="105" t="s">
        <v>1150</v>
      </c>
      <c r="H43" s="648">
        <v>64611.839999999997</v>
      </c>
      <c r="I43" s="108">
        <v>9</v>
      </c>
    </row>
    <row r="44" spans="1:9" x14ac:dyDescent="0.2">
      <c r="A44" s="105" t="s">
        <v>1162</v>
      </c>
      <c r="B44" s="648">
        <v>97508.34</v>
      </c>
      <c r="C44">
        <v>18</v>
      </c>
      <c r="D44">
        <f t="shared" si="1"/>
        <v>7473.9449999999988</v>
      </c>
      <c r="G44" s="105" t="s">
        <v>1162</v>
      </c>
      <c r="H44" s="648">
        <v>97508.34</v>
      </c>
      <c r="I44" s="108">
        <v>18</v>
      </c>
    </row>
    <row r="45" spans="1:9" x14ac:dyDescent="0.2">
      <c r="A45" s="105" t="s">
        <v>1196</v>
      </c>
      <c r="B45" s="648">
        <v>19566.479999999996</v>
      </c>
      <c r="C45">
        <v>4</v>
      </c>
      <c r="D45">
        <f t="shared" si="1"/>
        <v>7473.9449999999988</v>
      </c>
      <c r="G45" s="105" t="s">
        <v>1196</v>
      </c>
      <c r="H45" s="648">
        <v>19566.479999999996</v>
      </c>
      <c r="I45" s="108">
        <v>4</v>
      </c>
    </row>
    <row r="46" spans="1:9" x14ac:dyDescent="0.2">
      <c r="A46" s="105" t="s">
        <v>1199</v>
      </c>
      <c r="B46" s="648">
        <v>23880.589999999997</v>
      </c>
      <c r="C46">
        <v>6</v>
      </c>
      <c r="D46">
        <f t="shared" si="1"/>
        <v>7473.9449999999988</v>
      </c>
      <c r="G46" s="105" t="s">
        <v>1199</v>
      </c>
      <c r="H46" s="648">
        <v>23880.589999999997</v>
      </c>
      <c r="I46" s="108">
        <v>6</v>
      </c>
    </row>
    <row r="47" spans="1:9" x14ac:dyDescent="0.2">
      <c r="A47" s="105" t="s">
        <v>1870</v>
      </c>
      <c r="C47">
        <v>1</v>
      </c>
      <c r="D47">
        <f t="shared" si="1"/>
        <v>7473.9449999999988</v>
      </c>
      <c r="G47" s="105" t="s">
        <v>1870</v>
      </c>
      <c r="H47" s="648"/>
      <c r="I47" s="108">
        <v>1</v>
      </c>
    </row>
    <row r="48" spans="1:9" x14ac:dyDescent="0.2">
      <c r="A48" s="105" t="s">
        <v>1207</v>
      </c>
      <c r="B48" s="648">
        <v>238945.91000000003</v>
      </c>
      <c r="C48">
        <v>34</v>
      </c>
      <c r="D48">
        <f t="shared" si="1"/>
        <v>7473.9449999999988</v>
      </c>
      <c r="G48" s="105" t="s">
        <v>1207</v>
      </c>
      <c r="H48" s="648">
        <v>238945.91000000003</v>
      </c>
      <c r="I48" s="108">
        <v>34</v>
      </c>
    </row>
    <row r="49" spans="1:9" x14ac:dyDescent="0.2">
      <c r="A49" s="105" t="s">
        <v>1269</v>
      </c>
      <c r="B49" s="648">
        <v>30368.549999999996</v>
      </c>
      <c r="C49">
        <v>5</v>
      </c>
      <c r="D49">
        <f t="shared" si="1"/>
        <v>7473.9449999999988</v>
      </c>
      <c r="G49" s="105" t="s">
        <v>1269</v>
      </c>
      <c r="H49" s="648">
        <v>30368.549999999996</v>
      </c>
      <c r="I49" s="108">
        <v>5</v>
      </c>
    </row>
    <row r="50" spans="1:9" x14ac:dyDescent="0.2">
      <c r="A50" s="105" t="s">
        <v>1280</v>
      </c>
      <c r="B50" s="648">
        <v>69990.77968481998</v>
      </c>
      <c r="C50">
        <v>13</v>
      </c>
      <c r="D50">
        <f t="shared" si="1"/>
        <v>7473.9449999999988</v>
      </c>
      <c r="G50" s="105" t="s">
        <v>1280</v>
      </c>
      <c r="H50" s="648">
        <v>69990.77968481998</v>
      </c>
      <c r="I50" s="108">
        <v>13</v>
      </c>
    </row>
    <row r="51" spans="1:9" x14ac:dyDescent="0.2">
      <c r="A51" s="105" t="s">
        <v>1869</v>
      </c>
      <c r="C51">
        <v>1</v>
      </c>
      <c r="D51">
        <f t="shared" si="1"/>
        <v>7473.9449999999988</v>
      </c>
      <c r="G51" s="105" t="s">
        <v>1869</v>
      </c>
      <c r="H51" s="648"/>
      <c r="I51" s="108">
        <v>1</v>
      </c>
    </row>
    <row r="52" spans="1:9" x14ac:dyDescent="0.2">
      <c r="A52" s="105" t="s">
        <v>1864</v>
      </c>
      <c r="C52">
        <v>1</v>
      </c>
      <c r="D52">
        <f t="shared" si="1"/>
        <v>7473.9449999999988</v>
      </c>
      <c r="G52" s="105" t="s">
        <v>1864</v>
      </c>
      <c r="H52" s="648"/>
      <c r="I52" s="108">
        <v>1</v>
      </c>
    </row>
    <row r="53" spans="1:9" x14ac:dyDescent="0.2">
      <c r="A53" s="105" t="s">
        <v>1303</v>
      </c>
      <c r="B53" s="648">
        <v>149731.37</v>
      </c>
      <c r="C53">
        <v>19</v>
      </c>
      <c r="D53">
        <f t="shared" si="1"/>
        <v>7473.9449999999988</v>
      </c>
      <c r="G53" s="105" t="s">
        <v>1303</v>
      </c>
      <c r="H53" s="648">
        <v>149731.37</v>
      </c>
      <c r="I53" s="108">
        <v>19</v>
      </c>
    </row>
    <row r="54" spans="1:9" x14ac:dyDescent="0.2">
      <c r="A54" s="105" t="s">
        <v>1342</v>
      </c>
      <c r="B54" s="648">
        <v>46407.99</v>
      </c>
      <c r="C54">
        <v>8</v>
      </c>
      <c r="D54">
        <f t="shared" si="1"/>
        <v>7473.9449999999988</v>
      </c>
      <c r="G54" s="105" t="s">
        <v>1342</v>
      </c>
      <c r="H54" s="648">
        <v>46407.99</v>
      </c>
      <c r="I54" s="108">
        <v>8</v>
      </c>
    </row>
    <row r="55" spans="1:9" x14ac:dyDescent="0.2">
      <c r="A55" s="105" t="s">
        <v>1359</v>
      </c>
      <c r="B55" s="648">
        <v>51281.69999999999</v>
      </c>
      <c r="C55">
        <v>9</v>
      </c>
      <c r="D55">
        <f t="shared" si="1"/>
        <v>7473.9449999999988</v>
      </c>
      <c r="G55" s="105" t="s">
        <v>1359</v>
      </c>
      <c r="H55" s="648">
        <v>51281.69999999999</v>
      </c>
      <c r="I55" s="108">
        <v>9</v>
      </c>
    </row>
    <row r="56" spans="1:9" x14ac:dyDescent="0.2">
      <c r="A56" s="105" t="s">
        <v>1372</v>
      </c>
      <c r="B56" s="648">
        <v>38787.329999999994</v>
      </c>
      <c r="C56">
        <v>7</v>
      </c>
      <c r="D56">
        <f t="shared" si="1"/>
        <v>7473.9449999999988</v>
      </c>
      <c r="G56" s="105" t="s">
        <v>1372</v>
      </c>
      <c r="H56" s="648">
        <v>38787.329999999994</v>
      </c>
      <c r="I56" s="108">
        <v>7</v>
      </c>
    </row>
    <row r="57" spans="1:9" x14ac:dyDescent="0.2">
      <c r="A57" s="105" t="s">
        <v>1877</v>
      </c>
      <c r="D57">
        <f t="shared" si="1"/>
        <v>7473.9449999999988</v>
      </c>
      <c r="G57" s="105" t="s">
        <v>1877</v>
      </c>
      <c r="H57" s="648"/>
    </row>
    <row r="58" spans="1:9" x14ac:dyDescent="0.2">
      <c r="A58" s="105" t="s">
        <v>1382</v>
      </c>
      <c r="B58" s="648">
        <v>95538.07</v>
      </c>
      <c r="C58">
        <v>13</v>
      </c>
      <c r="D58">
        <f t="shared" si="1"/>
        <v>7473.9449999999988</v>
      </c>
      <c r="G58" s="105" t="s">
        <v>1382</v>
      </c>
      <c r="H58" s="648">
        <v>95538.07</v>
      </c>
      <c r="I58" s="108">
        <v>13</v>
      </c>
    </row>
    <row r="59" spans="1:9" x14ac:dyDescent="0.2">
      <c r="A59" s="105" t="s">
        <v>1407</v>
      </c>
      <c r="B59" s="648">
        <v>33823.949999999997</v>
      </c>
      <c r="C59">
        <v>6</v>
      </c>
      <c r="D59">
        <f t="shared" si="1"/>
        <v>7473.9449999999988</v>
      </c>
      <c r="G59" s="105" t="s">
        <v>1407</v>
      </c>
      <c r="H59" s="648">
        <v>33823.949999999997</v>
      </c>
      <c r="I59" s="108">
        <v>6</v>
      </c>
    </row>
    <row r="60" spans="1:9" x14ac:dyDescent="0.2">
      <c r="A60" s="105" t="s">
        <v>1420</v>
      </c>
      <c r="B60" s="648">
        <v>28603.289999999997</v>
      </c>
      <c r="C60">
        <v>5</v>
      </c>
      <c r="D60">
        <f t="shared" si="1"/>
        <v>7473.9449999999988</v>
      </c>
      <c r="G60" s="105" t="s">
        <v>1420</v>
      </c>
      <c r="H60" s="648">
        <v>28603.289999999997</v>
      </c>
      <c r="I60" s="108">
        <v>5</v>
      </c>
    </row>
    <row r="61" spans="1:9" x14ac:dyDescent="0.2">
      <c r="A61" s="105" t="s">
        <v>1427</v>
      </c>
      <c r="B61" s="648">
        <v>123629.54000000001</v>
      </c>
      <c r="C61">
        <v>20</v>
      </c>
      <c r="D61">
        <f t="shared" si="1"/>
        <v>7473.9449999999988</v>
      </c>
      <c r="G61" s="105" t="s">
        <v>1427</v>
      </c>
      <c r="H61" s="648">
        <v>123629.54000000001</v>
      </c>
      <c r="I61" s="108">
        <v>20</v>
      </c>
    </row>
    <row r="62" spans="1:9" x14ac:dyDescent="0.2">
      <c r="A62" s="105" t="s">
        <v>1454</v>
      </c>
      <c r="B62" s="648">
        <v>919556.13999999966</v>
      </c>
      <c r="C62">
        <v>56</v>
      </c>
      <c r="D62">
        <f t="shared" si="1"/>
        <v>7473.9449999999988</v>
      </c>
      <c r="G62" s="105" t="s">
        <v>1454</v>
      </c>
      <c r="H62" s="648">
        <v>919556.13999999966</v>
      </c>
      <c r="I62" s="108">
        <v>56</v>
      </c>
    </row>
    <row r="63" spans="1:9" x14ac:dyDescent="0.2">
      <c r="A63" s="105" t="s">
        <v>2411</v>
      </c>
      <c r="B63" s="648">
        <v>4873.7099999999991</v>
      </c>
      <c r="C63">
        <v>1</v>
      </c>
      <c r="D63">
        <f t="shared" si="1"/>
        <v>7473.9449999999988</v>
      </c>
      <c r="G63" s="105" t="s">
        <v>2411</v>
      </c>
      <c r="H63" s="648">
        <v>4873.7099999999991</v>
      </c>
      <c r="I63" s="108">
        <v>1</v>
      </c>
    </row>
    <row r="64" spans="1:9" x14ac:dyDescent="0.2">
      <c r="A64" s="105" t="s">
        <v>1567</v>
      </c>
      <c r="B64" s="648">
        <v>109765.56000000001</v>
      </c>
      <c r="C64">
        <v>18</v>
      </c>
      <c r="D64">
        <f t="shared" si="1"/>
        <v>7473.9449999999988</v>
      </c>
      <c r="G64" s="105" t="s">
        <v>1567</v>
      </c>
      <c r="H64" s="648">
        <v>109765.56000000001</v>
      </c>
      <c r="I64" s="108">
        <v>18</v>
      </c>
    </row>
    <row r="65" spans="1:9" x14ac:dyDescent="0.2">
      <c r="A65" s="105" t="s">
        <v>1602</v>
      </c>
      <c r="B65" s="648">
        <v>12910.8</v>
      </c>
      <c r="C65">
        <v>2</v>
      </c>
      <c r="D65">
        <f t="shared" si="1"/>
        <v>7473.9449999999988</v>
      </c>
      <c r="G65" s="105" t="s">
        <v>1602</v>
      </c>
      <c r="H65" s="648">
        <v>12910.8</v>
      </c>
      <c r="I65" s="108">
        <v>2</v>
      </c>
    </row>
    <row r="66" spans="1:9" x14ac:dyDescent="0.2">
      <c r="A66" s="105" t="s">
        <v>1607</v>
      </c>
      <c r="B66" s="648">
        <v>12584.039999999999</v>
      </c>
      <c r="C66">
        <v>3</v>
      </c>
      <c r="D66">
        <f t="shared" si="1"/>
        <v>7473.9449999999988</v>
      </c>
      <c r="G66" s="105" t="s">
        <v>1607</v>
      </c>
      <c r="H66" s="648">
        <v>12584.039999999999</v>
      </c>
      <c r="I66" s="108">
        <v>3</v>
      </c>
    </row>
    <row r="67" spans="1:9" x14ac:dyDescent="0.2">
      <c r="A67" s="105" t="s">
        <v>1616</v>
      </c>
      <c r="B67" s="648">
        <v>14475.119999999999</v>
      </c>
      <c r="C67">
        <v>3</v>
      </c>
      <c r="D67">
        <f t="shared" si="1"/>
        <v>7473.9449999999988</v>
      </c>
      <c r="G67" s="105" t="s">
        <v>1616</v>
      </c>
      <c r="H67" s="648">
        <v>14475.119999999999</v>
      </c>
      <c r="I67" s="108">
        <v>3</v>
      </c>
    </row>
    <row r="68" spans="1:9" x14ac:dyDescent="0.2">
      <c r="A68" s="105" t="s">
        <v>1612</v>
      </c>
      <c r="B68" s="648">
        <v>13056.81</v>
      </c>
      <c r="C68">
        <v>3</v>
      </c>
      <c r="D68">
        <f t="shared" si="1"/>
        <v>7473.9449999999988</v>
      </c>
      <c r="G68" s="105" t="s">
        <v>1612</v>
      </c>
      <c r="H68" s="648">
        <v>13056.81</v>
      </c>
      <c r="I68" s="108">
        <v>3</v>
      </c>
    </row>
    <row r="69" spans="1:9" x14ac:dyDescent="0.2">
      <c r="A69" s="105" t="s">
        <v>1623</v>
      </c>
      <c r="B69" s="648">
        <v>149910.24000000002</v>
      </c>
      <c r="C69">
        <v>26</v>
      </c>
      <c r="D69">
        <f t="shared" ref="D69:D81" si="2">SUM(GETPIVOTDATA("Sum of Annual Value 23-24",$A$3,"School","Alder Grove CofE Primary School"))/GETPIVOTDATA("Count of Name",$A$3,"School","Alder Grove CofE Primary School")</f>
        <v>7473.9449999999988</v>
      </c>
      <c r="G69" s="105" t="s">
        <v>1623</v>
      </c>
      <c r="H69" s="648">
        <v>149910.24000000002</v>
      </c>
      <c r="I69" s="108">
        <v>26</v>
      </c>
    </row>
    <row r="70" spans="1:9" x14ac:dyDescent="0.2">
      <c r="A70" s="105" t="s">
        <v>1673</v>
      </c>
      <c r="B70" s="648">
        <v>42243.434999999998</v>
      </c>
      <c r="C70">
        <v>7</v>
      </c>
      <c r="D70">
        <f t="shared" si="2"/>
        <v>7473.9449999999988</v>
      </c>
      <c r="G70" s="105" t="s">
        <v>1673</v>
      </c>
      <c r="H70" s="648">
        <v>42243.434999999998</v>
      </c>
      <c r="I70" s="108">
        <v>7</v>
      </c>
    </row>
    <row r="71" spans="1:9" x14ac:dyDescent="0.2">
      <c r="A71" s="105" t="s">
        <v>1685</v>
      </c>
      <c r="B71" s="648">
        <v>223667.83999999997</v>
      </c>
      <c r="C71">
        <v>25</v>
      </c>
      <c r="D71">
        <f t="shared" si="2"/>
        <v>7473.9449999999988</v>
      </c>
      <c r="G71" s="105" t="s">
        <v>1685</v>
      </c>
      <c r="H71" s="648">
        <v>223667.83999999997</v>
      </c>
      <c r="I71" s="108">
        <v>25</v>
      </c>
    </row>
    <row r="72" spans="1:9" x14ac:dyDescent="0.2">
      <c r="A72" s="105" t="s">
        <v>1712</v>
      </c>
      <c r="B72" s="648">
        <v>311831.11499999999</v>
      </c>
      <c r="C72">
        <v>24</v>
      </c>
      <c r="D72">
        <f t="shared" si="2"/>
        <v>7473.9449999999988</v>
      </c>
      <c r="G72" s="105" t="s">
        <v>1712</v>
      </c>
      <c r="H72" s="648">
        <v>311831.11499999999</v>
      </c>
      <c r="I72" s="108">
        <v>24</v>
      </c>
    </row>
    <row r="73" spans="1:9" x14ac:dyDescent="0.2">
      <c r="A73" s="105" t="s">
        <v>1755</v>
      </c>
      <c r="B73" s="648">
        <v>37752.119999999995</v>
      </c>
      <c r="C73">
        <v>7</v>
      </c>
      <c r="D73">
        <f t="shared" si="2"/>
        <v>7473.9449999999988</v>
      </c>
      <c r="G73" s="105" t="s">
        <v>1755</v>
      </c>
      <c r="H73" s="648">
        <v>37752.119999999995</v>
      </c>
      <c r="I73" s="108">
        <v>7</v>
      </c>
    </row>
    <row r="74" spans="1:9" x14ac:dyDescent="0.2">
      <c r="A74" s="105" t="s">
        <v>1764</v>
      </c>
      <c r="B74" s="648">
        <v>10220.189999999999</v>
      </c>
      <c r="C74">
        <v>3</v>
      </c>
      <c r="D74">
        <f t="shared" si="2"/>
        <v>7473.9449999999988</v>
      </c>
      <c r="G74" s="105" t="s">
        <v>1764</v>
      </c>
      <c r="H74" s="648">
        <v>10220.189999999999</v>
      </c>
      <c r="I74" s="108">
        <v>3</v>
      </c>
    </row>
    <row r="75" spans="1:9" x14ac:dyDescent="0.2">
      <c r="A75" s="105" t="s">
        <v>1770</v>
      </c>
      <c r="B75" s="648">
        <v>71962.714999999997</v>
      </c>
      <c r="C75">
        <v>12</v>
      </c>
      <c r="D75">
        <f t="shared" si="2"/>
        <v>7473.9449999999988</v>
      </c>
      <c r="G75" s="105" t="s">
        <v>1770</v>
      </c>
      <c r="H75" s="648">
        <v>71962.714999999997</v>
      </c>
      <c r="I75" s="108">
        <v>12</v>
      </c>
    </row>
    <row r="76" spans="1:9" x14ac:dyDescent="0.2">
      <c r="A76" s="105" t="s">
        <v>1789</v>
      </c>
      <c r="B76" s="648">
        <v>95686.25</v>
      </c>
      <c r="C76">
        <v>13</v>
      </c>
      <c r="D76">
        <f t="shared" si="2"/>
        <v>7473.9449999999988</v>
      </c>
      <c r="G76" s="105" t="s">
        <v>1789</v>
      </c>
      <c r="H76" s="648">
        <v>95686.25</v>
      </c>
      <c r="I76" s="108">
        <v>13</v>
      </c>
    </row>
    <row r="77" spans="1:9" x14ac:dyDescent="0.2">
      <c r="A77" s="105" t="s">
        <v>1815</v>
      </c>
      <c r="B77" s="648">
        <v>74885.459999999992</v>
      </c>
      <c r="C77">
        <v>12</v>
      </c>
      <c r="D77">
        <f t="shared" si="2"/>
        <v>7473.9449999999988</v>
      </c>
      <c r="G77" s="105" t="s">
        <v>1815</v>
      </c>
      <c r="H77" s="648">
        <v>74885.459999999992</v>
      </c>
      <c r="I77" s="108">
        <v>12</v>
      </c>
    </row>
    <row r="78" spans="1:9" x14ac:dyDescent="0.2">
      <c r="A78" s="105" t="s">
        <v>1835</v>
      </c>
      <c r="B78" s="648">
        <v>59318.789999999994</v>
      </c>
      <c r="C78">
        <v>9</v>
      </c>
      <c r="D78">
        <f t="shared" si="2"/>
        <v>7473.9449999999988</v>
      </c>
      <c r="G78" s="105" t="s">
        <v>1835</v>
      </c>
      <c r="H78" s="648">
        <v>59318.789999999994</v>
      </c>
      <c r="I78" s="108">
        <v>9</v>
      </c>
    </row>
    <row r="79" spans="1:9" x14ac:dyDescent="0.2">
      <c r="A79" s="105" t="s">
        <v>1848</v>
      </c>
      <c r="B79" s="648">
        <v>73321.139999999985</v>
      </c>
      <c r="C79">
        <v>11</v>
      </c>
      <c r="D79">
        <f t="shared" si="2"/>
        <v>7473.9449999999988</v>
      </c>
      <c r="G79" s="105" t="s">
        <v>1848</v>
      </c>
      <c r="H79" s="648">
        <v>73321.139999999985</v>
      </c>
      <c r="I79" s="108">
        <v>11</v>
      </c>
    </row>
    <row r="80" spans="1:9" x14ac:dyDescent="0.2">
      <c r="A80" s="105" t="s">
        <v>2410</v>
      </c>
      <c r="B80" s="648">
        <v>7932476.4546847874</v>
      </c>
      <c r="D80">
        <f t="shared" si="2"/>
        <v>7473.9449999999988</v>
      </c>
      <c r="G80" s="105" t="s">
        <v>2410</v>
      </c>
      <c r="H80" s="648">
        <v>7932476.4546847874</v>
      </c>
    </row>
    <row r="81" spans="1:9" x14ac:dyDescent="0.2">
      <c r="A81" s="105" t="s">
        <v>1884</v>
      </c>
      <c r="B81" s="648">
        <v>15879900.799369574</v>
      </c>
      <c r="C81">
        <v>973</v>
      </c>
      <c r="D81">
        <f t="shared" si="2"/>
        <v>7473.9449999999988</v>
      </c>
      <c r="G81" s="105" t="s">
        <v>1884</v>
      </c>
      <c r="H81" s="648">
        <v>15879900.799369574</v>
      </c>
      <c r="I81" s="108">
        <v>973</v>
      </c>
    </row>
  </sheetData>
  <pageMargins left="0.7" right="0.7" top="0.75" bottom="0.75" header="0.3" footer="0.3"/>
  <headerFooter>
    <oddFooter>&amp;L_x000D_&amp;1#&amp;"Calibri"&amp;10&amp;K000000 Confidential: Information that needs to be handled with care to avoid loss, damage or inappropriate access. Information which incorrectly disseminated could cause some distress to a limited number of individuals.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247D18-1CD7-44F1-8DD6-57758098F8D4}">
  <sheetPr codeName="Sheet14"/>
  <dimension ref="A2:B9"/>
  <sheetViews>
    <sheetView workbookViewId="0">
      <selection activeCell="E12" sqref="E12"/>
    </sheetView>
  </sheetViews>
  <sheetFormatPr defaultRowHeight="12.75" x14ac:dyDescent="0.2"/>
  <cols>
    <col min="2" max="2" width="12.5703125" bestFit="1" customWidth="1"/>
  </cols>
  <sheetData>
    <row r="2" spans="1:2" x14ac:dyDescent="0.2">
      <c r="B2" t="s">
        <v>2585</v>
      </c>
    </row>
    <row r="4" spans="1:2" x14ac:dyDescent="0.2">
      <c r="B4" t="s">
        <v>2584</v>
      </c>
    </row>
    <row r="5" spans="1:2" x14ac:dyDescent="0.2">
      <c r="A5" t="s">
        <v>2583</v>
      </c>
      <c r="B5" s="648" t="e">
        <f>+#REF!</f>
        <v>#REF!</v>
      </c>
    </row>
    <row r="6" spans="1:2" x14ac:dyDescent="0.2">
      <c r="B6" s="648"/>
    </row>
    <row r="7" spans="1:2" x14ac:dyDescent="0.2">
      <c r="A7" t="s">
        <v>2586</v>
      </c>
      <c r="B7" s="648" t="e">
        <f>+#REF!</f>
        <v>#REF!</v>
      </c>
    </row>
    <row r="8" spans="1:2" x14ac:dyDescent="0.2">
      <c r="A8" t="s">
        <v>2587</v>
      </c>
      <c r="B8" s="648">
        <v>754645.36</v>
      </c>
    </row>
    <row r="9" spans="1:2" x14ac:dyDescent="0.2">
      <c r="B9" s="648" t="e">
        <f>SUM(B5)-(B7+B8)</f>
        <v>#REF!</v>
      </c>
    </row>
  </sheetData>
  <pageMargins left="0.7" right="0.7" top="0.75" bottom="0.75" header="0.3" footer="0.3"/>
  <headerFooter>
    <oddFooter>&amp;L_x000D_&amp;1#&amp;"Calibri"&amp;10&amp;K000000 Confidential: Information that needs to be handled with care to avoid loss, damage or inappropriate access. Information which incorrectly disseminated could cause some distress to a limited number of individuals.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8EA80C-E451-4581-8553-768A2140C4CD}">
  <sheetPr>
    <tabColor rgb="FFFF0000"/>
  </sheetPr>
  <dimension ref="A1:GG133"/>
  <sheetViews>
    <sheetView zoomScale="93" zoomScaleNormal="93" workbookViewId="0">
      <pane xSplit="8" ySplit="3" topLeftCell="DM4" activePane="bottomRight" state="frozen"/>
      <selection pane="topRight" activeCell="I1" sqref="I1"/>
      <selection pane="bottomLeft" activeCell="A5" sqref="A5"/>
      <selection pane="bottomRight" activeCell="DZ7" sqref="DZ7"/>
    </sheetView>
  </sheetViews>
  <sheetFormatPr defaultColWidth="8.85546875" defaultRowHeight="15" x14ac:dyDescent="0.25"/>
  <cols>
    <col min="1" max="1" width="6.140625" style="1074" customWidth="1"/>
    <col min="2" max="2" width="14.85546875" style="1074" customWidth="1"/>
    <col min="3" max="3" width="12.5703125" style="1074" customWidth="1"/>
    <col min="4" max="4" width="34.140625" style="1074" customWidth="1"/>
    <col min="5" max="5" width="7" style="1074" customWidth="1"/>
    <col min="6" max="6" width="8.85546875" style="1074"/>
    <col min="7" max="7" width="14.85546875" style="1074" bestFit="1" customWidth="1"/>
    <col min="8" max="8" width="11.140625" style="1074" customWidth="1"/>
    <col min="9" max="9" width="10.85546875" style="1074" bestFit="1" customWidth="1"/>
    <col min="10" max="11" width="5.85546875" style="1074" customWidth="1"/>
    <col min="12" max="12" width="6.42578125" style="1074" customWidth="1"/>
    <col min="13" max="14" width="7.140625" style="1074" customWidth="1"/>
    <col min="15" max="15" width="10.5703125" style="1106" customWidth="1"/>
    <col min="16" max="16" width="16.85546875" style="1074" customWidth="1"/>
    <col min="17" max="18" width="12.140625" style="1074" customWidth="1"/>
    <col min="19" max="19" width="14.5703125" style="1074" customWidth="1"/>
    <col min="20" max="20" width="7" style="1107" customWidth="1"/>
    <col min="21" max="21" width="14.140625" style="1108" customWidth="1"/>
    <col min="22" max="22" width="6.42578125" style="1107" customWidth="1"/>
    <col min="23" max="23" width="9.85546875" style="1107" customWidth="1"/>
    <col min="24" max="24" width="9.85546875" style="1109" customWidth="1"/>
    <col min="25" max="26" width="14.140625" style="1109" customWidth="1"/>
    <col min="27" max="27" width="14.140625" style="1067" customWidth="1"/>
    <col min="28" max="28" width="11.85546875" style="1074" customWidth="1"/>
    <col min="29" max="29" width="13.85546875" style="1074" customWidth="1"/>
    <col min="30" max="30" width="8.85546875" style="1074" customWidth="1"/>
    <col min="31" max="31" width="13.5703125" style="1074" customWidth="1"/>
    <col min="32" max="32" width="10.5703125" style="1074" hidden="1" customWidth="1"/>
    <col min="33" max="33" width="14.85546875" style="1110" customWidth="1"/>
    <col min="34" max="34" width="13.85546875" style="1110" customWidth="1"/>
    <col min="35" max="35" width="14.85546875" style="1110" customWidth="1"/>
    <col min="36" max="36" width="27.5703125" style="1110" hidden="1" customWidth="1"/>
    <col min="37" max="38" width="10.85546875" style="1110" hidden="1" customWidth="1"/>
    <col min="39" max="39" width="8.85546875" style="1110" hidden="1" customWidth="1"/>
    <col min="40" max="40" width="2.140625" style="1110" customWidth="1"/>
    <col min="41" max="41" width="10.140625" style="1074" hidden="1" customWidth="1"/>
    <col min="42" max="42" width="10.85546875" style="1110" hidden="1" customWidth="1"/>
    <col min="43" max="43" width="7.140625" style="1074" hidden="1" customWidth="1"/>
    <col min="44" max="44" width="6.140625" style="1074" hidden="1" customWidth="1"/>
    <col min="45" max="45" width="4.5703125" style="1074" hidden="1" customWidth="1"/>
    <col min="46" max="46" width="5.85546875" style="1074" hidden="1" customWidth="1"/>
    <col min="47" max="47" width="6.140625" style="1074" hidden="1" customWidth="1"/>
    <col min="48" max="48" width="5.42578125" style="1074" hidden="1" customWidth="1"/>
    <col min="49" max="49" width="6.140625" style="1074" hidden="1" customWidth="1"/>
    <col min="50" max="50" width="5.85546875" style="1074" hidden="1" customWidth="1"/>
    <col min="51" max="51" width="7.5703125" style="1074" hidden="1" customWidth="1"/>
    <col min="52" max="52" width="4.85546875" style="1074" hidden="1" customWidth="1"/>
    <col min="53" max="53" width="13.5703125" style="1110" hidden="1" customWidth="1"/>
    <col min="54" max="54" width="11.85546875" style="1110" hidden="1" customWidth="1"/>
    <col min="55" max="55" width="11.5703125" style="1074" hidden="1" customWidth="1"/>
    <col min="56" max="56" width="9.85546875" style="1074" hidden="1" customWidth="1"/>
    <col min="57" max="57" width="11" style="1074" hidden="1" customWidth="1"/>
    <col min="58" max="58" width="7.85546875" style="1074" hidden="1" customWidth="1"/>
    <col min="59" max="59" width="8.85546875" style="1074" hidden="1" customWidth="1"/>
    <col min="60" max="61" width="13.140625" style="1074" hidden="1" customWidth="1"/>
    <col min="62" max="62" width="1" style="1074" hidden="1" customWidth="1"/>
    <col min="63" max="65" width="13.140625" style="1074" hidden="1" customWidth="1"/>
    <col min="66" max="66" width="17.42578125" style="1074" hidden="1" customWidth="1"/>
    <col min="67" max="68" width="25.140625" style="1074" hidden="1" customWidth="1"/>
    <col min="69" max="69" width="18.85546875" style="1074" customWidth="1"/>
    <col min="70" max="70" width="2.85546875" style="1074" customWidth="1"/>
    <col min="71" max="71" width="11.140625" style="1074" hidden="1" customWidth="1"/>
    <col min="72" max="72" width="7.140625" style="1074" hidden="1" customWidth="1"/>
    <col min="73" max="73" width="14.140625" style="1074" hidden="1" customWidth="1"/>
    <col min="74" max="74" width="9" style="1074" hidden="1" customWidth="1"/>
    <col min="75" max="75" width="2.85546875" style="1074" hidden="1" customWidth="1"/>
    <col min="76" max="76" width="11.140625" style="1074" hidden="1" customWidth="1"/>
    <col min="77" max="77" width="12.42578125" style="1074" hidden="1" customWidth="1"/>
    <col min="78" max="78" width="3.140625" style="1074" customWidth="1"/>
    <col min="79" max="79" width="17.85546875" style="1074" hidden="1" customWidth="1"/>
    <col min="80" max="80" width="1.85546875" style="1074" customWidth="1"/>
    <col min="81" max="81" width="20.85546875" style="1074" hidden="1" customWidth="1"/>
    <col min="82" max="82" width="2.140625" style="1074" hidden="1" customWidth="1"/>
    <col min="83" max="83" width="15.85546875" style="1074" hidden="1" customWidth="1"/>
    <col min="84" max="84" width="11.140625" style="1074" hidden="1" customWidth="1"/>
    <col min="85" max="86" width="1.5703125" style="1074" customWidth="1"/>
    <col min="87" max="87" width="12.140625" style="1074" customWidth="1"/>
    <col min="88" max="88" width="0.5703125" style="1074" customWidth="1"/>
    <col min="89" max="89" width="7.85546875" style="1074" customWidth="1"/>
    <col min="90" max="90" width="11.140625" style="1074" customWidth="1"/>
    <col min="91" max="91" width="12" style="1074" customWidth="1"/>
    <col min="92" max="92" width="27.140625" style="1074" customWidth="1"/>
    <col min="93" max="93" width="25" style="1074" customWidth="1"/>
    <col min="94" max="94" width="13.140625" style="1074" customWidth="1"/>
    <col min="95" max="95" width="15.42578125" style="1099" hidden="1" customWidth="1"/>
    <col min="96" max="96" width="14.85546875" style="1074" customWidth="1"/>
    <col min="97" max="97" width="16.5703125" style="1074" customWidth="1"/>
    <col min="98" max="98" width="22" style="1074" customWidth="1"/>
    <col min="99" max="99" width="22.85546875" style="1074" customWidth="1"/>
    <col min="100" max="100" width="11" style="1074" customWidth="1"/>
    <col min="101" max="101" width="34" style="1074" customWidth="1"/>
    <col min="102" max="102" width="10.85546875" style="1074" customWidth="1"/>
    <col min="103" max="103" width="11.85546875" style="1074" customWidth="1"/>
    <col min="104" max="104" width="12.5703125" style="1074" customWidth="1"/>
    <col min="105" max="105" width="17.42578125" style="1067" customWidth="1"/>
    <col min="106" max="106" width="14.85546875" style="1067" customWidth="1"/>
    <col min="107" max="107" width="0" style="1074" hidden="1" customWidth="1"/>
    <col min="108" max="108" width="8.85546875" style="1074"/>
    <col min="109" max="109" width="11.85546875" style="1067" customWidth="1"/>
    <col min="110" max="110" width="13.140625" style="1067" customWidth="1"/>
    <col min="111" max="111" width="13.5703125" style="1074" customWidth="1"/>
    <col min="112" max="112" width="11.5703125" style="1067" bestFit="1" customWidth="1"/>
    <col min="113" max="113" width="15.140625" style="1067" customWidth="1"/>
    <col min="114" max="114" width="11.140625" style="1074" customWidth="1"/>
    <col min="115" max="115" width="8.85546875" style="1074"/>
    <col min="116" max="116" width="12.140625" style="1067" bestFit="1" customWidth="1"/>
    <col min="117" max="117" width="12.85546875" style="1111" customWidth="1"/>
    <col min="118" max="118" width="9.5703125" style="1074" bestFit="1" customWidth="1"/>
    <col min="119" max="119" width="9.85546875" style="1074" customWidth="1"/>
    <col min="120" max="120" width="12.140625" style="1074" customWidth="1"/>
    <col min="121" max="121" width="12.140625" style="1067" customWidth="1"/>
    <col min="122" max="122" width="12.140625" style="1074" customWidth="1"/>
    <col min="123" max="123" width="11.85546875" style="1067" customWidth="1"/>
    <col min="124" max="124" width="13.85546875" style="1067" customWidth="1"/>
    <col min="125" max="126" width="8.85546875" style="1074"/>
    <col min="127" max="127" width="8.7109375" customWidth="1"/>
    <col min="128" max="16384" width="8.85546875" style="1074"/>
  </cols>
  <sheetData>
    <row r="1" spans="1:163" s="251" customFormat="1" ht="12.75" x14ac:dyDescent="0.2">
      <c r="B1" s="967" t="s">
        <v>2678</v>
      </c>
      <c r="O1" s="968"/>
      <c r="Q1" s="969" t="s">
        <v>2679</v>
      </c>
      <c r="T1" s="970"/>
      <c r="U1" s="971"/>
      <c r="V1" s="970"/>
      <c r="W1" s="970"/>
      <c r="X1" s="972"/>
      <c r="Y1" s="972"/>
      <c r="Z1" s="972"/>
      <c r="AA1" s="973"/>
      <c r="AG1" s="974"/>
      <c r="AH1" s="974"/>
      <c r="AI1" s="974"/>
      <c r="AJ1" s="974"/>
      <c r="AK1" s="974"/>
      <c r="AL1" s="974"/>
      <c r="AM1" s="974"/>
      <c r="AN1" s="974"/>
      <c r="AO1" s="2078" t="s">
        <v>2680</v>
      </c>
      <c r="AP1" s="2079"/>
      <c r="AQ1" s="2079"/>
      <c r="AR1" s="2079"/>
      <c r="AS1" s="2079"/>
      <c r="AT1" s="2079"/>
      <c r="AU1" s="2079"/>
      <c r="AV1" s="2079"/>
      <c r="AW1" s="2079"/>
      <c r="AX1" s="2079"/>
      <c r="AY1" s="2079"/>
      <c r="AZ1" s="2079"/>
      <c r="BA1" s="2080" t="s">
        <v>2681</v>
      </c>
      <c r="BB1" s="2081"/>
      <c r="BC1" s="2081"/>
      <c r="BD1" s="2081"/>
      <c r="BE1" s="2082"/>
      <c r="BF1" s="2082"/>
      <c r="BG1" s="2083"/>
      <c r="BH1" s="2084" t="s">
        <v>2682</v>
      </c>
      <c r="BI1" s="2085"/>
      <c r="BJ1" s="975"/>
      <c r="BN1" s="976"/>
      <c r="BO1" s="976"/>
      <c r="BP1" s="976"/>
      <c r="BQ1" s="976"/>
      <c r="CQ1" s="977"/>
      <c r="DA1" s="973"/>
      <c r="DB1" s="973"/>
      <c r="DE1" s="973"/>
      <c r="DF1" s="973"/>
      <c r="DH1" s="973"/>
      <c r="DI1" s="973"/>
      <c r="DL1" s="973"/>
      <c r="DM1" s="978"/>
      <c r="DQ1" s="973"/>
      <c r="DS1" s="973"/>
      <c r="DT1" s="973"/>
      <c r="DW1"/>
    </row>
    <row r="2" spans="1:163" s="251" customFormat="1" ht="38.25" x14ac:dyDescent="0.2">
      <c r="B2" s="967" t="s">
        <v>2683</v>
      </c>
      <c r="N2" s="979" t="s">
        <v>2684</v>
      </c>
      <c r="O2" s="980" t="s">
        <v>2685</v>
      </c>
      <c r="P2" s="979" t="s">
        <v>2686</v>
      </c>
      <c r="Q2" s="251" t="s">
        <v>2687</v>
      </c>
      <c r="T2" s="970"/>
      <c r="U2" s="971"/>
      <c r="V2" s="970"/>
      <c r="W2" s="970"/>
      <c r="X2" s="972"/>
      <c r="Y2" s="972"/>
      <c r="Z2" s="972"/>
      <c r="AA2" s="973"/>
      <c r="AG2" s="974"/>
      <c r="AH2" s="974"/>
      <c r="AI2" s="974"/>
      <c r="AJ2" s="974"/>
      <c r="AK2" s="974"/>
      <c r="AL2" s="974"/>
      <c r="AM2" s="974"/>
      <c r="AN2" s="974"/>
      <c r="AO2" s="2086" t="s">
        <v>2688</v>
      </c>
      <c r="AP2" s="2087"/>
      <c r="AQ2" s="2087"/>
      <c r="AR2" s="2088"/>
      <c r="AS2" s="2089" t="s">
        <v>2689</v>
      </c>
      <c r="AT2" s="2087"/>
      <c r="AU2" s="2087"/>
      <c r="AV2" s="2088"/>
      <c r="AW2" s="2090" t="s">
        <v>2690</v>
      </c>
      <c r="AX2" s="2091"/>
      <c r="AY2" s="2091"/>
      <c r="AZ2" s="2091"/>
      <c r="BA2" s="2092" t="s">
        <v>2691</v>
      </c>
      <c r="BB2" s="2093"/>
      <c r="BC2" s="981" t="s">
        <v>2692</v>
      </c>
      <c r="BD2" s="981"/>
      <c r="BE2" s="982"/>
      <c r="BF2" s="982"/>
      <c r="BG2" s="983" t="s">
        <v>2693</v>
      </c>
      <c r="BH2" s="984" t="s">
        <v>2694</v>
      </c>
      <c r="BI2" s="984" t="s">
        <v>2693</v>
      </c>
      <c r="BJ2" s="984"/>
      <c r="BK2" s="985" t="s">
        <v>2694</v>
      </c>
      <c r="BL2" s="985" t="s">
        <v>2695</v>
      </c>
      <c r="BM2" s="985" t="s">
        <v>2696</v>
      </c>
      <c r="BN2" s="986" t="s">
        <v>2697</v>
      </c>
      <c r="BO2" s="986"/>
      <c r="BP2" s="986"/>
      <c r="BQ2" s="480" t="s">
        <v>2698</v>
      </c>
      <c r="BX2" s="987" t="s">
        <v>2699</v>
      </c>
      <c r="CA2" s="988" t="s">
        <v>2700</v>
      </c>
      <c r="CC2" s="989" t="s">
        <v>2701</v>
      </c>
      <c r="CD2" s="989"/>
      <c r="CE2" s="989" t="s">
        <v>2702</v>
      </c>
      <c r="CL2" s="251" t="s">
        <v>2703</v>
      </c>
      <c r="CO2" s="2075">
        <v>45078</v>
      </c>
      <c r="CP2" s="2076"/>
      <c r="CQ2" s="977"/>
      <c r="CR2" s="2075">
        <v>45108</v>
      </c>
      <c r="CS2" s="2077"/>
      <c r="CT2" s="2077"/>
      <c r="CU2" s="2077"/>
      <c r="CV2" s="2077"/>
      <c r="CW2" s="2076"/>
      <c r="DA2" s="973"/>
      <c r="DB2" s="973"/>
      <c r="DE2" s="973"/>
      <c r="DF2" s="973"/>
      <c r="DH2" s="973"/>
      <c r="DI2" s="973"/>
      <c r="DL2" s="973"/>
      <c r="DM2" s="978"/>
      <c r="DQ2" s="973"/>
      <c r="DS2" s="973"/>
      <c r="DT2" s="973"/>
      <c r="DW2"/>
    </row>
    <row r="3" spans="1:163" s="251" customFormat="1" ht="57.75" customHeight="1" thickBot="1" x14ac:dyDescent="0.25">
      <c r="A3" s="990" t="s">
        <v>2704</v>
      </c>
      <c r="B3" s="991" t="s">
        <v>2705</v>
      </c>
      <c r="C3" s="992" t="s">
        <v>2706</v>
      </c>
      <c r="D3" s="991" t="s">
        <v>2707</v>
      </c>
      <c r="E3" s="992" t="s">
        <v>2708</v>
      </c>
      <c r="F3" s="992" t="s">
        <v>2709</v>
      </c>
      <c r="G3" s="991" t="s">
        <v>11</v>
      </c>
      <c r="H3" s="991" t="s">
        <v>2140</v>
      </c>
      <c r="I3" s="991" t="s">
        <v>13</v>
      </c>
      <c r="J3" s="993" t="s">
        <v>2710</v>
      </c>
      <c r="K3" s="991" t="s">
        <v>2711</v>
      </c>
      <c r="L3" s="992" t="s">
        <v>2712</v>
      </c>
      <c r="M3" s="992" t="s">
        <v>2713</v>
      </c>
      <c r="N3" s="992" t="s">
        <v>2714</v>
      </c>
      <c r="O3" s="994" t="s">
        <v>2715</v>
      </c>
      <c r="P3" s="992" t="s">
        <v>2716</v>
      </c>
      <c r="Q3" s="992" t="s">
        <v>2717</v>
      </c>
      <c r="R3" s="992" t="s">
        <v>2718</v>
      </c>
      <c r="S3" s="992" t="s">
        <v>2719</v>
      </c>
      <c r="T3" s="995" t="s">
        <v>2720</v>
      </c>
      <c r="U3" s="996" t="s">
        <v>2721</v>
      </c>
      <c r="V3" s="995" t="s">
        <v>2722</v>
      </c>
      <c r="W3" s="995" t="s">
        <v>2723</v>
      </c>
      <c r="X3" s="997" t="s">
        <v>2724</v>
      </c>
      <c r="Y3" s="997" t="s">
        <v>29</v>
      </c>
      <c r="Z3" s="997" t="s">
        <v>2725</v>
      </c>
      <c r="AA3" s="998" t="s">
        <v>2726</v>
      </c>
      <c r="AB3" s="999" t="s">
        <v>2727</v>
      </c>
      <c r="AC3" s="991" t="s">
        <v>2728</v>
      </c>
      <c r="AD3" s="992" t="s">
        <v>2729</v>
      </c>
      <c r="AE3" s="1000" t="s">
        <v>2730</v>
      </c>
      <c r="AF3" s="1000" t="s">
        <v>2731</v>
      </c>
      <c r="AG3" s="1001" t="s">
        <v>2732</v>
      </c>
      <c r="AH3" s="1002" t="s">
        <v>2733</v>
      </c>
      <c r="AI3" s="1003" t="s">
        <v>2734</v>
      </c>
      <c r="AJ3" s="1003" t="s">
        <v>2549</v>
      </c>
      <c r="AK3" s="1004" t="s">
        <v>2735</v>
      </c>
      <c r="AL3" s="1004" t="s">
        <v>2736</v>
      </c>
      <c r="AM3" s="1004" t="s">
        <v>2737</v>
      </c>
      <c r="AN3" s="1005"/>
      <c r="AO3" s="1006" t="s">
        <v>2738</v>
      </c>
      <c r="AP3" s="1007" t="s">
        <v>2739</v>
      </c>
      <c r="AQ3" s="1008" t="s">
        <v>2740</v>
      </c>
      <c r="AR3" s="1008" t="s">
        <v>2741</v>
      </c>
      <c r="AS3" s="1008" t="s">
        <v>2738</v>
      </c>
      <c r="AT3" s="1008" t="s">
        <v>2739</v>
      </c>
      <c r="AU3" s="1008" t="s">
        <v>2740</v>
      </c>
      <c r="AV3" s="1008" t="s">
        <v>2741</v>
      </c>
      <c r="AW3" s="1008" t="s">
        <v>2738</v>
      </c>
      <c r="AX3" s="1008" t="s">
        <v>2739</v>
      </c>
      <c r="AY3" s="1008" t="s">
        <v>2740</v>
      </c>
      <c r="AZ3" s="1009" t="s">
        <v>2741</v>
      </c>
      <c r="BA3" s="1010" t="s">
        <v>2742</v>
      </c>
      <c r="BB3" s="1011" t="s">
        <v>2743</v>
      </c>
      <c r="BC3" s="1012" t="s">
        <v>2738</v>
      </c>
      <c r="BD3" s="1012" t="s">
        <v>2739</v>
      </c>
      <c r="BE3" s="1013" t="s">
        <v>2744</v>
      </c>
      <c r="BF3" s="1013" t="s">
        <v>2745</v>
      </c>
      <c r="BG3" s="1014">
        <v>43009</v>
      </c>
      <c r="BH3" s="1015">
        <v>43009</v>
      </c>
      <c r="BI3" s="984">
        <v>43009</v>
      </c>
      <c r="BJ3" s="984"/>
      <c r="BK3" s="1016" t="s">
        <v>2746</v>
      </c>
      <c r="BL3" s="1016" t="s">
        <v>2747</v>
      </c>
      <c r="BM3" s="985">
        <v>43013</v>
      </c>
      <c r="BN3" s="1017">
        <v>43013</v>
      </c>
      <c r="BO3" s="1018" t="s">
        <v>2748</v>
      </c>
      <c r="BP3" s="1018"/>
      <c r="BQ3" s="1019" t="s">
        <v>2749</v>
      </c>
      <c r="BS3" s="1020" t="s">
        <v>2750</v>
      </c>
      <c r="BT3" s="1021" t="s">
        <v>2751</v>
      </c>
      <c r="BU3" s="1020" t="s">
        <v>2752</v>
      </c>
      <c r="BV3" s="1021" t="s">
        <v>2751</v>
      </c>
      <c r="BW3" s="1021"/>
      <c r="BX3" s="1022" t="s">
        <v>2753</v>
      </c>
      <c r="BY3" s="1023" t="s">
        <v>2754</v>
      </c>
      <c r="CA3" s="1024" t="s">
        <v>2755</v>
      </c>
      <c r="CC3" s="1025" t="s">
        <v>2755</v>
      </c>
      <c r="CD3" s="967"/>
      <c r="CE3" s="967" t="s">
        <v>2756</v>
      </c>
      <c r="CF3" s="1026" t="s">
        <v>2757</v>
      </c>
      <c r="CI3" s="251" t="s">
        <v>2758</v>
      </c>
      <c r="CJ3" s="1019" t="s">
        <v>2759</v>
      </c>
      <c r="CN3" s="1027" t="s">
        <v>2760</v>
      </c>
      <c r="CO3" s="1019" t="s">
        <v>2759</v>
      </c>
      <c r="CP3" s="1019" t="s">
        <v>2761</v>
      </c>
      <c r="CQ3" s="977" t="s">
        <v>2762</v>
      </c>
      <c r="CR3" s="1028" t="s">
        <v>2763</v>
      </c>
      <c r="CS3" s="1028" t="s">
        <v>2764</v>
      </c>
      <c r="CT3" s="1028" t="s">
        <v>2765</v>
      </c>
      <c r="CU3" s="1029" t="s">
        <v>2766</v>
      </c>
      <c r="CV3" s="1028" t="s">
        <v>2767</v>
      </c>
      <c r="CW3" s="1030" t="s">
        <v>2768</v>
      </c>
      <c r="CX3" s="1028" t="s">
        <v>2769</v>
      </c>
      <c r="CY3" s="1028" t="s">
        <v>2770</v>
      </c>
      <c r="CZ3" s="1028" t="s">
        <v>2771</v>
      </c>
      <c r="DA3" s="1031" t="s">
        <v>2772</v>
      </c>
      <c r="DB3" s="1031" t="s">
        <v>2773</v>
      </c>
      <c r="DC3" s="1030" t="s">
        <v>2774</v>
      </c>
      <c r="DD3" s="1028" t="s">
        <v>2775</v>
      </c>
      <c r="DE3" s="1031" t="s">
        <v>2776</v>
      </c>
      <c r="DF3" s="1032" t="s">
        <v>2777</v>
      </c>
      <c r="DG3" s="1028" t="s">
        <v>2588</v>
      </c>
      <c r="DH3" s="1031" t="s">
        <v>2778</v>
      </c>
      <c r="DI3" s="1032" t="s">
        <v>2779</v>
      </c>
      <c r="DJ3" s="1028" t="s">
        <v>2602</v>
      </c>
      <c r="DK3" s="1026" t="s">
        <v>2780</v>
      </c>
      <c r="DL3" s="1033" t="s">
        <v>2781</v>
      </c>
      <c r="DM3" s="1034" t="s">
        <v>2782</v>
      </c>
      <c r="DN3" s="1028" t="s">
        <v>2613</v>
      </c>
      <c r="DO3" s="1035" t="s">
        <v>2783</v>
      </c>
      <c r="DP3" s="1035" t="s">
        <v>2784</v>
      </c>
      <c r="DQ3" s="1036" t="s">
        <v>2785</v>
      </c>
      <c r="DR3" s="1035" t="s">
        <v>2786</v>
      </c>
      <c r="DS3" s="1033" t="s">
        <v>3843</v>
      </c>
      <c r="DT3" s="1033" t="s">
        <v>3842</v>
      </c>
      <c r="DW3"/>
    </row>
    <row r="4" spans="1:163" s="251" customFormat="1" ht="15" customHeight="1" x14ac:dyDescent="0.25">
      <c r="A4" s="1037">
        <v>1</v>
      </c>
      <c r="B4" s="480" t="s">
        <v>2787</v>
      </c>
      <c r="C4" s="480">
        <v>204545</v>
      </c>
      <c r="D4" s="480" t="s">
        <v>2788</v>
      </c>
      <c r="E4" s="480" t="s">
        <v>1606</v>
      </c>
      <c r="F4" s="480">
        <v>456560</v>
      </c>
      <c r="G4" s="480" t="s">
        <v>2789</v>
      </c>
      <c r="H4" s="480" t="s">
        <v>2790</v>
      </c>
      <c r="I4" s="1038">
        <v>42149</v>
      </c>
      <c r="J4" s="480">
        <v>3</v>
      </c>
      <c r="K4" s="1039">
        <f ca="1">(TODAY()-I4)/365.25</f>
        <v>10.329911019849419</v>
      </c>
      <c r="L4" s="1039" t="s">
        <v>1885</v>
      </c>
      <c r="M4" s="1037"/>
      <c r="N4" s="1037"/>
      <c r="O4" s="1040">
        <v>1757.76</v>
      </c>
      <c r="P4" s="1037"/>
      <c r="Q4" s="1037">
        <v>1190.1500000000001</v>
      </c>
      <c r="R4" s="1037"/>
      <c r="S4" s="1041">
        <v>45170</v>
      </c>
      <c r="T4" s="1042">
        <v>65</v>
      </c>
      <c r="U4" s="1043">
        <v>45382</v>
      </c>
      <c r="V4" s="1044">
        <v>192</v>
      </c>
      <c r="W4" s="1044">
        <f>V4-T4+1</f>
        <v>128</v>
      </c>
      <c r="X4" s="1045">
        <f>W4/192</f>
        <v>0.66666666666666663</v>
      </c>
      <c r="Y4" s="1046">
        <v>1</v>
      </c>
      <c r="Z4" s="1045">
        <f>Y4*X4</f>
        <v>0.66666666666666663</v>
      </c>
      <c r="AA4" s="1047">
        <f>O4*Z4</f>
        <v>1171.8399999999999</v>
      </c>
      <c r="AB4" s="1048"/>
      <c r="AC4" s="480"/>
      <c r="AD4" s="1037"/>
      <c r="AE4" s="1049"/>
      <c r="AF4" s="1049"/>
      <c r="AG4" s="1050"/>
      <c r="AH4" s="1005"/>
      <c r="AI4" s="1005"/>
      <c r="AJ4" s="1005"/>
      <c r="AK4" s="1050"/>
      <c r="AL4" s="1050"/>
      <c r="AM4" s="1050"/>
      <c r="AN4" s="1005"/>
      <c r="AO4" s="1051"/>
      <c r="AP4" s="1052"/>
      <c r="AQ4" s="1053"/>
      <c r="AR4" s="1053"/>
      <c r="AS4" s="1053"/>
      <c r="AT4" s="1053"/>
      <c r="AU4" s="1053"/>
      <c r="AV4" s="1053"/>
      <c r="AW4" s="1053"/>
      <c r="AX4" s="1053"/>
      <c r="AY4" s="1053"/>
      <c r="AZ4" s="1054"/>
      <c r="BA4" s="1055"/>
      <c r="BB4" s="1052"/>
      <c r="BC4" s="1053"/>
      <c r="BD4" s="1053"/>
      <c r="BE4" s="1054"/>
      <c r="BF4" s="1054"/>
      <c r="BG4" s="1056"/>
      <c r="BH4" s="1057"/>
      <c r="BI4" s="1057"/>
      <c r="BJ4" s="1057"/>
      <c r="BK4" s="1058"/>
      <c r="BL4" s="1058"/>
      <c r="BM4" s="1057"/>
      <c r="BN4" s="1017"/>
      <c r="BO4" s="1018"/>
      <c r="BP4" s="1018"/>
      <c r="BQ4" s="1019"/>
      <c r="BS4" s="1020"/>
      <c r="BT4" s="1021"/>
      <c r="BU4" s="1020"/>
      <c r="BV4" s="1021"/>
      <c r="BW4" s="1021"/>
      <c r="BX4" s="1022"/>
      <c r="BY4" s="1023"/>
      <c r="CA4" s="1024"/>
      <c r="CC4" s="1025"/>
      <c r="CD4" s="967"/>
      <c r="CE4" s="967"/>
      <c r="CF4" s="1026"/>
      <c r="CJ4" s="1059"/>
      <c r="CN4" s="1027"/>
      <c r="CO4" s="1060"/>
      <c r="CP4" s="1061"/>
      <c r="CR4" s="1062"/>
      <c r="CS4" s="1062"/>
      <c r="CT4" s="1062"/>
      <c r="CU4" s="1063"/>
      <c r="CV4" s="1063"/>
      <c r="CW4" s="1064"/>
      <c r="CX4" s="1035"/>
      <c r="CY4" s="1035"/>
      <c r="CZ4" s="1035"/>
      <c r="DA4" s="1036"/>
      <c r="DB4" s="1036"/>
      <c r="DC4" s="1065"/>
      <c r="DD4" s="1035"/>
      <c r="DE4" s="1036"/>
      <c r="DF4" s="1036"/>
      <c r="DG4" s="1035"/>
      <c r="DH4" s="1036"/>
      <c r="DI4" s="1036"/>
      <c r="DJ4" s="1035"/>
      <c r="DK4" s="1026"/>
      <c r="DL4" s="1033">
        <f>Q4</f>
        <v>1190.1500000000001</v>
      </c>
      <c r="DM4" s="1066">
        <f>DI4+DL4</f>
        <v>1190.1500000000001</v>
      </c>
      <c r="DN4" s="1035"/>
      <c r="DO4" s="251">
        <v>0</v>
      </c>
      <c r="DP4" s="973">
        <f>DM4+DO4</f>
        <v>1190.1500000000001</v>
      </c>
      <c r="DQ4" s="973"/>
      <c r="DR4" s="1067">
        <f t="shared" ref="DR4:DR67" si="0">DP4+DQ4</f>
        <v>1190.1500000000001</v>
      </c>
      <c r="DS4" s="973"/>
      <c r="DT4" s="973">
        <f>DR4+DS4</f>
        <v>1190.1500000000001</v>
      </c>
      <c r="DW4"/>
    </row>
    <row r="5" spans="1:163" x14ac:dyDescent="0.25">
      <c r="A5" s="1068">
        <v>1</v>
      </c>
      <c r="B5" s="480" t="s">
        <v>2787</v>
      </c>
      <c r="C5" s="480">
        <v>210166</v>
      </c>
      <c r="D5" s="480" t="s">
        <v>2791</v>
      </c>
      <c r="E5" s="480" t="s">
        <v>1606</v>
      </c>
      <c r="F5" s="480">
        <v>411897</v>
      </c>
      <c r="G5" s="480" t="s">
        <v>2792</v>
      </c>
      <c r="H5" s="480" t="s">
        <v>2793</v>
      </c>
      <c r="I5" s="1038">
        <v>41411</v>
      </c>
      <c r="J5" s="480">
        <v>3</v>
      </c>
      <c r="K5" s="1039">
        <f ca="1">(TODAY()-I5)/365.25</f>
        <v>12.350444900752908</v>
      </c>
      <c r="L5" s="1039" t="s">
        <v>1885</v>
      </c>
      <c r="M5" s="1039" t="s">
        <v>2794</v>
      </c>
      <c r="N5" s="480" t="s">
        <v>2795</v>
      </c>
      <c r="O5" s="1069"/>
      <c r="P5" s="1069" t="s">
        <v>2796</v>
      </c>
      <c r="Q5" s="1070">
        <v>3928.17</v>
      </c>
      <c r="R5" s="1071">
        <v>1104</v>
      </c>
      <c r="S5" s="963">
        <v>45017</v>
      </c>
      <c r="T5" s="1042">
        <v>1</v>
      </c>
      <c r="U5" s="963">
        <v>45382</v>
      </c>
      <c r="V5" s="1044">
        <v>192</v>
      </c>
      <c r="W5" s="1044">
        <f>V5-T5+1</f>
        <v>192</v>
      </c>
      <c r="X5" s="1045">
        <f>W5/192</f>
        <v>1</v>
      </c>
      <c r="Y5" s="1046">
        <v>1</v>
      </c>
      <c r="Z5" s="1045">
        <f>Y5*X5</f>
        <v>1</v>
      </c>
      <c r="AA5" s="1047">
        <f>O5*Z5</f>
        <v>0</v>
      </c>
      <c r="AB5" s="1069" t="s">
        <v>2797</v>
      </c>
      <c r="AC5" s="1069" t="s">
        <v>2797</v>
      </c>
      <c r="AD5" s="1068"/>
      <c r="AE5" s="1072">
        <f>AG5</f>
        <v>5032.17</v>
      </c>
      <c r="AF5" s="1068"/>
      <c r="AG5" s="1073">
        <f>3928.17+1104</f>
        <v>5032.17</v>
      </c>
      <c r="AH5" s="1073">
        <v>3928.17</v>
      </c>
      <c r="AI5" s="1073">
        <v>1104</v>
      </c>
      <c r="AJ5" s="1073" t="s">
        <v>2798</v>
      </c>
      <c r="AK5" s="1073" t="str">
        <f>IF(AG5&lt;=5000,"yes","no")</f>
        <v>no</v>
      </c>
      <c r="AL5" s="1073" t="str">
        <f>IF(AND(AG5&gt;=5001,AG5&lt;=10000),"yes","no")</f>
        <v>yes</v>
      </c>
      <c r="AM5" s="1073" t="str">
        <f>IF(AG5&gt;=10001,"yes","no")</f>
        <v>no</v>
      </c>
      <c r="AN5" s="1073"/>
      <c r="AO5" s="1068"/>
      <c r="AP5" s="1073"/>
      <c r="AQ5" s="1068"/>
      <c r="AR5" s="1068"/>
      <c r="AS5" s="1068"/>
      <c r="AT5" s="1068"/>
      <c r="AU5" s="1068"/>
      <c r="AV5" s="1068"/>
      <c r="AW5" s="1068"/>
      <c r="AX5" s="1068"/>
      <c r="AY5" s="1068"/>
      <c r="AZ5" s="1068"/>
      <c r="BA5" s="1073">
        <v>1104</v>
      </c>
      <c r="BB5" s="1073"/>
      <c r="BC5" s="1068"/>
      <c r="BD5" s="1068"/>
      <c r="BE5" s="1068"/>
      <c r="BF5" s="1068"/>
      <c r="BG5" s="1068"/>
      <c r="BH5" s="1073">
        <f>AP5+AT5+AX5</f>
        <v>0</v>
      </c>
      <c r="BI5" s="1068" cm="1">
        <f t="array" ref="BI5:BI81">BD5:BD81</f>
        <v>0</v>
      </c>
      <c r="BJ5" s="1068"/>
      <c r="BK5" s="1083" cm="1">
        <f t="array" ref="BK5:BK81">AG5:AG81</f>
        <v>5032.17</v>
      </c>
      <c r="BL5" s="1083">
        <f>BB5</f>
        <v>0</v>
      </c>
      <c r="BM5" s="1083">
        <f>BA5</f>
        <v>1104</v>
      </c>
      <c r="BN5" s="1092">
        <f>BK5+BL5-BM5</f>
        <v>3928.17</v>
      </c>
      <c r="BO5" s="1092">
        <v>0</v>
      </c>
      <c r="BP5" s="1092"/>
      <c r="BQ5" s="1092">
        <v>3928.17</v>
      </c>
      <c r="CJ5" s="1093">
        <f>BQ5-CC5+CE5-CN5</f>
        <v>3928.17</v>
      </c>
      <c r="CL5" s="1094">
        <v>1104</v>
      </c>
      <c r="CM5" s="1095">
        <f>BM5</f>
        <v>1104</v>
      </c>
      <c r="CN5" s="1096">
        <f>CL5-CM5</f>
        <v>0</v>
      </c>
      <c r="CO5" s="1097">
        <v>3928.17</v>
      </c>
      <c r="CP5" s="1098">
        <f>CO5-BQ5</f>
        <v>0</v>
      </c>
      <c r="CR5" s="1100"/>
      <c r="CS5" s="1100"/>
      <c r="CT5" s="1100"/>
      <c r="CU5" s="1101">
        <f>CO5+CS5+CT5</f>
        <v>3928.17</v>
      </c>
      <c r="CV5" s="1102">
        <f>CU5-CO5</f>
        <v>0</v>
      </c>
      <c r="CW5" s="1103"/>
      <c r="DA5" s="1104">
        <f>CU5+CX5+CY5+CZ5</f>
        <v>3928.17</v>
      </c>
      <c r="DB5" s="1067">
        <f>(DA5-CU5)</f>
        <v>0</v>
      </c>
      <c r="DF5" s="1067">
        <f>SUM(DA5+DD5+DE5)</f>
        <v>3928.17</v>
      </c>
      <c r="DG5" s="1105">
        <f>SUM(DF5)-DA5</f>
        <v>0</v>
      </c>
      <c r="DI5" s="1067">
        <f>DF5+DH5</f>
        <v>3928.17</v>
      </c>
      <c r="DJ5" s="1067">
        <f>DI5-DF5</f>
        <v>0</v>
      </c>
      <c r="DM5" s="1066">
        <f>DI5+DL5</f>
        <v>3928.17</v>
      </c>
      <c r="DP5" s="973">
        <f>DM5+DO5</f>
        <v>3928.17</v>
      </c>
      <c r="DR5" s="1067">
        <f t="shared" si="0"/>
        <v>3928.17</v>
      </c>
      <c r="DT5" s="973">
        <f t="shared" ref="DT5:DT68" si="1">DR5+DS5</f>
        <v>3928.17</v>
      </c>
      <c r="DV5" s="251"/>
    </row>
    <row r="6" spans="1:163" x14ac:dyDescent="0.25">
      <c r="D6" s="1074" t="s">
        <v>3844</v>
      </c>
      <c r="E6" s="1074" t="s">
        <v>1606</v>
      </c>
      <c r="F6" s="1074">
        <v>457141</v>
      </c>
      <c r="G6" s="1074" t="s">
        <v>3364</v>
      </c>
      <c r="H6" s="1074" t="s">
        <v>167</v>
      </c>
      <c r="I6" s="1074">
        <v>44040</v>
      </c>
      <c r="J6" s="1074">
        <v>-1</v>
      </c>
      <c r="K6" s="1074">
        <v>3.5263518138261465</v>
      </c>
      <c r="N6" s="1074">
        <v>29</v>
      </c>
      <c r="O6" s="1106">
        <v>13710.33</v>
      </c>
      <c r="P6" s="2040" t="s">
        <v>1865</v>
      </c>
      <c r="Q6" s="1074">
        <v>3142</v>
      </c>
      <c r="R6" s="1074">
        <v>0</v>
      </c>
      <c r="S6" s="2041">
        <v>45315</v>
      </c>
      <c r="T6" s="1042">
        <v>152</v>
      </c>
      <c r="U6" s="1108">
        <v>45382</v>
      </c>
      <c r="V6" s="1044">
        <v>192</v>
      </c>
      <c r="W6" s="1044">
        <f>V6-T6+1</f>
        <v>41</v>
      </c>
      <c r="X6" s="1045">
        <f>W6/192</f>
        <v>0.21354166666666666</v>
      </c>
      <c r="Y6" s="1109">
        <v>1</v>
      </c>
      <c r="Z6" s="1045">
        <f>Y6*X6</f>
        <v>0.21354166666666666</v>
      </c>
      <c r="AA6" s="1047">
        <f>O6*Z6</f>
        <v>2927.7267187499997</v>
      </c>
      <c r="AB6" s="1069" t="s">
        <v>2797</v>
      </c>
      <c r="AC6" s="1069" t="s">
        <v>2797</v>
      </c>
      <c r="BI6" s="1074">
        <v>0</v>
      </c>
      <c r="BK6" s="1074">
        <v>0</v>
      </c>
      <c r="DP6" s="1074">
        <v>0</v>
      </c>
      <c r="DQ6" s="1067">
        <v>0</v>
      </c>
      <c r="DR6" s="1067">
        <f t="shared" si="0"/>
        <v>0</v>
      </c>
      <c r="DS6" s="1067">
        <f>AA6</f>
        <v>2927.7267187499997</v>
      </c>
      <c r="DT6" s="973">
        <f t="shared" si="1"/>
        <v>2927.7267187499997</v>
      </c>
      <c r="DV6" s="251"/>
    </row>
    <row r="7" spans="1:163" s="1118" customFormat="1" x14ac:dyDescent="0.25">
      <c r="A7" s="1068">
        <v>1</v>
      </c>
      <c r="B7" s="480" t="s">
        <v>2799</v>
      </c>
      <c r="C7" s="480"/>
      <c r="D7" s="480" t="s">
        <v>2800</v>
      </c>
      <c r="E7" s="480" t="s">
        <v>1606</v>
      </c>
      <c r="F7" s="480">
        <v>437692</v>
      </c>
      <c r="G7" s="480" t="s">
        <v>2801</v>
      </c>
      <c r="H7" s="480" t="s">
        <v>2628</v>
      </c>
      <c r="I7" s="1038">
        <v>43400</v>
      </c>
      <c r="J7" s="480"/>
      <c r="K7" s="1039">
        <f t="shared" ref="K7:K42" ca="1" si="2">(TODAY()-I7)/365.25</f>
        <v>6.9048596851471595</v>
      </c>
      <c r="L7" s="1039" t="s">
        <v>1885</v>
      </c>
      <c r="M7" s="1039"/>
      <c r="N7" s="480" t="s">
        <v>2802</v>
      </c>
      <c r="O7" s="1112" t="s">
        <v>2803</v>
      </c>
      <c r="P7" s="1113"/>
      <c r="Q7" s="1114">
        <v>9640.2999999999993</v>
      </c>
      <c r="R7" s="1115">
        <v>0</v>
      </c>
      <c r="S7" s="963">
        <v>45170</v>
      </c>
      <c r="T7" s="1042">
        <v>65</v>
      </c>
      <c r="U7" s="963">
        <v>45382</v>
      </c>
      <c r="V7" s="1044">
        <v>192</v>
      </c>
      <c r="W7" s="1044">
        <f t="shared" ref="W7:W70" si="3">V7-T7+1</f>
        <v>128</v>
      </c>
      <c r="X7" s="1045">
        <f t="shared" ref="X7:X70" si="4">W7/192</f>
        <v>0.66666666666666663</v>
      </c>
      <c r="Y7" s="1046">
        <v>1</v>
      </c>
      <c r="Z7" s="1045">
        <f t="shared" ref="Z7:Z70" si="5">Y7*X7</f>
        <v>0.66666666666666663</v>
      </c>
      <c r="AA7" s="1047">
        <f>Q7*Z7</f>
        <v>6426.8666666666659</v>
      </c>
      <c r="AB7" s="1069" t="s">
        <v>2797</v>
      </c>
      <c r="AC7" s="1069" t="s">
        <v>2797</v>
      </c>
      <c r="AD7" s="1075"/>
      <c r="AE7" s="1116"/>
      <c r="AF7" s="1075"/>
      <c r="AG7" s="1116"/>
      <c r="AH7" s="1116"/>
      <c r="AI7" s="1116"/>
      <c r="AJ7" s="1116"/>
      <c r="AK7" s="1116" t="s">
        <v>2804</v>
      </c>
      <c r="AL7" s="1115" t="s">
        <v>2805</v>
      </c>
      <c r="AM7" s="1115" t="s">
        <v>2804</v>
      </c>
      <c r="AN7" s="1116"/>
      <c r="AO7" s="1075"/>
      <c r="AP7" s="1116"/>
      <c r="AQ7" s="1075"/>
      <c r="AR7" s="1075"/>
      <c r="AS7" s="1075"/>
      <c r="AT7" s="1075"/>
      <c r="AU7" s="1075"/>
      <c r="AV7" s="1075"/>
      <c r="AW7" s="1075"/>
      <c r="AX7" s="1075"/>
      <c r="AY7" s="1075"/>
      <c r="AZ7" s="1075"/>
      <c r="BA7" s="1116"/>
      <c r="BB7" s="1116"/>
      <c r="BC7" s="1075"/>
      <c r="BD7" s="1075"/>
      <c r="BE7" s="1075"/>
      <c r="BF7" s="1075"/>
      <c r="BG7" s="1075"/>
      <c r="BH7" s="1116"/>
      <c r="BI7" s="1075">
        <v>0</v>
      </c>
      <c r="BJ7" s="1075"/>
      <c r="BK7" s="1084">
        <v>0</v>
      </c>
      <c r="BL7" s="1084"/>
      <c r="BM7" s="1084"/>
      <c r="BN7" s="1117"/>
      <c r="BO7" s="1117"/>
      <c r="BP7" s="1117"/>
      <c r="BQ7" s="1117"/>
      <c r="CJ7" s="1119"/>
      <c r="CM7" s="1095"/>
      <c r="CN7" s="1120"/>
      <c r="CO7" s="1121"/>
      <c r="CP7" s="1121"/>
      <c r="CQ7" s="1122"/>
      <c r="CR7" s="1123"/>
      <c r="CS7" s="1123"/>
      <c r="CT7" s="1123"/>
      <c r="CU7" s="1124"/>
      <c r="CV7" s="1124"/>
      <c r="CW7" s="1125"/>
      <c r="DA7" s="1067"/>
      <c r="DB7" s="1067"/>
      <c r="DE7" s="1066">
        <v>6827.36</v>
      </c>
      <c r="DF7" s="1067">
        <f t="shared" ref="DF7:DF75" si="6">SUM(DA7+DD7+DE7)</f>
        <v>6827.36</v>
      </c>
      <c r="DG7" s="1105">
        <f t="shared" ref="DG7:DG75" si="7">SUM(DF7)-DA7</f>
        <v>6827.36</v>
      </c>
      <c r="DH7" s="1126"/>
      <c r="DI7" s="1067">
        <f>DF7+DH7</f>
        <v>6827.36</v>
      </c>
      <c r="DJ7" s="1067">
        <f t="shared" ref="DJ7:DJ72" si="8">DI7-DF7</f>
        <v>0</v>
      </c>
      <c r="DK7" s="1111" t="s">
        <v>75</v>
      </c>
      <c r="DL7" s="1126"/>
      <c r="DM7" s="1066">
        <f>DI7+DL7</f>
        <v>6827.36</v>
      </c>
      <c r="DP7" s="973">
        <f>DM7+DO7</f>
        <v>6827.36</v>
      </c>
      <c r="DQ7" s="1126"/>
      <c r="DR7" s="1067">
        <f t="shared" si="0"/>
        <v>6827.36</v>
      </c>
      <c r="DS7" s="1126"/>
      <c r="DT7" s="973">
        <f t="shared" si="1"/>
        <v>6827.36</v>
      </c>
      <c r="DV7" s="251"/>
      <c r="DW7"/>
    </row>
    <row r="8" spans="1:163" s="1130" customFormat="1" x14ac:dyDescent="0.25">
      <c r="A8" s="1068">
        <v>1</v>
      </c>
      <c r="B8" s="480" t="s">
        <v>2806</v>
      </c>
      <c r="C8" s="480">
        <v>204176</v>
      </c>
      <c r="D8" s="480" t="s">
        <v>2807</v>
      </c>
      <c r="E8" s="480" t="s">
        <v>1876</v>
      </c>
      <c r="F8" s="480">
        <v>438779</v>
      </c>
      <c r="G8" s="480" t="s">
        <v>2808</v>
      </c>
      <c r="H8" s="480" t="s">
        <v>713</v>
      </c>
      <c r="I8" s="1038">
        <v>37874</v>
      </c>
      <c r="J8" s="480">
        <v>0</v>
      </c>
      <c r="K8" s="1039">
        <f t="shared" ca="1" si="2"/>
        <v>22.034223134839152</v>
      </c>
      <c r="L8" s="1039" t="s">
        <v>1886</v>
      </c>
      <c r="M8" s="1039" t="s">
        <v>2809</v>
      </c>
      <c r="N8" s="480" t="s">
        <v>91</v>
      </c>
      <c r="O8" s="1069" t="s">
        <v>2810</v>
      </c>
      <c r="P8" s="1069" t="s">
        <v>2811</v>
      </c>
      <c r="Q8" s="1073">
        <v>9000</v>
      </c>
      <c r="R8" s="1071">
        <v>2788</v>
      </c>
      <c r="S8" s="963">
        <v>45017</v>
      </c>
      <c r="T8" s="1042">
        <v>1</v>
      </c>
      <c r="U8" s="963">
        <v>45382</v>
      </c>
      <c r="V8" s="1044">
        <v>192</v>
      </c>
      <c r="W8" s="1044">
        <f t="shared" si="3"/>
        <v>192</v>
      </c>
      <c r="X8" s="1045">
        <f t="shared" si="4"/>
        <v>1</v>
      </c>
      <c r="Y8" s="1046">
        <v>1</v>
      </c>
      <c r="Z8" s="1045">
        <f t="shared" si="5"/>
        <v>1</v>
      </c>
      <c r="AA8" s="1047">
        <f>Q8*Z8</f>
        <v>9000</v>
      </c>
      <c r="AB8" s="1069" t="s">
        <v>2797</v>
      </c>
      <c r="AC8" s="1069" t="s">
        <v>2797</v>
      </c>
      <c r="AD8" s="1068"/>
      <c r="AE8" s="1072">
        <f t="shared" ref="AE8:AE13" si="9">AG8</f>
        <v>11788</v>
      </c>
      <c r="AF8" s="1068"/>
      <c r="AG8" s="1073">
        <f>9000+2788</f>
        <v>11788</v>
      </c>
      <c r="AH8" s="1073">
        <v>9000</v>
      </c>
      <c r="AI8" s="1073">
        <v>2788</v>
      </c>
      <c r="AJ8" s="1069" t="s">
        <v>2812</v>
      </c>
      <c r="AK8" s="1073" t="str">
        <f t="shared" ref="AK8:AK13" si="10">IF(AG8&lt;=5000,"yes","no")</f>
        <v>no</v>
      </c>
      <c r="AL8" s="1073" t="str">
        <f t="shared" ref="AL8:AL13" si="11">IF(AND(AG8&gt;=5001,AG8&lt;=10000),"yes","no")</f>
        <v>no</v>
      </c>
      <c r="AM8" s="1073" t="str">
        <f t="shared" ref="AM8:AM13" si="12">IF(AG8&gt;=10001,"yes","no")</f>
        <v>yes</v>
      </c>
      <c r="AN8" s="1069"/>
      <c r="AO8" s="1068"/>
      <c r="AP8" s="1073"/>
      <c r="AQ8" s="1068"/>
      <c r="AR8" s="1068"/>
      <c r="AS8" s="1068"/>
      <c r="AT8" s="1068"/>
      <c r="AU8" s="1068"/>
      <c r="AV8" s="1068"/>
      <c r="AW8" s="1068"/>
      <c r="AX8" s="1068"/>
      <c r="AY8" s="1068"/>
      <c r="AZ8" s="1068"/>
      <c r="BA8" s="1073"/>
      <c r="BB8" s="1073">
        <v>2788</v>
      </c>
      <c r="BC8" s="1068"/>
      <c r="BD8" s="1068"/>
      <c r="BE8" s="1068">
        <v>8071642</v>
      </c>
      <c r="BF8" s="1068"/>
      <c r="BG8" s="1068"/>
      <c r="BH8" s="1073">
        <f>AP8+AT8+AX8</f>
        <v>0</v>
      </c>
      <c r="BI8" s="1068">
        <v>0</v>
      </c>
      <c r="BJ8" s="1068"/>
      <c r="BK8" s="1083">
        <v>11788</v>
      </c>
      <c r="BL8" s="1083">
        <f t="shared" ref="BL8:BL81" si="13">BB8</f>
        <v>2788</v>
      </c>
      <c r="BM8" s="1083">
        <f t="shared" ref="BM8:BM81" si="14">BA8</f>
        <v>0</v>
      </c>
      <c r="BN8" s="1092">
        <f t="shared" ref="BN8:BN81" si="15">BK8+BL8-BM8</f>
        <v>14576</v>
      </c>
      <c r="BO8" s="1092">
        <v>0</v>
      </c>
      <c r="BP8" s="1092"/>
      <c r="BQ8" s="1092">
        <v>14576</v>
      </c>
      <c r="BR8" s="1074"/>
      <c r="BS8" s="1074"/>
      <c r="BT8" s="1074"/>
      <c r="BU8" s="1074"/>
      <c r="BV8" s="1074"/>
      <c r="BW8" s="1074"/>
      <c r="BX8" s="1074"/>
      <c r="BY8" s="1074"/>
      <c r="BZ8" s="1074"/>
      <c r="CA8" s="1074"/>
      <c r="CB8" s="1074"/>
      <c r="CC8" s="1074"/>
      <c r="CD8" s="1074"/>
      <c r="CE8" s="1074"/>
      <c r="CF8" s="1074"/>
      <c r="CG8" s="1074"/>
      <c r="CH8" s="1074"/>
      <c r="CI8" s="1074"/>
      <c r="CJ8" s="1093">
        <f>BQ8-CC8+CE8-CN8</f>
        <v>11788</v>
      </c>
      <c r="CK8" s="1074"/>
      <c r="CL8" s="1094">
        <v>2788</v>
      </c>
      <c r="CM8" s="1095">
        <f t="shared" ref="CM8:CM13" si="16">BM8</f>
        <v>0</v>
      </c>
      <c r="CN8" s="1127">
        <f t="shared" ref="CN8:CN13" si="17">CL8-CM8</f>
        <v>2788</v>
      </c>
      <c r="CO8" s="1098">
        <v>11788</v>
      </c>
      <c r="CP8" s="1098">
        <f t="shared" ref="CP8:CP13" si="18">CO8-BQ8</f>
        <v>-2788</v>
      </c>
      <c r="CQ8" s="1128"/>
      <c r="CR8" s="1100"/>
      <c r="CS8" s="1100"/>
      <c r="CT8" s="1100"/>
      <c r="CU8" s="1101">
        <f t="shared" ref="CU8:CU81" si="19">CO8+CS8+CT8</f>
        <v>11788</v>
      </c>
      <c r="CV8" s="1124">
        <f t="shared" ref="CV8:CV79" si="20">CU8-CO8</f>
        <v>0</v>
      </c>
      <c r="CW8" s="1129"/>
      <c r="CY8" s="1074"/>
      <c r="CZ8" s="1074"/>
      <c r="DA8" s="1104">
        <f>CU8+CX8+CY8+CZ8</f>
        <v>11788</v>
      </c>
      <c r="DB8" s="1067">
        <f t="shared" ref="DB8:DB13" si="21">(DA8-CU8)</f>
        <v>0</v>
      </c>
      <c r="DC8" s="1074"/>
      <c r="DD8" s="1074"/>
      <c r="DE8" s="1067"/>
      <c r="DF8" s="1067">
        <f t="shared" si="6"/>
        <v>11788</v>
      </c>
      <c r="DG8" s="1105">
        <f t="shared" si="7"/>
        <v>0</v>
      </c>
      <c r="DH8" s="1067"/>
      <c r="DI8" s="1067">
        <f>DF8+DH8</f>
        <v>11788</v>
      </c>
      <c r="DJ8" s="1067">
        <f t="shared" si="8"/>
        <v>0</v>
      </c>
      <c r="DK8" s="1074"/>
      <c r="DL8" s="1067"/>
      <c r="DM8" s="1066">
        <f>DI8+DL8</f>
        <v>11788</v>
      </c>
      <c r="DN8" s="1074"/>
      <c r="DO8" s="1074"/>
      <c r="DP8" s="973">
        <f>DM8+DO8</f>
        <v>11788</v>
      </c>
      <c r="DQ8" s="1067"/>
      <c r="DR8" s="1067">
        <f t="shared" si="0"/>
        <v>11788</v>
      </c>
      <c r="DS8" s="1067"/>
      <c r="DT8" s="973">
        <f t="shared" si="1"/>
        <v>11788</v>
      </c>
      <c r="DU8" s="1074"/>
      <c r="DV8" s="251"/>
      <c r="DW8"/>
      <c r="DX8" s="1074"/>
      <c r="DY8" s="1074"/>
      <c r="DZ8" s="1074"/>
      <c r="EA8" s="1074"/>
      <c r="EB8" s="1074"/>
      <c r="EC8" s="1074"/>
      <c r="ED8" s="1074"/>
      <c r="EE8" s="1074"/>
      <c r="EF8" s="1074"/>
      <c r="EG8" s="1074"/>
      <c r="EH8" s="1074"/>
      <c r="EI8" s="1074"/>
      <c r="EJ8" s="1074"/>
      <c r="EK8" s="1074"/>
      <c r="EL8" s="1074"/>
      <c r="EM8" s="1074"/>
      <c r="EN8" s="1074"/>
      <c r="EO8" s="1074"/>
      <c r="EP8" s="1074"/>
      <c r="EQ8" s="1074"/>
      <c r="ER8" s="1074"/>
      <c r="ES8" s="1074"/>
      <c r="ET8" s="1074"/>
      <c r="EU8" s="1074"/>
      <c r="EV8" s="1074"/>
      <c r="EW8" s="1074"/>
      <c r="EX8" s="1074"/>
      <c r="EY8" s="1074"/>
      <c r="EZ8" s="1074"/>
      <c r="FA8" s="1074"/>
      <c r="FB8" s="1074"/>
      <c r="FC8" s="1074"/>
      <c r="FD8" s="1074"/>
      <c r="FE8" s="1074"/>
      <c r="FF8" s="1074"/>
      <c r="FG8" s="1074"/>
    </row>
    <row r="9" spans="1:163" x14ac:dyDescent="0.25">
      <c r="A9" s="1068">
        <v>1</v>
      </c>
      <c r="B9" s="480" t="s">
        <v>2787</v>
      </c>
      <c r="C9" s="480">
        <v>208554</v>
      </c>
      <c r="D9" s="480" t="s">
        <v>2813</v>
      </c>
      <c r="E9" s="480" t="s">
        <v>1876</v>
      </c>
      <c r="F9" s="480">
        <v>432431</v>
      </c>
      <c r="G9" s="480" t="s">
        <v>2814</v>
      </c>
      <c r="H9" s="480" t="s">
        <v>1682</v>
      </c>
      <c r="I9" s="1038">
        <v>41837</v>
      </c>
      <c r="J9" s="480">
        <v>2</v>
      </c>
      <c r="K9" s="1039">
        <f t="shared" ca="1" si="2"/>
        <v>11.184120465434633</v>
      </c>
      <c r="L9" s="1039" t="s">
        <v>1885</v>
      </c>
      <c r="M9" s="1039" t="s">
        <v>56</v>
      </c>
      <c r="N9" s="480" t="s">
        <v>91</v>
      </c>
      <c r="O9" s="1069" t="s">
        <v>2815</v>
      </c>
      <c r="P9" s="1069" t="s">
        <v>2816</v>
      </c>
      <c r="Q9" s="1073">
        <v>7727.25</v>
      </c>
      <c r="R9" s="1073">
        <v>3832.35</v>
      </c>
      <c r="S9" s="963">
        <v>45017</v>
      </c>
      <c r="T9" s="1042">
        <v>1</v>
      </c>
      <c r="U9" s="963">
        <v>45382</v>
      </c>
      <c r="V9" s="1044">
        <v>192</v>
      </c>
      <c r="W9" s="1044">
        <f t="shared" si="3"/>
        <v>192</v>
      </c>
      <c r="X9" s="1045">
        <f t="shared" si="4"/>
        <v>1</v>
      </c>
      <c r="Y9" s="1046">
        <v>1</v>
      </c>
      <c r="Z9" s="1045">
        <f t="shared" si="5"/>
        <v>1</v>
      </c>
      <c r="AA9" s="1047">
        <f>Q9*Z9</f>
        <v>7727.25</v>
      </c>
      <c r="AB9" s="1069" t="s">
        <v>2797</v>
      </c>
      <c r="AC9" s="1069" t="s">
        <v>2797</v>
      </c>
      <c r="AD9" s="1068"/>
      <c r="AE9" s="1072">
        <f t="shared" si="9"/>
        <v>11559.6</v>
      </c>
      <c r="AF9" s="1068"/>
      <c r="AG9" s="1073">
        <f>7727.25+3832.35</f>
        <v>11559.6</v>
      </c>
      <c r="AH9" s="1073">
        <v>7727.25</v>
      </c>
      <c r="AI9" s="1073">
        <v>3832.5</v>
      </c>
      <c r="AJ9" s="1073"/>
      <c r="AK9" s="1073" t="str">
        <f t="shared" si="10"/>
        <v>no</v>
      </c>
      <c r="AL9" s="1073" t="str">
        <f t="shared" si="11"/>
        <v>no</v>
      </c>
      <c r="AM9" s="1073" t="str">
        <f t="shared" si="12"/>
        <v>yes</v>
      </c>
      <c r="AN9" s="1073"/>
      <c r="AO9" s="1068"/>
      <c r="AP9" s="1073"/>
      <c r="AQ9" s="1068"/>
      <c r="AR9" s="1068"/>
      <c r="AS9" s="1068"/>
      <c r="AT9" s="1068"/>
      <c r="AU9" s="1068"/>
      <c r="AV9" s="1068"/>
      <c r="AW9" s="1068"/>
      <c r="AX9" s="1068"/>
      <c r="AY9" s="1068"/>
      <c r="AZ9" s="1068"/>
      <c r="BA9" s="1073"/>
      <c r="BB9" s="1073">
        <v>3832.35</v>
      </c>
      <c r="BC9" s="1068"/>
      <c r="BD9" s="1068"/>
      <c r="BE9" s="1068">
        <v>8071513</v>
      </c>
      <c r="BF9" s="1068"/>
      <c r="BG9" s="1068"/>
      <c r="BH9" s="1073">
        <f>AP9+AT9+AX9</f>
        <v>0</v>
      </c>
      <c r="BI9" s="1068">
        <v>0</v>
      </c>
      <c r="BJ9" s="1068"/>
      <c r="BK9" s="1083">
        <v>11559.6</v>
      </c>
      <c r="BL9" s="1083">
        <f t="shared" si="13"/>
        <v>3832.35</v>
      </c>
      <c r="BM9" s="1083">
        <f t="shared" si="14"/>
        <v>0</v>
      </c>
      <c r="BN9" s="1092">
        <f t="shared" si="15"/>
        <v>15391.95</v>
      </c>
      <c r="BO9" s="1092">
        <v>0</v>
      </c>
      <c r="BP9" s="1092"/>
      <c r="BQ9" s="1092">
        <v>15391.95</v>
      </c>
      <c r="CJ9" s="1093">
        <f t="shared" ref="CJ9:CJ81" si="22">BQ9-CC9+CE9-CN9</f>
        <v>15391.95</v>
      </c>
      <c r="CM9" s="1095">
        <f t="shared" si="16"/>
        <v>0</v>
      </c>
      <c r="CN9" s="1127">
        <f t="shared" si="17"/>
        <v>0</v>
      </c>
      <c r="CO9" s="1098">
        <v>15391.95</v>
      </c>
      <c r="CP9" s="1098">
        <f t="shared" si="18"/>
        <v>0</v>
      </c>
      <c r="CR9" s="1100"/>
      <c r="CS9" s="1100"/>
      <c r="CT9" s="1100"/>
      <c r="CU9" s="1101">
        <f t="shared" si="19"/>
        <v>15391.95</v>
      </c>
      <c r="CV9" s="1124">
        <f t="shared" si="20"/>
        <v>0</v>
      </c>
      <c r="CW9" s="1103"/>
      <c r="DA9" s="1104">
        <f>CU9+CX9+CY9+CZ9</f>
        <v>15391.95</v>
      </c>
      <c r="DB9" s="1067">
        <f t="shared" si="21"/>
        <v>0</v>
      </c>
      <c r="DF9" s="1067">
        <f t="shared" si="6"/>
        <v>15391.95</v>
      </c>
      <c r="DG9" s="1105">
        <f t="shared" si="7"/>
        <v>0</v>
      </c>
      <c r="DH9" s="1067">
        <v>-3832.5</v>
      </c>
      <c r="DI9" s="1067">
        <f>DF9+DH9</f>
        <v>11559.45</v>
      </c>
      <c r="DJ9" s="1067">
        <f t="shared" si="8"/>
        <v>-3832.5</v>
      </c>
      <c r="DM9" s="1066">
        <f>DI9+DL9</f>
        <v>11559.45</v>
      </c>
      <c r="DP9" s="973">
        <f>DM9+DO9</f>
        <v>11559.45</v>
      </c>
      <c r="DR9" s="1067">
        <f t="shared" si="0"/>
        <v>11559.45</v>
      </c>
      <c r="DT9" s="973">
        <f t="shared" si="1"/>
        <v>11559.45</v>
      </c>
      <c r="DV9" s="251"/>
    </row>
    <row r="10" spans="1:163" x14ac:dyDescent="0.25">
      <c r="A10" s="1068">
        <v>1</v>
      </c>
      <c r="B10" s="480" t="s">
        <v>2787</v>
      </c>
      <c r="C10" s="480">
        <v>211215</v>
      </c>
      <c r="D10" s="480" t="s">
        <v>2211</v>
      </c>
      <c r="E10" s="480" t="s">
        <v>1876</v>
      </c>
      <c r="F10" s="480">
        <v>443847</v>
      </c>
      <c r="G10" s="480" t="s">
        <v>2210</v>
      </c>
      <c r="H10" s="480" t="s">
        <v>1208</v>
      </c>
      <c r="I10" s="1038">
        <v>40846</v>
      </c>
      <c r="J10" s="480">
        <v>5</v>
      </c>
      <c r="K10" s="1039">
        <f t="shared" ca="1" si="2"/>
        <v>13.897330595482547</v>
      </c>
      <c r="L10" s="1039" t="s">
        <v>1885</v>
      </c>
      <c r="M10" s="1039" t="s">
        <v>56</v>
      </c>
      <c r="N10" s="480" t="s">
        <v>91</v>
      </c>
      <c r="O10" s="1069">
        <v>4925</v>
      </c>
      <c r="P10" s="1069" t="s">
        <v>2817</v>
      </c>
      <c r="Q10" s="1073">
        <v>4925</v>
      </c>
      <c r="R10" s="1071">
        <f>6804</f>
        <v>6804</v>
      </c>
      <c r="S10" s="963">
        <v>45017</v>
      </c>
      <c r="T10" s="1042">
        <v>1</v>
      </c>
      <c r="U10" s="963">
        <v>45382</v>
      </c>
      <c r="V10" s="1044">
        <v>192</v>
      </c>
      <c r="W10" s="1044">
        <f t="shared" si="3"/>
        <v>192</v>
      </c>
      <c r="X10" s="1045">
        <f t="shared" si="4"/>
        <v>1</v>
      </c>
      <c r="Y10" s="1046">
        <v>1</v>
      </c>
      <c r="Z10" s="1045">
        <f t="shared" si="5"/>
        <v>1</v>
      </c>
      <c r="AA10" s="1047">
        <f t="shared" ref="AA10:AA73" si="23">O10*Z10</f>
        <v>4925</v>
      </c>
      <c r="AB10" s="1069" t="s">
        <v>2797</v>
      </c>
      <c r="AC10" s="1069" t="s">
        <v>2797</v>
      </c>
      <c r="AD10" s="1068"/>
      <c r="AE10" s="1072">
        <f t="shared" si="9"/>
        <v>11729</v>
      </c>
      <c r="AF10" s="1068"/>
      <c r="AG10" s="1073">
        <f>6804+4925</f>
        <v>11729</v>
      </c>
      <c r="AH10" s="1073">
        <v>4925</v>
      </c>
      <c r="AI10" s="1073">
        <v>6804</v>
      </c>
      <c r="AJ10" s="1073" t="s">
        <v>2818</v>
      </c>
      <c r="AK10" s="1073" t="str">
        <f t="shared" si="10"/>
        <v>no</v>
      </c>
      <c r="AL10" s="1073" t="str">
        <f t="shared" si="11"/>
        <v>no</v>
      </c>
      <c r="AM10" s="1073" t="str">
        <f t="shared" si="12"/>
        <v>yes</v>
      </c>
      <c r="AN10" s="1073"/>
      <c r="AO10" s="1068" t="s">
        <v>2819</v>
      </c>
      <c r="AP10" s="1073">
        <v>6804.2</v>
      </c>
      <c r="AQ10" s="1068"/>
      <c r="AR10" s="1068"/>
      <c r="AS10" s="1068"/>
      <c r="AT10" s="1068"/>
      <c r="AU10" s="1068"/>
      <c r="AV10" s="1068"/>
      <c r="AW10" s="1068"/>
      <c r="AX10" s="1068"/>
      <c r="AY10" s="1068"/>
      <c r="AZ10" s="1068"/>
      <c r="BA10" s="1073">
        <v>6804.2</v>
      </c>
      <c r="BB10" s="1073"/>
      <c r="BC10" s="1068"/>
      <c r="BD10" s="1068"/>
      <c r="BE10" s="1068"/>
      <c r="BF10" s="1068"/>
      <c r="BG10" s="1068"/>
      <c r="BH10" s="1073">
        <f>AP10+AT10+AX10</f>
        <v>6804.2</v>
      </c>
      <c r="BI10" s="1068">
        <v>0</v>
      </c>
      <c r="BJ10" s="1068"/>
      <c r="BK10" s="1083">
        <v>11729</v>
      </c>
      <c r="BL10" s="1083">
        <f t="shared" si="13"/>
        <v>0</v>
      </c>
      <c r="BM10" s="1083">
        <f t="shared" si="14"/>
        <v>6804.2</v>
      </c>
      <c r="BN10" s="1092">
        <f t="shared" si="15"/>
        <v>4924.8</v>
      </c>
      <c r="BO10" s="1092">
        <v>0</v>
      </c>
      <c r="BP10" s="1092"/>
      <c r="BQ10" s="1092">
        <v>4924.8</v>
      </c>
      <c r="BX10" s="1131" t="s">
        <v>158</v>
      </c>
      <c r="BY10" s="1131"/>
      <c r="BZ10" s="1131"/>
      <c r="CA10" s="1132"/>
      <c r="CB10" s="1132"/>
      <c r="CC10" s="1132">
        <f t="shared" ref="CC10" si="24">4929/3*2*-1</f>
        <v>-3286</v>
      </c>
      <c r="CE10" s="1133"/>
      <c r="CJ10" s="1093">
        <f t="shared" si="22"/>
        <v>8174.7999999999993</v>
      </c>
      <c r="CL10" s="1094">
        <v>6840.2</v>
      </c>
      <c r="CM10" s="1095">
        <f t="shared" si="16"/>
        <v>6804.2</v>
      </c>
      <c r="CN10" s="1127">
        <f t="shared" si="17"/>
        <v>36</v>
      </c>
      <c r="CO10" s="1098">
        <v>4888.8</v>
      </c>
      <c r="CP10" s="1098">
        <f t="shared" si="18"/>
        <v>-36</v>
      </c>
      <c r="CR10" s="1100"/>
      <c r="CS10" s="1100"/>
      <c r="CT10" s="1100"/>
      <c r="CU10" s="1124">
        <f t="shared" si="19"/>
        <v>4888.8</v>
      </c>
      <c r="CV10" s="1124">
        <f t="shared" si="20"/>
        <v>0</v>
      </c>
      <c r="CW10" s="1103"/>
      <c r="CZ10" s="1074">
        <v>6804</v>
      </c>
      <c r="DA10" s="1067">
        <f>CU10+CX10+CY10+CZ10</f>
        <v>11692.8</v>
      </c>
      <c r="DB10" s="1067">
        <f t="shared" si="21"/>
        <v>6803.9999999999991</v>
      </c>
      <c r="DC10" s="1074" t="s">
        <v>2820</v>
      </c>
      <c r="DE10" s="1067">
        <v>-10051.799999999999</v>
      </c>
      <c r="DF10" s="1067">
        <f t="shared" si="6"/>
        <v>1641</v>
      </c>
      <c r="DG10" s="1105">
        <f t="shared" si="7"/>
        <v>-10051.799999999999</v>
      </c>
      <c r="DI10" s="1067">
        <f>DF10+DH10</f>
        <v>1641</v>
      </c>
      <c r="DJ10" s="1067">
        <f t="shared" si="8"/>
        <v>0</v>
      </c>
      <c r="DM10" s="1066">
        <f>DI10+DL10</f>
        <v>1641</v>
      </c>
      <c r="DP10" s="973">
        <f>DM10+DO10</f>
        <v>1641</v>
      </c>
      <c r="DQ10" s="1067">
        <v>6804.2</v>
      </c>
      <c r="DR10" s="1067">
        <f t="shared" si="0"/>
        <v>8445.2000000000007</v>
      </c>
      <c r="DT10" s="973">
        <f t="shared" si="1"/>
        <v>8445.2000000000007</v>
      </c>
      <c r="DV10" s="251"/>
    </row>
    <row r="11" spans="1:163" x14ac:dyDescent="0.25">
      <c r="A11" s="1068">
        <v>1</v>
      </c>
      <c r="B11" s="480" t="s">
        <v>2221</v>
      </c>
      <c r="C11" s="480">
        <v>211110</v>
      </c>
      <c r="D11" s="480" t="s">
        <v>2821</v>
      </c>
      <c r="E11" s="480" t="s">
        <v>1606</v>
      </c>
      <c r="F11" s="480">
        <v>452588</v>
      </c>
      <c r="G11" s="480" t="s">
        <v>962</v>
      </c>
      <c r="H11" s="480" t="s">
        <v>2822</v>
      </c>
      <c r="I11" s="1038">
        <v>41618</v>
      </c>
      <c r="J11" s="480">
        <v>5</v>
      </c>
      <c r="K11" s="1039">
        <f t="shared" ca="1" si="2"/>
        <v>11.783709787816564</v>
      </c>
      <c r="L11" s="1039" t="s">
        <v>1885</v>
      </c>
      <c r="M11" s="1039"/>
      <c r="N11" s="480"/>
      <c r="O11" s="1069">
        <v>18610</v>
      </c>
      <c r="P11" s="1069"/>
      <c r="Q11" s="1073">
        <v>18610</v>
      </c>
      <c r="R11" s="1073">
        <v>2188.33</v>
      </c>
      <c r="S11" s="963">
        <v>45017</v>
      </c>
      <c r="T11" s="1042">
        <v>1</v>
      </c>
      <c r="U11" s="963">
        <v>45305</v>
      </c>
      <c r="V11" s="1044">
        <v>143</v>
      </c>
      <c r="W11" s="1044">
        <f t="shared" si="3"/>
        <v>143</v>
      </c>
      <c r="X11" s="1045">
        <f t="shared" si="4"/>
        <v>0.74479166666666663</v>
      </c>
      <c r="Y11" s="1046">
        <v>1</v>
      </c>
      <c r="Z11" s="1045">
        <f t="shared" si="5"/>
        <v>0.74479166666666663</v>
      </c>
      <c r="AA11" s="1047">
        <f t="shared" si="23"/>
        <v>13860.572916666666</v>
      </c>
      <c r="AB11" s="1069" t="s">
        <v>2797</v>
      </c>
      <c r="AC11" s="1069" t="s">
        <v>2797</v>
      </c>
      <c r="AD11" s="1068"/>
      <c r="AE11" s="1072">
        <f t="shared" si="9"/>
        <v>20798.330000000002</v>
      </c>
      <c r="AF11" s="1068"/>
      <c r="AG11" s="1073">
        <f>18610+2188.33</f>
        <v>20798.330000000002</v>
      </c>
      <c r="AH11" s="1073">
        <v>18610</v>
      </c>
      <c r="AI11" s="1073">
        <v>2188.33</v>
      </c>
      <c r="AJ11" s="1073" t="s">
        <v>2823</v>
      </c>
      <c r="AK11" s="1073" t="str">
        <f t="shared" si="10"/>
        <v>no</v>
      </c>
      <c r="AL11" s="1073" t="str">
        <f t="shared" si="11"/>
        <v>no</v>
      </c>
      <c r="AM11" s="1073" t="str">
        <f t="shared" si="12"/>
        <v>yes</v>
      </c>
      <c r="AN11" s="1073"/>
      <c r="AO11" s="1068">
        <v>52</v>
      </c>
      <c r="AP11" s="1073">
        <v>6203.33</v>
      </c>
      <c r="AQ11" s="1134">
        <v>45050</v>
      </c>
      <c r="AR11" s="1068"/>
      <c r="AS11" s="1068"/>
      <c r="AT11" s="1068"/>
      <c r="AU11" s="1068"/>
      <c r="AV11" s="1068"/>
      <c r="AW11" s="1068"/>
      <c r="AX11" s="1068"/>
      <c r="AY11" s="1068"/>
      <c r="AZ11" s="1068"/>
      <c r="BA11" s="1073"/>
      <c r="BB11" s="1073"/>
      <c r="BC11" s="1068">
        <v>45</v>
      </c>
      <c r="BD11" s="1068">
        <v>2188.33</v>
      </c>
      <c r="BE11" s="1068"/>
      <c r="BF11" s="1068"/>
      <c r="BG11" s="1068"/>
      <c r="BH11" s="1073">
        <f>AP11+AT11+AX11</f>
        <v>6203.33</v>
      </c>
      <c r="BI11" s="1068">
        <v>2188.33</v>
      </c>
      <c r="BJ11" s="1068"/>
      <c r="BK11" s="1083">
        <v>20798.330000000002</v>
      </c>
      <c r="BL11" s="1083">
        <f t="shared" si="13"/>
        <v>0</v>
      </c>
      <c r="BM11" s="1083">
        <f t="shared" si="14"/>
        <v>0</v>
      </c>
      <c r="BN11" s="1092">
        <f t="shared" si="15"/>
        <v>20798.330000000002</v>
      </c>
      <c r="BO11" s="1092">
        <v>0</v>
      </c>
      <c r="BP11" s="1092"/>
      <c r="BQ11" s="1092">
        <v>20798.330000000002</v>
      </c>
      <c r="CJ11" s="1093">
        <f t="shared" si="22"/>
        <v>20798.330000000002</v>
      </c>
      <c r="CM11" s="1095">
        <f t="shared" si="16"/>
        <v>0</v>
      </c>
      <c r="CN11" s="1127">
        <f t="shared" si="17"/>
        <v>0</v>
      </c>
      <c r="CO11" s="1098">
        <v>20798.330000000002</v>
      </c>
      <c r="CP11" s="1098">
        <f t="shared" si="18"/>
        <v>0</v>
      </c>
      <c r="CR11" s="1100"/>
      <c r="CS11" s="1100"/>
      <c r="CT11" s="1100"/>
      <c r="CU11" s="1101">
        <f t="shared" si="19"/>
        <v>20798.330000000002</v>
      </c>
      <c r="CV11" s="1124">
        <f t="shared" si="20"/>
        <v>0</v>
      </c>
      <c r="CW11" s="1103"/>
      <c r="DA11" s="1104">
        <v>20798.330000000002</v>
      </c>
      <c r="DB11" s="1067">
        <f t="shared" si="21"/>
        <v>0</v>
      </c>
      <c r="DF11" s="1067">
        <v>20798.330000000002</v>
      </c>
      <c r="DG11" s="1105">
        <f t="shared" si="7"/>
        <v>0</v>
      </c>
      <c r="DI11" s="1067">
        <v>20798.330000000002</v>
      </c>
      <c r="DJ11" s="1067">
        <f t="shared" si="8"/>
        <v>0</v>
      </c>
      <c r="DK11" s="1074" t="s">
        <v>75</v>
      </c>
      <c r="DM11" s="1066">
        <v>20798.330000000002</v>
      </c>
      <c r="DP11" s="973">
        <v>20798.330000000002</v>
      </c>
      <c r="DQ11" s="1067">
        <v>-6937.76</v>
      </c>
      <c r="DR11" s="1067">
        <f t="shared" si="0"/>
        <v>13860.570000000002</v>
      </c>
      <c r="DT11" s="973">
        <f t="shared" si="1"/>
        <v>13860.570000000002</v>
      </c>
      <c r="DV11" s="251"/>
    </row>
    <row r="12" spans="1:163" x14ac:dyDescent="0.25">
      <c r="A12" s="1068">
        <v>1</v>
      </c>
      <c r="B12" s="480" t="s">
        <v>2221</v>
      </c>
      <c r="C12" s="480" t="s">
        <v>2824</v>
      </c>
      <c r="D12" s="1135" t="s">
        <v>2825</v>
      </c>
      <c r="E12" s="1135" t="s">
        <v>1606</v>
      </c>
      <c r="F12" s="1135">
        <v>405993</v>
      </c>
      <c r="G12" s="1135" t="s">
        <v>2121</v>
      </c>
      <c r="H12" s="1135" t="s">
        <v>63</v>
      </c>
      <c r="I12" s="1038">
        <v>41243</v>
      </c>
      <c r="J12" s="480">
        <v>5</v>
      </c>
      <c r="K12" s="1039">
        <f t="shared" ca="1" si="2"/>
        <v>12.810403832991103</v>
      </c>
      <c r="L12" s="1039" t="s">
        <v>1885</v>
      </c>
      <c r="M12" s="1039"/>
      <c r="N12" s="480"/>
      <c r="O12" s="1069"/>
      <c r="P12" s="1069"/>
      <c r="Q12" s="1073">
        <v>5819</v>
      </c>
      <c r="R12" s="1073"/>
      <c r="S12" s="963">
        <v>45017</v>
      </c>
      <c r="T12" s="1042">
        <v>1</v>
      </c>
      <c r="U12" s="963">
        <v>45382</v>
      </c>
      <c r="V12" s="1044">
        <v>192</v>
      </c>
      <c r="W12" s="1044">
        <f t="shared" si="3"/>
        <v>192</v>
      </c>
      <c r="X12" s="1045">
        <f t="shared" si="4"/>
        <v>1</v>
      </c>
      <c r="Y12" s="1046">
        <v>1</v>
      </c>
      <c r="Z12" s="1045">
        <f t="shared" si="5"/>
        <v>1</v>
      </c>
      <c r="AA12" s="1047">
        <f t="shared" si="23"/>
        <v>0</v>
      </c>
      <c r="AB12" s="1069" t="s">
        <v>2797</v>
      </c>
      <c r="AC12" s="1069" t="s">
        <v>2797</v>
      </c>
      <c r="AD12" s="1068"/>
      <c r="AE12" s="1072">
        <f t="shared" si="9"/>
        <v>5819</v>
      </c>
      <c r="AF12" s="1068"/>
      <c r="AG12" s="1073">
        <v>5819</v>
      </c>
      <c r="AH12" s="1073">
        <v>5819</v>
      </c>
      <c r="AI12" s="1073"/>
      <c r="AJ12" s="1136" t="s">
        <v>2826</v>
      </c>
      <c r="AK12" s="1073" t="str">
        <f t="shared" si="10"/>
        <v>no</v>
      </c>
      <c r="AL12" s="1073" t="str">
        <f t="shared" si="11"/>
        <v>yes</v>
      </c>
      <c r="AM12" s="1073" t="str">
        <f t="shared" si="12"/>
        <v>no</v>
      </c>
      <c r="AN12" s="1136"/>
      <c r="AO12" s="1068"/>
      <c r="AP12" s="1073"/>
      <c r="AQ12" s="1134"/>
      <c r="AR12" s="1068"/>
      <c r="AS12" s="1068"/>
      <c r="AT12" s="1068"/>
      <c r="AU12" s="1068"/>
      <c r="AV12" s="1068"/>
      <c r="AW12" s="1068"/>
      <c r="AX12" s="1068"/>
      <c r="AY12" s="1068"/>
      <c r="AZ12" s="1068"/>
      <c r="BA12" s="1073"/>
      <c r="BB12" s="1073"/>
      <c r="BC12" s="1068"/>
      <c r="BD12" s="1068"/>
      <c r="BE12" s="1068"/>
      <c r="BF12" s="1068"/>
      <c r="BG12" s="1068"/>
      <c r="BH12" s="1073"/>
      <c r="BI12" s="1068">
        <v>0</v>
      </c>
      <c r="BJ12" s="1068"/>
      <c r="BK12" s="1083">
        <v>5819</v>
      </c>
      <c r="BL12" s="1083">
        <f t="shared" si="13"/>
        <v>0</v>
      </c>
      <c r="BM12" s="1083">
        <f t="shared" si="14"/>
        <v>0</v>
      </c>
      <c r="BN12" s="1092">
        <f t="shared" si="15"/>
        <v>5819</v>
      </c>
      <c r="BO12" s="1092">
        <v>0</v>
      </c>
      <c r="BP12" s="1092"/>
      <c r="BQ12" s="1092">
        <v>5819</v>
      </c>
      <c r="CJ12" s="1093">
        <f t="shared" si="22"/>
        <v>5819</v>
      </c>
      <c r="CM12" s="1095">
        <f t="shared" si="16"/>
        <v>0</v>
      </c>
      <c r="CN12" s="1127">
        <f t="shared" si="17"/>
        <v>0</v>
      </c>
      <c r="CO12" s="1098">
        <v>5819</v>
      </c>
      <c r="CP12" s="1098">
        <f t="shared" si="18"/>
        <v>0</v>
      </c>
      <c r="CR12" s="1100"/>
      <c r="CS12" s="1100"/>
      <c r="CT12" s="1100"/>
      <c r="CU12" s="1101">
        <f t="shared" si="19"/>
        <v>5819</v>
      </c>
      <c r="CV12" s="1124">
        <f t="shared" si="20"/>
        <v>0</v>
      </c>
      <c r="CW12" s="1103"/>
      <c r="CZ12" s="1074">
        <v>-5819</v>
      </c>
      <c r="DA12" s="1104">
        <f>CU12+CX12+CY12+CZ12</f>
        <v>0</v>
      </c>
      <c r="DB12" s="1067">
        <f t="shared" si="21"/>
        <v>-5819</v>
      </c>
      <c r="DC12" s="1074" t="s">
        <v>2827</v>
      </c>
      <c r="DF12" s="1067">
        <f t="shared" si="6"/>
        <v>0</v>
      </c>
      <c r="DG12" s="1105">
        <f t="shared" si="7"/>
        <v>0</v>
      </c>
      <c r="DI12" s="1067">
        <f>DF12+DH12</f>
        <v>0</v>
      </c>
      <c r="DJ12" s="1067">
        <f t="shared" si="8"/>
        <v>0</v>
      </c>
      <c r="DK12" s="1074" t="s">
        <v>75</v>
      </c>
      <c r="DL12" s="1067">
        <v>7258</v>
      </c>
      <c r="DM12" s="1066">
        <f>DI12+DL12</f>
        <v>7258</v>
      </c>
      <c r="DP12" s="1067">
        <f>DO12+DM12</f>
        <v>7258</v>
      </c>
      <c r="DR12" s="1067">
        <f t="shared" si="0"/>
        <v>7258</v>
      </c>
      <c r="DT12" s="973">
        <f t="shared" si="1"/>
        <v>7258</v>
      </c>
      <c r="DV12" s="251"/>
    </row>
    <row r="13" spans="1:163" x14ac:dyDescent="0.25">
      <c r="A13" s="1068">
        <v>1</v>
      </c>
      <c r="B13" s="480" t="s">
        <v>2221</v>
      </c>
      <c r="C13" s="480">
        <v>208253</v>
      </c>
      <c r="D13" s="480" t="s">
        <v>2828</v>
      </c>
      <c r="E13" s="480" t="s">
        <v>1606</v>
      </c>
      <c r="F13" s="480">
        <v>416617</v>
      </c>
      <c r="G13" s="480" t="s">
        <v>2829</v>
      </c>
      <c r="H13" s="480" t="s">
        <v>2830</v>
      </c>
      <c r="I13" s="1038">
        <v>41818</v>
      </c>
      <c r="J13" s="480">
        <v>2</v>
      </c>
      <c r="K13" s="1039">
        <f t="shared" ca="1" si="2"/>
        <v>11.236139630390143</v>
      </c>
      <c r="L13" s="1039" t="s">
        <v>1885</v>
      </c>
      <c r="M13" s="1039" t="s">
        <v>81</v>
      </c>
      <c r="N13" s="480" t="s">
        <v>2831</v>
      </c>
      <c r="O13" s="1069"/>
      <c r="P13" s="1069" t="s">
        <v>2832</v>
      </c>
      <c r="Q13" s="1073">
        <v>13300</v>
      </c>
      <c r="R13" s="1073">
        <v>0</v>
      </c>
      <c r="S13" s="963">
        <v>45017</v>
      </c>
      <c r="T13" s="1042">
        <v>1</v>
      </c>
      <c r="U13" s="963">
        <v>45382</v>
      </c>
      <c r="V13" s="1044">
        <v>192</v>
      </c>
      <c r="W13" s="1044">
        <f t="shared" si="3"/>
        <v>192</v>
      </c>
      <c r="X13" s="1045">
        <f t="shared" si="4"/>
        <v>1</v>
      </c>
      <c r="Y13" s="1046">
        <v>1</v>
      </c>
      <c r="Z13" s="1045">
        <f t="shared" si="5"/>
        <v>1</v>
      </c>
      <c r="AA13" s="1047">
        <f t="shared" si="23"/>
        <v>0</v>
      </c>
      <c r="AB13" s="1069" t="s">
        <v>2797</v>
      </c>
      <c r="AC13" s="1069" t="s">
        <v>2797</v>
      </c>
      <c r="AD13" s="1068"/>
      <c r="AE13" s="1072">
        <f t="shared" si="9"/>
        <v>13300</v>
      </c>
      <c r="AF13" s="1068"/>
      <c r="AG13" s="1073">
        <v>13300</v>
      </c>
      <c r="AH13" s="1073">
        <v>13300</v>
      </c>
      <c r="AI13" s="1073"/>
      <c r="AJ13" s="1073"/>
      <c r="AK13" s="1073" t="str">
        <f t="shared" si="10"/>
        <v>no</v>
      </c>
      <c r="AL13" s="1073" t="str">
        <f t="shared" si="11"/>
        <v>no</v>
      </c>
      <c r="AM13" s="1073" t="str">
        <f t="shared" si="12"/>
        <v>yes</v>
      </c>
      <c r="AN13" s="1073"/>
      <c r="AO13" s="1068"/>
      <c r="AP13" s="1073"/>
      <c r="AQ13" s="1068"/>
      <c r="AR13" s="1068"/>
      <c r="AS13" s="1068"/>
      <c r="AT13" s="1068"/>
      <c r="AU13" s="1068"/>
      <c r="AV13" s="1068"/>
      <c r="AW13" s="1068"/>
      <c r="AX13" s="1068"/>
      <c r="AY13" s="1068"/>
      <c r="AZ13" s="1068"/>
      <c r="BA13" s="1073"/>
      <c r="BB13" s="1073"/>
      <c r="BC13" s="1068"/>
      <c r="BD13" s="1068"/>
      <c r="BE13" s="1068"/>
      <c r="BF13" s="1068"/>
      <c r="BG13" s="1068"/>
      <c r="BH13" s="1073">
        <f t="shared" ref="BH13:BH38" si="25">AP13+AT13+AX13</f>
        <v>0</v>
      </c>
      <c r="BI13" s="1068">
        <v>0</v>
      </c>
      <c r="BJ13" s="1068"/>
      <c r="BK13" s="1083">
        <v>13300</v>
      </c>
      <c r="BL13" s="1083">
        <f t="shared" si="13"/>
        <v>0</v>
      </c>
      <c r="BM13" s="1083">
        <f t="shared" si="14"/>
        <v>0</v>
      </c>
      <c r="BN13" s="1092">
        <f t="shared" si="15"/>
        <v>13300</v>
      </c>
      <c r="BO13" s="1092">
        <v>0</v>
      </c>
      <c r="BP13" s="1092"/>
      <c r="BQ13" s="1092">
        <v>13300</v>
      </c>
      <c r="CJ13" s="1093">
        <f t="shared" si="22"/>
        <v>13300</v>
      </c>
      <c r="CM13" s="1095">
        <f t="shared" si="16"/>
        <v>0</v>
      </c>
      <c r="CN13" s="1127">
        <f t="shared" si="17"/>
        <v>0</v>
      </c>
      <c r="CO13" s="1098">
        <v>13300</v>
      </c>
      <c r="CP13" s="1098">
        <f t="shared" si="18"/>
        <v>0</v>
      </c>
      <c r="CR13" s="1100"/>
      <c r="CS13" s="1100"/>
      <c r="CT13" s="1100"/>
      <c r="CU13" s="1101">
        <f t="shared" si="19"/>
        <v>13300</v>
      </c>
      <c r="CV13" s="1124">
        <f t="shared" si="20"/>
        <v>0</v>
      </c>
      <c r="CW13" s="1103"/>
      <c r="DA13" s="1104">
        <f>CU13+CX13+CY13+CZ13</f>
        <v>13300</v>
      </c>
      <c r="DB13" s="1067">
        <f t="shared" si="21"/>
        <v>0</v>
      </c>
      <c r="DF13" s="1067">
        <f t="shared" si="6"/>
        <v>13300</v>
      </c>
      <c r="DG13" s="1105">
        <f t="shared" si="7"/>
        <v>0</v>
      </c>
      <c r="DI13" s="1067">
        <f>DF13+DH13</f>
        <v>13300</v>
      </c>
      <c r="DJ13" s="1067">
        <f t="shared" si="8"/>
        <v>0</v>
      </c>
      <c r="DM13" s="1066">
        <f>DI13+DL13</f>
        <v>13300</v>
      </c>
      <c r="DP13" s="1067">
        <f t="shared" ref="DP13:DP76" si="26">DO13+DM13</f>
        <v>13300</v>
      </c>
      <c r="DR13" s="1067">
        <f t="shared" si="0"/>
        <v>13300</v>
      </c>
      <c r="DT13" s="973">
        <f t="shared" si="1"/>
        <v>13300</v>
      </c>
      <c r="DV13" s="251"/>
    </row>
    <row r="14" spans="1:163" x14ac:dyDescent="0.25">
      <c r="A14" s="1068">
        <v>0</v>
      </c>
      <c r="B14" s="480" t="s">
        <v>2221</v>
      </c>
      <c r="C14" s="480">
        <v>208253</v>
      </c>
      <c r="D14" s="480" t="s">
        <v>2828</v>
      </c>
      <c r="E14" s="480" t="s">
        <v>1606</v>
      </c>
      <c r="F14" s="480">
        <v>416617</v>
      </c>
      <c r="G14" s="480" t="s">
        <v>2829</v>
      </c>
      <c r="H14" s="480" t="s">
        <v>2830</v>
      </c>
      <c r="I14" s="1038">
        <v>41818</v>
      </c>
      <c r="J14" s="480">
        <v>2</v>
      </c>
      <c r="K14" s="1039">
        <f t="shared" ca="1" si="2"/>
        <v>11.236139630390143</v>
      </c>
      <c r="L14" s="1039" t="s">
        <v>1885</v>
      </c>
      <c r="M14" s="1039" t="s">
        <v>81</v>
      </c>
      <c r="N14" s="480">
        <v>308.8</v>
      </c>
      <c r="O14" s="1069"/>
      <c r="P14" s="1069" t="s">
        <v>2833</v>
      </c>
      <c r="Q14" s="1073">
        <v>309</v>
      </c>
      <c r="R14" s="1073">
        <v>0</v>
      </c>
      <c r="S14" s="963">
        <v>45202</v>
      </c>
      <c r="T14" s="1042">
        <v>87</v>
      </c>
      <c r="U14" s="963">
        <v>45202</v>
      </c>
      <c r="V14" s="1044">
        <v>86</v>
      </c>
      <c r="W14" s="1044">
        <f t="shared" si="3"/>
        <v>0</v>
      </c>
      <c r="X14" s="1045">
        <f t="shared" si="4"/>
        <v>0</v>
      </c>
      <c r="Y14" s="1046">
        <v>1</v>
      </c>
      <c r="Z14" s="1045">
        <f t="shared" si="5"/>
        <v>0</v>
      </c>
      <c r="AA14" s="1047">
        <v>309</v>
      </c>
      <c r="AB14" s="1069" t="s">
        <v>2797</v>
      </c>
      <c r="AC14" s="1069" t="s">
        <v>2797</v>
      </c>
      <c r="AD14" s="1068"/>
      <c r="AE14" s="1072"/>
      <c r="AF14" s="1068"/>
      <c r="AG14" s="1073"/>
      <c r="AH14" s="1073"/>
      <c r="AI14" s="1073"/>
      <c r="AJ14" s="1073"/>
      <c r="AK14" s="1073"/>
      <c r="AL14" s="1073"/>
      <c r="AM14" s="1073"/>
      <c r="AN14" s="1073"/>
      <c r="AO14" s="1068"/>
      <c r="AP14" s="1073"/>
      <c r="AQ14" s="1068"/>
      <c r="AR14" s="1068"/>
      <c r="AS14" s="1068"/>
      <c r="AT14" s="1068"/>
      <c r="AU14" s="1068"/>
      <c r="AV14" s="1068"/>
      <c r="AW14" s="1068"/>
      <c r="AX14" s="1068"/>
      <c r="AY14" s="1068"/>
      <c r="AZ14" s="1068"/>
      <c r="BA14" s="1073"/>
      <c r="BB14" s="1073"/>
      <c r="BC14" s="1068"/>
      <c r="BD14" s="1068"/>
      <c r="BE14" s="1068"/>
      <c r="BF14" s="1068"/>
      <c r="BG14" s="1068"/>
      <c r="BH14" s="1073"/>
      <c r="BI14" s="1068">
        <v>0</v>
      </c>
      <c r="BJ14" s="1068"/>
      <c r="BK14" s="1083">
        <v>0</v>
      </c>
      <c r="BL14" s="1083"/>
      <c r="BM14" s="1083"/>
      <c r="BN14" s="1092"/>
      <c r="BO14" s="1092"/>
      <c r="BP14" s="1092"/>
      <c r="BQ14" s="1092"/>
      <c r="CJ14" s="1093"/>
      <c r="CM14" s="1095"/>
      <c r="CN14" s="1127"/>
      <c r="CO14" s="1098"/>
      <c r="CP14" s="1098"/>
      <c r="CR14" s="1100"/>
      <c r="CS14" s="1100"/>
      <c r="CT14" s="1100"/>
      <c r="CU14" s="1101"/>
      <c r="CV14" s="1124"/>
      <c r="CW14" s="1103"/>
      <c r="DA14" s="1104"/>
      <c r="DG14" s="1105"/>
      <c r="DH14" s="1067">
        <f>Q14</f>
        <v>309</v>
      </c>
      <c r="DI14" s="1067">
        <f>DF14+DH14</f>
        <v>309</v>
      </c>
      <c r="DJ14" s="1067">
        <f t="shared" si="8"/>
        <v>309</v>
      </c>
      <c r="DM14" s="1066">
        <f>DI14+DL14</f>
        <v>309</v>
      </c>
      <c r="DP14" s="1067">
        <f t="shared" si="26"/>
        <v>309</v>
      </c>
      <c r="DR14" s="1067">
        <f t="shared" si="0"/>
        <v>309</v>
      </c>
      <c r="DT14" s="973">
        <f t="shared" si="1"/>
        <v>309</v>
      </c>
      <c r="DV14" s="251"/>
    </row>
    <row r="15" spans="1:163" s="1130" customFormat="1" x14ac:dyDescent="0.25">
      <c r="A15" s="1068">
        <v>0</v>
      </c>
      <c r="B15" s="480" t="s">
        <v>2834</v>
      </c>
      <c r="C15" s="480">
        <v>206217</v>
      </c>
      <c r="D15" s="480" t="s">
        <v>2835</v>
      </c>
      <c r="E15" s="480" t="s">
        <v>1876</v>
      </c>
      <c r="F15" s="480">
        <v>354295</v>
      </c>
      <c r="G15" s="480" t="s">
        <v>1192</v>
      </c>
      <c r="H15" s="1038" t="s">
        <v>782</v>
      </c>
      <c r="I15" s="1038">
        <v>38131</v>
      </c>
      <c r="J15" s="480">
        <v>12</v>
      </c>
      <c r="K15" s="1039">
        <f t="shared" ca="1" si="2"/>
        <v>21.330595482546201</v>
      </c>
      <c r="L15" s="1039" t="s">
        <v>270</v>
      </c>
      <c r="M15" s="1039" t="s">
        <v>2836</v>
      </c>
      <c r="N15" s="1069" t="s">
        <v>2136</v>
      </c>
      <c r="O15" s="1069" t="s">
        <v>2837</v>
      </c>
      <c r="P15" s="1069"/>
      <c r="Q15" s="1073">
        <v>0</v>
      </c>
      <c r="R15" s="1073">
        <v>0</v>
      </c>
      <c r="S15" s="963">
        <v>45017</v>
      </c>
      <c r="T15" s="1042">
        <v>1</v>
      </c>
      <c r="U15" s="963">
        <v>45382</v>
      </c>
      <c r="V15" s="1044">
        <v>192</v>
      </c>
      <c r="W15" s="1044">
        <f t="shared" si="3"/>
        <v>192</v>
      </c>
      <c r="X15" s="1045">
        <f t="shared" si="4"/>
        <v>1</v>
      </c>
      <c r="Y15" s="1046">
        <v>1</v>
      </c>
      <c r="Z15" s="1045">
        <f t="shared" si="5"/>
        <v>1</v>
      </c>
      <c r="AA15" s="1047">
        <f>Q15*Z15</f>
        <v>0</v>
      </c>
      <c r="AB15" s="1137" t="s">
        <v>2797</v>
      </c>
      <c r="AC15" s="1137" t="s">
        <v>2834</v>
      </c>
      <c r="AD15" s="1068"/>
      <c r="AE15" s="1072">
        <f>AG15</f>
        <v>0</v>
      </c>
      <c r="AF15" s="1068"/>
      <c r="AG15" s="1073">
        <v>0</v>
      </c>
      <c r="AH15" s="1073"/>
      <c r="AI15" s="1073"/>
      <c r="AJ15" s="1073"/>
      <c r="AK15" s="1073" t="str">
        <f>IF(AG15&lt;=5000,"yes","no")</f>
        <v>yes</v>
      </c>
      <c r="AL15" s="1073" t="str">
        <f>IF(AND(AG15&gt;=5001,AG15&lt;=10000),"yes","no")</f>
        <v>no</v>
      </c>
      <c r="AM15" s="1073" t="str">
        <f>IF(AG15&gt;=10001,"yes","no")</f>
        <v>no</v>
      </c>
      <c r="AN15" s="1073"/>
      <c r="AO15" s="1068"/>
      <c r="AP15" s="1073"/>
      <c r="AQ15" s="1068"/>
      <c r="AR15" s="1068"/>
      <c r="AS15" s="1068"/>
      <c r="AT15" s="1068"/>
      <c r="AU15" s="1068"/>
      <c r="AV15" s="1068"/>
      <c r="AW15" s="1068"/>
      <c r="AX15" s="1068"/>
      <c r="AY15" s="1068"/>
      <c r="AZ15" s="1068"/>
      <c r="BA15" s="1073"/>
      <c r="BB15" s="1073"/>
      <c r="BC15" s="1138"/>
      <c r="BD15" s="1068"/>
      <c r="BE15" s="1068"/>
      <c r="BF15" s="1068"/>
      <c r="BG15" s="1068"/>
      <c r="BH15" s="1073">
        <f t="shared" si="25"/>
        <v>0</v>
      </c>
      <c r="BI15" s="1068">
        <v>0</v>
      </c>
      <c r="BJ15" s="1068"/>
      <c r="BK15" s="1083">
        <v>0</v>
      </c>
      <c r="BL15" s="1083">
        <f t="shared" si="13"/>
        <v>0</v>
      </c>
      <c r="BM15" s="1083">
        <f t="shared" si="14"/>
        <v>0</v>
      </c>
      <c r="BN15" s="1092">
        <f t="shared" si="15"/>
        <v>0</v>
      </c>
      <c r="BO15" s="1092">
        <v>0</v>
      </c>
      <c r="BP15" s="1092"/>
      <c r="BQ15" s="1092">
        <v>0</v>
      </c>
      <c r="BR15" s="1074"/>
      <c r="BS15" s="1074"/>
      <c r="BT15" s="1074"/>
      <c r="BU15" s="1074"/>
      <c r="BV15" s="1074"/>
      <c r="BW15" s="1074"/>
      <c r="BX15" s="1074"/>
      <c r="BY15" s="1074"/>
      <c r="BZ15" s="1074"/>
      <c r="CA15" s="1074"/>
      <c r="CB15" s="1074"/>
      <c r="CC15" s="1074"/>
      <c r="CD15" s="1074"/>
      <c r="CE15" s="1074"/>
      <c r="CF15" s="1074"/>
      <c r="CG15" s="1074"/>
      <c r="CH15" s="1074"/>
      <c r="CI15" s="1074"/>
      <c r="CJ15" s="1093">
        <f t="shared" si="22"/>
        <v>-5531</v>
      </c>
      <c r="CK15" s="1074"/>
      <c r="CL15" s="1094">
        <v>5531</v>
      </c>
      <c r="CM15" s="1095">
        <f>BM15</f>
        <v>0</v>
      </c>
      <c r="CN15" s="1127">
        <f>CL15-CM15</f>
        <v>5531</v>
      </c>
      <c r="CO15" s="1098">
        <v>-5531</v>
      </c>
      <c r="CP15" s="1098">
        <f>CO15-BQ15</f>
        <v>-5531</v>
      </c>
      <c r="CQ15" s="1128"/>
      <c r="CR15" s="1100"/>
      <c r="CS15" s="1100"/>
      <c r="CT15" s="1100"/>
      <c r="CU15" s="1101">
        <f t="shared" si="19"/>
        <v>-5531</v>
      </c>
      <c r="CV15" s="1124">
        <f t="shared" si="20"/>
        <v>0</v>
      </c>
      <c r="CW15" s="1129"/>
      <c r="CY15" s="1074"/>
      <c r="CZ15" s="1074"/>
      <c r="DA15" s="1104">
        <f>CU15+CX15+CY15+CZ15</f>
        <v>-5531</v>
      </c>
      <c r="DB15" s="1067">
        <f>(DA15-CU15)</f>
        <v>0</v>
      </c>
      <c r="DC15" s="1074"/>
      <c r="DD15" s="1074"/>
      <c r="DE15" s="1067"/>
      <c r="DF15" s="1067">
        <f t="shared" si="6"/>
        <v>-5531</v>
      </c>
      <c r="DG15" s="1105">
        <f t="shared" si="7"/>
        <v>0</v>
      </c>
      <c r="DH15" s="1067"/>
      <c r="DI15" s="1067">
        <v>0</v>
      </c>
      <c r="DJ15" s="1067">
        <v>0</v>
      </c>
      <c r="DK15" s="1074"/>
      <c r="DL15" s="1067"/>
      <c r="DM15" s="1066">
        <f>DI15+DL15</f>
        <v>0</v>
      </c>
      <c r="DN15" s="1074"/>
      <c r="DO15" s="1074"/>
      <c r="DP15" s="1067">
        <f t="shared" si="26"/>
        <v>0</v>
      </c>
      <c r="DQ15" s="1067"/>
      <c r="DR15" s="1067">
        <f t="shared" si="0"/>
        <v>0</v>
      </c>
      <c r="DS15" s="1067"/>
      <c r="DT15" s="973">
        <f t="shared" si="1"/>
        <v>0</v>
      </c>
      <c r="DU15" s="1074"/>
      <c r="DV15" s="251"/>
      <c r="DW15"/>
      <c r="DX15" s="1074"/>
      <c r="DY15" s="1074"/>
      <c r="DZ15" s="1074"/>
      <c r="EA15" s="1074"/>
      <c r="EB15" s="1074"/>
      <c r="EC15" s="1074"/>
      <c r="ED15" s="1074"/>
      <c r="EE15" s="1074"/>
      <c r="EF15" s="1074"/>
      <c r="EG15" s="1074"/>
      <c r="EH15" s="1074"/>
      <c r="EI15" s="1074"/>
      <c r="EJ15" s="1074"/>
      <c r="EK15" s="1074"/>
      <c r="EL15" s="1074"/>
      <c r="EM15" s="1074"/>
      <c r="EN15" s="1074"/>
      <c r="EO15" s="1074"/>
      <c r="EP15" s="1074"/>
      <c r="EQ15" s="1074"/>
      <c r="ER15" s="1074"/>
      <c r="ES15" s="1074"/>
      <c r="ET15" s="1074"/>
      <c r="EU15" s="1074"/>
      <c r="EV15" s="1074"/>
      <c r="EW15" s="1074"/>
      <c r="EX15" s="1074"/>
      <c r="EY15" s="1074"/>
      <c r="EZ15" s="1074"/>
      <c r="FA15" s="1074"/>
      <c r="FB15" s="1074"/>
      <c r="FC15" s="1074"/>
      <c r="FD15" s="1074"/>
      <c r="FE15" s="1074"/>
      <c r="FF15" s="1074"/>
      <c r="FG15" s="1074"/>
    </row>
    <row r="16" spans="1:163" x14ac:dyDescent="0.25">
      <c r="A16" s="1068">
        <v>1</v>
      </c>
      <c r="B16" s="480" t="s">
        <v>2221</v>
      </c>
      <c r="C16" s="480">
        <v>200283</v>
      </c>
      <c r="D16" s="480" t="s">
        <v>2838</v>
      </c>
      <c r="E16" s="480" t="s">
        <v>1876</v>
      </c>
      <c r="F16" s="480">
        <v>421465</v>
      </c>
      <c r="G16" s="480" t="s">
        <v>2839</v>
      </c>
      <c r="H16" s="1038" t="s">
        <v>2840</v>
      </c>
      <c r="I16" s="1038">
        <v>39398</v>
      </c>
      <c r="J16" s="480">
        <v>11</v>
      </c>
      <c r="K16" s="1039">
        <f t="shared" ca="1" si="2"/>
        <v>17.861738535249827</v>
      </c>
      <c r="L16" s="1039" t="s">
        <v>1886</v>
      </c>
      <c r="M16" s="1039"/>
      <c r="N16" s="1069"/>
      <c r="O16" s="1069">
        <v>20486</v>
      </c>
      <c r="P16" s="1069" t="s">
        <v>2841</v>
      </c>
      <c r="Q16" s="1073">
        <f>20486/3*2</f>
        <v>13657.333333333334</v>
      </c>
      <c r="R16" s="1073"/>
      <c r="S16" s="963">
        <v>45173</v>
      </c>
      <c r="T16" s="1042">
        <v>66</v>
      </c>
      <c r="U16" s="963">
        <v>45382</v>
      </c>
      <c r="V16" s="1044">
        <v>192</v>
      </c>
      <c r="W16" s="1044">
        <f t="shared" si="3"/>
        <v>127</v>
      </c>
      <c r="X16" s="1045">
        <f t="shared" si="4"/>
        <v>0.66145833333333337</v>
      </c>
      <c r="Y16" s="1046">
        <v>1</v>
      </c>
      <c r="Z16" s="1045">
        <f t="shared" si="5"/>
        <v>0.66145833333333337</v>
      </c>
      <c r="AA16" s="1047">
        <f t="shared" si="23"/>
        <v>13550.635416666668</v>
      </c>
      <c r="AB16" s="1139" t="s">
        <v>2797</v>
      </c>
      <c r="AC16" s="1139" t="s">
        <v>2797</v>
      </c>
      <c r="AD16" s="1076"/>
      <c r="AE16" s="1072"/>
      <c r="AF16" s="1076"/>
      <c r="AG16" s="1073"/>
      <c r="AH16" s="1073"/>
      <c r="AI16" s="1073"/>
      <c r="AJ16" s="1140"/>
      <c r="AK16" s="1073" t="s">
        <v>2804</v>
      </c>
      <c r="AL16" s="1073" t="s">
        <v>2804</v>
      </c>
      <c r="AM16" s="1073" t="s">
        <v>2805</v>
      </c>
      <c r="AN16" s="1073"/>
      <c r="AO16" s="1076"/>
      <c r="AP16" s="1140"/>
      <c r="AQ16" s="1076"/>
      <c r="AR16" s="1076"/>
      <c r="AS16" s="1076"/>
      <c r="AT16" s="1076"/>
      <c r="AU16" s="1076"/>
      <c r="AV16" s="1076"/>
      <c r="AW16" s="1076"/>
      <c r="AX16" s="1076"/>
      <c r="AY16" s="1076"/>
      <c r="AZ16" s="1076"/>
      <c r="BA16" s="1140"/>
      <c r="BB16" s="1140"/>
      <c r="BC16" s="1141"/>
      <c r="BD16" s="1076"/>
      <c r="BE16" s="1076"/>
      <c r="BF16" s="1076"/>
      <c r="BG16" s="1076"/>
      <c r="BH16" s="1140"/>
      <c r="BI16" s="1076">
        <v>0</v>
      </c>
      <c r="BJ16" s="1076"/>
      <c r="BK16" s="1085">
        <v>0</v>
      </c>
      <c r="BL16" s="1085"/>
      <c r="BM16" s="1085"/>
      <c r="BN16" s="1142"/>
      <c r="BO16" s="1092"/>
      <c r="BP16" s="1142"/>
      <c r="BQ16" s="1092"/>
      <c r="CF16" s="1143"/>
      <c r="CJ16" s="1093"/>
      <c r="CM16" s="1095"/>
      <c r="CN16" s="1127"/>
      <c r="CO16" s="1098"/>
      <c r="CP16" s="1098"/>
      <c r="CQ16" s="1144"/>
      <c r="CR16" s="1100"/>
      <c r="CS16" s="1100"/>
      <c r="CT16" s="1100"/>
      <c r="CU16" s="1124"/>
      <c r="CV16" s="1124"/>
      <c r="CW16" s="1103"/>
      <c r="DC16" s="1143"/>
      <c r="DE16" s="1067">
        <f>Q16</f>
        <v>13657.333333333334</v>
      </c>
      <c r="DF16" s="1067">
        <f t="shared" si="6"/>
        <v>13657.333333333334</v>
      </c>
      <c r="DG16" s="1105">
        <f t="shared" si="7"/>
        <v>13657.333333333334</v>
      </c>
      <c r="DH16" s="1067">
        <v>6828.67</v>
      </c>
      <c r="DI16" s="1067">
        <f>DF16+DH16</f>
        <v>20486.003333333334</v>
      </c>
      <c r="DJ16" s="1067">
        <f t="shared" si="8"/>
        <v>6828.67</v>
      </c>
      <c r="DM16" s="1066">
        <f t="shared" ref="DM16:DM38" si="27">DI16+DL16</f>
        <v>20486.003333333334</v>
      </c>
      <c r="DP16" s="1067">
        <f t="shared" si="26"/>
        <v>20486.003333333334</v>
      </c>
      <c r="DR16" s="1067">
        <f t="shared" si="0"/>
        <v>20486.003333333334</v>
      </c>
      <c r="DT16" s="973">
        <f t="shared" si="1"/>
        <v>20486.003333333334</v>
      </c>
      <c r="DV16" s="251"/>
    </row>
    <row r="17" spans="1:127" x14ac:dyDescent="0.25">
      <c r="A17" s="1068">
        <v>1</v>
      </c>
      <c r="B17" s="480" t="s">
        <v>2221</v>
      </c>
      <c r="C17" s="480">
        <v>200283</v>
      </c>
      <c r="D17" s="480" t="s">
        <v>2838</v>
      </c>
      <c r="E17" s="480" t="s">
        <v>1876</v>
      </c>
      <c r="F17" s="480">
        <v>385687</v>
      </c>
      <c r="G17" s="480" t="s">
        <v>2842</v>
      </c>
      <c r="H17" s="1038" t="s">
        <v>519</v>
      </c>
      <c r="I17" s="1038">
        <v>40135</v>
      </c>
      <c r="J17" s="480">
        <v>7</v>
      </c>
      <c r="K17" s="1039">
        <f t="shared" ca="1" si="2"/>
        <v>15.843942505133469</v>
      </c>
      <c r="L17" s="1039" t="s">
        <v>1886</v>
      </c>
      <c r="M17" s="1039" t="s">
        <v>56</v>
      </c>
      <c r="N17" s="1069" t="s">
        <v>91</v>
      </c>
      <c r="O17" s="1069" t="s">
        <v>2843</v>
      </c>
      <c r="P17" s="1069">
        <v>11324.27</v>
      </c>
      <c r="Q17" s="1073">
        <v>11324.27</v>
      </c>
      <c r="R17" s="1073">
        <v>0</v>
      </c>
      <c r="S17" s="963">
        <v>45017</v>
      </c>
      <c r="T17" s="1042">
        <v>1</v>
      </c>
      <c r="U17" s="963">
        <v>45382</v>
      </c>
      <c r="V17" s="1044">
        <v>192</v>
      </c>
      <c r="W17" s="1044">
        <f t="shared" si="3"/>
        <v>192</v>
      </c>
      <c r="X17" s="1045">
        <f t="shared" si="4"/>
        <v>1</v>
      </c>
      <c r="Y17" s="1046">
        <v>1</v>
      </c>
      <c r="Z17" s="1045">
        <f t="shared" si="5"/>
        <v>1</v>
      </c>
      <c r="AA17" s="1047">
        <f>Q17*Z17</f>
        <v>11324.27</v>
      </c>
      <c r="AB17" s="1069" t="s">
        <v>2797</v>
      </c>
      <c r="AC17" s="1069" t="s">
        <v>2797</v>
      </c>
      <c r="AD17" s="1068"/>
      <c r="AE17" s="1072">
        <f>AG17</f>
        <v>11324.27</v>
      </c>
      <c r="AF17" s="1068"/>
      <c r="AG17" s="1073">
        <v>11324.27</v>
      </c>
      <c r="AH17" s="1073">
        <v>11324.27</v>
      </c>
      <c r="AI17" s="1073"/>
      <c r="AJ17" s="1073"/>
      <c r="AK17" s="1073" t="str">
        <f>IF(AG17&lt;=5000,"yes","no")</f>
        <v>no</v>
      </c>
      <c r="AL17" s="1073" t="str">
        <f>IF(AND(AG17&gt;=5001,AG17&lt;=10000),"yes","no")</f>
        <v>no</v>
      </c>
      <c r="AM17" s="1073" t="str">
        <f>IF(AG17&gt;=10001,"yes","no")</f>
        <v>yes</v>
      </c>
      <c r="AN17" s="1073"/>
      <c r="AO17" s="1068" t="s">
        <v>2844</v>
      </c>
      <c r="AP17" s="1073">
        <v>3716</v>
      </c>
      <c r="AQ17" s="1134">
        <v>45040</v>
      </c>
      <c r="AR17" s="1068"/>
      <c r="AS17" s="1068"/>
      <c r="AT17" s="1068"/>
      <c r="AU17" s="1068"/>
      <c r="AV17" s="1068"/>
      <c r="AW17" s="1068"/>
      <c r="AX17" s="1068"/>
      <c r="AY17" s="1068"/>
      <c r="AZ17" s="1068"/>
      <c r="BA17" s="1073"/>
      <c r="BB17" s="1073"/>
      <c r="BC17" s="1068"/>
      <c r="BD17" s="1068"/>
      <c r="BE17" s="1068"/>
      <c r="BF17" s="1068"/>
      <c r="BG17" s="1068"/>
      <c r="BH17" s="1073">
        <f t="shared" si="25"/>
        <v>3716</v>
      </c>
      <c r="BI17" s="1068">
        <v>0</v>
      </c>
      <c r="BJ17" s="1068"/>
      <c r="BK17" s="1083">
        <v>11324.27</v>
      </c>
      <c r="BL17" s="1083">
        <f t="shared" si="13"/>
        <v>0</v>
      </c>
      <c r="BM17" s="1083">
        <f t="shared" si="14"/>
        <v>0</v>
      </c>
      <c r="BN17" s="1092">
        <f t="shared" si="15"/>
        <v>11324.27</v>
      </c>
      <c r="BO17" s="1092">
        <v>0</v>
      </c>
      <c r="BP17" s="1092"/>
      <c r="BQ17" s="1092">
        <v>11324.27</v>
      </c>
      <c r="CJ17" s="1093">
        <f t="shared" si="22"/>
        <v>11324.27</v>
      </c>
      <c r="CM17" s="1095">
        <f>BM17</f>
        <v>0</v>
      </c>
      <c r="CN17" s="1127">
        <f>CL17-CM17</f>
        <v>0</v>
      </c>
      <c r="CO17" s="1098">
        <v>11324.27</v>
      </c>
      <c r="CP17" s="1098">
        <f>CO17-BQ17</f>
        <v>0</v>
      </c>
      <c r="CR17" s="1100"/>
      <c r="CS17" s="1100"/>
      <c r="CT17" s="1100"/>
      <c r="CU17" s="1101">
        <f t="shared" si="19"/>
        <v>11324.27</v>
      </c>
      <c r="CV17" s="1124">
        <f t="shared" si="20"/>
        <v>0</v>
      </c>
      <c r="CW17" s="1103"/>
      <c r="DA17" s="1067">
        <f>CU17+CX17+CY17+CZ17</f>
        <v>11324.27</v>
      </c>
      <c r="DB17" s="1067">
        <f>(DA17-CU17)</f>
        <v>0</v>
      </c>
      <c r="DF17" s="1067">
        <f t="shared" si="6"/>
        <v>11324.27</v>
      </c>
      <c r="DG17" s="1105">
        <f t="shared" si="7"/>
        <v>0</v>
      </c>
      <c r="DI17" s="1067">
        <f>DF17+DH17</f>
        <v>11324.27</v>
      </c>
      <c r="DJ17" s="1067">
        <f t="shared" si="8"/>
        <v>0</v>
      </c>
      <c r="DM17" s="1066">
        <f t="shared" si="27"/>
        <v>11324.27</v>
      </c>
      <c r="DP17" s="1067">
        <f t="shared" si="26"/>
        <v>11324.27</v>
      </c>
      <c r="DR17" s="1067">
        <f t="shared" si="0"/>
        <v>11324.27</v>
      </c>
      <c r="DT17" s="973">
        <f t="shared" si="1"/>
        <v>11324.27</v>
      </c>
      <c r="DV17" s="251"/>
    </row>
    <row r="18" spans="1:127" x14ac:dyDescent="0.25">
      <c r="A18" s="1068">
        <v>1</v>
      </c>
      <c r="B18" s="480" t="s">
        <v>2221</v>
      </c>
      <c r="C18" s="480">
        <v>200283</v>
      </c>
      <c r="D18" s="480" t="s">
        <v>2838</v>
      </c>
      <c r="E18" s="480" t="s">
        <v>1876</v>
      </c>
      <c r="F18" s="480">
        <v>397165</v>
      </c>
      <c r="G18" s="480" t="s">
        <v>722</v>
      </c>
      <c r="H18" s="1038" t="s">
        <v>721</v>
      </c>
      <c r="I18" s="1038">
        <v>41263</v>
      </c>
      <c r="J18" s="480">
        <v>6</v>
      </c>
      <c r="K18" s="1039">
        <f t="shared" ca="1" si="2"/>
        <v>12.75564681724846</v>
      </c>
      <c r="L18" s="1039" t="s">
        <v>1886</v>
      </c>
      <c r="M18" s="1039"/>
      <c r="N18" s="1069" t="s">
        <v>2845</v>
      </c>
      <c r="O18" s="1069" t="s">
        <v>2846</v>
      </c>
      <c r="P18" s="1069"/>
      <c r="Q18" s="1073">
        <v>6365</v>
      </c>
      <c r="R18" s="1073"/>
      <c r="S18" s="963">
        <v>45170</v>
      </c>
      <c r="T18" s="1042">
        <v>65</v>
      </c>
      <c r="U18" s="963">
        <v>45382</v>
      </c>
      <c r="V18" s="1044">
        <v>192</v>
      </c>
      <c r="W18" s="1044">
        <f t="shared" si="3"/>
        <v>128</v>
      </c>
      <c r="X18" s="1045">
        <f t="shared" si="4"/>
        <v>0.66666666666666663</v>
      </c>
      <c r="Y18" s="1046">
        <v>1</v>
      </c>
      <c r="Z18" s="1045">
        <f t="shared" si="5"/>
        <v>0.66666666666666663</v>
      </c>
      <c r="AA18" s="1047">
        <f>Q18*Z18</f>
        <v>4243.333333333333</v>
      </c>
      <c r="AB18" s="1139" t="s">
        <v>2797</v>
      </c>
      <c r="AC18" s="1139" t="s">
        <v>2797</v>
      </c>
      <c r="AD18" s="1076"/>
      <c r="AE18" s="1072"/>
      <c r="AF18" s="1076"/>
      <c r="AG18" s="1073"/>
      <c r="AH18" s="1073"/>
      <c r="AI18" s="1073"/>
      <c r="AJ18" s="1140"/>
      <c r="AK18" s="1073" t="s">
        <v>2804</v>
      </c>
      <c r="AL18" s="1073" t="s">
        <v>2805</v>
      </c>
      <c r="AM18" s="1073" t="s">
        <v>2804</v>
      </c>
      <c r="AN18" s="1073"/>
      <c r="AO18" s="1076"/>
      <c r="AP18" s="1140"/>
      <c r="AQ18" s="1145"/>
      <c r="AR18" s="1076"/>
      <c r="AS18" s="1076"/>
      <c r="AT18" s="1076"/>
      <c r="AU18" s="1076"/>
      <c r="AV18" s="1076"/>
      <c r="AW18" s="1076"/>
      <c r="AX18" s="1076"/>
      <c r="AY18" s="1076"/>
      <c r="AZ18" s="1076"/>
      <c r="BA18" s="1140"/>
      <c r="BB18" s="1140"/>
      <c r="BC18" s="1076"/>
      <c r="BD18" s="1076"/>
      <c r="BE18" s="1076"/>
      <c r="BF18" s="1076"/>
      <c r="BG18" s="1076"/>
      <c r="BH18" s="1140"/>
      <c r="BI18" s="1076">
        <v>0</v>
      </c>
      <c r="BJ18" s="1076"/>
      <c r="BK18" s="1085">
        <v>0</v>
      </c>
      <c r="BL18" s="1085"/>
      <c r="BM18" s="1085"/>
      <c r="BN18" s="1142"/>
      <c r="BO18" s="1092"/>
      <c r="BP18" s="1142"/>
      <c r="BQ18" s="1092"/>
      <c r="CF18" s="1143"/>
      <c r="CJ18" s="1093"/>
      <c r="CM18" s="1095"/>
      <c r="CN18" s="1127"/>
      <c r="CO18" s="1098"/>
      <c r="CP18" s="1098"/>
      <c r="CQ18" s="1144"/>
      <c r="CR18" s="1100"/>
      <c r="CS18" s="1100"/>
      <c r="CT18" s="1100"/>
      <c r="CU18" s="1124"/>
      <c r="CV18" s="1124"/>
      <c r="CW18" s="1103"/>
      <c r="DC18" s="1143"/>
      <c r="DE18" s="1067">
        <f>Q18</f>
        <v>6365</v>
      </c>
      <c r="DF18" s="1067">
        <f t="shared" si="6"/>
        <v>6365</v>
      </c>
      <c r="DG18" s="1105">
        <f t="shared" si="7"/>
        <v>6365</v>
      </c>
      <c r="DI18" s="1067">
        <f>DF18+DH18</f>
        <v>6365</v>
      </c>
      <c r="DJ18" s="1067">
        <f t="shared" si="8"/>
        <v>0</v>
      </c>
      <c r="DM18" s="1066">
        <f t="shared" si="27"/>
        <v>6365</v>
      </c>
      <c r="DP18" s="1067">
        <f t="shared" si="26"/>
        <v>6365</v>
      </c>
      <c r="DR18" s="1067">
        <f t="shared" si="0"/>
        <v>6365</v>
      </c>
      <c r="DT18" s="973">
        <f t="shared" si="1"/>
        <v>6365</v>
      </c>
      <c r="DV18" s="251"/>
    </row>
    <row r="19" spans="1:127" x14ac:dyDescent="0.25">
      <c r="A19" s="1068">
        <v>1</v>
      </c>
      <c r="B19" s="480" t="s">
        <v>2221</v>
      </c>
      <c r="C19" s="480">
        <v>200283</v>
      </c>
      <c r="D19" s="480" t="s">
        <v>2838</v>
      </c>
      <c r="E19" s="480" t="s">
        <v>1876</v>
      </c>
      <c r="F19" s="480">
        <v>400441</v>
      </c>
      <c r="G19" s="480" t="s">
        <v>2847</v>
      </c>
      <c r="H19" s="1038" t="s">
        <v>718</v>
      </c>
      <c r="I19" s="1038">
        <v>40844</v>
      </c>
      <c r="J19" s="480">
        <v>7</v>
      </c>
      <c r="K19" s="1039">
        <f t="shared" ca="1" si="2"/>
        <v>13.902806297056811</v>
      </c>
      <c r="L19" s="1039" t="s">
        <v>1886</v>
      </c>
      <c r="M19" s="1039"/>
      <c r="N19" s="1069"/>
      <c r="O19" s="1069" t="s">
        <v>1495</v>
      </c>
      <c r="P19" s="1069" t="s">
        <v>1495</v>
      </c>
      <c r="Q19" s="1073">
        <v>4242</v>
      </c>
      <c r="R19" s="1073"/>
      <c r="S19" s="963">
        <v>45170</v>
      </c>
      <c r="T19" s="1042">
        <v>65</v>
      </c>
      <c r="U19" s="963">
        <v>45382</v>
      </c>
      <c r="V19" s="1044">
        <v>192</v>
      </c>
      <c r="W19" s="1044">
        <f t="shared" si="3"/>
        <v>128</v>
      </c>
      <c r="X19" s="1045">
        <f t="shared" si="4"/>
        <v>0.66666666666666663</v>
      </c>
      <c r="Y19" s="1046">
        <v>1</v>
      </c>
      <c r="Z19" s="1045">
        <f t="shared" si="5"/>
        <v>0.66666666666666663</v>
      </c>
      <c r="AA19" s="1047">
        <f>Q19*Z19</f>
        <v>2828</v>
      </c>
      <c r="AB19" s="1069" t="s">
        <v>2797</v>
      </c>
      <c r="AC19" s="1069" t="s">
        <v>2797</v>
      </c>
      <c r="AD19" s="1068"/>
      <c r="AE19" s="1072">
        <f>AG19</f>
        <v>4242</v>
      </c>
      <c r="AF19" s="1068"/>
      <c r="AG19" s="1073">
        <v>4242</v>
      </c>
      <c r="AH19" s="1073">
        <v>4242</v>
      </c>
      <c r="AI19" s="1073"/>
      <c r="AJ19" s="1073"/>
      <c r="AK19" s="1073" t="str">
        <f t="shared" ref="AK19:AK35" si="28">IF(AG19&lt;=5000,"yes","no")</f>
        <v>yes</v>
      </c>
      <c r="AL19" s="1073" t="str">
        <f>IF(AND(AG19&gt;=5001,AG19&lt;=10000),"yes","no")</f>
        <v>no</v>
      </c>
      <c r="AM19" s="1073" t="str">
        <f>IF(AG19&gt;=10001,"yes","no")</f>
        <v>no</v>
      </c>
      <c r="AN19" s="1073"/>
      <c r="AO19" s="1068"/>
      <c r="AP19" s="1073"/>
      <c r="AQ19" s="1134"/>
      <c r="AR19" s="1068"/>
      <c r="AS19" s="1068"/>
      <c r="AT19" s="1068"/>
      <c r="AU19" s="1068"/>
      <c r="AV19" s="1068"/>
      <c r="AW19" s="1068"/>
      <c r="AX19" s="1068"/>
      <c r="AY19" s="1068"/>
      <c r="AZ19" s="1068"/>
      <c r="BA19" s="1073"/>
      <c r="BB19" s="1073"/>
      <c r="BC19" s="1068"/>
      <c r="BD19" s="1068"/>
      <c r="BE19" s="1068"/>
      <c r="BF19" s="1068"/>
      <c r="BG19" s="1068"/>
      <c r="BH19" s="1073"/>
      <c r="BI19" s="1068">
        <v>0</v>
      </c>
      <c r="BJ19" s="1068"/>
      <c r="BK19" s="1083">
        <v>4242</v>
      </c>
      <c r="BL19" s="1083"/>
      <c r="BM19" s="1083"/>
      <c r="BN19" s="1092"/>
      <c r="BO19" s="1092">
        <v>0</v>
      </c>
      <c r="BP19" s="1092"/>
      <c r="BQ19" s="1092">
        <v>0</v>
      </c>
      <c r="CJ19" s="1093"/>
      <c r="CM19" s="1095"/>
      <c r="CN19" s="1127"/>
      <c r="CO19" s="1098">
        <v>0</v>
      </c>
      <c r="CP19" s="1098">
        <f t="shared" ref="CP19:CP35" si="29">CO19-BQ19</f>
        <v>0</v>
      </c>
      <c r="CR19" s="1100"/>
      <c r="CS19" s="1100"/>
      <c r="CT19" s="1100"/>
      <c r="CU19" s="1124">
        <v>4242</v>
      </c>
      <c r="CV19" s="1124">
        <f t="shared" si="20"/>
        <v>4242</v>
      </c>
      <c r="CW19" s="1103"/>
      <c r="DA19" s="1067">
        <f>CU19+CX19+CY19+CZ19</f>
        <v>4242</v>
      </c>
      <c r="DB19" s="1067">
        <f t="shared" ref="DB19:DB35" si="30">(DA19-CU19)</f>
        <v>0</v>
      </c>
      <c r="DF19" s="1067">
        <f t="shared" si="6"/>
        <v>4242</v>
      </c>
      <c r="DG19" s="1105">
        <f t="shared" si="7"/>
        <v>0</v>
      </c>
      <c r="DI19" s="1067">
        <f t="shared" ref="DI19:DI48" si="31">DF19+DH19</f>
        <v>4242</v>
      </c>
      <c r="DJ19" s="1067">
        <f t="shared" si="8"/>
        <v>0</v>
      </c>
      <c r="DM19" s="1066">
        <f t="shared" si="27"/>
        <v>4242</v>
      </c>
      <c r="DP19" s="1067">
        <f t="shared" si="26"/>
        <v>4242</v>
      </c>
      <c r="DR19" s="1067">
        <f t="shared" si="0"/>
        <v>4242</v>
      </c>
      <c r="DT19" s="973">
        <f t="shared" si="1"/>
        <v>4242</v>
      </c>
      <c r="DV19" s="251"/>
    </row>
    <row r="20" spans="1:127" x14ac:dyDescent="0.25">
      <c r="A20" s="1068">
        <v>1</v>
      </c>
      <c r="B20" s="480" t="s">
        <v>2221</v>
      </c>
      <c r="C20" s="480">
        <v>200283</v>
      </c>
      <c r="D20" s="480" t="s">
        <v>2838</v>
      </c>
      <c r="E20" s="480" t="s">
        <v>1876</v>
      </c>
      <c r="F20" s="480">
        <v>421080</v>
      </c>
      <c r="G20" s="480" t="s">
        <v>2848</v>
      </c>
      <c r="H20" s="480" t="s">
        <v>2849</v>
      </c>
      <c r="I20" s="963">
        <v>39578</v>
      </c>
      <c r="J20" s="480">
        <v>0</v>
      </c>
      <c r="K20" s="1039">
        <f t="shared" ca="1" si="2"/>
        <v>17.368925393566052</v>
      </c>
      <c r="L20" s="1039" t="s">
        <v>1886</v>
      </c>
      <c r="M20" s="1039" t="s">
        <v>66</v>
      </c>
      <c r="N20" s="480" t="s">
        <v>2387</v>
      </c>
      <c r="O20" s="1069"/>
      <c r="P20" s="1069">
        <v>5975</v>
      </c>
      <c r="Q20" s="1073">
        <v>5975</v>
      </c>
      <c r="R20" s="1073">
        <v>0</v>
      </c>
      <c r="S20" s="963">
        <v>45017</v>
      </c>
      <c r="T20" s="1042">
        <v>1</v>
      </c>
      <c r="U20" s="963">
        <v>45382</v>
      </c>
      <c r="V20" s="1044">
        <v>192</v>
      </c>
      <c r="W20" s="1044">
        <f t="shared" si="3"/>
        <v>192</v>
      </c>
      <c r="X20" s="1045">
        <f t="shared" si="4"/>
        <v>1</v>
      </c>
      <c r="Y20" s="1046">
        <v>1</v>
      </c>
      <c r="Z20" s="1045">
        <f t="shared" si="5"/>
        <v>1</v>
      </c>
      <c r="AA20" s="1047">
        <f t="shared" si="23"/>
        <v>0</v>
      </c>
      <c r="AB20" s="1069" t="s">
        <v>2797</v>
      </c>
      <c r="AC20" s="1069" t="s">
        <v>2797</v>
      </c>
      <c r="AD20" s="1068"/>
      <c r="AE20" s="1072">
        <f>AG20</f>
        <v>5975</v>
      </c>
      <c r="AF20" s="1068"/>
      <c r="AG20" s="1073">
        <v>5975</v>
      </c>
      <c r="AH20" s="1073">
        <v>5975</v>
      </c>
      <c r="AI20" s="1073"/>
      <c r="AJ20" s="1073"/>
      <c r="AK20" s="1073" t="str">
        <f t="shared" si="28"/>
        <v>no</v>
      </c>
      <c r="AL20" s="1073" t="str">
        <f>IF(AND(AG20&gt;=5001,AG20&lt;=10000),"yes","no")</f>
        <v>yes</v>
      </c>
      <c r="AM20" s="1073" t="str">
        <f>IF(AG20&gt;=10001,"yes","no")</f>
        <v>no</v>
      </c>
      <c r="AN20" s="1073"/>
      <c r="AO20" s="1068" t="s">
        <v>2844</v>
      </c>
      <c r="AP20" s="1073">
        <v>1960</v>
      </c>
      <c r="AQ20" s="1134">
        <v>45040</v>
      </c>
      <c r="AR20" s="1068"/>
      <c r="AS20" s="1068"/>
      <c r="AT20" s="1068"/>
      <c r="AU20" s="1068"/>
      <c r="AV20" s="1068"/>
      <c r="AW20" s="1068"/>
      <c r="AX20" s="1068"/>
      <c r="AY20" s="1068"/>
      <c r="AZ20" s="1068"/>
      <c r="BA20" s="1073"/>
      <c r="BB20" s="1073"/>
      <c r="BC20" s="1068"/>
      <c r="BD20" s="1068"/>
      <c r="BE20" s="1068"/>
      <c r="BF20" s="1068"/>
      <c r="BG20" s="1068"/>
      <c r="BH20" s="1073">
        <f t="shared" si="25"/>
        <v>1960</v>
      </c>
      <c r="BI20" s="1068">
        <v>0</v>
      </c>
      <c r="BJ20" s="1068"/>
      <c r="BK20" s="1083">
        <v>5975</v>
      </c>
      <c r="BL20" s="1083">
        <f t="shared" si="13"/>
        <v>0</v>
      </c>
      <c r="BM20" s="1083">
        <f t="shared" si="14"/>
        <v>0</v>
      </c>
      <c r="BN20" s="1092">
        <f t="shared" si="15"/>
        <v>5975</v>
      </c>
      <c r="BO20" s="1092">
        <v>0</v>
      </c>
      <c r="BP20" s="1092"/>
      <c r="BQ20" s="1092">
        <v>5975</v>
      </c>
      <c r="CJ20" s="1093">
        <f t="shared" si="22"/>
        <v>5975</v>
      </c>
      <c r="CM20" s="1095">
        <f>BM20</f>
        <v>0</v>
      </c>
      <c r="CN20" s="1127">
        <f>CL20-CM20</f>
        <v>0</v>
      </c>
      <c r="CO20" s="1098">
        <v>5975</v>
      </c>
      <c r="CP20" s="1098">
        <f t="shared" si="29"/>
        <v>0</v>
      </c>
      <c r="CR20" s="1100"/>
      <c r="CS20" s="1100"/>
      <c r="CT20" s="1100"/>
      <c r="CU20" s="1101">
        <f t="shared" si="19"/>
        <v>5975</v>
      </c>
      <c r="CV20" s="1124">
        <f t="shared" si="20"/>
        <v>0</v>
      </c>
      <c r="CW20" s="1103"/>
      <c r="DA20" s="1067">
        <f t="shared" ref="DA20:DA92" si="32">CU20+CX20+CY20+CZ20</f>
        <v>5975</v>
      </c>
      <c r="DB20" s="1067">
        <f t="shared" si="30"/>
        <v>0</v>
      </c>
      <c r="DF20" s="1067">
        <f t="shared" si="6"/>
        <v>5975</v>
      </c>
      <c r="DG20" s="1105">
        <f t="shared" si="7"/>
        <v>0</v>
      </c>
      <c r="DI20" s="1067">
        <f t="shared" si="31"/>
        <v>5975</v>
      </c>
      <c r="DJ20" s="1067">
        <f t="shared" si="8"/>
        <v>0</v>
      </c>
      <c r="DM20" s="1066">
        <f t="shared" si="27"/>
        <v>5975</v>
      </c>
      <c r="DP20" s="1067">
        <f t="shared" si="26"/>
        <v>5975</v>
      </c>
      <c r="DR20" s="1067">
        <f t="shared" si="0"/>
        <v>5975</v>
      </c>
      <c r="DT20" s="973">
        <f t="shared" si="1"/>
        <v>5975</v>
      </c>
      <c r="DV20" s="251"/>
    </row>
    <row r="21" spans="1:127" s="1111" customFormat="1" x14ac:dyDescent="0.25">
      <c r="A21" s="1080">
        <v>1</v>
      </c>
      <c r="B21" s="1135" t="s">
        <v>2221</v>
      </c>
      <c r="C21" s="1135">
        <v>200283</v>
      </c>
      <c r="D21" s="1135" t="s">
        <v>2838</v>
      </c>
      <c r="E21" s="1135" t="s">
        <v>1876</v>
      </c>
      <c r="F21" s="1135">
        <v>403293</v>
      </c>
      <c r="G21" s="1135" t="s">
        <v>1200</v>
      </c>
      <c r="H21" s="1135" t="s">
        <v>115</v>
      </c>
      <c r="I21" s="1146">
        <v>40872</v>
      </c>
      <c r="J21" s="1135">
        <v>7</v>
      </c>
      <c r="K21" s="1147">
        <f t="shared" ca="1" si="2"/>
        <v>13.826146475017111</v>
      </c>
      <c r="L21" s="1147" t="s">
        <v>1886</v>
      </c>
      <c r="M21" s="1147"/>
      <c r="N21" s="1135" t="s">
        <v>2348</v>
      </c>
      <c r="O21" s="1148"/>
      <c r="P21" s="1148"/>
      <c r="Q21" s="1115">
        <v>5531</v>
      </c>
      <c r="R21" s="1115"/>
      <c r="S21" s="1146">
        <v>45170</v>
      </c>
      <c r="T21" s="1042">
        <v>65</v>
      </c>
      <c r="U21" s="1146">
        <v>45382</v>
      </c>
      <c r="V21" s="1044">
        <v>192</v>
      </c>
      <c r="W21" s="1044">
        <f t="shared" si="3"/>
        <v>128</v>
      </c>
      <c r="X21" s="1045">
        <f t="shared" si="4"/>
        <v>0.66666666666666663</v>
      </c>
      <c r="Y21" s="1046">
        <v>1</v>
      </c>
      <c r="Z21" s="1045">
        <f t="shared" si="5"/>
        <v>0.66666666666666663</v>
      </c>
      <c r="AA21" s="1047">
        <f>Q21*Z21</f>
        <v>3687.333333333333</v>
      </c>
      <c r="AB21" s="1149" t="s">
        <v>2797</v>
      </c>
      <c r="AC21" s="1149" t="s">
        <v>2797</v>
      </c>
      <c r="AD21" s="1077"/>
      <c r="AE21" s="1115"/>
      <c r="AF21" s="1077"/>
      <c r="AG21" s="1115">
        <v>5531</v>
      </c>
      <c r="AH21" s="1115">
        <f>AG21/3*2</f>
        <v>3687.3333333333335</v>
      </c>
      <c r="AI21" s="1115"/>
      <c r="AJ21" s="1150"/>
      <c r="AK21" s="1115" t="str">
        <f t="shared" si="28"/>
        <v>no</v>
      </c>
      <c r="AL21" s="1115" t="str">
        <f t="shared" ref="AL21:AL35" si="33">IF(AND(AG21&gt;=5001,AG21&lt;=10000),"yes","no")</f>
        <v>yes</v>
      </c>
      <c r="AM21" s="1115" t="str">
        <f t="shared" ref="AM21:AM35" si="34">IF(AG21&gt;=10001,"yes","no")</f>
        <v>no</v>
      </c>
      <c r="AN21" s="1115"/>
      <c r="AO21" s="1077"/>
      <c r="AP21" s="1150"/>
      <c r="AQ21" s="1151"/>
      <c r="AR21" s="1077"/>
      <c r="AS21" s="1077"/>
      <c r="AT21" s="1077"/>
      <c r="AU21" s="1077"/>
      <c r="AV21" s="1077"/>
      <c r="AW21" s="1077"/>
      <c r="AX21" s="1077"/>
      <c r="AY21" s="1077"/>
      <c r="AZ21" s="1077"/>
      <c r="BA21" s="1150"/>
      <c r="BB21" s="1150"/>
      <c r="BC21" s="1077"/>
      <c r="BD21" s="1077"/>
      <c r="BE21" s="1077"/>
      <c r="BF21" s="1077"/>
      <c r="BG21" s="1077"/>
      <c r="BH21" s="1150"/>
      <c r="BI21" s="1077">
        <v>0</v>
      </c>
      <c r="BJ21" s="1077"/>
      <c r="BK21" s="1086">
        <v>5531</v>
      </c>
      <c r="BL21" s="1086"/>
      <c r="BM21" s="1086"/>
      <c r="BN21" s="1152"/>
      <c r="BO21" s="1153">
        <v>0</v>
      </c>
      <c r="BP21" s="1152"/>
      <c r="BQ21" s="1153">
        <v>0</v>
      </c>
      <c r="CF21" s="1154"/>
      <c r="CJ21" s="1093"/>
      <c r="CM21" s="1155"/>
      <c r="CN21" s="1127">
        <v>0</v>
      </c>
      <c r="CO21" s="1098">
        <v>0</v>
      </c>
      <c r="CP21" s="1098">
        <f t="shared" si="29"/>
        <v>0</v>
      </c>
      <c r="CQ21" s="1156"/>
      <c r="CR21" s="1157"/>
      <c r="CS21" s="1157"/>
      <c r="CT21" s="1157"/>
      <c r="CU21" s="1158">
        <f>AH21</f>
        <v>3687.3333333333335</v>
      </c>
      <c r="CV21" s="1158">
        <f t="shared" si="20"/>
        <v>3687.3333333333335</v>
      </c>
      <c r="CW21" s="1159"/>
      <c r="DA21" s="1066">
        <f t="shared" si="32"/>
        <v>3687.3333333333335</v>
      </c>
      <c r="DB21" s="1066">
        <f t="shared" si="30"/>
        <v>0</v>
      </c>
      <c r="DC21" s="1154"/>
      <c r="DE21" s="1066">
        <v>1768</v>
      </c>
      <c r="DF21" s="1066">
        <f t="shared" si="6"/>
        <v>5455.3333333333339</v>
      </c>
      <c r="DG21" s="1160">
        <f t="shared" si="7"/>
        <v>1768.0000000000005</v>
      </c>
      <c r="DH21" s="1066"/>
      <c r="DI21" s="1067">
        <f t="shared" si="31"/>
        <v>5455.3333333333339</v>
      </c>
      <c r="DJ21" s="1067">
        <f t="shared" si="8"/>
        <v>0</v>
      </c>
      <c r="DL21" s="1066"/>
      <c r="DM21" s="1066">
        <f t="shared" si="27"/>
        <v>5455.3333333333339</v>
      </c>
      <c r="DP21" s="1067">
        <f t="shared" si="26"/>
        <v>5455.3333333333339</v>
      </c>
      <c r="DQ21" s="1066"/>
      <c r="DR21" s="1067">
        <f t="shared" si="0"/>
        <v>5455.3333333333339</v>
      </c>
      <c r="DS21" s="1066"/>
      <c r="DT21" s="973">
        <f t="shared" si="1"/>
        <v>5455.3333333333339</v>
      </c>
      <c r="DV21" s="251"/>
      <c r="DW21"/>
    </row>
    <row r="22" spans="1:127" x14ac:dyDescent="0.25">
      <c r="A22" s="1068">
        <v>1</v>
      </c>
      <c r="B22" s="480" t="s">
        <v>2221</v>
      </c>
      <c r="C22" s="480">
        <v>200283</v>
      </c>
      <c r="D22" s="480" t="s">
        <v>2838</v>
      </c>
      <c r="E22" s="480" t="s">
        <v>1876</v>
      </c>
      <c r="F22" s="480">
        <v>392866</v>
      </c>
      <c r="G22" s="480" t="s">
        <v>2850</v>
      </c>
      <c r="H22" s="480" t="s">
        <v>2851</v>
      </c>
      <c r="I22" s="963">
        <v>40347</v>
      </c>
      <c r="J22" s="480">
        <v>8</v>
      </c>
      <c r="K22" s="1039">
        <f t="shared" ca="1" si="2"/>
        <v>15.263518138261464</v>
      </c>
      <c r="L22" s="1039" t="s">
        <v>1886</v>
      </c>
      <c r="M22" s="1039" t="s">
        <v>56</v>
      </c>
      <c r="N22" s="480" t="s">
        <v>2155</v>
      </c>
      <c r="O22" s="1069"/>
      <c r="P22" s="1069">
        <v>6418</v>
      </c>
      <c r="Q22" s="1073">
        <v>6418</v>
      </c>
      <c r="R22" s="1073">
        <v>0</v>
      </c>
      <c r="S22" s="963">
        <v>45017</v>
      </c>
      <c r="T22" s="1042">
        <v>1</v>
      </c>
      <c r="U22" s="963">
        <v>45382</v>
      </c>
      <c r="V22" s="1044">
        <v>192</v>
      </c>
      <c r="W22" s="1044">
        <f t="shared" si="3"/>
        <v>192</v>
      </c>
      <c r="X22" s="1045">
        <f t="shared" si="4"/>
        <v>1</v>
      </c>
      <c r="Y22" s="1046">
        <v>1</v>
      </c>
      <c r="Z22" s="1045">
        <f t="shared" si="5"/>
        <v>1</v>
      </c>
      <c r="AA22" s="1047">
        <f t="shared" si="23"/>
        <v>0</v>
      </c>
      <c r="AB22" s="1069" t="s">
        <v>2797</v>
      </c>
      <c r="AC22" s="1069" t="s">
        <v>2797</v>
      </c>
      <c r="AD22" s="1068"/>
      <c r="AE22" s="1072">
        <f t="shared" ref="AE22:AE27" si="35">AG22</f>
        <v>6418</v>
      </c>
      <c r="AF22" s="1068"/>
      <c r="AG22" s="1073">
        <v>6418</v>
      </c>
      <c r="AH22" s="1073">
        <v>6418</v>
      </c>
      <c r="AI22" s="1073"/>
      <c r="AJ22" s="1073"/>
      <c r="AK22" s="1073" t="str">
        <f t="shared" si="28"/>
        <v>no</v>
      </c>
      <c r="AL22" s="1073" t="str">
        <f t="shared" si="33"/>
        <v>yes</v>
      </c>
      <c r="AM22" s="1073" t="str">
        <f t="shared" si="34"/>
        <v>no</v>
      </c>
      <c r="AN22" s="1073"/>
      <c r="AO22" s="1068" t="s">
        <v>2844</v>
      </c>
      <c r="AP22" s="1073">
        <v>2106</v>
      </c>
      <c r="AQ22" s="1134">
        <v>45040</v>
      </c>
      <c r="AR22" s="1068"/>
      <c r="AS22" s="1068"/>
      <c r="AT22" s="1068"/>
      <c r="AU22" s="1068"/>
      <c r="AV22" s="1068"/>
      <c r="AW22" s="1068"/>
      <c r="AX22" s="1068"/>
      <c r="AY22" s="1068"/>
      <c r="AZ22" s="1068"/>
      <c r="BA22" s="1073"/>
      <c r="BB22" s="1161"/>
      <c r="BC22" s="1068"/>
      <c r="BD22" s="1068"/>
      <c r="BE22" s="1068"/>
      <c r="BF22" s="1068"/>
      <c r="BG22" s="1068"/>
      <c r="BH22" s="1073">
        <f t="shared" si="25"/>
        <v>2106</v>
      </c>
      <c r="BI22" s="1068">
        <v>0</v>
      </c>
      <c r="BJ22" s="1068"/>
      <c r="BK22" s="1083">
        <v>6418</v>
      </c>
      <c r="BL22" s="1083">
        <f t="shared" si="13"/>
        <v>0</v>
      </c>
      <c r="BM22" s="1083">
        <f t="shared" si="14"/>
        <v>0</v>
      </c>
      <c r="BN22" s="1092">
        <f t="shared" si="15"/>
        <v>6418</v>
      </c>
      <c r="BO22" s="1092">
        <v>0</v>
      </c>
      <c r="BP22" s="1092"/>
      <c r="BQ22" s="1092">
        <v>6418</v>
      </c>
      <c r="CJ22" s="1093">
        <f t="shared" si="22"/>
        <v>6418</v>
      </c>
      <c r="CM22" s="1095">
        <f t="shared" ref="CM22:CM35" si="36">BM22</f>
        <v>0</v>
      </c>
      <c r="CN22" s="1127">
        <f t="shared" ref="CN22:CN35" si="37">CL22-CM22</f>
        <v>0</v>
      </c>
      <c r="CO22" s="1098">
        <v>6418</v>
      </c>
      <c r="CP22" s="1098">
        <f t="shared" si="29"/>
        <v>0</v>
      </c>
      <c r="CR22" s="1100"/>
      <c r="CS22" s="1100"/>
      <c r="CT22" s="1100"/>
      <c r="CU22" s="1101">
        <f t="shared" si="19"/>
        <v>6418</v>
      </c>
      <c r="CV22" s="1124">
        <f t="shared" si="20"/>
        <v>0</v>
      </c>
      <c r="CW22" s="1103"/>
      <c r="DA22" s="1067">
        <f t="shared" si="32"/>
        <v>6418</v>
      </c>
      <c r="DB22" s="1067">
        <f t="shared" si="30"/>
        <v>0</v>
      </c>
      <c r="DF22" s="1067">
        <f t="shared" si="6"/>
        <v>6418</v>
      </c>
      <c r="DG22" s="1105">
        <f t="shared" si="7"/>
        <v>0</v>
      </c>
      <c r="DI22" s="1067">
        <f t="shared" si="31"/>
        <v>6418</v>
      </c>
      <c r="DJ22" s="1067">
        <f t="shared" si="8"/>
        <v>0</v>
      </c>
      <c r="DM22" s="1066">
        <f t="shared" si="27"/>
        <v>6418</v>
      </c>
      <c r="DP22" s="1067">
        <f t="shared" si="26"/>
        <v>6418</v>
      </c>
      <c r="DR22" s="1067">
        <f t="shared" si="0"/>
        <v>6418</v>
      </c>
      <c r="DT22" s="973">
        <f t="shared" si="1"/>
        <v>6418</v>
      </c>
      <c r="DV22" s="251"/>
    </row>
    <row r="23" spans="1:127" x14ac:dyDescent="0.25">
      <c r="A23" s="1068">
        <v>1</v>
      </c>
      <c r="B23" s="480" t="s">
        <v>2221</v>
      </c>
      <c r="C23" s="480">
        <v>200283</v>
      </c>
      <c r="D23" s="480" t="s">
        <v>2838</v>
      </c>
      <c r="E23" s="480" t="s">
        <v>1876</v>
      </c>
      <c r="F23" s="480">
        <v>379096</v>
      </c>
      <c r="G23" s="480" t="s">
        <v>2852</v>
      </c>
      <c r="H23" s="480" t="s">
        <v>2853</v>
      </c>
      <c r="I23" s="1038">
        <v>39808</v>
      </c>
      <c r="J23" s="480">
        <v>8</v>
      </c>
      <c r="K23" s="1039">
        <f t="shared" ca="1" si="2"/>
        <v>16.739219712525667</v>
      </c>
      <c r="L23" s="1039" t="s">
        <v>1886</v>
      </c>
      <c r="M23" s="1039" t="s">
        <v>1316</v>
      </c>
      <c r="N23" s="480" t="s">
        <v>2153</v>
      </c>
      <c r="O23" s="1069"/>
      <c r="P23" s="1069">
        <v>4560</v>
      </c>
      <c r="Q23" s="1073">
        <v>4560</v>
      </c>
      <c r="R23" s="1073">
        <v>0</v>
      </c>
      <c r="S23" s="963">
        <v>45017</v>
      </c>
      <c r="T23" s="1042">
        <v>1</v>
      </c>
      <c r="U23" s="963">
        <v>45382</v>
      </c>
      <c r="V23" s="1044">
        <v>192</v>
      </c>
      <c r="W23" s="1044">
        <f t="shared" si="3"/>
        <v>192</v>
      </c>
      <c r="X23" s="1045">
        <f t="shared" si="4"/>
        <v>1</v>
      </c>
      <c r="Y23" s="1046">
        <v>1</v>
      </c>
      <c r="Z23" s="1045">
        <f t="shared" si="5"/>
        <v>1</v>
      </c>
      <c r="AA23" s="1047">
        <f t="shared" si="23"/>
        <v>0</v>
      </c>
      <c r="AB23" s="1069" t="s">
        <v>2797</v>
      </c>
      <c r="AC23" s="1069" t="s">
        <v>2797</v>
      </c>
      <c r="AD23" s="1068"/>
      <c r="AE23" s="1072">
        <f t="shared" si="35"/>
        <v>4560</v>
      </c>
      <c r="AF23" s="1068"/>
      <c r="AG23" s="1073">
        <v>4560</v>
      </c>
      <c r="AH23" s="1073">
        <v>4560</v>
      </c>
      <c r="AI23" s="1073"/>
      <c r="AJ23" s="1073"/>
      <c r="AK23" s="1073" t="str">
        <f t="shared" si="28"/>
        <v>yes</v>
      </c>
      <c r="AL23" s="1073" t="str">
        <f t="shared" si="33"/>
        <v>no</v>
      </c>
      <c r="AM23" s="1073" t="str">
        <f t="shared" si="34"/>
        <v>no</v>
      </c>
      <c r="AN23" s="1073"/>
      <c r="AO23" s="1068" t="s">
        <v>2844</v>
      </c>
      <c r="AP23" s="1073">
        <v>1496</v>
      </c>
      <c r="AQ23" s="1134">
        <v>45040</v>
      </c>
      <c r="AR23" s="1068"/>
      <c r="AS23" s="1068"/>
      <c r="AT23" s="1068"/>
      <c r="AU23" s="1068"/>
      <c r="AV23" s="1068"/>
      <c r="AW23" s="1068"/>
      <c r="AX23" s="1068"/>
      <c r="AY23" s="1068"/>
      <c r="AZ23" s="1068"/>
      <c r="BA23" s="1073"/>
      <c r="BB23" s="1073"/>
      <c r="BC23" s="1068"/>
      <c r="BD23" s="1068"/>
      <c r="BE23" s="1068"/>
      <c r="BF23" s="1068"/>
      <c r="BG23" s="1068"/>
      <c r="BH23" s="1073">
        <f t="shared" si="25"/>
        <v>1496</v>
      </c>
      <c r="BI23" s="1068">
        <v>0</v>
      </c>
      <c r="BJ23" s="1068"/>
      <c r="BK23" s="1083">
        <v>4560</v>
      </c>
      <c r="BL23" s="1083">
        <f t="shared" si="13"/>
        <v>0</v>
      </c>
      <c r="BM23" s="1083">
        <f t="shared" si="14"/>
        <v>0</v>
      </c>
      <c r="BN23" s="1092">
        <f t="shared" si="15"/>
        <v>4560</v>
      </c>
      <c r="BO23" s="1092">
        <v>0</v>
      </c>
      <c r="BP23" s="1092"/>
      <c r="BQ23" s="1092">
        <v>4560</v>
      </c>
      <c r="CJ23" s="1093">
        <f t="shared" si="22"/>
        <v>4560</v>
      </c>
      <c r="CM23" s="1095">
        <f t="shared" si="36"/>
        <v>0</v>
      </c>
      <c r="CN23" s="1127">
        <f t="shared" si="37"/>
        <v>0</v>
      </c>
      <c r="CO23" s="1098">
        <v>4560</v>
      </c>
      <c r="CP23" s="1098">
        <f t="shared" si="29"/>
        <v>0</v>
      </c>
      <c r="CR23" s="1100"/>
      <c r="CS23" s="1100"/>
      <c r="CT23" s="1100"/>
      <c r="CU23" s="1101">
        <f t="shared" si="19"/>
        <v>4560</v>
      </c>
      <c r="CV23" s="1124">
        <f t="shared" si="20"/>
        <v>0</v>
      </c>
      <c r="CW23" s="1103"/>
      <c r="DA23" s="1067">
        <f t="shared" si="32"/>
        <v>4560</v>
      </c>
      <c r="DB23" s="1067">
        <f t="shared" si="30"/>
        <v>0</v>
      </c>
      <c r="DF23" s="1067">
        <f t="shared" si="6"/>
        <v>4560</v>
      </c>
      <c r="DG23" s="1105">
        <f t="shared" si="7"/>
        <v>0</v>
      </c>
      <c r="DI23" s="1067">
        <f t="shared" si="31"/>
        <v>4560</v>
      </c>
      <c r="DJ23" s="1067">
        <f t="shared" si="8"/>
        <v>0</v>
      </c>
      <c r="DM23" s="1066">
        <f t="shared" si="27"/>
        <v>4560</v>
      </c>
      <c r="DP23" s="1067">
        <f t="shared" si="26"/>
        <v>4560</v>
      </c>
      <c r="DR23" s="1067">
        <f t="shared" si="0"/>
        <v>4560</v>
      </c>
      <c r="DT23" s="973">
        <f t="shared" si="1"/>
        <v>4560</v>
      </c>
      <c r="DV23" s="251"/>
    </row>
    <row r="24" spans="1:127" x14ac:dyDescent="0.25">
      <c r="A24" s="1068">
        <v>1</v>
      </c>
      <c r="B24" s="480" t="s">
        <v>2221</v>
      </c>
      <c r="C24" s="480">
        <v>200283</v>
      </c>
      <c r="D24" s="480" t="s">
        <v>2838</v>
      </c>
      <c r="E24" s="480" t="s">
        <v>1876</v>
      </c>
      <c r="F24" s="480">
        <v>389815</v>
      </c>
      <c r="G24" s="480" t="s">
        <v>2854</v>
      </c>
      <c r="H24" s="480" t="s">
        <v>343</v>
      </c>
      <c r="I24" s="1038">
        <v>40395</v>
      </c>
      <c r="J24" s="480">
        <v>7</v>
      </c>
      <c r="K24" s="1039">
        <f t="shared" ca="1" si="2"/>
        <v>15.132101300479125</v>
      </c>
      <c r="L24" s="1039" t="s">
        <v>1886</v>
      </c>
      <c r="M24" s="1039" t="s">
        <v>56</v>
      </c>
      <c r="N24" s="480" t="s">
        <v>2153</v>
      </c>
      <c r="O24" s="1069"/>
      <c r="P24" s="1069">
        <v>5088</v>
      </c>
      <c r="Q24" s="1073">
        <v>5088</v>
      </c>
      <c r="R24" s="1073">
        <v>0</v>
      </c>
      <c r="S24" s="963">
        <v>45017</v>
      </c>
      <c r="T24" s="1042">
        <v>1</v>
      </c>
      <c r="U24" s="963">
        <v>45382</v>
      </c>
      <c r="V24" s="1044">
        <v>192</v>
      </c>
      <c r="W24" s="1044">
        <f t="shared" si="3"/>
        <v>192</v>
      </c>
      <c r="X24" s="1045">
        <f t="shared" si="4"/>
        <v>1</v>
      </c>
      <c r="Y24" s="1046">
        <v>1</v>
      </c>
      <c r="Z24" s="1045">
        <f t="shared" si="5"/>
        <v>1</v>
      </c>
      <c r="AA24" s="1047">
        <f t="shared" si="23"/>
        <v>0</v>
      </c>
      <c r="AB24" s="1069" t="s">
        <v>2797</v>
      </c>
      <c r="AC24" s="1069" t="s">
        <v>2797</v>
      </c>
      <c r="AD24" s="1068"/>
      <c r="AE24" s="1072">
        <f t="shared" si="35"/>
        <v>5088</v>
      </c>
      <c r="AF24" s="1068"/>
      <c r="AG24" s="1073">
        <v>5088</v>
      </c>
      <c r="AH24" s="1073">
        <v>5088</v>
      </c>
      <c r="AI24" s="1073"/>
      <c r="AJ24" s="1073"/>
      <c r="AK24" s="1073" t="str">
        <f t="shared" si="28"/>
        <v>no</v>
      </c>
      <c r="AL24" s="1073" t="str">
        <f t="shared" si="33"/>
        <v>yes</v>
      </c>
      <c r="AM24" s="1073" t="str">
        <f t="shared" si="34"/>
        <v>no</v>
      </c>
      <c r="AN24" s="1073"/>
      <c r="AO24" s="1068" t="s">
        <v>2844</v>
      </c>
      <c r="AP24" s="1073">
        <v>1669</v>
      </c>
      <c r="AQ24" s="1134">
        <v>45040</v>
      </c>
      <c r="AR24" s="1068"/>
      <c r="AS24" s="1068"/>
      <c r="AT24" s="1068"/>
      <c r="AU24" s="1068"/>
      <c r="AV24" s="1068"/>
      <c r="AW24" s="1068"/>
      <c r="AX24" s="1068"/>
      <c r="AY24" s="1068"/>
      <c r="AZ24" s="1068"/>
      <c r="BA24" s="1073"/>
      <c r="BB24" s="1073"/>
      <c r="BC24" s="1068"/>
      <c r="BD24" s="1068"/>
      <c r="BE24" s="1068"/>
      <c r="BF24" s="1068"/>
      <c r="BG24" s="1068"/>
      <c r="BH24" s="1073">
        <f t="shared" si="25"/>
        <v>1669</v>
      </c>
      <c r="BI24" s="1068">
        <v>0</v>
      </c>
      <c r="BJ24" s="1068"/>
      <c r="BK24" s="1083">
        <v>5088</v>
      </c>
      <c r="BL24" s="1083">
        <f t="shared" si="13"/>
        <v>0</v>
      </c>
      <c r="BM24" s="1083">
        <f t="shared" si="14"/>
        <v>0</v>
      </c>
      <c r="BN24" s="1092">
        <f t="shared" si="15"/>
        <v>5088</v>
      </c>
      <c r="BO24" s="1092">
        <v>0</v>
      </c>
      <c r="BP24" s="1092"/>
      <c r="BQ24" s="1092">
        <v>5088</v>
      </c>
      <c r="CJ24" s="1093">
        <f t="shared" si="22"/>
        <v>5088</v>
      </c>
      <c r="CM24" s="1095">
        <f t="shared" si="36"/>
        <v>0</v>
      </c>
      <c r="CN24" s="1127">
        <f t="shared" si="37"/>
        <v>0</v>
      </c>
      <c r="CO24" s="1098">
        <v>5088</v>
      </c>
      <c r="CP24" s="1098">
        <f t="shared" si="29"/>
        <v>0</v>
      </c>
      <c r="CR24" s="1100"/>
      <c r="CS24" s="1100"/>
      <c r="CT24" s="1100"/>
      <c r="CU24" s="1101">
        <f t="shared" si="19"/>
        <v>5088</v>
      </c>
      <c r="CV24" s="1124">
        <f t="shared" si="20"/>
        <v>0</v>
      </c>
      <c r="CW24" s="1103"/>
      <c r="DA24" s="1067">
        <f t="shared" si="32"/>
        <v>5088</v>
      </c>
      <c r="DB24" s="1067">
        <f t="shared" si="30"/>
        <v>0</v>
      </c>
      <c r="DF24" s="1067">
        <f t="shared" si="6"/>
        <v>5088</v>
      </c>
      <c r="DG24" s="1105">
        <f t="shared" si="7"/>
        <v>0</v>
      </c>
      <c r="DI24" s="1067">
        <f t="shared" si="31"/>
        <v>5088</v>
      </c>
      <c r="DJ24" s="1067">
        <f t="shared" si="8"/>
        <v>0</v>
      </c>
      <c r="DM24" s="1066">
        <f t="shared" si="27"/>
        <v>5088</v>
      </c>
      <c r="DP24" s="1067">
        <f t="shared" si="26"/>
        <v>5088</v>
      </c>
      <c r="DR24" s="1067">
        <f t="shared" si="0"/>
        <v>5088</v>
      </c>
      <c r="DT24" s="973">
        <f t="shared" si="1"/>
        <v>5088</v>
      </c>
      <c r="DV24" s="251"/>
    </row>
    <row r="25" spans="1:127" x14ac:dyDescent="0.25">
      <c r="A25" s="1068">
        <v>1</v>
      </c>
      <c r="B25" s="480" t="s">
        <v>2221</v>
      </c>
      <c r="C25" s="480">
        <v>200283</v>
      </c>
      <c r="D25" s="480" t="s">
        <v>2838</v>
      </c>
      <c r="E25" s="480" t="s">
        <v>1876</v>
      </c>
      <c r="F25" s="480">
        <v>398894</v>
      </c>
      <c r="G25" s="480" t="s">
        <v>382</v>
      </c>
      <c r="H25" s="480" t="s">
        <v>2615</v>
      </c>
      <c r="I25" s="1038">
        <v>39040</v>
      </c>
      <c r="J25" s="480">
        <v>10</v>
      </c>
      <c r="K25" s="1039">
        <f t="shared" ca="1" si="2"/>
        <v>18.84188911704312</v>
      </c>
      <c r="L25" s="1039" t="s">
        <v>1886</v>
      </c>
      <c r="M25" s="1039" t="s">
        <v>56</v>
      </c>
      <c r="N25" s="480" t="s">
        <v>2151</v>
      </c>
      <c r="O25" s="1069"/>
      <c r="P25" s="1069">
        <v>4137</v>
      </c>
      <c r="Q25" s="1073">
        <v>4137</v>
      </c>
      <c r="R25" s="1073">
        <v>0</v>
      </c>
      <c r="S25" s="963">
        <v>45017</v>
      </c>
      <c r="T25" s="1042">
        <v>1</v>
      </c>
      <c r="U25" s="963">
        <v>45382</v>
      </c>
      <c r="V25" s="1044">
        <v>192</v>
      </c>
      <c r="W25" s="1044">
        <f t="shared" si="3"/>
        <v>192</v>
      </c>
      <c r="X25" s="1045">
        <f t="shared" si="4"/>
        <v>1</v>
      </c>
      <c r="Y25" s="1046">
        <v>1</v>
      </c>
      <c r="Z25" s="1045">
        <f t="shared" si="5"/>
        <v>1</v>
      </c>
      <c r="AA25" s="1047">
        <f t="shared" si="23"/>
        <v>0</v>
      </c>
      <c r="AB25" s="1069" t="s">
        <v>2797</v>
      </c>
      <c r="AC25" s="1069" t="s">
        <v>2797</v>
      </c>
      <c r="AD25" s="1068"/>
      <c r="AE25" s="1072">
        <f t="shared" si="35"/>
        <v>4137</v>
      </c>
      <c r="AF25" s="1068"/>
      <c r="AG25" s="1073">
        <v>4137</v>
      </c>
      <c r="AH25" s="1073">
        <v>4137</v>
      </c>
      <c r="AI25" s="1073"/>
      <c r="AJ25" s="1073"/>
      <c r="AK25" s="1073" t="str">
        <f t="shared" si="28"/>
        <v>yes</v>
      </c>
      <c r="AL25" s="1073" t="str">
        <f t="shared" si="33"/>
        <v>no</v>
      </c>
      <c r="AM25" s="1073" t="str">
        <f t="shared" si="34"/>
        <v>no</v>
      </c>
      <c r="AN25" s="1073"/>
      <c r="AO25" s="1068" t="s">
        <v>2844</v>
      </c>
      <c r="AP25" s="1073">
        <v>1357</v>
      </c>
      <c r="AQ25" s="1134">
        <v>45040</v>
      </c>
      <c r="AR25" s="1068"/>
      <c r="AS25" s="1068"/>
      <c r="AT25" s="1068"/>
      <c r="AU25" s="1068"/>
      <c r="AV25" s="1068"/>
      <c r="AW25" s="1068"/>
      <c r="AX25" s="1068"/>
      <c r="AY25" s="1068"/>
      <c r="AZ25" s="1068"/>
      <c r="BA25" s="1073"/>
      <c r="BB25" s="1073"/>
      <c r="BC25" s="1068"/>
      <c r="BD25" s="1068"/>
      <c r="BE25" s="1068"/>
      <c r="BF25" s="1068"/>
      <c r="BG25" s="1068"/>
      <c r="BH25" s="1073">
        <f t="shared" si="25"/>
        <v>1357</v>
      </c>
      <c r="BI25" s="1068">
        <v>0</v>
      </c>
      <c r="BJ25" s="1068"/>
      <c r="BK25" s="1083">
        <v>4137</v>
      </c>
      <c r="BL25" s="1083">
        <f t="shared" si="13"/>
        <v>0</v>
      </c>
      <c r="BM25" s="1083">
        <f t="shared" si="14"/>
        <v>0</v>
      </c>
      <c r="BN25" s="1092">
        <f t="shared" si="15"/>
        <v>4137</v>
      </c>
      <c r="BO25" s="1092">
        <v>0</v>
      </c>
      <c r="BP25" s="1092"/>
      <c r="BQ25" s="1092">
        <v>4137</v>
      </c>
      <c r="BX25" s="1131" t="s">
        <v>2251</v>
      </c>
      <c r="BY25" s="1162">
        <v>44952</v>
      </c>
      <c r="CJ25" s="1093">
        <f t="shared" si="22"/>
        <v>4137</v>
      </c>
      <c r="CM25" s="1095">
        <f t="shared" si="36"/>
        <v>0</v>
      </c>
      <c r="CN25" s="1127">
        <f t="shared" si="37"/>
        <v>0</v>
      </c>
      <c r="CO25" s="1098">
        <v>4137</v>
      </c>
      <c r="CP25" s="1098">
        <f t="shared" si="29"/>
        <v>0</v>
      </c>
      <c r="CR25" s="1100"/>
      <c r="CS25" s="1100"/>
      <c r="CT25" s="1100"/>
      <c r="CU25" s="1101">
        <f t="shared" si="19"/>
        <v>4137</v>
      </c>
      <c r="CV25" s="1124">
        <f t="shared" si="20"/>
        <v>0</v>
      </c>
      <c r="CW25" s="1103"/>
      <c r="DA25" s="1067">
        <f t="shared" si="32"/>
        <v>4137</v>
      </c>
      <c r="DB25" s="1067">
        <f t="shared" si="30"/>
        <v>0</v>
      </c>
      <c r="DF25" s="1067">
        <f t="shared" si="6"/>
        <v>4137</v>
      </c>
      <c r="DG25" s="1105">
        <f t="shared" si="7"/>
        <v>0</v>
      </c>
      <c r="DI25" s="1067">
        <f t="shared" si="31"/>
        <v>4137</v>
      </c>
      <c r="DJ25" s="1067">
        <f t="shared" si="8"/>
        <v>0</v>
      </c>
      <c r="DM25" s="1066">
        <f t="shared" si="27"/>
        <v>4137</v>
      </c>
      <c r="DP25" s="1067">
        <f t="shared" si="26"/>
        <v>4137</v>
      </c>
      <c r="DR25" s="1067">
        <f t="shared" si="0"/>
        <v>4137</v>
      </c>
      <c r="DT25" s="973">
        <f t="shared" si="1"/>
        <v>4137</v>
      </c>
      <c r="DV25" s="251"/>
    </row>
    <row r="26" spans="1:127" x14ac:dyDescent="0.25">
      <c r="A26" s="1068">
        <v>1</v>
      </c>
      <c r="B26" s="480" t="s">
        <v>2221</v>
      </c>
      <c r="C26" s="480">
        <v>200283</v>
      </c>
      <c r="D26" s="480" t="s">
        <v>2838</v>
      </c>
      <c r="E26" s="480" t="s">
        <v>1876</v>
      </c>
      <c r="F26" s="480">
        <v>369267</v>
      </c>
      <c r="G26" s="480" t="s">
        <v>626</v>
      </c>
      <c r="H26" s="480" t="s">
        <v>2855</v>
      </c>
      <c r="I26" s="1038">
        <v>39114</v>
      </c>
      <c r="J26" s="480">
        <v>10</v>
      </c>
      <c r="K26" s="1039">
        <f t="shared" ca="1" si="2"/>
        <v>18.639288158795345</v>
      </c>
      <c r="L26" s="1039" t="s">
        <v>1886</v>
      </c>
      <c r="M26" s="1039" t="s">
        <v>43</v>
      </c>
      <c r="N26" s="480" t="s">
        <v>2184</v>
      </c>
      <c r="O26" s="1069"/>
      <c r="P26" s="1069">
        <v>7305</v>
      </c>
      <c r="Q26" s="1073">
        <v>7305</v>
      </c>
      <c r="R26" s="1073">
        <v>0</v>
      </c>
      <c r="S26" s="963">
        <v>45017</v>
      </c>
      <c r="T26" s="1042">
        <v>1</v>
      </c>
      <c r="U26" s="963">
        <v>45382</v>
      </c>
      <c r="V26" s="1044">
        <v>192</v>
      </c>
      <c r="W26" s="1044">
        <f t="shared" si="3"/>
        <v>192</v>
      </c>
      <c r="X26" s="1045">
        <f t="shared" si="4"/>
        <v>1</v>
      </c>
      <c r="Y26" s="1046">
        <v>1</v>
      </c>
      <c r="Z26" s="1045">
        <f t="shared" si="5"/>
        <v>1</v>
      </c>
      <c r="AA26" s="1047">
        <f t="shared" si="23"/>
        <v>0</v>
      </c>
      <c r="AB26" s="1069" t="s">
        <v>2797</v>
      </c>
      <c r="AC26" s="1069" t="s">
        <v>2797</v>
      </c>
      <c r="AD26" s="1068"/>
      <c r="AE26" s="1072">
        <f t="shared" si="35"/>
        <v>7305</v>
      </c>
      <c r="AF26" s="1068"/>
      <c r="AG26" s="1073">
        <v>7305</v>
      </c>
      <c r="AH26" s="1073">
        <v>7305</v>
      </c>
      <c r="AI26" s="1073"/>
      <c r="AJ26" s="1073"/>
      <c r="AK26" s="1073" t="str">
        <f t="shared" si="28"/>
        <v>no</v>
      </c>
      <c r="AL26" s="1073" t="str">
        <f t="shared" si="33"/>
        <v>yes</v>
      </c>
      <c r="AM26" s="1073" t="str">
        <f t="shared" si="34"/>
        <v>no</v>
      </c>
      <c r="AN26" s="1073"/>
      <c r="AO26" s="1068" t="s">
        <v>2844</v>
      </c>
      <c r="AP26" s="1073">
        <v>2397</v>
      </c>
      <c r="AQ26" s="1134">
        <v>45040</v>
      </c>
      <c r="AR26" s="1068"/>
      <c r="AS26" s="1068"/>
      <c r="AT26" s="1068"/>
      <c r="AU26" s="1068"/>
      <c r="AV26" s="1068"/>
      <c r="AW26" s="1068"/>
      <c r="AX26" s="1068"/>
      <c r="AY26" s="1068"/>
      <c r="AZ26" s="1068"/>
      <c r="BA26" s="1073"/>
      <c r="BB26" s="1073"/>
      <c r="BC26" s="1068"/>
      <c r="BD26" s="1068"/>
      <c r="BE26" s="1068"/>
      <c r="BF26" s="1068"/>
      <c r="BG26" s="1068"/>
      <c r="BH26" s="1073">
        <f t="shared" si="25"/>
        <v>2397</v>
      </c>
      <c r="BI26" s="1068">
        <v>0</v>
      </c>
      <c r="BJ26" s="1068"/>
      <c r="BK26" s="1083">
        <v>7305</v>
      </c>
      <c r="BL26" s="1083">
        <f t="shared" si="13"/>
        <v>0</v>
      </c>
      <c r="BM26" s="1083">
        <f t="shared" si="14"/>
        <v>0</v>
      </c>
      <c r="BN26" s="1092">
        <f>BK26+BL26-BM26</f>
        <v>7305</v>
      </c>
      <c r="BO26" s="1092">
        <v>-4870</v>
      </c>
      <c r="BP26" s="1092"/>
      <c r="BQ26" s="1092">
        <v>2435</v>
      </c>
      <c r="BX26" s="1131" t="s">
        <v>2142</v>
      </c>
      <c r="BY26" s="1162">
        <v>45013</v>
      </c>
      <c r="CA26" s="1163">
        <f>BN26/3*2*-1</f>
        <v>-4870</v>
      </c>
      <c r="CE26" s="1133"/>
      <c r="CJ26" s="1093">
        <f t="shared" si="22"/>
        <v>2435</v>
      </c>
      <c r="CM26" s="1095">
        <f t="shared" si="36"/>
        <v>0</v>
      </c>
      <c r="CN26" s="1127">
        <f t="shared" si="37"/>
        <v>0</v>
      </c>
      <c r="CO26" s="1098">
        <v>2435</v>
      </c>
      <c r="CP26" s="1098">
        <f t="shared" si="29"/>
        <v>0</v>
      </c>
      <c r="CR26" s="1100"/>
      <c r="CS26" s="1100"/>
      <c r="CT26" s="1100"/>
      <c r="CU26" s="1101">
        <f t="shared" si="19"/>
        <v>2435</v>
      </c>
      <c r="CV26" s="1124">
        <f t="shared" si="20"/>
        <v>0</v>
      </c>
      <c r="CW26" s="1103"/>
      <c r="DA26" s="1067">
        <f t="shared" si="32"/>
        <v>2435</v>
      </c>
      <c r="DB26" s="1067">
        <f t="shared" si="30"/>
        <v>0</v>
      </c>
      <c r="DF26" s="1067">
        <f t="shared" si="6"/>
        <v>2435</v>
      </c>
      <c r="DG26" s="1105">
        <f t="shared" si="7"/>
        <v>0</v>
      </c>
      <c r="DI26" s="1067">
        <f t="shared" si="31"/>
        <v>2435</v>
      </c>
      <c r="DJ26" s="1067">
        <f t="shared" si="8"/>
        <v>0</v>
      </c>
      <c r="DM26" s="1066">
        <f t="shared" si="27"/>
        <v>2435</v>
      </c>
      <c r="DP26" s="1067">
        <f t="shared" si="26"/>
        <v>2435</v>
      </c>
      <c r="DR26" s="1067">
        <f t="shared" si="0"/>
        <v>2435</v>
      </c>
      <c r="DT26" s="973">
        <f t="shared" si="1"/>
        <v>2435</v>
      </c>
      <c r="DV26" s="251"/>
    </row>
    <row r="27" spans="1:127" x14ac:dyDescent="0.25">
      <c r="A27" s="1068">
        <v>1</v>
      </c>
      <c r="B27" s="480" t="s">
        <v>2221</v>
      </c>
      <c r="C27" s="480">
        <v>200283</v>
      </c>
      <c r="D27" s="480" t="s">
        <v>2838</v>
      </c>
      <c r="E27" s="480" t="s">
        <v>1876</v>
      </c>
      <c r="F27" s="480">
        <v>377091</v>
      </c>
      <c r="G27" s="480" t="s">
        <v>626</v>
      </c>
      <c r="H27" s="480" t="s">
        <v>105</v>
      </c>
      <c r="I27" s="963">
        <v>39585</v>
      </c>
      <c r="J27" s="480">
        <v>0</v>
      </c>
      <c r="K27" s="1039">
        <f t="shared" ca="1" si="2"/>
        <v>17.349760438056126</v>
      </c>
      <c r="L27" s="1039" t="s">
        <v>1886</v>
      </c>
      <c r="M27" s="1039" t="s">
        <v>43</v>
      </c>
      <c r="N27" s="480" t="s">
        <v>2155</v>
      </c>
      <c r="O27" s="1069"/>
      <c r="P27" s="1069">
        <v>6418</v>
      </c>
      <c r="Q27" s="1073">
        <v>6418</v>
      </c>
      <c r="R27" s="1073">
        <v>0</v>
      </c>
      <c r="S27" s="963">
        <v>45017</v>
      </c>
      <c r="T27" s="1042">
        <v>1</v>
      </c>
      <c r="U27" s="963">
        <v>45382</v>
      </c>
      <c r="V27" s="1044">
        <v>192</v>
      </c>
      <c r="W27" s="1044">
        <f t="shared" si="3"/>
        <v>192</v>
      </c>
      <c r="X27" s="1045">
        <f t="shared" si="4"/>
        <v>1</v>
      </c>
      <c r="Y27" s="1046">
        <v>1</v>
      </c>
      <c r="Z27" s="1045">
        <f t="shared" si="5"/>
        <v>1</v>
      </c>
      <c r="AA27" s="1047">
        <f t="shared" si="23"/>
        <v>0</v>
      </c>
      <c r="AB27" s="1069" t="s">
        <v>2797</v>
      </c>
      <c r="AC27" s="1069" t="s">
        <v>2797</v>
      </c>
      <c r="AD27" s="1068"/>
      <c r="AE27" s="1072">
        <f t="shared" si="35"/>
        <v>6418</v>
      </c>
      <c r="AF27" s="1068"/>
      <c r="AG27" s="1073">
        <v>6418</v>
      </c>
      <c r="AH27" s="1073">
        <v>6418</v>
      </c>
      <c r="AI27" s="1073"/>
      <c r="AJ27" s="1073"/>
      <c r="AK27" s="1073" t="str">
        <f t="shared" si="28"/>
        <v>no</v>
      </c>
      <c r="AL27" s="1073" t="str">
        <f t="shared" si="33"/>
        <v>yes</v>
      </c>
      <c r="AM27" s="1073" t="str">
        <f t="shared" si="34"/>
        <v>no</v>
      </c>
      <c r="AN27" s="1073"/>
      <c r="AO27" s="1068" t="s">
        <v>2844</v>
      </c>
      <c r="AP27" s="1073">
        <v>2106</v>
      </c>
      <c r="AQ27" s="1134">
        <v>45040</v>
      </c>
      <c r="AR27" s="1068"/>
      <c r="AS27" s="1068"/>
      <c r="AT27" s="1068"/>
      <c r="AU27" s="1068"/>
      <c r="AV27" s="1068"/>
      <c r="AW27" s="1068"/>
      <c r="AX27" s="1068"/>
      <c r="AY27" s="1068"/>
      <c r="AZ27" s="1068"/>
      <c r="BA27" s="1073"/>
      <c r="BB27" s="1073"/>
      <c r="BC27" s="1068"/>
      <c r="BD27" s="1068"/>
      <c r="BE27" s="1068"/>
      <c r="BF27" s="1068"/>
      <c r="BG27" s="1068"/>
      <c r="BH27" s="1073">
        <f t="shared" si="25"/>
        <v>2106</v>
      </c>
      <c r="BI27" s="1068">
        <v>0</v>
      </c>
      <c r="BJ27" s="1068"/>
      <c r="BK27" s="1083">
        <v>6418</v>
      </c>
      <c r="BL27" s="1083">
        <f t="shared" si="13"/>
        <v>0</v>
      </c>
      <c r="BM27" s="1083">
        <f t="shared" si="14"/>
        <v>0</v>
      </c>
      <c r="BN27" s="1092">
        <f t="shared" si="15"/>
        <v>6418</v>
      </c>
      <c r="BO27" s="1092">
        <v>0</v>
      </c>
      <c r="BP27" s="1092"/>
      <c r="BQ27" s="1092">
        <v>6418</v>
      </c>
      <c r="CA27" s="1131"/>
      <c r="CJ27" s="1093">
        <f t="shared" si="22"/>
        <v>6418</v>
      </c>
      <c r="CM27" s="1095">
        <f t="shared" si="36"/>
        <v>0</v>
      </c>
      <c r="CN27" s="1127">
        <f t="shared" si="37"/>
        <v>0</v>
      </c>
      <c r="CO27" s="1098">
        <v>9704</v>
      </c>
      <c r="CP27" s="1098">
        <f t="shared" si="29"/>
        <v>3286</v>
      </c>
      <c r="CR27" s="1100"/>
      <c r="CS27" s="1100"/>
      <c r="CT27" s="1100"/>
      <c r="CU27" s="1124">
        <f t="shared" si="19"/>
        <v>9704</v>
      </c>
      <c r="CV27" s="1124">
        <f t="shared" si="20"/>
        <v>0</v>
      </c>
      <c r="CW27" s="1103"/>
      <c r="DA27" s="1067">
        <f t="shared" si="32"/>
        <v>9704</v>
      </c>
      <c r="DB27" s="1067">
        <f t="shared" si="30"/>
        <v>0</v>
      </c>
      <c r="DF27" s="1067">
        <f t="shared" si="6"/>
        <v>9704</v>
      </c>
      <c r="DG27" s="1105">
        <f t="shared" si="7"/>
        <v>0</v>
      </c>
      <c r="DH27" s="1067">
        <f>(9704-6418)*-1</f>
        <v>-3286</v>
      </c>
      <c r="DI27" s="1067">
        <f t="shared" si="31"/>
        <v>6418</v>
      </c>
      <c r="DJ27" s="1067">
        <f t="shared" si="8"/>
        <v>-3286</v>
      </c>
      <c r="DM27" s="1066">
        <f t="shared" si="27"/>
        <v>6418</v>
      </c>
      <c r="DP27" s="1067">
        <f t="shared" si="26"/>
        <v>6418</v>
      </c>
      <c r="DR27" s="1067">
        <f t="shared" si="0"/>
        <v>6418</v>
      </c>
      <c r="DT27" s="973">
        <f t="shared" si="1"/>
        <v>6418</v>
      </c>
      <c r="DV27" s="251"/>
    </row>
    <row r="28" spans="1:127" s="1111" customFormat="1" x14ac:dyDescent="0.25">
      <c r="A28" s="1080">
        <v>1</v>
      </c>
      <c r="B28" s="1135" t="s">
        <v>2221</v>
      </c>
      <c r="C28" s="1135">
        <v>200283</v>
      </c>
      <c r="D28" s="1135" t="s">
        <v>2838</v>
      </c>
      <c r="E28" s="1135" t="s">
        <v>1876</v>
      </c>
      <c r="F28" s="1135">
        <v>397165</v>
      </c>
      <c r="G28" s="1135" t="s">
        <v>722</v>
      </c>
      <c r="H28" s="1135" t="s">
        <v>721</v>
      </c>
      <c r="I28" s="1146">
        <v>40959</v>
      </c>
      <c r="J28" s="1135">
        <v>0</v>
      </c>
      <c r="K28" s="1147">
        <f t="shared" ca="1" si="2"/>
        <v>13.587953456536619</v>
      </c>
      <c r="L28" s="1147" t="s">
        <v>1886</v>
      </c>
      <c r="M28" s="1147" t="s">
        <v>128</v>
      </c>
      <c r="N28" s="1135" t="s">
        <v>2856</v>
      </c>
      <c r="O28" s="1148">
        <v>7237.56</v>
      </c>
      <c r="P28" s="1148"/>
      <c r="Q28" s="1115">
        <v>7237.56</v>
      </c>
      <c r="R28" s="1115"/>
      <c r="S28" s="1146">
        <v>45170</v>
      </c>
      <c r="T28" s="1042">
        <v>65</v>
      </c>
      <c r="U28" s="1146">
        <v>45382</v>
      </c>
      <c r="V28" s="1044">
        <v>192</v>
      </c>
      <c r="W28" s="1044">
        <f t="shared" si="3"/>
        <v>128</v>
      </c>
      <c r="X28" s="1045">
        <f t="shared" si="4"/>
        <v>0.66666666666666663</v>
      </c>
      <c r="Y28" s="1046">
        <v>1</v>
      </c>
      <c r="Z28" s="1045">
        <f t="shared" si="5"/>
        <v>0.66666666666666663</v>
      </c>
      <c r="AA28" s="1047">
        <f t="shared" si="23"/>
        <v>4825.04</v>
      </c>
      <c r="AB28" s="1069" t="s">
        <v>2797</v>
      </c>
      <c r="AC28" s="1069" t="s">
        <v>2797</v>
      </c>
      <c r="AD28" s="1075"/>
      <c r="AE28" s="1115">
        <v>4825.04</v>
      </c>
      <c r="AF28" s="1075"/>
      <c r="AG28" s="1115">
        <v>7237.5599999999995</v>
      </c>
      <c r="AH28" s="1115">
        <f>AG28/3*2</f>
        <v>4825.04</v>
      </c>
      <c r="AI28" s="1115"/>
      <c r="AJ28" s="1116"/>
      <c r="AK28" s="1115" t="str">
        <f t="shared" si="28"/>
        <v>no</v>
      </c>
      <c r="AL28" s="1115" t="str">
        <f t="shared" si="33"/>
        <v>yes</v>
      </c>
      <c r="AM28" s="1115" t="str">
        <f t="shared" si="34"/>
        <v>no</v>
      </c>
      <c r="AN28" s="1115"/>
      <c r="AO28" s="1075"/>
      <c r="AP28" s="1116"/>
      <c r="AQ28" s="1164"/>
      <c r="AR28" s="1075"/>
      <c r="AS28" s="1075"/>
      <c r="AT28" s="1075"/>
      <c r="AU28" s="1075"/>
      <c r="AV28" s="1075"/>
      <c r="AW28" s="1075"/>
      <c r="AX28" s="1075"/>
      <c r="AY28" s="1075"/>
      <c r="AZ28" s="1075"/>
      <c r="BA28" s="1116"/>
      <c r="BB28" s="1116"/>
      <c r="BC28" s="1075"/>
      <c r="BD28" s="1075"/>
      <c r="BE28" s="1075"/>
      <c r="BF28" s="1075"/>
      <c r="BG28" s="1075"/>
      <c r="BH28" s="1116"/>
      <c r="BI28" s="1075">
        <v>0</v>
      </c>
      <c r="BJ28" s="1075"/>
      <c r="BK28" s="1084">
        <v>7237.5599999999995</v>
      </c>
      <c r="BL28" s="1084"/>
      <c r="BM28" s="1084"/>
      <c r="BN28" s="1117"/>
      <c r="BO28" s="1153">
        <v>0</v>
      </c>
      <c r="BP28" s="1092"/>
      <c r="BQ28" s="1153">
        <v>0</v>
      </c>
      <c r="BU28" s="1111" t="s">
        <v>2857</v>
      </c>
      <c r="BY28" s="1111" t="s">
        <v>2858</v>
      </c>
      <c r="CE28" s="1111">
        <v>4825.04</v>
      </c>
      <c r="CF28" s="1118"/>
      <c r="CJ28" s="1093">
        <f t="shared" si="22"/>
        <v>4825.04</v>
      </c>
      <c r="CM28" s="1155">
        <f t="shared" si="36"/>
        <v>0</v>
      </c>
      <c r="CN28" s="1127">
        <f t="shared" si="37"/>
        <v>0</v>
      </c>
      <c r="CO28" s="1098">
        <v>4825.04</v>
      </c>
      <c r="CP28" s="1098">
        <f t="shared" si="29"/>
        <v>4825.04</v>
      </c>
      <c r="CQ28" s="1122"/>
      <c r="CR28" s="1157"/>
      <c r="CS28" s="1157"/>
      <c r="CT28" s="1157"/>
      <c r="CU28" s="1158">
        <f t="shared" si="19"/>
        <v>4825.04</v>
      </c>
      <c r="CV28" s="1158">
        <f t="shared" si="20"/>
        <v>0</v>
      </c>
      <c r="CW28" s="1159"/>
      <c r="CZ28" s="1111">
        <v>3950</v>
      </c>
      <c r="DA28" s="1067">
        <f t="shared" si="32"/>
        <v>8775.0400000000009</v>
      </c>
      <c r="DB28" s="1067">
        <f t="shared" si="30"/>
        <v>3950.0000000000009</v>
      </c>
      <c r="DC28" s="1111" t="s">
        <v>2859</v>
      </c>
      <c r="DE28" s="1066"/>
      <c r="DF28" s="1067">
        <f t="shared" si="6"/>
        <v>8775.0400000000009</v>
      </c>
      <c r="DG28" s="1105">
        <f t="shared" si="7"/>
        <v>0</v>
      </c>
      <c r="DH28" s="1066">
        <v>-3096</v>
      </c>
      <c r="DI28" s="1067">
        <f t="shared" si="31"/>
        <v>5679.0400000000009</v>
      </c>
      <c r="DJ28" s="1067">
        <f t="shared" si="8"/>
        <v>-3096</v>
      </c>
      <c r="DL28" s="1066"/>
      <c r="DM28" s="1066">
        <f t="shared" si="27"/>
        <v>5679.0400000000009</v>
      </c>
      <c r="DP28" s="1067">
        <f t="shared" si="26"/>
        <v>5679.0400000000009</v>
      </c>
      <c r="DQ28" s="1066"/>
      <c r="DR28" s="1067">
        <f t="shared" si="0"/>
        <v>5679.0400000000009</v>
      </c>
      <c r="DS28" s="1066"/>
      <c r="DT28" s="973">
        <f t="shared" si="1"/>
        <v>5679.0400000000009</v>
      </c>
      <c r="DV28" s="251"/>
      <c r="DW28"/>
    </row>
    <row r="29" spans="1:127" x14ac:dyDescent="0.25">
      <c r="A29" s="1068">
        <v>1</v>
      </c>
      <c r="B29" s="480" t="s">
        <v>2221</v>
      </c>
      <c r="C29" s="480">
        <v>200283</v>
      </c>
      <c r="D29" s="480" t="s">
        <v>2838</v>
      </c>
      <c r="E29" s="480" t="s">
        <v>1876</v>
      </c>
      <c r="F29" s="480">
        <v>368976</v>
      </c>
      <c r="G29" s="480" t="s">
        <v>2860</v>
      </c>
      <c r="H29" s="480" t="s">
        <v>406</v>
      </c>
      <c r="I29" s="1038">
        <v>39155</v>
      </c>
      <c r="J29" s="480">
        <v>9</v>
      </c>
      <c r="K29" s="1039">
        <f t="shared" ca="1" si="2"/>
        <v>18.527036276522928</v>
      </c>
      <c r="L29" s="1039" t="s">
        <v>1886</v>
      </c>
      <c r="M29" s="1039" t="s">
        <v>56</v>
      </c>
      <c r="N29" s="480" t="s">
        <v>2861</v>
      </c>
      <c r="O29" s="1069"/>
      <c r="P29" s="1069">
        <v>3292</v>
      </c>
      <c r="Q29" s="1073">
        <v>3292</v>
      </c>
      <c r="R29" s="1073">
        <v>0</v>
      </c>
      <c r="S29" s="963">
        <v>45017</v>
      </c>
      <c r="T29" s="1042">
        <v>1</v>
      </c>
      <c r="U29" s="963">
        <v>45382</v>
      </c>
      <c r="V29" s="1044">
        <v>192</v>
      </c>
      <c r="W29" s="1044">
        <f t="shared" si="3"/>
        <v>192</v>
      </c>
      <c r="X29" s="1045">
        <f t="shared" si="4"/>
        <v>1</v>
      </c>
      <c r="Y29" s="1046">
        <v>1</v>
      </c>
      <c r="Z29" s="1045">
        <f t="shared" si="5"/>
        <v>1</v>
      </c>
      <c r="AA29" s="1047">
        <f t="shared" si="23"/>
        <v>0</v>
      </c>
      <c r="AB29" s="1069" t="s">
        <v>2797</v>
      </c>
      <c r="AC29" s="1069" t="s">
        <v>2797</v>
      </c>
      <c r="AD29" s="1068"/>
      <c r="AE29" s="1072">
        <f t="shared" ref="AE29:AE35" si="38">AG29</f>
        <v>3292</v>
      </c>
      <c r="AF29" s="1068"/>
      <c r="AG29" s="1073">
        <v>3292</v>
      </c>
      <c r="AH29" s="1073">
        <v>3292</v>
      </c>
      <c r="AI29" s="1073"/>
      <c r="AJ29" s="1073"/>
      <c r="AK29" s="1073" t="str">
        <f t="shared" si="28"/>
        <v>yes</v>
      </c>
      <c r="AL29" s="1073" t="str">
        <f t="shared" si="33"/>
        <v>no</v>
      </c>
      <c r="AM29" s="1073" t="str">
        <f t="shared" si="34"/>
        <v>no</v>
      </c>
      <c r="AN29" s="1073"/>
      <c r="AO29" s="1068" t="s">
        <v>2844</v>
      </c>
      <c r="AP29" s="1073">
        <v>1080</v>
      </c>
      <c r="AQ29" s="1134">
        <v>45040</v>
      </c>
      <c r="AR29" s="1068"/>
      <c r="AS29" s="1068"/>
      <c r="AT29" s="1068"/>
      <c r="AU29" s="1068"/>
      <c r="AV29" s="1068"/>
      <c r="AW29" s="1068"/>
      <c r="AX29" s="1068"/>
      <c r="AY29" s="1068"/>
      <c r="AZ29" s="1068"/>
      <c r="BA29" s="1073"/>
      <c r="BB29" s="1073"/>
      <c r="BC29" s="1068"/>
      <c r="BD29" s="1068"/>
      <c r="BE29" s="1068"/>
      <c r="BF29" s="1068"/>
      <c r="BG29" s="1068"/>
      <c r="BH29" s="1073">
        <f t="shared" si="25"/>
        <v>1080</v>
      </c>
      <c r="BI29" s="1068">
        <v>0</v>
      </c>
      <c r="BJ29" s="1068"/>
      <c r="BK29" s="1083">
        <v>3292</v>
      </c>
      <c r="BL29" s="1083">
        <f t="shared" si="13"/>
        <v>0</v>
      </c>
      <c r="BM29" s="1083">
        <f t="shared" si="14"/>
        <v>0</v>
      </c>
      <c r="BN29" s="1092">
        <f t="shared" si="15"/>
        <v>3292</v>
      </c>
      <c r="BO29" s="1092">
        <v>0</v>
      </c>
      <c r="BP29" s="1092"/>
      <c r="BQ29" s="1092">
        <v>3292</v>
      </c>
      <c r="CA29" s="1131"/>
      <c r="CJ29" s="1093">
        <f t="shared" si="22"/>
        <v>3292</v>
      </c>
      <c r="CM29" s="1095">
        <f t="shared" si="36"/>
        <v>0</v>
      </c>
      <c r="CN29" s="1127">
        <f t="shared" si="37"/>
        <v>0</v>
      </c>
      <c r="CO29" s="1098">
        <v>3292</v>
      </c>
      <c r="CP29" s="1098">
        <f t="shared" si="29"/>
        <v>0</v>
      </c>
      <c r="CR29" s="1100"/>
      <c r="CS29" s="1100"/>
      <c r="CT29" s="1100"/>
      <c r="CU29" s="1101">
        <f t="shared" si="19"/>
        <v>3292</v>
      </c>
      <c r="CV29" s="1124">
        <f t="shared" si="20"/>
        <v>0</v>
      </c>
      <c r="CW29" s="1103"/>
      <c r="DA29" s="1067">
        <f t="shared" si="32"/>
        <v>3292</v>
      </c>
      <c r="DB29" s="1067">
        <f t="shared" si="30"/>
        <v>0</v>
      </c>
      <c r="DF29" s="1067">
        <f t="shared" si="6"/>
        <v>3292</v>
      </c>
      <c r="DG29" s="1105">
        <f t="shared" si="7"/>
        <v>0</v>
      </c>
      <c r="DI29" s="1067">
        <f t="shared" si="31"/>
        <v>3292</v>
      </c>
      <c r="DJ29" s="1067">
        <f t="shared" si="8"/>
        <v>0</v>
      </c>
      <c r="DM29" s="1066">
        <f t="shared" si="27"/>
        <v>3292</v>
      </c>
      <c r="DP29" s="1067">
        <f t="shared" si="26"/>
        <v>3292</v>
      </c>
      <c r="DR29" s="1067">
        <f t="shared" si="0"/>
        <v>3292</v>
      </c>
      <c r="DT29" s="973">
        <f t="shared" si="1"/>
        <v>3292</v>
      </c>
      <c r="DV29" s="251"/>
    </row>
    <row r="30" spans="1:127" x14ac:dyDescent="0.25">
      <c r="A30" s="1068">
        <v>1</v>
      </c>
      <c r="B30" s="480" t="s">
        <v>2221</v>
      </c>
      <c r="C30" s="480">
        <v>200283</v>
      </c>
      <c r="D30" s="480" t="s">
        <v>2838</v>
      </c>
      <c r="E30" s="480" t="s">
        <v>1876</v>
      </c>
      <c r="F30" s="1165">
        <v>396312</v>
      </c>
      <c r="G30" s="480" t="s">
        <v>2862</v>
      </c>
      <c r="H30" s="480" t="s">
        <v>174</v>
      </c>
      <c r="I30" s="1038">
        <v>40706</v>
      </c>
      <c r="J30" s="480">
        <v>8</v>
      </c>
      <c r="K30" s="1039">
        <f t="shared" ca="1" si="2"/>
        <v>14.28062970568104</v>
      </c>
      <c r="L30" s="1039" t="s">
        <v>1886</v>
      </c>
      <c r="M30" s="1039" t="s">
        <v>43</v>
      </c>
      <c r="N30" s="480" t="s">
        <v>91</v>
      </c>
      <c r="O30" s="1069">
        <v>9421</v>
      </c>
      <c r="P30" s="1069">
        <v>9421</v>
      </c>
      <c r="Q30" s="1073">
        <v>9421</v>
      </c>
      <c r="R30" s="1073">
        <v>0</v>
      </c>
      <c r="S30" s="1166">
        <v>45017</v>
      </c>
      <c r="T30" s="1042">
        <v>1</v>
      </c>
      <c r="U30" s="963">
        <v>45382</v>
      </c>
      <c r="V30" s="1044">
        <v>192</v>
      </c>
      <c r="W30" s="1044">
        <f t="shared" si="3"/>
        <v>192</v>
      </c>
      <c r="X30" s="1045">
        <f t="shared" si="4"/>
        <v>1</v>
      </c>
      <c r="Y30" s="1046">
        <v>1</v>
      </c>
      <c r="Z30" s="1045">
        <f t="shared" si="5"/>
        <v>1</v>
      </c>
      <c r="AA30" s="1047">
        <f t="shared" si="23"/>
        <v>9421</v>
      </c>
      <c r="AB30" s="1069" t="s">
        <v>2797</v>
      </c>
      <c r="AC30" s="1069" t="s">
        <v>2797</v>
      </c>
      <c r="AD30" s="1068"/>
      <c r="AE30" s="1072">
        <f t="shared" si="38"/>
        <v>9421</v>
      </c>
      <c r="AF30" s="1068"/>
      <c r="AG30" s="1073">
        <v>9421</v>
      </c>
      <c r="AH30" s="1073">
        <v>9421</v>
      </c>
      <c r="AI30" s="1073"/>
      <c r="AJ30" s="1073"/>
      <c r="AK30" s="1073" t="str">
        <f t="shared" si="28"/>
        <v>no</v>
      </c>
      <c r="AL30" s="1073" t="str">
        <f t="shared" si="33"/>
        <v>yes</v>
      </c>
      <c r="AM30" s="1073" t="str">
        <f t="shared" si="34"/>
        <v>no</v>
      </c>
      <c r="AN30" s="1073"/>
      <c r="AO30" s="1068" t="s">
        <v>2844</v>
      </c>
      <c r="AP30" s="1073">
        <v>3091</v>
      </c>
      <c r="AQ30" s="1134">
        <v>45040</v>
      </c>
      <c r="AR30" s="1068"/>
      <c r="AS30" s="1068"/>
      <c r="AT30" s="1068"/>
      <c r="AU30" s="1068"/>
      <c r="AV30" s="1068"/>
      <c r="AW30" s="1068"/>
      <c r="AX30" s="1068"/>
      <c r="AY30" s="1068"/>
      <c r="AZ30" s="1068"/>
      <c r="BA30" s="1073"/>
      <c r="BB30" s="1073"/>
      <c r="BC30" s="1068"/>
      <c r="BD30" s="1068"/>
      <c r="BE30" s="1068"/>
      <c r="BF30" s="1068"/>
      <c r="BG30" s="1068"/>
      <c r="BH30" s="1073">
        <f t="shared" si="25"/>
        <v>3091</v>
      </c>
      <c r="BI30" s="1068">
        <v>0</v>
      </c>
      <c r="BJ30" s="1068"/>
      <c r="BK30" s="1083">
        <v>9421</v>
      </c>
      <c r="BL30" s="1083">
        <f t="shared" si="13"/>
        <v>0</v>
      </c>
      <c r="BM30" s="1083">
        <f t="shared" si="14"/>
        <v>0</v>
      </c>
      <c r="BN30" s="1092">
        <f t="shared" si="15"/>
        <v>9421</v>
      </c>
      <c r="BO30" s="1092">
        <v>0</v>
      </c>
      <c r="BP30" s="1092"/>
      <c r="BQ30" s="1092">
        <v>9421</v>
      </c>
      <c r="CA30" s="1131"/>
      <c r="CJ30" s="1093">
        <f t="shared" si="22"/>
        <v>9421</v>
      </c>
      <c r="CM30" s="1095">
        <f t="shared" si="36"/>
        <v>0</v>
      </c>
      <c r="CN30" s="1127">
        <f t="shared" si="37"/>
        <v>0</v>
      </c>
      <c r="CO30" s="1098">
        <v>9421</v>
      </c>
      <c r="CP30" s="1098">
        <f t="shared" si="29"/>
        <v>0</v>
      </c>
      <c r="CR30" s="1100"/>
      <c r="CS30" s="1100"/>
      <c r="CT30" s="1100"/>
      <c r="CU30" s="1101">
        <f t="shared" si="19"/>
        <v>9421</v>
      </c>
      <c r="CV30" s="1124">
        <f t="shared" si="20"/>
        <v>0</v>
      </c>
      <c r="CW30" s="1103"/>
      <c r="DA30" s="1067">
        <f t="shared" si="32"/>
        <v>9421</v>
      </c>
      <c r="DB30" s="1067">
        <f t="shared" si="30"/>
        <v>0</v>
      </c>
      <c r="DF30" s="1067">
        <f t="shared" si="6"/>
        <v>9421</v>
      </c>
      <c r="DG30" s="1105">
        <f t="shared" si="7"/>
        <v>0</v>
      </c>
      <c r="DI30" s="1067">
        <f t="shared" si="31"/>
        <v>9421</v>
      </c>
      <c r="DJ30" s="1067">
        <f t="shared" si="8"/>
        <v>0</v>
      </c>
      <c r="DM30" s="1066">
        <f t="shared" si="27"/>
        <v>9421</v>
      </c>
      <c r="DP30" s="1067">
        <f t="shared" si="26"/>
        <v>9421</v>
      </c>
      <c r="DR30" s="1067">
        <f t="shared" si="0"/>
        <v>9421</v>
      </c>
      <c r="DT30" s="973">
        <f t="shared" si="1"/>
        <v>9421</v>
      </c>
      <c r="DV30" s="251"/>
    </row>
    <row r="31" spans="1:127" x14ac:dyDescent="0.25">
      <c r="A31" s="1068">
        <v>1</v>
      </c>
      <c r="B31" s="480" t="s">
        <v>2221</v>
      </c>
      <c r="C31" s="480">
        <v>200283</v>
      </c>
      <c r="D31" s="480" t="s">
        <v>2838</v>
      </c>
      <c r="E31" s="480" t="s">
        <v>1876</v>
      </c>
      <c r="F31" s="480">
        <v>404202</v>
      </c>
      <c r="G31" s="480" t="s">
        <v>344</v>
      </c>
      <c r="H31" s="480" t="s">
        <v>2863</v>
      </c>
      <c r="I31" s="1038">
        <v>40203</v>
      </c>
      <c r="J31" s="480">
        <v>7</v>
      </c>
      <c r="K31" s="1039">
        <f t="shared" ca="1" si="2"/>
        <v>15.657768651608487</v>
      </c>
      <c r="L31" s="1039" t="s">
        <v>1886</v>
      </c>
      <c r="M31" s="1039" t="s">
        <v>66</v>
      </c>
      <c r="N31" s="480" t="s">
        <v>91</v>
      </c>
      <c r="O31" s="1069">
        <v>5087.5</v>
      </c>
      <c r="P31" s="1069">
        <v>5088</v>
      </c>
      <c r="Q31" s="1073">
        <v>5088</v>
      </c>
      <c r="R31" s="1073">
        <v>0</v>
      </c>
      <c r="S31" s="1166">
        <v>45017</v>
      </c>
      <c r="T31" s="1042">
        <v>1</v>
      </c>
      <c r="U31" s="963">
        <v>45382</v>
      </c>
      <c r="V31" s="1044">
        <v>192</v>
      </c>
      <c r="W31" s="1044">
        <f t="shared" si="3"/>
        <v>192</v>
      </c>
      <c r="X31" s="1045">
        <f t="shared" si="4"/>
        <v>1</v>
      </c>
      <c r="Y31" s="1046">
        <v>1</v>
      </c>
      <c r="Z31" s="1045">
        <f t="shared" si="5"/>
        <v>1</v>
      </c>
      <c r="AA31" s="1047">
        <f t="shared" si="23"/>
        <v>5087.5</v>
      </c>
      <c r="AB31" s="1069" t="s">
        <v>2797</v>
      </c>
      <c r="AC31" s="1069" t="s">
        <v>2797</v>
      </c>
      <c r="AD31" s="1068"/>
      <c r="AE31" s="1072">
        <f t="shared" si="38"/>
        <v>5088</v>
      </c>
      <c r="AF31" s="1068"/>
      <c r="AG31" s="1073">
        <v>5088</v>
      </c>
      <c r="AH31" s="1073">
        <v>5088</v>
      </c>
      <c r="AI31" s="1073"/>
      <c r="AJ31" s="1073"/>
      <c r="AK31" s="1073" t="str">
        <f t="shared" si="28"/>
        <v>no</v>
      </c>
      <c r="AL31" s="1073" t="str">
        <f t="shared" si="33"/>
        <v>yes</v>
      </c>
      <c r="AM31" s="1073" t="str">
        <f t="shared" si="34"/>
        <v>no</v>
      </c>
      <c r="AN31" s="1073"/>
      <c r="AO31" s="1068" t="s">
        <v>2844</v>
      </c>
      <c r="AP31" s="1073">
        <v>1669</v>
      </c>
      <c r="AQ31" s="1134">
        <v>45040</v>
      </c>
      <c r="AR31" s="1068"/>
      <c r="AS31" s="1068"/>
      <c r="AT31" s="1068"/>
      <c r="AU31" s="1068"/>
      <c r="AV31" s="1068"/>
      <c r="AW31" s="1068"/>
      <c r="AX31" s="1068"/>
      <c r="AY31" s="1068"/>
      <c r="AZ31" s="1068"/>
      <c r="BA31" s="1073"/>
      <c r="BB31" s="1073"/>
      <c r="BC31" s="1068"/>
      <c r="BD31" s="1068"/>
      <c r="BE31" s="1068"/>
      <c r="BF31" s="1068"/>
      <c r="BG31" s="1068"/>
      <c r="BH31" s="1073">
        <f t="shared" si="25"/>
        <v>1669</v>
      </c>
      <c r="BI31" s="1068">
        <v>0</v>
      </c>
      <c r="BJ31" s="1068"/>
      <c r="BK31" s="1083">
        <v>5088</v>
      </c>
      <c r="BL31" s="1083">
        <f t="shared" si="13"/>
        <v>0</v>
      </c>
      <c r="BM31" s="1083">
        <f t="shared" si="14"/>
        <v>0</v>
      </c>
      <c r="BN31" s="1092">
        <f t="shared" si="15"/>
        <v>5088</v>
      </c>
      <c r="BO31" s="1092">
        <v>0</v>
      </c>
      <c r="BP31" s="1092"/>
      <c r="BQ31" s="1092">
        <v>5088</v>
      </c>
      <c r="CA31" s="1131"/>
      <c r="CJ31" s="1093">
        <f t="shared" si="22"/>
        <v>5088</v>
      </c>
      <c r="CM31" s="1095">
        <f t="shared" si="36"/>
        <v>0</v>
      </c>
      <c r="CN31" s="1127">
        <f t="shared" si="37"/>
        <v>0</v>
      </c>
      <c r="CO31" s="1098">
        <v>5088</v>
      </c>
      <c r="CP31" s="1098">
        <f t="shared" si="29"/>
        <v>0</v>
      </c>
      <c r="CR31" s="1100"/>
      <c r="CS31" s="1100"/>
      <c r="CT31" s="1100"/>
      <c r="CU31" s="1101">
        <f t="shared" si="19"/>
        <v>5088</v>
      </c>
      <c r="CV31" s="1124">
        <f t="shared" si="20"/>
        <v>0</v>
      </c>
      <c r="CW31" s="1103"/>
      <c r="DA31" s="1067">
        <f t="shared" si="32"/>
        <v>5088</v>
      </c>
      <c r="DB31" s="1067">
        <f t="shared" si="30"/>
        <v>0</v>
      </c>
      <c r="DF31" s="1067">
        <f t="shared" si="6"/>
        <v>5088</v>
      </c>
      <c r="DG31" s="1105">
        <f t="shared" si="7"/>
        <v>0</v>
      </c>
      <c r="DI31" s="1067">
        <f t="shared" si="31"/>
        <v>5088</v>
      </c>
      <c r="DJ31" s="1067">
        <f t="shared" si="8"/>
        <v>0</v>
      </c>
      <c r="DM31" s="1066">
        <f t="shared" si="27"/>
        <v>5088</v>
      </c>
      <c r="DP31" s="1067">
        <f t="shared" si="26"/>
        <v>5088</v>
      </c>
      <c r="DR31" s="1067">
        <f t="shared" si="0"/>
        <v>5088</v>
      </c>
      <c r="DT31" s="973">
        <f t="shared" si="1"/>
        <v>5088</v>
      </c>
      <c r="DV31" s="251"/>
    </row>
    <row r="32" spans="1:127" x14ac:dyDescent="0.25">
      <c r="A32" s="1068">
        <v>1</v>
      </c>
      <c r="B32" s="480" t="s">
        <v>2221</v>
      </c>
      <c r="C32" s="480">
        <v>200283</v>
      </c>
      <c r="D32" s="480" t="s">
        <v>2838</v>
      </c>
      <c r="E32" s="480" t="s">
        <v>1876</v>
      </c>
      <c r="F32" s="480">
        <v>365202</v>
      </c>
      <c r="G32" s="480" t="s">
        <v>2864</v>
      </c>
      <c r="H32" s="480" t="s">
        <v>2865</v>
      </c>
      <c r="I32" s="1038">
        <v>38808</v>
      </c>
      <c r="J32" s="480">
        <v>10</v>
      </c>
      <c r="K32" s="1039">
        <f t="shared" ca="1" si="2"/>
        <v>19.477070499657767</v>
      </c>
      <c r="L32" s="1039" t="s">
        <v>270</v>
      </c>
      <c r="M32" s="1039" t="s">
        <v>128</v>
      </c>
      <c r="N32" s="480" t="s">
        <v>2866</v>
      </c>
      <c r="O32" s="1069" t="s">
        <v>2867</v>
      </c>
      <c r="P32" s="1069">
        <v>5819.25</v>
      </c>
      <c r="Q32" s="1070">
        <v>5819.25</v>
      </c>
      <c r="R32" s="1073">
        <v>0</v>
      </c>
      <c r="S32" s="963">
        <v>45017</v>
      </c>
      <c r="T32" s="1042">
        <v>1</v>
      </c>
      <c r="U32" s="963">
        <v>45382</v>
      </c>
      <c r="V32" s="1044">
        <v>192</v>
      </c>
      <c r="W32" s="1044">
        <f t="shared" si="3"/>
        <v>192</v>
      </c>
      <c r="X32" s="1045">
        <f t="shared" si="4"/>
        <v>1</v>
      </c>
      <c r="Y32" s="1046">
        <v>1</v>
      </c>
      <c r="Z32" s="1045">
        <f t="shared" si="5"/>
        <v>1</v>
      </c>
      <c r="AA32" s="1047" t="e">
        <f t="shared" si="23"/>
        <v>#VALUE!</v>
      </c>
      <c r="AB32" s="1069" t="s">
        <v>2797</v>
      </c>
      <c r="AC32" s="1069" t="s">
        <v>2797</v>
      </c>
      <c r="AD32" s="1068"/>
      <c r="AE32" s="1072">
        <f t="shared" si="38"/>
        <v>5819.25</v>
      </c>
      <c r="AF32" s="1068"/>
      <c r="AG32" s="1073">
        <v>5819.25</v>
      </c>
      <c r="AH32" s="1073">
        <v>5819.25</v>
      </c>
      <c r="AI32" s="1073"/>
      <c r="AJ32" s="1073" t="s">
        <v>2868</v>
      </c>
      <c r="AK32" s="1073" t="str">
        <f t="shared" si="28"/>
        <v>no</v>
      </c>
      <c r="AL32" s="1073" t="str">
        <f t="shared" si="33"/>
        <v>yes</v>
      </c>
      <c r="AM32" s="1073" t="str">
        <f t="shared" si="34"/>
        <v>no</v>
      </c>
      <c r="AN32" s="1073"/>
      <c r="AO32" s="1068"/>
      <c r="AP32" s="1073"/>
      <c r="AQ32" s="1068"/>
      <c r="AR32" s="1068"/>
      <c r="AS32" s="1068"/>
      <c r="AT32" s="1068"/>
      <c r="AU32" s="1068"/>
      <c r="AV32" s="1068"/>
      <c r="AW32" s="1068"/>
      <c r="AX32" s="1068"/>
      <c r="AY32" s="1068"/>
      <c r="AZ32" s="1068"/>
      <c r="BA32" s="1073"/>
      <c r="BB32" s="1073"/>
      <c r="BC32" s="1068"/>
      <c r="BD32" s="1068"/>
      <c r="BE32" s="1068"/>
      <c r="BF32" s="1068"/>
      <c r="BG32" s="1068"/>
      <c r="BH32" s="1073">
        <f t="shared" si="25"/>
        <v>0</v>
      </c>
      <c r="BI32" s="1068">
        <v>0</v>
      </c>
      <c r="BJ32" s="1068"/>
      <c r="BK32" s="1083">
        <v>5819.25</v>
      </c>
      <c r="BL32" s="1083">
        <f t="shared" si="13"/>
        <v>0</v>
      </c>
      <c r="BM32" s="1083">
        <f t="shared" si="14"/>
        <v>0</v>
      </c>
      <c r="BN32" s="1092">
        <f t="shared" si="15"/>
        <v>5819.25</v>
      </c>
      <c r="BO32" s="1092">
        <v>0</v>
      </c>
      <c r="BP32" s="1092"/>
      <c r="BQ32" s="1092">
        <v>5819.25</v>
      </c>
      <c r="CA32" s="1131"/>
      <c r="CJ32" s="1093">
        <f t="shared" si="22"/>
        <v>5819.25</v>
      </c>
      <c r="CM32" s="1095">
        <f t="shared" si="36"/>
        <v>0</v>
      </c>
      <c r="CN32" s="1127">
        <f t="shared" si="37"/>
        <v>0</v>
      </c>
      <c r="CO32" s="1098">
        <v>5819.25</v>
      </c>
      <c r="CP32" s="1098">
        <f t="shared" si="29"/>
        <v>0</v>
      </c>
      <c r="CR32" s="1100"/>
      <c r="CS32" s="1100"/>
      <c r="CT32" s="1100"/>
      <c r="CU32" s="1101">
        <f t="shared" si="19"/>
        <v>5819.25</v>
      </c>
      <c r="CV32" s="1124">
        <f t="shared" si="20"/>
        <v>0</v>
      </c>
      <c r="CW32" s="1103"/>
      <c r="DA32" s="1067">
        <f t="shared" si="32"/>
        <v>5819.25</v>
      </c>
      <c r="DB32" s="1067">
        <f t="shared" si="30"/>
        <v>0</v>
      </c>
      <c r="DF32" s="1067">
        <f t="shared" si="6"/>
        <v>5819.25</v>
      </c>
      <c r="DG32" s="1105">
        <f t="shared" si="7"/>
        <v>0</v>
      </c>
      <c r="DI32" s="1067">
        <f t="shared" si="31"/>
        <v>5819.25</v>
      </c>
      <c r="DJ32" s="1067">
        <f t="shared" si="8"/>
        <v>0</v>
      </c>
      <c r="DM32" s="1066">
        <f t="shared" si="27"/>
        <v>5819.25</v>
      </c>
      <c r="DP32" s="1067">
        <f t="shared" si="26"/>
        <v>5819.25</v>
      </c>
      <c r="DR32" s="1067">
        <f t="shared" si="0"/>
        <v>5819.25</v>
      </c>
      <c r="DT32" s="973">
        <f t="shared" si="1"/>
        <v>5819.25</v>
      </c>
      <c r="DV32" s="251"/>
    </row>
    <row r="33" spans="1:127" x14ac:dyDescent="0.25">
      <c r="A33" s="1068">
        <v>1</v>
      </c>
      <c r="B33" s="480" t="s">
        <v>2221</v>
      </c>
      <c r="C33" s="480">
        <v>200283</v>
      </c>
      <c r="D33" s="480" t="s">
        <v>2838</v>
      </c>
      <c r="E33" s="480" t="s">
        <v>1876</v>
      </c>
      <c r="F33" s="480">
        <v>389989</v>
      </c>
      <c r="G33" s="480" t="s">
        <v>2869</v>
      </c>
      <c r="H33" s="480" t="s">
        <v>1229</v>
      </c>
      <c r="I33" s="1038">
        <v>40350</v>
      </c>
      <c r="J33" s="480">
        <v>7</v>
      </c>
      <c r="K33" s="1039">
        <f t="shared" ca="1" si="2"/>
        <v>15.255304585900069</v>
      </c>
      <c r="L33" s="1039" t="s">
        <v>1886</v>
      </c>
      <c r="M33" s="1039" t="s">
        <v>56</v>
      </c>
      <c r="N33" s="480" t="s">
        <v>91</v>
      </c>
      <c r="O33" s="1069">
        <v>7623</v>
      </c>
      <c r="P33" s="1069">
        <v>7623</v>
      </c>
      <c r="Q33" s="1073">
        <v>7623</v>
      </c>
      <c r="R33" s="1073">
        <v>0</v>
      </c>
      <c r="S33" s="963">
        <v>45017</v>
      </c>
      <c r="T33" s="1042">
        <v>1</v>
      </c>
      <c r="U33" s="963">
        <v>45382</v>
      </c>
      <c r="V33" s="1044">
        <v>192</v>
      </c>
      <c r="W33" s="1044">
        <f t="shared" si="3"/>
        <v>192</v>
      </c>
      <c r="X33" s="1045">
        <f t="shared" si="4"/>
        <v>1</v>
      </c>
      <c r="Y33" s="1046">
        <v>1</v>
      </c>
      <c r="Z33" s="1045">
        <f t="shared" si="5"/>
        <v>1</v>
      </c>
      <c r="AA33" s="1047">
        <f t="shared" si="23"/>
        <v>7623</v>
      </c>
      <c r="AB33" s="1069" t="s">
        <v>2797</v>
      </c>
      <c r="AC33" s="1069" t="s">
        <v>2797</v>
      </c>
      <c r="AD33" s="1068"/>
      <c r="AE33" s="1072">
        <f t="shared" si="38"/>
        <v>7623</v>
      </c>
      <c r="AF33" s="1068"/>
      <c r="AG33" s="1073">
        <v>7623</v>
      </c>
      <c r="AH33" s="1073">
        <v>7623</v>
      </c>
      <c r="AI33" s="1073"/>
      <c r="AJ33" s="1073"/>
      <c r="AK33" s="1073" t="str">
        <f t="shared" si="28"/>
        <v>no</v>
      </c>
      <c r="AL33" s="1073" t="str">
        <f t="shared" si="33"/>
        <v>yes</v>
      </c>
      <c r="AM33" s="1073" t="str">
        <f t="shared" si="34"/>
        <v>no</v>
      </c>
      <c r="AN33" s="1073"/>
      <c r="AO33" s="1068" t="s">
        <v>2844</v>
      </c>
      <c r="AP33" s="1073">
        <v>2501</v>
      </c>
      <c r="AQ33" s="1134">
        <v>45040</v>
      </c>
      <c r="AR33" s="1068"/>
      <c r="AS33" s="1068"/>
      <c r="AT33" s="1068"/>
      <c r="AU33" s="1068"/>
      <c r="AV33" s="1068"/>
      <c r="AW33" s="1068"/>
      <c r="AX33" s="1068"/>
      <c r="AY33" s="1068"/>
      <c r="AZ33" s="1068"/>
      <c r="BA33" s="1073"/>
      <c r="BB33" s="1073"/>
      <c r="BC33" s="1068"/>
      <c r="BD33" s="1068"/>
      <c r="BE33" s="1068"/>
      <c r="BF33" s="1068"/>
      <c r="BG33" s="1068"/>
      <c r="BH33" s="1073">
        <f t="shared" si="25"/>
        <v>2501</v>
      </c>
      <c r="BI33" s="1068">
        <v>0</v>
      </c>
      <c r="BJ33" s="1068"/>
      <c r="BK33" s="1083">
        <v>7623</v>
      </c>
      <c r="BL33" s="1083">
        <f t="shared" si="13"/>
        <v>0</v>
      </c>
      <c r="BM33" s="1083">
        <f t="shared" si="14"/>
        <v>0</v>
      </c>
      <c r="BN33" s="1092">
        <f t="shared" si="15"/>
        <v>7623</v>
      </c>
      <c r="BO33" s="1092">
        <v>0</v>
      </c>
      <c r="BP33" s="1092"/>
      <c r="BQ33" s="1092">
        <v>7623</v>
      </c>
      <c r="CA33" s="1131"/>
      <c r="CJ33" s="1093">
        <f t="shared" si="22"/>
        <v>7623</v>
      </c>
      <c r="CM33" s="1095">
        <f t="shared" si="36"/>
        <v>0</v>
      </c>
      <c r="CN33" s="1127">
        <f t="shared" si="37"/>
        <v>0</v>
      </c>
      <c r="CO33" s="1098">
        <v>7623</v>
      </c>
      <c r="CP33" s="1098">
        <f t="shared" si="29"/>
        <v>0</v>
      </c>
      <c r="CR33" s="1100"/>
      <c r="CS33" s="1100"/>
      <c r="CT33" s="1100"/>
      <c r="CU33" s="1101">
        <f t="shared" si="19"/>
        <v>7623</v>
      </c>
      <c r="CV33" s="1124">
        <f t="shared" si="20"/>
        <v>0</v>
      </c>
      <c r="CW33" s="1103"/>
      <c r="DA33" s="1067">
        <f t="shared" si="32"/>
        <v>7623</v>
      </c>
      <c r="DB33" s="1067">
        <f t="shared" si="30"/>
        <v>0</v>
      </c>
      <c r="DF33" s="1067">
        <f t="shared" si="6"/>
        <v>7623</v>
      </c>
      <c r="DG33" s="1105">
        <f t="shared" si="7"/>
        <v>0</v>
      </c>
      <c r="DI33" s="1067">
        <f t="shared" si="31"/>
        <v>7623</v>
      </c>
      <c r="DJ33" s="1067">
        <f t="shared" si="8"/>
        <v>0</v>
      </c>
      <c r="DM33" s="1066">
        <f t="shared" si="27"/>
        <v>7623</v>
      </c>
      <c r="DP33" s="1067">
        <f t="shared" si="26"/>
        <v>7623</v>
      </c>
      <c r="DR33" s="1067">
        <f t="shared" si="0"/>
        <v>7623</v>
      </c>
      <c r="DT33" s="973">
        <f t="shared" si="1"/>
        <v>7623</v>
      </c>
      <c r="DV33" s="251"/>
    </row>
    <row r="34" spans="1:127" x14ac:dyDescent="0.25">
      <c r="A34" s="1068">
        <v>1</v>
      </c>
      <c r="B34" s="480" t="s">
        <v>2221</v>
      </c>
      <c r="C34" s="480">
        <v>200283</v>
      </c>
      <c r="D34" s="480" t="s">
        <v>2838</v>
      </c>
      <c r="E34" s="480" t="s">
        <v>1876</v>
      </c>
      <c r="F34" s="480">
        <v>394497</v>
      </c>
      <c r="G34" s="480" t="s">
        <v>226</v>
      </c>
      <c r="H34" s="480" t="s">
        <v>2870</v>
      </c>
      <c r="I34" s="1038">
        <v>39110</v>
      </c>
      <c r="J34" s="480">
        <v>9</v>
      </c>
      <c r="K34" s="1039">
        <f t="shared" ca="1" si="2"/>
        <v>18.650239561943874</v>
      </c>
      <c r="L34" s="1039" t="s">
        <v>1886</v>
      </c>
      <c r="M34" s="1039" t="s">
        <v>43</v>
      </c>
      <c r="N34" s="480" t="s">
        <v>2154</v>
      </c>
      <c r="O34" s="1069"/>
      <c r="P34" s="1069">
        <v>3715</v>
      </c>
      <c r="Q34" s="1073">
        <v>3715</v>
      </c>
      <c r="R34" s="1073">
        <v>0</v>
      </c>
      <c r="S34" s="963">
        <v>45017</v>
      </c>
      <c r="T34" s="1042">
        <v>1</v>
      </c>
      <c r="U34" s="963">
        <v>45382</v>
      </c>
      <c r="V34" s="1044">
        <v>192</v>
      </c>
      <c r="W34" s="1044">
        <f t="shared" si="3"/>
        <v>192</v>
      </c>
      <c r="X34" s="1045">
        <f t="shared" si="4"/>
        <v>1</v>
      </c>
      <c r="Y34" s="1046">
        <v>1</v>
      </c>
      <c r="Z34" s="1045">
        <f t="shared" si="5"/>
        <v>1</v>
      </c>
      <c r="AA34" s="1047">
        <f t="shared" si="23"/>
        <v>0</v>
      </c>
      <c r="AB34" s="1069" t="s">
        <v>2797</v>
      </c>
      <c r="AC34" s="1069" t="s">
        <v>2797</v>
      </c>
      <c r="AD34" s="1068"/>
      <c r="AE34" s="1072">
        <f t="shared" si="38"/>
        <v>3715</v>
      </c>
      <c r="AF34" s="1068"/>
      <c r="AG34" s="1073">
        <v>3715</v>
      </c>
      <c r="AH34" s="1073">
        <v>3715</v>
      </c>
      <c r="AI34" s="1073"/>
      <c r="AJ34" s="1073"/>
      <c r="AK34" s="1073" t="str">
        <f t="shared" si="28"/>
        <v>yes</v>
      </c>
      <c r="AL34" s="1073" t="str">
        <f t="shared" si="33"/>
        <v>no</v>
      </c>
      <c r="AM34" s="1073" t="str">
        <f t="shared" si="34"/>
        <v>no</v>
      </c>
      <c r="AN34" s="1073"/>
      <c r="AO34" s="1068" t="s">
        <v>2844</v>
      </c>
      <c r="AP34" s="1073">
        <v>1219</v>
      </c>
      <c r="AQ34" s="1134">
        <v>45040</v>
      </c>
      <c r="AR34" s="1068"/>
      <c r="AS34" s="1068"/>
      <c r="AT34" s="1068"/>
      <c r="AU34" s="1068"/>
      <c r="AV34" s="1068"/>
      <c r="AW34" s="1068"/>
      <c r="AX34" s="1068"/>
      <c r="AY34" s="1068"/>
      <c r="AZ34" s="1068"/>
      <c r="BA34" s="1073"/>
      <c r="BB34" s="1073"/>
      <c r="BC34" s="1068"/>
      <c r="BD34" s="1068"/>
      <c r="BE34" s="1068"/>
      <c r="BF34" s="1068"/>
      <c r="BG34" s="1068"/>
      <c r="BH34" s="1073">
        <f t="shared" si="25"/>
        <v>1219</v>
      </c>
      <c r="BI34" s="1068">
        <v>0</v>
      </c>
      <c r="BJ34" s="1068"/>
      <c r="BK34" s="1083">
        <v>3715</v>
      </c>
      <c r="BL34" s="1083">
        <f t="shared" si="13"/>
        <v>0</v>
      </c>
      <c r="BM34" s="1083">
        <f t="shared" si="14"/>
        <v>0</v>
      </c>
      <c r="BN34" s="1092">
        <f t="shared" si="15"/>
        <v>3715</v>
      </c>
      <c r="BO34" s="1092">
        <v>-2476.6666666666665</v>
      </c>
      <c r="BP34" s="1092"/>
      <c r="BQ34" s="1092">
        <v>1238.3333333333335</v>
      </c>
      <c r="BX34" s="1131" t="s">
        <v>2871</v>
      </c>
      <c r="BY34" s="1162">
        <v>45013</v>
      </c>
      <c r="CA34" s="1163">
        <f>BN34/3*2*-1</f>
        <v>-2476.6666666666665</v>
      </c>
      <c r="CE34" s="1133"/>
      <c r="CJ34" s="1093">
        <f t="shared" si="22"/>
        <v>1238.3333333333335</v>
      </c>
      <c r="CM34" s="1095">
        <f t="shared" si="36"/>
        <v>0</v>
      </c>
      <c r="CN34" s="1127">
        <f t="shared" si="37"/>
        <v>0</v>
      </c>
      <c r="CO34" s="1098">
        <v>1238.3333333333335</v>
      </c>
      <c r="CP34" s="1098">
        <f t="shared" si="29"/>
        <v>0</v>
      </c>
      <c r="CR34" s="1100"/>
      <c r="CS34" s="1100"/>
      <c r="CT34" s="1100"/>
      <c r="CU34" s="1101">
        <f t="shared" si="19"/>
        <v>1238.3333333333335</v>
      </c>
      <c r="CV34" s="1124">
        <f t="shared" si="20"/>
        <v>0</v>
      </c>
      <c r="CW34" s="1103"/>
      <c r="DA34" s="1067">
        <f t="shared" si="32"/>
        <v>1238.3333333333335</v>
      </c>
      <c r="DB34" s="1067">
        <f t="shared" si="30"/>
        <v>0</v>
      </c>
      <c r="DF34" s="1067">
        <f t="shared" si="6"/>
        <v>1238.3333333333335</v>
      </c>
      <c r="DG34" s="1105">
        <f t="shared" si="7"/>
        <v>0</v>
      </c>
      <c r="DI34" s="1067">
        <f t="shared" si="31"/>
        <v>1238.3333333333335</v>
      </c>
      <c r="DJ34" s="1067">
        <f t="shared" si="8"/>
        <v>0</v>
      </c>
      <c r="DM34" s="1066">
        <f t="shared" si="27"/>
        <v>1238.3333333333335</v>
      </c>
      <c r="DP34" s="1067">
        <f t="shared" si="26"/>
        <v>1238.3333333333335</v>
      </c>
      <c r="DR34" s="1067">
        <f t="shared" si="0"/>
        <v>1238.3333333333335</v>
      </c>
      <c r="DT34" s="973">
        <f t="shared" si="1"/>
        <v>1238.3333333333335</v>
      </c>
      <c r="DV34" s="251"/>
    </row>
    <row r="35" spans="1:127" x14ac:dyDescent="0.25">
      <c r="A35" s="1068">
        <v>1</v>
      </c>
      <c r="B35" s="480" t="s">
        <v>2221</v>
      </c>
      <c r="C35" s="480">
        <v>200283</v>
      </c>
      <c r="D35" s="480" t="s">
        <v>2838</v>
      </c>
      <c r="E35" s="480" t="s">
        <v>1876</v>
      </c>
      <c r="F35" s="480">
        <v>387732</v>
      </c>
      <c r="G35" s="480" t="s">
        <v>2872</v>
      </c>
      <c r="H35" s="480" t="s">
        <v>2873</v>
      </c>
      <c r="I35" s="1038">
        <v>40184</v>
      </c>
      <c r="J35" s="480">
        <v>7</v>
      </c>
      <c r="K35" s="1039">
        <f t="shared" ca="1" si="2"/>
        <v>15.709787816563997</v>
      </c>
      <c r="L35" s="1039" t="s">
        <v>1886</v>
      </c>
      <c r="M35" s="1039" t="s">
        <v>66</v>
      </c>
      <c r="N35" s="480" t="s">
        <v>91</v>
      </c>
      <c r="O35" s="1069">
        <v>10628</v>
      </c>
      <c r="P35" s="1069">
        <v>10628</v>
      </c>
      <c r="Q35" s="1073">
        <v>10628</v>
      </c>
      <c r="R35" s="1073">
        <v>0</v>
      </c>
      <c r="S35" s="963">
        <v>45017</v>
      </c>
      <c r="T35" s="1042">
        <v>1</v>
      </c>
      <c r="U35" s="963">
        <v>45382</v>
      </c>
      <c r="V35" s="1044">
        <v>192</v>
      </c>
      <c r="W35" s="1044">
        <f t="shared" si="3"/>
        <v>192</v>
      </c>
      <c r="X35" s="1045">
        <f t="shared" si="4"/>
        <v>1</v>
      </c>
      <c r="Y35" s="1046">
        <v>1</v>
      </c>
      <c r="Z35" s="1045">
        <f t="shared" si="5"/>
        <v>1</v>
      </c>
      <c r="AA35" s="1047">
        <f t="shared" si="23"/>
        <v>10628</v>
      </c>
      <c r="AB35" s="1069" t="s">
        <v>2797</v>
      </c>
      <c r="AC35" s="1069" t="s">
        <v>2797</v>
      </c>
      <c r="AD35" s="1068"/>
      <c r="AE35" s="1072">
        <f t="shared" si="38"/>
        <v>10628</v>
      </c>
      <c r="AF35" s="1068"/>
      <c r="AG35" s="1073">
        <v>10628</v>
      </c>
      <c r="AH35" s="1073">
        <v>10628</v>
      </c>
      <c r="AI35" s="1073"/>
      <c r="AJ35" s="1073"/>
      <c r="AK35" s="1073" t="str">
        <f t="shared" si="28"/>
        <v>no</v>
      </c>
      <c r="AL35" s="1073" t="str">
        <f t="shared" si="33"/>
        <v>no</v>
      </c>
      <c r="AM35" s="1073" t="str">
        <f t="shared" si="34"/>
        <v>yes</v>
      </c>
      <c r="AN35" s="1073"/>
      <c r="AO35" s="1068" t="s">
        <v>2844</v>
      </c>
      <c r="AP35" s="1073">
        <v>3487</v>
      </c>
      <c r="AQ35" s="1134">
        <v>45040</v>
      </c>
      <c r="AR35" s="1068"/>
      <c r="AS35" s="1068"/>
      <c r="AT35" s="1068"/>
      <c r="AU35" s="1068"/>
      <c r="AV35" s="1068"/>
      <c r="AW35" s="1068"/>
      <c r="AX35" s="1068"/>
      <c r="AY35" s="1068"/>
      <c r="AZ35" s="1068"/>
      <c r="BA35" s="1073"/>
      <c r="BB35" s="1073"/>
      <c r="BC35" s="1068"/>
      <c r="BD35" s="1068"/>
      <c r="BE35" s="1068"/>
      <c r="BF35" s="1068"/>
      <c r="BG35" s="1068"/>
      <c r="BH35" s="1073">
        <f t="shared" si="25"/>
        <v>3487</v>
      </c>
      <c r="BI35" s="1068">
        <v>0</v>
      </c>
      <c r="BJ35" s="1068"/>
      <c r="BK35" s="1083">
        <v>10628</v>
      </c>
      <c r="BL35" s="1083">
        <f t="shared" si="13"/>
        <v>0</v>
      </c>
      <c r="BM35" s="1083">
        <f t="shared" si="14"/>
        <v>0</v>
      </c>
      <c r="BN35" s="1092">
        <f t="shared" si="15"/>
        <v>10628</v>
      </c>
      <c r="BO35" s="1092">
        <v>0</v>
      </c>
      <c r="BP35" s="1092"/>
      <c r="BQ35" s="1092">
        <v>10628</v>
      </c>
      <c r="CJ35" s="1093">
        <f t="shared" si="22"/>
        <v>10628</v>
      </c>
      <c r="CM35" s="1095">
        <f t="shared" si="36"/>
        <v>0</v>
      </c>
      <c r="CN35" s="1127">
        <f t="shared" si="37"/>
        <v>0</v>
      </c>
      <c r="CO35" s="1098">
        <v>10628</v>
      </c>
      <c r="CP35" s="1098">
        <f t="shared" si="29"/>
        <v>0</v>
      </c>
      <c r="CR35" s="1100"/>
      <c r="CS35" s="1100"/>
      <c r="CT35" s="1100"/>
      <c r="CU35" s="1101">
        <f t="shared" si="19"/>
        <v>10628</v>
      </c>
      <c r="CV35" s="1124">
        <f t="shared" si="20"/>
        <v>0</v>
      </c>
      <c r="CW35" s="1103"/>
      <c r="DA35" s="1067">
        <f t="shared" si="32"/>
        <v>10628</v>
      </c>
      <c r="DB35" s="1067">
        <f t="shared" si="30"/>
        <v>0</v>
      </c>
      <c r="DF35" s="1067">
        <f t="shared" si="6"/>
        <v>10628</v>
      </c>
      <c r="DG35" s="1105">
        <f t="shared" si="7"/>
        <v>0</v>
      </c>
      <c r="DI35" s="1067">
        <f t="shared" si="31"/>
        <v>10628</v>
      </c>
      <c r="DJ35" s="1067">
        <f t="shared" si="8"/>
        <v>0</v>
      </c>
      <c r="DM35" s="1066">
        <f t="shared" si="27"/>
        <v>10628</v>
      </c>
      <c r="DP35" s="1067">
        <f t="shared" si="26"/>
        <v>10628</v>
      </c>
      <c r="DR35" s="1067">
        <f t="shared" si="0"/>
        <v>10628</v>
      </c>
      <c r="DT35" s="973">
        <f t="shared" si="1"/>
        <v>10628</v>
      </c>
      <c r="DV35" s="251"/>
    </row>
    <row r="36" spans="1:127" x14ac:dyDescent="0.25">
      <c r="A36" s="1068">
        <v>1</v>
      </c>
      <c r="B36" s="480" t="s">
        <v>2221</v>
      </c>
      <c r="C36" s="480">
        <v>200283</v>
      </c>
      <c r="D36" s="480" t="s">
        <v>2838</v>
      </c>
      <c r="E36" s="480" t="s">
        <v>1876</v>
      </c>
      <c r="F36" s="480">
        <v>403603</v>
      </c>
      <c r="G36" s="480" t="s">
        <v>46</v>
      </c>
      <c r="H36" s="480" t="s">
        <v>1264</v>
      </c>
      <c r="I36" s="963">
        <v>41049</v>
      </c>
      <c r="J36" s="480"/>
      <c r="K36" s="1039">
        <f t="shared" ca="1" si="2"/>
        <v>13.341546885694729</v>
      </c>
      <c r="L36" s="1039" t="s">
        <v>1886</v>
      </c>
      <c r="M36" s="1039"/>
      <c r="N36" s="480" t="s">
        <v>2874</v>
      </c>
      <c r="O36" s="1069"/>
      <c r="P36" s="1069">
        <v>13073</v>
      </c>
      <c r="Q36" s="1073">
        <f>P36/195*129</f>
        <v>8648.2923076923071</v>
      </c>
      <c r="R36" s="1073">
        <v>0</v>
      </c>
      <c r="S36" s="963">
        <v>45170</v>
      </c>
      <c r="T36" s="1042">
        <v>65</v>
      </c>
      <c r="U36" s="963">
        <v>45382</v>
      </c>
      <c r="V36" s="1044">
        <v>192</v>
      </c>
      <c r="W36" s="1044">
        <f t="shared" si="3"/>
        <v>128</v>
      </c>
      <c r="X36" s="1045">
        <f t="shared" si="4"/>
        <v>0.66666666666666663</v>
      </c>
      <c r="Y36" s="1046">
        <v>1</v>
      </c>
      <c r="Z36" s="1045">
        <f t="shared" si="5"/>
        <v>0.66666666666666663</v>
      </c>
      <c r="AA36" s="1047">
        <f t="shared" si="23"/>
        <v>0</v>
      </c>
      <c r="AB36" s="1069"/>
      <c r="AC36" s="1069"/>
      <c r="AD36" s="1068"/>
      <c r="AE36" s="1072"/>
      <c r="AF36" s="1068"/>
      <c r="AG36" s="1073"/>
      <c r="AH36" s="1073"/>
      <c r="AI36" s="1073"/>
      <c r="AJ36" s="1073"/>
      <c r="AK36" s="1073"/>
      <c r="AL36" s="1073"/>
      <c r="AM36" s="1073"/>
      <c r="AN36" s="1073"/>
      <c r="AO36" s="1068"/>
      <c r="AP36" s="1073"/>
      <c r="AQ36" s="1134"/>
      <c r="AR36" s="1068"/>
      <c r="AS36" s="1068"/>
      <c r="AT36" s="1068"/>
      <c r="AU36" s="1068"/>
      <c r="AV36" s="1068"/>
      <c r="AW36" s="1068"/>
      <c r="AX36" s="1068"/>
      <c r="AY36" s="1068"/>
      <c r="AZ36" s="1068"/>
      <c r="BA36" s="1073"/>
      <c r="BB36" s="1073"/>
      <c r="BC36" s="1068"/>
      <c r="BD36" s="1068"/>
      <c r="BE36" s="1068"/>
      <c r="BF36" s="1068"/>
      <c r="BG36" s="1068"/>
      <c r="BH36" s="1073"/>
      <c r="BI36" s="1068">
        <v>0</v>
      </c>
      <c r="BJ36" s="1068"/>
      <c r="BK36" s="1083">
        <v>0</v>
      </c>
      <c r="BL36" s="1083"/>
      <c r="BM36" s="1083"/>
      <c r="BN36" s="1092"/>
      <c r="BO36" s="1092"/>
      <c r="BP36" s="1092"/>
      <c r="BQ36" s="1092"/>
      <c r="CJ36" s="1093"/>
      <c r="CM36" s="1095"/>
      <c r="CN36" s="1127"/>
      <c r="CO36" s="1098"/>
      <c r="CP36" s="1098"/>
      <c r="CR36" s="1100"/>
      <c r="CS36" s="1100"/>
      <c r="CT36" s="1100"/>
      <c r="CU36" s="1124"/>
      <c r="CV36" s="1124"/>
      <c r="CW36" s="1103"/>
      <c r="DF36" s="1067">
        <v>0</v>
      </c>
      <c r="DG36" s="1105"/>
      <c r="DH36" s="1067">
        <f>Q36</f>
        <v>8648.2923076923071</v>
      </c>
      <c r="DI36" s="1067">
        <f t="shared" si="31"/>
        <v>8648.2923076923071</v>
      </c>
      <c r="DJ36" s="1067">
        <f t="shared" si="8"/>
        <v>8648.2923076923071</v>
      </c>
      <c r="DM36" s="1066">
        <f t="shared" si="27"/>
        <v>8648.2923076923071</v>
      </c>
      <c r="DP36" s="1067">
        <f t="shared" si="26"/>
        <v>8648.2923076923071</v>
      </c>
      <c r="DR36" s="1067">
        <f t="shared" si="0"/>
        <v>8648.2923076923071</v>
      </c>
      <c r="DT36" s="973">
        <f t="shared" si="1"/>
        <v>8648.2923076923071</v>
      </c>
      <c r="DV36" s="251"/>
    </row>
    <row r="37" spans="1:127" x14ac:dyDescent="0.25">
      <c r="A37" s="1068">
        <v>1</v>
      </c>
      <c r="B37" s="480" t="s">
        <v>2221</v>
      </c>
      <c r="C37" s="480">
        <v>200283</v>
      </c>
      <c r="D37" s="480" t="s">
        <v>2838</v>
      </c>
      <c r="E37" s="480" t="s">
        <v>1876</v>
      </c>
      <c r="F37" s="480">
        <v>400145</v>
      </c>
      <c r="G37" s="480" t="s">
        <v>2875</v>
      </c>
      <c r="H37" s="480" t="s">
        <v>2876</v>
      </c>
      <c r="I37" s="963">
        <v>40767</v>
      </c>
      <c r="J37" s="480">
        <v>7</v>
      </c>
      <c r="K37" s="1039">
        <f t="shared" ca="1" si="2"/>
        <v>14.113620807665983</v>
      </c>
      <c r="L37" s="1039" t="s">
        <v>1886</v>
      </c>
      <c r="M37" s="1039" t="s">
        <v>37</v>
      </c>
      <c r="N37" s="480" t="s">
        <v>91</v>
      </c>
      <c r="O37" s="1069">
        <v>5685</v>
      </c>
      <c r="P37" s="1069">
        <v>5685</v>
      </c>
      <c r="Q37" s="1073">
        <v>5685</v>
      </c>
      <c r="R37" s="1073">
        <v>0</v>
      </c>
      <c r="S37" s="963">
        <v>45017</v>
      </c>
      <c r="T37" s="1042">
        <v>1</v>
      </c>
      <c r="U37" s="963">
        <v>45382</v>
      </c>
      <c r="V37" s="1044">
        <v>192</v>
      </c>
      <c r="W37" s="1044">
        <f t="shared" si="3"/>
        <v>192</v>
      </c>
      <c r="X37" s="1045">
        <f t="shared" si="4"/>
        <v>1</v>
      </c>
      <c r="Y37" s="1046">
        <v>1</v>
      </c>
      <c r="Z37" s="1045">
        <f t="shared" si="5"/>
        <v>1</v>
      </c>
      <c r="AA37" s="1047">
        <f t="shared" si="23"/>
        <v>5685</v>
      </c>
      <c r="AB37" s="1069" t="s">
        <v>2797</v>
      </c>
      <c r="AC37" s="1069" t="s">
        <v>2797</v>
      </c>
      <c r="AD37" s="1068"/>
      <c r="AE37" s="1072">
        <f>AG37</f>
        <v>5685</v>
      </c>
      <c r="AF37" s="1068"/>
      <c r="AG37" s="1073">
        <v>5685</v>
      </c>
      <c r="AH37" s="1073">
        <v>5685</v>
      </c>
      <c r="AI37" s="1073"/>
      <c r="AJ37" s="1073"/>
      <c r="AK37" s="1073" t="str">
        <f>IF(AG37&lt;=5000,"yes","no")</f>
        <v>no</v>
      </c>
      <c r="AL37" s="1073" t="str">
        <f>IF(AND(AG37&gt;=5001,AG37&lt;=10000),"yes","no")</f>
        <v>yes</v>
      </c>
      <c r="AM37" s="1073" t="str">
        <f>IF(AG37&gt;=10001,"yes","no")</f>
        <v>no</v>
      </c>
      <c r="AN37" s="1073"/>
      <c r="AO37" s="1068" t="s">
        <v>2844</v>
      </c>
      <c r="AP37" s="1073">
        <v>1865</v>
      </c>
      <c r="AQ37" s="1134">
        <v>45040</v>
      </c>
      <c r="AR37" s="1068"/>
      <c r="AS37" s="1068"/>
      <c r="AT37" s="1068"/>
      <c r="AU37" s="1068"/>
      <c r="AV37" s="1068"/>
      <c r="AW37" s="1068"/>
      <c r="AX37" s="1068"/>
      <c r="AY37" s="1068"/>
      <c r="AZ37" s="1068"/>
      <c r="BA37" s="1073"/>
      <c r="BB37" s="1073"/>
      <c r="BC37" s="1068"/>
      <c r="BD37" s="1068"/>
      <c r="BE37" s="1068"/>
      <c r="BF37" s="1068"/>
      <c r="BG37" s="1068"/>
      <c r="BH37" s="1073">
        <f t="shared" si="25"/>
        <v>1865</v>
      </c>
      <c r="BI37" s="1068">
        <v>0</v>
      </c>
      <c r="BJ37" s="1068"/>
      <c r="BK37" s="1083">
        <v>5685</v>
      </c>
      <c r="BL37" s="1083">
        <f t="shared" si="13"/>
        <v>0</v>
      </c>
      <c r="BM37" s="1083">
        <f t="shared" si="14"/>
        <v>0</v>
      </c>
      <c r="BN37" s="1092">
        <f t="shared" si="15"/>
        <v>5685</v>
      </c>
      <c r="BO37" s="1092">
        <v>0</v>
      </c>
      <c r="BP37" s="1092"/>
      <c r="BQ37" s="1092">
        <v>5685</v>
      </c>
      <c r="CJ37" s="1093">
        <f t="shared" si="22"/>
        <v>5685</v>
      </c>
      <c r="CM37" s="1095">
        <f>BM37</f>
        <v>0</v>
      </c>
      <c r="CN37" s="1127">
        <f>CL37-CM37</f>
        <v>0</v>
      </c>
      <c r="CO37" s="1098">
        <v>5685</v>
      </c>
      <c r="CP37" s="1098">
        <f>CO37-BQ37</f>
        <v>0</v>
      </c>
      <c r="CR37" s="1100"/>
      <c r="CS37" s="1100"/>
      <c r="CT37" s="1100"/>
      <c r="CU37" s="1101">
        <f t="shared" si="19"/>
        <v>5685</v>
      </c>
      <c r="CV37" s="1124">
        <f t="shared" si="20"/>
        <v>0</v>
      </c>
      <c r="CW37" s="1103"/>
      <c r="DA37" s="1067">
        <f t="shared" si="32"/>
        <v>5685</v>
      </c>
      <c r="DB37" s="1067">
        <f>(DA37-CU37)</f>
        <v>0</v>
      </c>
      <c r="DF37" s="1067">
        <f t="shared" si="6"/>
        <v>5685</v>
      </c>
      <c r="DG37" s="1105">
        <f t="shared" si="7"/>
        <v>0</v>
      </c>
      <c r="DI37" s="1067">
        <f t="shared" si="31"/>
        <v>5685</v>
      </c>
      <c r="DJ37" s="1067">
        <f t="shared" si="8"/>
        <v>0</v>
      </c>
      <c r="DM37" s="1066">
        <f t="shared" si="27"/>
        <v>5685</v>
      </c>
      <c r="DP37" s="1067">
        <f t="shared" si="26"/>
        <v>5685</v>
      </c>
      <c r="DR37" s="1067">
        <f t="shared" si="0"/>
        <v>5685</v>
      </c>
      <c r="DT37" s="973">
        <f t="shared" si="1"/>
        <v>5685</v>
      </c>
      <c r="DV37" s="251"/>
    </row>
    <row r="38" spans="1:127" x14ac:dyDescent="0.25">
      <c r="A38" s="1068">
        <v>1</v>
      </c>
      <c r="B38" s="480" t="s">
        <v>2221</v>
      </c>
      <c r="C38" s="480">
        <v>200283</v>
      </c>
      <c r="D38" s="480" t="s">
        <v>2838</v>
      </c>
      <c r="E38" s="480" t="s">
        <v>1876</v>
      </c>
      <c r="F38" s="480">
        <v>383233</v>
      </c>
      <c r="G38" s="480" t="s">
        <v>2877</v>
      </c>
      <c r="H38" s="480" t="s">
        <v>2878</v>
      </c>
      <c r="I38" s="963">
        <v>40178</v>
      </c>
      <c r="J38" s="480">
        <v>8</v>
      </c>
      <c r="K38" s="1039">
        <f t="shared" ca="1" si="2"/>
        <v>15.72621492128679</v>
      </c>
      <c r="L38" s="1039" t="s">
        <v>1886</v>
      </c>
      <c r="M38" s="1039" t="s">
        <v>56</v>
      </c>
      <c r="N38" s="480" t="s">
        <v>2153</v>
      </c>
      <c r="O38" s="1069"/>
      <c r="P38" s="1069">
        <v>5531</v>
      </c>
      <c r="Q38" s="1073">
        <f>5531</f>
        <v>5531</v>
      </c>
      <c r="R38" s="1073">
        <v>1203.6400000000001</v>
      </c>
      <c r="S38" s="963">
        <v>45017</v>
      </c>
      <c r="T38" s="1042">
        <v>1</v>
      </c>
      <c r="U38" s="963">
        <v>45382</v>
      </c>
      <c r="V38" s="1044">
        <v>192</v>
      </c>
      <c r="W38" s="1044">
        <f t="shared" si="3"/>
        <v>192</v>
      </c>
      <c r="X38" s="1045">
        <f t="shared" si="4"/>
        <v>1</v>
      </c>
      <c r="Y38" s="1046">
        <v>1</v>
      </c>
      <c r="Z38" s="1045">
        <f t="shared" si="5"/>
        <v>1</v>
      </c>
      <c r="AA38" s="1047">
        <f t="shared" si="23"/>
        <v>0</v>
      </c>
      <c r="AB38" s="1069" t="s">
        <v>2797</v>
      </c>
      <c r="AC38" s="1069" t="s">
        <v>2797</v>
      </c>
      <c r="AD38" s="1068"/>
      <c r="AE38" s="1072">
        <f>AG38</f>
        <v>6734.64</v>
      </c>
      <c r="AF38" s="1068"/>
      <c r="AG38" s="1073">
        <f>5531+1203.64</f>
        <v>6734.64</v>
      </c>
      <c r="AH38" s="1073">
        <v>5531</v>
      </c>
      <c r="AI38" s="1073">
        <v>1203.6400000000001</v>
      </c>
      <c r="AJ38" s="1073" t="s">
        <v>2879</v>
      </c>
      <c r="AK38" s="1073" t="str">
        <f>IF(AG38&lt;=5000,"yes","no")</f>
        <v>no</v>
      </c>
      <c r="AL38" s="1073" t="str">
        <f>IF(AND(AG38&gt;=5001,AG38&lt;=10000),"yes","no")</f>
        <v>yes</v>
      </c>
      <c r="AM38" s="1073" t="str">
        <f>IF(AG38&gt;=10001,"yes","no")</f>
        <v>no</v>
      </c>
      <c r="AN38" s="1073"/>
      <c r="AO38" s="1068" t="s">
        <v>2844</v>
      </c>
      <c r="AP38" s="1073">
        <f>1203.64+1815</f>
        <v>3018.6400000000003</v>
      </c>
      <c r="AQ38" s="1134">
        <v>45040</v>
      </c>
      <c r="AR38" s="1068"/>
      <c r="AS38" s="1068"/>
      <c r="AT38" s="1068"/>
      <c r="AU38" s="1068"/>
      <c r="AV38" s="1068"/>
      <c r="AW38" s="1068"/>
      <c r="AX38" s="1068"/>
      <c r="AY38" s="1068"/>
      <c r="AZ38" s="1068"/>
      <c r="BA38" s="1073"/>
      <c r="BB38" s="1161"/>
      <c r="BC38" s="1068"/>
      <c r="BD38" s="1068">
        <v>1843.67</v>
      </c>
      <c r="BE38" s="1068"/>
      <c r="BF38" s="1068"/>
      <c r="BG38" s="1068"/>
      <c r="BH38" s="1073">
        <f t="shared" si="25"/>
        <v>3018.6400000000003</v>
      </c>
      <c r="BI38" s="1068">
        <v>1843.67</v>
      </c>
      <c r="BJ38" s="1068"/>
      <c r="BK38" s="1083">
        <v>6734.64</v>
      </c>
      <c r="BL38" s="1083">
        <f t="shared" si="13"/>
        <v>0</v>
      </c>
      <c r="BM38" s="1083">
        <f t="shared" si="14"/>
        <v>0</v>
      </c>
      <c r="BN38" s="1092">
        <f t="shared" si="15"/>
        <v>6734.64</v>
      </c>
      <c r="BO38" s="1092">
        <v>0</v>
      </c>
      <c r="BP38" s="1092"/>
      <c r="BQ38" s="1092">
        <v>6734.64</v>
      </c>
      <c r="CJ38" s="1093">
        <f t="shared" si="22"/>
        <v>4890.97</v>
      </c>
      <c r="CL38" s="1094">
        <v>1843.67</v>
      </c>
      <c r="CM38" s="1095">
        <f>BM38</f>
        <v>0</v>
      </c>
      <c r="CN38" s="1127">
        <f>CL38-CM38</f>
        <v>1843.67</v>
      </c>
      <c r="CO38" s="1098">
        <v>4890.97</v>
      </c>
      <c r="CP38" s="1098">
        <f>CO38-BQ38</f>
        <v>-1843.67</v>
      </c>
      <c r="CQ38" s="1167" t="s">
        <v>2880</v>
      </c>
      <c r="CR38" s="1100"/>
      <c r="CS38" s="1100"/>
      <c r="CT38" s="1100"/>
      <c r="CU38" s="1124">
        <f t="shared" si="19"/>
        <v>4890.97</v>
      </c>
      <c r="CV38" s="1124">
        <f t="shared" si="20"/>
        <v>0</v>
      </c>
      <c r="CW38" s="1103"/>
      <c r="CZ38" s="1074">
        <v>1844</v>
      </c>
      <c r="DA38" s="1067">
        <f t="shared" si="32"/>
        <v>6734.97</v>
      </c>
      <c r="DB38" s="1067">
        <f>(DA38-CU38)</f>
        <v>1844</v>
      </c>
      <c r="DC38" s="1074" t="s">
        <v>2881</v>
      </c>
      <c r="DF38" s="1067">
        <f t="shared" si="6"/>
        <v>6734.97</v>
      </c>
      <c r="DG38" s="1105">
        <f t="shared" si="7"/>
        <v>0</v>
      </c>
      <c r="DH38" s="1067">
        <v>-4919.97</v>
      </c>
      <c r="DI38" s="1067">
        <f t="shared" si="31"/>
        <v>1815</v>
      </c>
      <c r="DJ38" s="1067">
        <f t="shared" si="8"/>
        <v>-4919.97</v>
      </c>
      <c r="DM38" s="1066">
        <f t="shared" si="27"/>
        <v>1815</v>
      </c>
      <c r="DP38" s="1067">
        <f t="shared" si="26"/>
        <v>1815</v>
      </c>
      <c r="DR38" s="1067">
        <f t="shared" si="0"/>
        <v>1815</v>
      </c>
      <c r="DT38" s="973">
        <f t="shared" si="1"/>
        <v>1815</v>
      </c>
      <c r="DV38" s="251"/>
    </row>
    <row r="39" spans="1:127" x14ac:dyDescent="0.25">
      <c r="A39" s="1068">
        <v>1</v>
      </c>
      <c r="B39" s="480" t="s">
        <v>2221</v>
      </c>
      <c r="C39" s="480">
        <v>200283</v>
      </c>
      <c r="D39" s="480" t="s">
        <v>2838</v>
      </c>
      <c r="E39" s="480" t="s">
        <v>1876</v>
      </c>
      <c r="F39" s="480">
        <v>421465</v>
      </c>
      <c r="G39" s="480" t="s">
        <v>2839</v>
      </c>
      <c r="H39" s="480" t="s">
        <v>2840</v>
      </c>
      <c r="I39" s="963">
        <v>39398</v>
      </c>
      <c r="J39" s="480">
        <v>10</v>
      </c>
      <c r="K39" s="1039">
        <f t="shared" ca="1" si="2"/>
        <v>17.861738535249827</v>
      </c>
      <c r="L39" s="1039" t="s">
        <v>1886</v>
      </c>
      <c r="M39" s="1039" t="s">
        <v>43</v>
      </c>
      <c r="N39" s="480"/>
      <c r="O39" s="1069">
        <v>20486</v>
      </c>
      <c r="P39" s="1069"/>
      <c r="Q39" s="1073">
        <v>20486</v>
      </c>
      <c r="R39" s="1073"/>
      <c r="S39" s="963">
        <v>45017</v>
      </c>
      <c r="T39" s="1042">
        <v>1</v>
      </c>
      <c r="U39" s="963">
        <v>45382</v>
      </c>
      <c r="V39" s="1044">
        <v>192</v>
      </c>
      <c r="W39" s="1044">
        <f t="shared" si="3"/>
        <v>192</v>
      </c>
      <c r="X39" s="1045">
        <f t="shared" si="4"/>
        <v>1</v>
      </c>
      <c r="Y39" s="1046">
        <v>1</v>
      </c>
      <c r="Z39" s="1045">
        <f t="shared" si="5"/>
        <v>1</v>
      </c>
      <c r="AA39" s="1047">
        <f t="shared" si="23"/>
        <v>20486</v>
      </c>
      <c r="AB39" s="1069" t="s">
        <v>2797</v>
      </c>
      <c r="AC39" s="1069" t="s">
        <v>2797</v>
      </c>
      <c r="AD39" s="1068"/>
      <c r="AE39" s="1072">
        <f>AG39</f>
        <v>29770</v>
      </c>
      <c r="AF39" s="1068"/>
      <c r="AG39" s="1073">
        <v>29770</v>
      </c>
      <c r="AH39" s="1073">
        <v>29770</v>
      </c>
      <c r="AI39" s="1073"/>
      <c r="AJ39" s="1136" t="s">
        <v>2882</v>
      </c>
      <c r="AK39" s="1073" t="str">
        <f>IF(AG39&lt;=5000,"yes","no")</f>
        <v>no</v>
      </c>
      <c r="AL39" s="1073" t="str">
        <f>IF(AND(AG39&gt;=5001,AG39&lt;=10000),"yes","no")</f>
        <v>no</v>
      </c>
      <c r="AM39" s="1073" t="str">
        <f>IF(AG39&gt;=10001,"yes","no")</f>
        <v>yes</v>
      </c>
      <c r="AN39" s="1136"/>
      <c r="AO39" s="1068"/>
      <c r="AP39" s="1073"/>
      <c r="AQ39" s="1134"/>
      <c r="AR39" s="1068"/>
      <c r="AS39" s="1068"/>
      <c r="AT39" s="1068"/>
      <c r="AU39" s="1068"/>
      <c r="AV39" s="1068"/>
      <c r="AW39" s="1068"/>
      <c r="AX39" s="1068"/>
      <c r="AY39" s="1068"/>
      <c r="AZ39" s="1068"/>
      <c r="BA39" s="1073"/>
      <c r="BB39" s="1161"/>
      <c r="BC39" s="1068"/>
      <c r="BD39" s="1068"/>
      <c r="BE39" s="1068"/>
      <c r="BF39" s="1068"/>
      <c r="BG39" s="1068"/>
      <c r="BH39" s="1073"/>
      <c r="BI39" s="1068">
        <v>0</v>
      </c>
      <c r="BJ39" s="1068"/>
      <c r="BK39" s="1083">
        <v>29770</v>
      </c>
      <c r="BL39" s="1083">
        <f t="shared" si="13"/>
        <v>0</v>
      </c>
      <c r="BM39" s="1083">
        <f t="shared" si="14"/>
        <v>0</v>
      </c>
      <c r="BN39" s="1092">
        <f t="shared" si="15"/>
        <v>29770</v>
      </c>
      <c r="BO39" s="1092">
        <v>0</v>
      </c>
      <c r="BP39" s="1092"/>
      <c r="BQ39" s="1092">
        <v>29770</v>
      </c>
      <c r="CJ39" s="1093">
        <f t="shared" si="22"/>
        <v>29770</v>
      </c>
      <c r="CM39" s="1095">
        <f>BM39</f>
        <v>0</v>
      </c>
      <c r="CN39" s="1127">
        <f>CL39-CM39</f>
        <v>0</v>
      </c>
      <c r="CO39" s="1098">
        <v>29770</v>
      </c>
      <c r="CP39" s="1098">
        <f>CO39-BQ39</f>
        <v>0</v>
      </c>
      <c r="CQ39" s="1168"/>
      <c r="CR39" s="1100"/>
      <c r="CS39" s="1100"/>
      <c r="CT39" s="1100"/>
      <c r="CU39" s="1124">
        <f t="shared" si="19"/>
        <v>29770</v>
      </c>
      <c r="CV39" s="1124">
        <f t="shared" si="20"/>
        <v>0</v>
      </c>
      <c r="CW39" s="1103"/>
      <c r="DA39" s="1067">
        <f t="shared" si="32"/>
        <v>29770</v>
      </c>
      <c r="DB39" s="1067">
        <f>(DA39-CU39)</f>
        <v>0</v>
      </c>
      <c r="DF39" s="1067">
        <f t="shared" si="6"/>
        <v>29770</v>
      </c>
      <c r="DG39" s="1105">
        <f t="shared" si="7"/>
        <v>0</v>
      </c>
      <c r="DH39" s="1067">
        <v>-9284</v>
      </c>
      <c r="DI39" s="1067">
        <f t="shared" si="31"/>
        <v>20486</v>
      </c>
      <c r="DJ39" s="1067">
        <f t="shared" si="8"/>
        <v>-9284</v>
      </c>
      <c r="DL39" s="1067">
        <v>-20486</v>
      </c>
      <c r="DM39" s="1066">
        <f>DI39+DL39</f>
        <v>0</v>
      </c>
      <c r="DP39" s="1067">
        <f t="shared" si="26"/>
        <v>0</v>
      </c>
      <c r="DR39" s="1067">
        <f t="shared" si="0"/>
        <v>0</v>
      </c>
      <c r="DT39" s="973">
        <f t="shared" si="1"/>
        <v>0</v>
      </c>
      <c r="DV39" s="251"/>
    </row>
    <row r="40" spans="1:127" x14ac:dyDescent="0.25">
      <c r="A40" s="1068">
        <v>1</v>
      </c>
      <c r="B40" s="480" t="s">
        <v>2221</v>
      </c>
      <c r="C40" s="480">
        <v>200283</v>
      </c>
      <c r="D40" s="480" t="s">
        <v>2838</v>
      </c>
      <c r="E40" s="480" t="s">
        <v>1876</v>
      </c>
      <c r="F40" s="480">
        <v>414698</v>
      </c>
      <c r="G40" s="480" t="s">
        <v>2883</v>
      </c>
      <c r="H40" s="480" t="s">
        <v>2884</v>
      </c>
      <c r="I40" s="963">
        <v>39645</v>
      </c>
      <c r="J40" s="480">
        <v>11</v>
      </c>
      <c r="K40" s="1039">
        <f t="shared" ca="1" si="2"/>
        <v>17.185489390828199</v>
      </c>
      <c r="L40" s="1039" t="s">
        <v>1886</v>
      </c>
      <c r="M40" s="1039"/>
      <c r="N40" s="480" t="s">
        <v>2153</v>
      </c>
      <c r="O40" s="1069">
        <v>5531</v>
      </c>
      <c r="P40" s="1069"/>
      <c r="Q40" s="1073">
        <f>5531/3*2</f>
        <v>3687.3333333333335</v>
      </c>
      <c r="R40" s="1073"/>
      <c r="S40" s="963">
        <v>45181</v>
      </c>
      <c r="T40" s="1042">
        <v>72</v>
      </c>
      <c r="U40" s="963">
        <v>45382</v>
      </c>
      <c r="V40" s="1044">
        <v>192</v>
      </c>
      <c r="W40" s="1044">
        <f t="shared" si="3"/>
        <v>121</v>
      </c>
      <c r="X40" s="1045">
        <f t="shared" si="4"/>
        <v>0.63020833333333337</v>
      </c>
      <c r="Y40" s="1046">
        <v>1</v>
      </c>
      <c r="Z40" s="1045">
        <f t="shared" si="5"/>
        <v>0.63020833333333337</v>
      </c>
      <c r="AA40" s="1047">
        <f t="shared" si="23"/>
        <v>3485.682291666667</v>
      </c>
      <c r="AB40" s="1169" t="s">
        <v>2787</v>
      </c>
      <c r="AC40" s="1139" t="s">
        <v>2797</v>
      </c>
      <c r="AD40" s="1076"/>
      <c r="AE40" s="1072"/>
      <c r="AF40" s="1076"/>
      <c r="AG40" s="1073"/>
      <c r="AH40" s="1073"/>
      <c r="AI40" s="1073"/>
      <c r="AJ40" s="1170"/>
      <c r="AK40" s="1073" t="s">
        <v>2805</v>
      </c>
      <c r="AL40" s="1073" t="s">
        <v>2804</v>
      </c>
      <c r="AM40" s="1073" t="s">
        <v>2804</v>
      </c>
      <c r="AN40" s="1136"/>
      <c r="AO40" s="1076"/>
      <c r="AP40" s="1140"/>
      <c r="AQ40" s="1145"/>
      <c r="AR40" s="1076"/>
      <c r="AS40" s="1076"/>
      <c r="AT40" s="1076"/>
      <c r="AU40" s="1076"/>
      <c r="AV40" s="1076"/>
      <c r="AW40" s="1076"/>
      <c r="AX40" s="1076"/>
      <c r="AY40" s="1076"/>
      <c r="AZ40" s="1076"/>
      <c r="BA40" s="1140"/>
      <c r="BB40" s="1171"/>
      <c r="BC40" s="1076"/>
      <c r="BD40" s="1076"/>
      <c r="BE40" s="1076"/>
      <c r="BF40" s="1076"/>
      <c r="BG40" s="1076"/>
      <c r="BH40" s="1140"/>
      <c r="BI40" s="1076">
        <v>0</v>
      </c>
      <c r="BJ40" s="1076"/>
      <c r="BK40" s="1085">
        <v>0</v>
      </c>
      <c r="BL40" s="1085"/>
      <c r="BM40" s="1085"/>
      <c r="BN40" s="1142"/>
      <c r="BO40" s="1092"/>
      <c r="BP40" s="1142"/>
      <c r="BQ40" s="1092"/>
      <c r="CF40" s="1143"/>
      <c r="CJ40" s="1093"/>
      <c r="CM40" s="1095"/>
      <c r="CN40" s="1127"/>
      <c r="CO40" s="1098"/>
      <c r="CP40" s="1098"/>
      <c r="CQ40" s="1172"/>
      <c r="CR40" s="1100"/>
      <c r="CS40" s="1100"/>
      <c r="CT40" s="1100"/>
      <c r="CU40" s="1124"/>
      <c r="CV40" s="1124"/>
      <c r="CW40" s="1103"/>
      <c r="DC40" s="1143"/>
      <c r="DE40" s="1067">
        <f>Q40</f>
        <v>3687.3333333333335</v>
      </c>
      <c r="DF40" s="1067">
        <f t="shared" si="6"/>
        <v>3687.3333333333335</v>
      </c>
      <c r="DG40" s="1105">
        <f t="shared" si="7"/>
        <v>3687.3333333333335</v>
      </c>
      <c r="DI40" s="1067">
        <f t="shared" si="31"/>
        <v>3687.3333333333335</v>
      </c>
      <c r="DJ40" s="1067">
        <f t="shared" si="8"/>
        <v>0</v>
      </c>
      <c r="DM40" s="1066">
        <f t="shared" ref="DM40:DM44" si="39">DI40+DL40</f>
        <v>3687.3333333333335</v>
      </c>
      <c r="DP40" s="1067">
        <f t="shared" si="26"/>
        <v>3687.3333333333335</v>
      </c>
      <c r="DR40" s="1067">
        <f t="shared" si="0"/>
        <v>3687.3333333333335</v>
      </c>
      <c r="DT40" s="973">
        <f t="shared" si="1"/>
        <v>3687.3333333333335</v>
      </c>
      <c r="DV40" s="251"/>
    </row>
    <row r="41" spans="1:127" s="1111" customFormat="1" x14ac:dyDescent="0.25">
      <c r="A41" s="1080">
        <v>1</v>
      </c>
      <c r="B41" s="1135" t="s">
        <v>2885</v>
      </c>
      <c r="C41" s="1135">
        <v>207586</v>
      </c>
      <c r="D41" s="1135" t="s">
        <v>2542</v>
      </c>
      <c r="E41" s="1135" t="s">
        <v>1606</v>
      </c>
      <c r="F41" s="1135">
        <v>437270</v>
      </c>
      <c r="G41" s="1135" t="s">
        <v>777</v>
      </c>
      <c r="H41" s="1135" t="s">
        <v>1989</v>
      </c>
      <c r="I41" s="1146">
        <v>43425</v>
      </c>
      <c r="J41" s="1135">
        <v>1</v>
      </c>
      <c r="K41" s="1147">
        <f t="shared" ca="1" si="2"/>
        <v>6.8364134154688569</v>
      </c>
      <c r="L41" s="1147" t="s">
        <v>1885</v>
      </c>
      <c r="M41" s="1147"/>
      <c r="N41" s="1135">
        <v>25</v>
      </c>
      <c r="O41" s="1148"/>
      <c r="P41" s="1148">
        <v>5531</v>
      </c>
      <c r="Q41" s="1115">
        <v>20500</v>
      </c>
      <c r="R41" s="1115"/>
      <c r="S41" s="1146">
        <v>45170</v>
      </c>
      <c r="T41" s="1042">
        <v>65</v>
      </c>
      <c r="U41" s="1146">
        <v>45382</v>
      </c>
      <c r="V41" s="1044">
        <v>192</v>
      </c>
      <c r="W41" s="1044">
        <f t="shared" si="3"/>
        <v>128</v>
      </c>
      <c r="X41" s="1045">
        <f t="shared" si="4"/>
        <v>0.66666666666666663</v>
      </c>
      <c r="Y41" s="1046">
        <v>1</v>
      </c>
      <c r="Z41" s="1045">
        <f t="shared" si="5"/>
        <v>0.66666666666666663</v>
      </c>
      <c r="AA41" s="1047">
        <f t="shared" si="23"/>
        <v>0</v>
      </c>
      <c r="AB41" s="1173" t="s">
        <v>2797</v>
      </c>
      <c r="AC41" s="1173" t="s">
        <v>2797</v>
      </c>
      <c r="AD41" s="1078"/>
      <c r="AE41" s="1115"/>
      <c r="AF41" s="1078"/>
      <c r="AG41" s="1115"/>
      <c r="AH41" s="1115">
        <v>5531</v>
      </c>
      <c r="AI41" s="1115"/>
      <c r="AJ41" s="1174"/>
      <c r="AK41" s="1115" t="str">
        <f t="shared" ref="AK41" si="40">IF(AG41&lt;=5000,"yes","no")</f>
        <v>yes</v>
      </c>
      <c r="AL41" s="1115" t="str">
        <f t="shared" ref="AL41" si="41">IF(AND(AG41&gt;=5001,AG41&lt;=10000),"yes","no")</f>
        <v>no</v>
      </c>
      <c r="AM41" s="1115" t="str">
        <f t="shared" ref="AM41" si="42">IF(AG41&gt;=10001,"yes","no")</f>
        <v>no</v>
      </c>
      <c r="AN41" s="1175"/>
      <c r="AO41" s="1078"/>
      <c r="AP41" s="1176"/>
      <c r="AQ41" s="1177"/>
      <c r="AR41" s="1078"/>
      <c r="AS41" s="1078"/>
      <c r="AT41" s="1078"/>
      <c r="AU41" s="1078"/>
      <c r="AV41" s="1078"/>
      <c r="AW41" s="1078"/>
      <c r="AX41" s="1078"/>
      <c r="AY41" s="1078"/>
      <c r="AZ41" s="1078"/>
      <c r="BA41" s="1176"/>
      <c r="BB41" s="1178"/>
      <c r="BC41" s="1078"/>
      <c r="BD41" s="1078"/>
      <c r="BE41" s="1078"/>
      <c r="BF41" s="1078"/>
      <c r="BG41" s="1078"/>
      <c r="BH41" s="1176"/>
      <c r="BI41" s="1078">
        <v>0</v>
      </c>
      <c r="BJ41" s="1078"/>
      <c r="BK41" s="1087">
        <v>0</v>
      </c>
      <c r="BL41" s="1087"/>
      <c r="BM41" s="1087"/>
      <c r="BN41" s="1179"/>
      <c r="BO41" s="1153">
        <v>0</v>
      </c>
      <c r="BP41" s="1179"/>
      <c r="BQ41" s="1153">
        <v>0</v>
      </c>
      <c r="CF41" s="1180"/>
      <c r="CJ41" s="1093"/>
      <c r="CM41" s="1155"/>
      <c r="CN41" s="1127"/>
      <c r="CO41" s="1098">
        <v>0</v>
      </c>
      <c r="CP41" s="1098">
        <f>CO41-BQ41</f>
        <v>0</v>
      </c>
      <c r="CQ41" s="1172"/>
      <c r="CR41" s="1157"/>
      <c r="CS41" s="1157"/>
      <c r="CT41" s="1157"/>
      <c r="CU41" s="1158">
        <f t="shared" si="19"/>
        <v>0</v>
      </c>
      <c r="CV41" s="1158">
        <f t="shared" si="20"/>
        <v>0</v>
      </c>
      <c r="CW41" s="1159" t="s">
        <v>2886</v>
      </c>
      <c r="DA41" s="1066">
        <f t="shared" si="32"/>
        <v>0</v>
      </c>
      <c r="DB41" s="1066">
        <f>(DA41-CU41)</f>
        <v>0</v>
      </c>
      <c r="DC41" s="1180"/>
      <c r="DE41" s="1066">
        <v>10250</v>
      </c>
      <c r="DF41" s="1066">
        <f t="shared" si="6"/>
        <v>10250</v>
      </c>
      <c r="DG41" s="1160">
        <f t="shared" si="7"/>
        <v>10250</v>
      </c>
      <c r="DH41" s="1066">
        <v>3523</v>
      </c>
      <c r="DI41" s="1066">
        <f t="shared" si="31"/>
        <v>13773</v>
      </c>
      <c r="DJ41" s="1067">
        <f t="shared" si="8"/>
        <v>3523</v>
      </c>
      <c r="DL41" s="1066"/>
      <c r="DM41" s="1066">
        <f t="shared" si="39"/>
        <v>13773</v>
      </c>
      <c r="DP41" s="1067">
        <f t="shared" si="26"/>
        <v>13773</v>
      </c>
      <c r="DQ41" s="1066"/>
      <c r="DR41" s="1067">
        <f t="shared" si="0"/>
        <v>13773</v>
      </c>
      <c r="DS41" s="1066"/>
      <c r="DT41" s="973">
        <f t="shared" si="1"/>
        <v>13773</v>
      </c>
      <c r="DV41" s="251"/>
      <c r="DW41"/>
    </row>
    <row r="42" spans="1:127" x14ac:dyDescent="0.25">
      <c r="A42" s="1068">
        <v>1</v>
      </c>
      <c r="B42" s="480" t="s">
        <v>2799</v>
      </c>
      <c r="C42" s="480" t="s">
        <v>2887</v>
      </c>
      <c r="D42" s="480" t="s">
        <v>2160</v>
      </c>
      <c r="E42" s="480" t="s">
        <v>1606</v>
      </c>
      <c r="F42" s="480">
        <v>450725</v>
      </c>
      <c r="G42" s="480" t="s">
        <v>2162</v>
      </c>
      <c r="H42" s="480" t="s">
        <v>2161</v>
      </c>
      <c r="I42" s="963">
        <v>39735</v>
      </c>
      <c r="J42" s="480">
        <v>9</v>
      </c>
      <c r="K42" s="1039">
        <f t="shared" ca="1" si="2"/>
        <v>16.939082819986311</v>
      </c>
      <c r="L42" s="1039" t="s">
        <v>1886</v>
      </c>
      <c r="M42" s="1039" t="s">
        <v>56</v>
      </c>
      <c r="N42" s="480" t="s">
        <v>2184</v>
      </c>
      <c r="O42" s="1112" t="s">
        <v>2888</v>
      </c>
      <c r="P42" s="1069"/>
      <c r="Q42" s="1070">
        <f>8183.1+350</f>
        <v>8533.1</v>
      </c>
      <c r="R42" s="1070">
        <v>3600</v>
      </c>
      <c r="S42" s="963">
        <v>45017</v>
      </c>
      <c r="T42" s="1042">
        <v>1</v>
      </c>
      <c r="U42" s="963">
        <v>45382</v>
      </c>
      <c r="V42" s="1044">
        <v>192</v>
      </c>
      <c r="W42" s="1044">
        <f t="shared" si="3"/>
        <v>192</v>
      </c>
      <c r="X42" s="1045">
        <f t="shared" si="4"/>
        <v>1</v>
      </c>
      <c r="Y42" s="1046">
        <v>1</v>
      </c>
      <c r="Z42" s="1045">
        <f t="shared" si="5"/>
        <v>1</v>
      </c>
      <c r="AA42" s="1047" t="e">
        <f t="shared" si="23"/>
        <v>#VALUE!</v>
      </c>
      <c r="AB42" s="1069" t="s">
        <v>2797</v>
      </c>
      <c r="AC42" s="1069" t="s">
        <v>2797</v>
      </c>
      <c r="AD42" s="1068"/>
      <c r="AE42" s="1072">
        <f>AG42</f>
        <v>12133.1</v>
      </c>
      <c r="AF42" s="1068"/>
      <c r="AG42" s="1083">
        <f>8183.1+350+3600</f>
        <v>12133.1</v>
      </c>
      <c r="AH42" s="1083">
        <v>8183.1</v>
      </c>
      <c r="AI42" s="1083">
        <v>3950</v>
      </c>
      <c r="AJ42" s="1073" t="s">
        <v>2889</v>
      </c>
      <c r="AK42" s="1073" t="str">
        <f>IF(AG42&lt;=5000,"yes","no")</f>
        <v>no</v>
      </c>
      <c r="AL42" s="1073" t="str">
        <f>IF(AND(AG42&gt;=5001,AG42&lt;=10000),"yes","no")</f>
        <v>no</v>
      </c>
      <c r="AM42" s="1073" t="str">
        <f>IF(AG42&gt;=10001,"yes","no")</f>
        <v>yes</v>
      </c>
      <c r="AN42" s="1073"/>
      <c r="AO42" s="1068"/>
      <c r="AP42" s="1073"/>
      <c r="AQ42" s="1134"/>
      <c r="AR42" s="1068"/>
      <c r="AS42" s="1068"/>
      <c r="AT42" s="1068"/>
      <c r="AU42" s="1068"/>
      <c r="AV42" s="1068"/>
      <c r="AW42" s="1068"/>
      <c r="AX42" s="1068"/>
      <c r="AY42" s="1068"/>
      <c r="AZ42" s="1068"/>
      <c r="BA42" s="1073"/>
      <c r="BB42" s="1161"/>
      <c r="BC42" s="1068"/>
      <c r="BD42" s="1068"/>
      <c r="BE42" s="1068"/>
      <c r="BF42" s="1068"/>
      <c r="BG42" s="1068"/>
      <c r="BH42" s="1073">
        <f t="shared" ref="BH42:BH74" si="43">AP42+AT42+AX42</f>
        <v>0</v>
      </c>
      <c r="BI42" s="1068">
        <v>0</v>
      </c>
      <c r="BJ42" s="1068"/>
      <c r="BK42" s="1083">
        <v>12133.1</v>
      </c>
      <c r="BL42" s="1083">
        <f t="shared" si="13"/>
        <v>0</v>
      </c>
      <c r="BM42" s="1083">
        <f t="shared" si="14"/>
        <v>0</v>
      </c>
      <c r="BN42" s="1092">
        <f t="shared" si="15"/>
        <v>12133.1</v>
      </c>
      <c r="BO42" s="1092">
        <v>0</v>
      </c>
      <c r="BP42" s="1092"/>
      <c r="BQ42" s="1092">
        <v>12133.1</v>
      </c>
      <c r="CJ42" s="1093">
        <f t="shared" si="22"/>
        <v>12133.1</v>
      </c>
      <c r="CM42" s="1095">
        <f>BM42</f>
        <v>0</v>
      </c>
      <c r="CN42" s="1127">
        <f>CL42-CM42</f>
        <v>0</v>
      </c>
      <c r="CO42" s="1098">
        <v>12133.1</v>
      </c>
      <c r="CP42" s="1098">
        <f>CO42-BQ42</f>
        <v>0</v>
      </c>
      <c r="CQ42" s="1168"/>
      <c r="CR42" s="1100"/>
      <c r="CS42" s="1100"/>
      <c r="CT42" s="1100"/>
      <c r="CU42" s="1124">
        <f t="shared" si="19"/>
        <v>12133.1</v>
      </c>
      <c r="CV42" s="1124">
        <f t="shared" si="20"/>
        <v>0</v>
      </c>
      <c r="CW42" s="1103"/>
      <c r="DA42" s="1067">
        <f t="shared" si="32"/>
        <v>12133.1</v>
      </c>
      <c r="DB42" s="1067">
        <f>(DA42-CU42)</f>
        <v>0</v>
      </c>
      <c r="DE42" s="1067">
        <v>-7855.4</v>
      </c>
      <c r="DF42" s="1067">
        <f t="shared" si="6"/>
        <v>4277.7000000000007</v>
      </c>
      <c r="DG42" s="1105">
        <f t="shared" si="7"/>
        <v>-7855.4</v>
      </c>
      <c r="DH42" s="1067">
        <v>-2606.6999999999998</v>
      </c>
      <c r="DI42" s="1067">
        <f t="shared" si="31"/>
        <v>1671.0000000000009</v>
      </c>
      <c r="DJ42" s="1067">
        <f t="shared" si="8"/>
        <v>-2606.6999999999998</v>
      </c>
      <c r="DM42" s="1066">
        <f t="shared" si="39"/>
        <v>1671.0000000000009</v>
      </c>
      <c r="DP42" s="1067">
        <f t="shared" si="26"/>
        <v>1671.0000000000009</v>
      </c>
      <c r="DR42" s="1067">
        <f t="shared" si="0"/>
        <v>1671.0000000000009</v>
      </c>
      <c r="DT42" s="973">
        <f t="shared" si="1"/>
        <v>1671.0000000000009</v>
      </c>
      <c r="DV42" s="251"/>
    </row>
    <row r="43" spans="1:127" x14ac:dyDescent="0.25">
      <c r="A43" s="1068">
        <v>1</v>
      </c>
      <c r="B43" s="480" t="s">
        <v>2871</v>
      </c>
      <c r="D43" s="480" t="s">
        <v>2890</v>
      </c>
      <c r="E43" s="480" t="s">
        <v>1876</v>
      </c>
      <c r="F43" s="480">
        <v>375028</v>
      </c>
      <c r="G43" s="480" t="s">
        <v>152</v>
      </c>
      <c r="H43" s="480" t="s">
        <v>578</v>
      </c>
      <c r="I43" s="1181">
        <v>39478</v>
      </c>
      <c r="J43" s="480">
        <v>11</v>
      </c>
      <c r="K43" s="1039"/>
      <c r="L43" s="1039" t="s">
        <v>1886</v>
      </c>
      <c r="M43" s="1039" t="s">
        <v>56</v>
      </c>
      <c r="N43" s="480" t="s">
        <v>91</v>
      </c>
      <c r="O43" s="1069">
        <v>8451.2900000000009</v>
      </c>
      <c r="P43" s="1069"/>
      <c r="Q43" s="1070">
        <v>8451.2900000000009</v>
      </c>
      <c r="R43" s="1073"/>
      <c r="S43" s="963">
        <v>45224</v>
      </c>
      <c r="T43" s="1042">
        <v>100</v>
      </c>
      <c r="U43" s="963">
        <v>45232</v>
      </c>
      <c r="V43" s="1044">
        <v>103</v>
      </c>
      <c r="W43" s="1044">
        <f t="shared" si="3"/>
        <v>4</v>
      </c>
      <c r="X43" s="1045">
        <f t="shared" si="4"/>
        <v>2.0833333333333332E-2</v>
      </c>
      <c r="Y43" s="1046">
        <v>1</v>
      </c>
      <c r="Z43" s="1045">
        <f t="shared" si="5"/>
        <v>2.0833333333333332E-2</v>
      </c>
      <c r="AA43" s="1047">
        <f t="shared" si="23"/>
        <v>176.06854166666668</v>
      </c>
      <c r="AB43" s="1148" t="s">
        <v>2797</v>
      </c>
      <c r="AC43" s="1148" t="s">
        <v>2797</v>
      </c>
      <c r="AD43" s="1068"/>
      <c r="AE43" s="1072"/>
      <c r="AF43" s="1068"/>
      <c r="AG43" s="1073"/>
      <c r="AH43" s="1073"/>
      <c r="AI43" s="1073"/>
      <c r="AJ43" s="1073"/>
      <c r="AK43" s="1073"/>
      <c r="AL43" s="1073"/>
      <c r="AM43" s="1073"/>
      <c r="AN43" s="1073"/>
      <c r="AO43" s="1068"/>
      <c r="AP43" s="1073"/>
      <c r="AQ43" s="1068"/>
      <c r="AR43" s="1068"/>
      <c r="AS43" s="1068"/>
      <c r="AT43" s="1068"/>
      <c r="AU43" s="1068"/>
      <c r="AV43" s="1068"/>
      <c r="AW43" s="1068"/>
      <c r="AX43" s="1068"/>
      <c r="AY43" s="1068"/>
      <c r="AZ43" s="1068"/>
      <c r="BA43" s="1073"/>
      <c r="BB43" s="1073"/>
      <c r="BC43" s="1068"/>
      <c r="BD43" s="1068"/>
      <c r="BE43" s="1068"/>
      <c r="BF43" s="1068"/>
      <c r="BG43" s="1068"/>
      <c r="BH43" s="1073"/>
      <c r="BI43" s="1068">
        <v>0</v>
      </c>
      <c r="BJ43" s="1068"/>
      <c r="BK43" s="1083">
        <v>0</v>
      </c>
      <c r="BL43" s="1083"/>
      <c r="BM43" s="1083"/>
      <c r="BN43" s="1092"/>
      <c r="BO43" s="1092"/>
      <c r="BP43" s="1092"/>
      <c r="BQ43" s="1092"/>
      <c r="CJ43" s="1093"/>
      <c r="CM43" s="1095"/>
      <c r="CN43" s="1127"/>
      <c r="CO43" s="1098"/>
      <c r="CP43" s="1098"/>
      <c r="CQ43" s="1168"/>
      <c r="CR43" s="1100"/>
      <c r="CS43" s="1100"/>
      <c r="CT43" s="1100"/>
      <c r="CU43" s="1101"/>
      <c r="CV43" s="1124"/>
      <c r="CW43" s="1103"/>
      <c r="DA43" s="1104"/>
      <c r="DG43" s="1105"/>
      <c r="DJ43" s="1067"/>
      <c r="DL43" s="1067">
        <f>Q43</f>
        <v>8451.2900000000009</v>
      </c>
      <c r="DM43" s="1066">
        <f t="shared" si="39"/>
        <v>8451.2900000000009</v>
      </c>
      <c r="DP43" s="1067">
        <f t="shared" si="26"/>
        <v>8451.2900000000009</v>
      </c>
      <c r="DR43" s="1067">
        <f t="shared" si="0"/>
        <v>8451.2900000000009</v>
      </c>
      <c r="DT43" s="973">
        <f t="shared" si="1"/>
        <v>8451.2900000000009</v>
      </c>
      <c r="DV43" s="251"/>
    </row>
    <row r="44" spans="1:127" x14ac:dyDescent="0.25">
      <c r="A44" s="1068">
        <v>1</v>
      </c>
      <c r="B44" s="480" t="s">
        <v>2787</v>
      </c>
      <c r="C44" s="480">
        <v>202034</v>
      </c>
      <c r="D44" s="480" t="s">
        <v>2206</v>
      </c>
      <c r="E44" s="480" t="s">
        <v>1606</v>
      </c>
      <c r="F44" s="480">
        <v>429971</v>
      </c>
      <c r="G44" s="480" t="s">
        <v>2121</v>
      </c>
      <c r="H44" s="480" t="s">
        <v>2205</v>
      </c>
      <c r="I44" s="1038">
        <v>42613</v>
      </c>
      <c r="J44" s="480">
        <v>1</v>
      </c>
      <c r="K44" s="1039">
        <f t="shared" ref="K44:K73" ca="1" si="44">(TODAY()-I44)/365.25</f>
        <v>9.0595482546201236</v>
      </c>
      <c r="L44" s="1039" t="s">
        <v>1885</v>
      </c>
      <c r="M44" s="1039" t="s">
        <v>37</v>
      </c>
      <c r="N44" s="480" t="s">
        <v>2152</v>
      </c>
      <c r="O44" s="1069"/>
      <c r="P44" s="1069"/>
      <c r="Q44" s="1073">
        <v>8183.0999999999985</v>
      </c>
      <c r="R44" s="1073">
        <v>0</v>
      </c>
      <c r="S44" s="963">
        <v>45017</v>
      </c>
      <c r="T44" s="1042">
        <v>1</v>
      </c>
      <c r="U44" s="963">
        <v>45382</v>
      </c>
      <c r="V44" s="1044">
        <v>192</v>
      </c>
      <c r="W44" s="1044">
        <f t="shared" si="3"/>
        <v>192</v>
      </c>
      <c r="X44" s="1045">
        <f t="shared" si="4"/>
        <v>1</v>
      </c>
      <c r="Y44" s="1046">
        <v>1</v>
      </c>
      <c r="Z44" s="1045">
        <f t="shared" si="5"/>
        <v>1</v>
      </c>
      <c r="AA44" s="1047">
        <f t="shared" si="23"/>
        <v>0</v>
      </c>
      <c r="AB44" s="1069" t="s">
        <v>2797</v>
      </c>
      <c r="AC44" s="1069" t="s">
        <v>2797</v>
      </c>
      <c r="AD44" s="1068"/>
      <c r="AE44" s="1072">
        <f>AG44</f>
        <v>8183.0999999999985</v>
      </c>
      <c r="AF44" s="1068"/>
      <c r="AG44" s="1073">
        <v>8183.0999999999985</v>
      </c>
      <c r="AH44" s="1073">
        <v>8183.0999999999985</v>
      </c>
      <c r="AI44" s="1073"/>
      <c r="AJ44" s="1073"/>
      <c r="AK44" s="1073" t="str">
        <f t="shared" ref="AK44:AK70" si="45">IF(AG44&lt;=5000,"yes","no")</f>
        <v>no</v>
      </c>
      <c r="AL44" s="1073" t="str">
        <f>IF(AND(AG44&gt;=5001,AG44&lt;=10000),"yes","no")</f>
        <v>yes</v>
      </c>
      <c r="AM44" s="1073" t="str">
        <f>IF(AG44&gt;=10001,"yes","no")</f>
        <v>no</v>
      </c>
      <c r="AN44" s="1073"/>
      <c r="AO44" s="1068" t="s">
        <v>2891</v>
      </c>
      <c r="AP44" s="1073">
        <v>2345</v>
      </c>
      <c r="AQ44" s="1134">
        <v>45064</v>
      </c>
      <c r="AR44" s="1068"/>
      <c r="AS44" s="1068"/>
      <c r="AT44" s="1068"/>
      <c r="AU44" s="1068"/>
      <c r="AV44" s="1068"/>
      <c r="AW44" s="1068"/>
      <c r="AX44" s="1068"/>
      <c r="AY44" s="1068"/>
      <c r="AZ44" s="1068"/>
      <c r="BA44" s="1073"/>
      <c r="BB44" s="1073"/>
      <c r="BC44" s="1068"/>
      <c r="BD44" s="1068"/>
      <c r="BE44" s="1068"/>
      <c r="BF44" s="1068"/>
      <c r="BG44" s="1068"/>
      <c r="BH44" s="1073">
        <f t="shared" si="43"/>
        <v>2345</v>
      </c>
      <c r="BI44" s="1068">
        <v>0</v>
      </c>
      <c r="BJ44" s="1068"/>
      <c r="BK44" s="1083">
        <v>8183.0999999999985</v>
      </c>
      <c r="BL44" s="1083">
        <f t="shared" si="13"/>
        <v>0</v>
      </c>
      <c r="BM44" s="1083">
        <f t="shared" si="14"/>
        <v>0</v>
      </c>
      <c r="BN44" s="1092">
        <f t="shared" si="15"/>
        <v>8183.0999999999985</v>
      </c>
      <c r="BO44" s="1092">
        <v>0</v>
      </c>
      <c r="BP44" s="1092"/>
      <c r="BQ44" s="1092">
        <v>8183.0999999999985</v>
      </c>
      <c r="CJ44" s="1093">
        <f t="shared" si="22"/>
        <v>8183.0999999999985</v>
      </c>
      <c r="CM44" s="1095">
        <f>BM44</f>
        <v>0</v>
      </c>
      <c r="CN44" s="1127">
        <f>CL44-CM44</f>
        <v>0</v>
      </c>
      <c r="CO44" s="1098">
        <v>8183.0999999999985</v>
      </c>
      <c r="CP44" s="1098">
        <f>CO44-BQ44</f>
        <v>0</v>
      </c>
      <c r="CQ44" s="1168"/>
      <c r="CR44" s="1100"/>
      <c r="CS44" s="1100"/>
      <c r="CT44" s="1100"/>
      <c r="CU44" s="1124">
        <f t="shared" si="19"/>
        <v>8183.0999999999985</v>
      </c>
      <c r="CV44" s="1124">
        <f t="shared" si="20"/>
        <v>0</v>
      </c>
      <c r="CW44" s="1103"/>
      <c r="DA44" s="1067">
        <f t="shared" si="32"/>
        <v>8183.0999999999985</v>
      </c>
      <c r="DB44" s="1067">
        <f t="shared" ref="DB44:DB82" si="46">(DA44-CU44)</f>
        <v>0</v>
      </c>
      <c r="DE44" s="1067">
        <f>((8183.1/3)*2)*-1</f>
        <v>-5455.4000000000005</v>
      </c>
      <c r="DF44" s="1067">
        <f t="shared" si="6"/>
        <v>2727.699999999998</v>
      </c>
      <c r="DG44" s="1105">
        <f t="shared" si="7"/>
        <v>-5455.4000000000005</v>
      </c>
      <c r="DI44" s="1067">
        <f t="shared" si="31"/>
        <v>2727.699999999998</v>
      </c>
      <c r="DJ44" s="1067">
        <f t="shared" si="8"/>
        <v>0</v>
      </c>
      <c r="DM44" s="1066">
        <f t="shared" si="39"/>
        <v>2727.699999999998</v>
      </c>
      <c r="DP44" s="1067">
        <f t="shared" si="26"/>
        <v>2727.699999999998</v>
      </c>
      <c r="DR44" s="1067">
        <f t="shared" si="0"/>
        <v>2727.699999999998</v>
      </c>
      <c r="DT44" s="973">
        <f t="shared" si="1"/>
        <v>2727.699999999998</v>
      </c>
      <c r="DV44" s="251"/>
    </row>
    <row r="45" spans="1:127" s="1111" customFormat="1" x14ac:dyDescent="0.25">
      <c r="A45" s="1080">
        <v>1</v>
      </c>
      <c r="B45" s="1135" t="s">
        <v>2787</v>
      </c>
      <c r="C45" s="1135">
        <v>202034</v>
      </c>
      <c r="D45" s="1135" t="s">
        <v>2206</v>
      </c>
      <c r="E45" s="1135" t="s">
        <v>1606</v>
      </c>
      <c r="F45" s="1135">
        <v>452100</v>
      </c>
      <c r="G45" s="1135" t="s">
        <v>2892</v>
      </c>
      <c r="H45" s="1135" t="s">
        <v>2893</v>
      </c>
      <c r="I45" s="1182">
        <v>42964</v>
      </c>
      <c r="J45" s="1135">
        <v>1</v>
      </c>
      <c r="K45" s="1147">
        <f t="shared" ca="1" si="44"/>
        <v>8.0985626283367562</v>
      </c>
      <c r="L45" s="1147" t="s">
        <v>1885</v>
      </c>
      <c r="M45" s="1147" t="s">
        <v>56</v>
      </c>
      <c r="N45" s="1135" t="s">
        <v>2184</v>
      </c>
      <c r="O45" s="1148"/>
      <c r="P45" s="1148"/>
      <c r="Q45" s="1115">
        <v>8183.0999999999985</v>
      </c>
      <c r="R45" s="1115">
        <f>Q45/3</f>
        <v>2727.6999999999994</v>
      </c>
      <c r="S45" s="1146">
        <v>45017</v>
      </c>
      <c r="T45" s="1042">
        <v>1</v>
      </c>
      <c r="U45" s="1146">
        <v>45382</v>
      </c>
      <c r="V45" s="1044">
        <v>192</v>
      </c>
      <c r="W45" s="1044">
        <f t="shared" si="3"/>
        <v>192</v>
      </c>
      <c r="X45" s="1045">
        <f t="shared" si="4"/>
        <v>1</v>
      </c>
      <c r="Y45" s="1046">
        <v>1</v>
      </c>
      <c r="Z45" s="1045">
        <f t="shared" si="5"/>
        <v>1</v>
      </c>
      <c r="AA45" s="1047">
        <f t="shared" si="23"/>
        <v>0</v>
      </c>
      <c r="AB45" s="1069" t="s">
        <v>2797</v>
      </c>
      <c r="AC45" s="1069" t="s">
        <v>2797</v>
      </c>
      <c r="AD45" s="1068"/>
      <c r="AE45" s="1115">
        <f>Q45+R45</f>
        <v>10910.799999999997</v>
      </c>
      <c r="AF45" s="1068"/>
      <c r="AG45" s="1115">
        <v>8183.0999999999985</v>
      </c>
      <c r="AH45" s="1115">
        <v>8183.0999999999985</v>
      </c>
      <c r="AI45" s="1115">
        <v>2727.6999999999994</v>
      </c>
      <c r="AJ45" s="1073"/>
      <c r="AK45" s="1115" t="str">
        <f t="shared" si="45"/>
        <v>no</v>
      </c>
      <c r="AL45" s="1115" t="str">
        <f>IF(AND(AG45&gt;=5001,AG45&lt;=10000),"yes","no")</f>
        <v>yes</v>
      </c>
      <c r="AM45" s="1115" t="str">
        <f>IF(AG45&gt;=10001,"yes","no")</f>
        <v>no</v>
      </c>
      <c r="AN45" s="1115"/>
      <c r="AO45" s="1068"/>
      <c r="AP45" s="1073"/>
      <c r="AQ45" s="1068"/>
      <c r="AR45" s="1068"/>
      <c r="AS45" s="1068"/>
      <c r="AT45" s="1068"/>
      <c r="AU45" s="1068"/>
      <c r="AV45" s="1068"/>
      <c r="AW45" s="1068"/>
      <c r="AX45" s="1068"/>
      <c r="AY45" s="1068"/>
      <c r="AZ45" s="1068"/>
      <c r="BA45" s="1073"/>
      <c r="BB45" s="1073"/>
      <c r="BC45" s="1068"/>
      <c r="BD45" s="1068"/>
      <c r="BE45" s="1068"/>
      <c r="BF45" s="1068"/>
      <c r="BG45" s="1068"/>
      <c r="BH45" s="1073"/>
      <c r="BI45" s="1068">
        <v>0</v>
      </c>
      <c r="BJ45" s="1068"/>
      <c r="BK45" s="1083">
        <v>8183.0999999999985</v>
      </c>
      <c r="BL45" s="1083"/>
      <c r="BM45" s="1083"/>
      <c r="BN45" s="1092"/>
      <c r="BO45" s="1153"/>
      <c r="BP45" s="1092"/>
      <c r="BQ45" s="1153"/>
      <c r="CE45" s="1183">
        <v>10910.799999999997</v>
      </c>
      <c r="CF45" s="1074"/>
      <c r="CJ45" s="1093">
        <f t="shared" si="22"/>
        <v>10910.799999999997</v>
      </c>
      <c r="CM45" s="1155">
        <f>BM45</f>
        <v>0</v>
      </c>
      <c r="CN45" s="1127">
        <f>CL45-CM45</f>
        <v>0</v>
      </c>
      <c r="CO45" s="1098">
        <v>10910.799999999997</v>
      </c>
      <c r="CP45" s="1098">
        <f>CO45-BQ45</f>
        <v>10910.799999999997</v>
      </c>
      <c r="CQ45" s="1168" t="s">
        <v>2471</v>
      </c>
      <c r="CR45" s="1157"/>
      <c r="CS45" s="1157"/>
      <c r="CT45" s="1157"/>
      <c r="CU45" s="1184">
        <f t="shared" si="19"/>
        <v>10910.799999999997</v>
      </c>
      <c r="CV45" s="1158">
        <f t="shared" si="20"/>
        <v>0</v>
      </c>
      <c r="CW45" s="1159"/>
      <c r="DA45" s="1104">
        <f t="shared" si="32"/>
        <v>10910.799999999997</v>
      </c>
      <c r="DB45" s="1067">
        <f t="shared" si="46"/>
        <v>0</v>
      </c>
      <c r="DE45" s="1066"/>
      <c r="DF45" s="1067">
        <f t="shared" si="6"/>
        <v>10910.799999999997</v>
      </c>
      <c r="DG45" s="1105">
        <f t="shared" si="7"/>
        <v>0</v>
      </c>
      <c r="DH45" s="1066"/>
      <c r="DI45" s="1067">
        <f t="shared" si="31"/>
        <v>10910.799999999997</v>
      </c>
      <c r="DJ45" s="1067">
        <f t="shared" si="8"/>
        <v>0</v>
      </c>
      <c r="DL45" s="1066"/>
      <c r="DM45" s="1066">
        <f>DI45+DL45</f>
        <v>10910.799999999997</v>
      </c>
      <c r="DP45" s="1067">
        <f t="shared" si="26"/>
        <v>10910.799999999997</v>
      </c>
      <c r="DQ45" s="1066"/>
      <c r="DR45" s="1067">
        <f t="shared" si="0"/>
        <v>10910.799999999997</v>
      </c>
      <c r="DS45" s="1066"/>
      <c r="DT45" s="973">
        <f t="shared" si="1"/>
        <v>10910.799999999997</v>
      </c>
      <c r="DV45" s="251"/>
      <c r="DW45"/>
    </row>
    <row r="46" spans="1:127" s="1111" customFormat="1" x14ac:dyDescent="0.25">
      <c r="A46" s="1080">
        <v>1</v>
      </c>
      <c r="B46" s="1135" t="s">
        <v>2787</v>
      </c>
      <c r="C46" s="1135">
        <v>202034</v>
      </c>
      <c r="D46" s="1135" t="s">
        <v>2206</v>
      </c>
      <c r="E46" s="1135" t="s">
        <v>1606</v>
      </c>
      <c r="F46" s="1135">
        <v>455523</v>
      </c>
      <c r="G46" s="1135" t="s">
        <v>2894</v>
      </c>
      <c r="H46" s="1135" t="s">
        <v>2895</v>
      </c>
      <c r="I46" s="1182">
        <v>42823</v>
      </c>
      <c r="J46" s="1135">
        <v>1</v>
      </c>
      <c r="K46" s="1147">
        <f t="shared" ca="1" si="44"/>
        <v>8.4845995893223822</v>
      </c>
      <c r="L46" s="1147" t="s">
        <v>1885</v>
      </c>
      <c r="M46" s="1147" t="s">
        <v>56</v>
      </c>
      <c r="N46" s="1135" t="s">
        <v>2184</v>
      </c>
      <c r="O46" s="1148"/>
      <c r="P46" s="1148" t="s">
        <v>2896</v>
      </c>
      <c r="Q46" s="1115">
        <v>300</v>
      </c>
      <c r="R46" s="1115">
        <v>0</v>
      </c>
      <c r="S46" s="1146">
        <v>45086</v>
      </c>
      <c r="T46" s="1042">
        <v>34</v>
      </c>
      <c r="U46" s="1146">
        <v>45382</v>
      </c>
      <c r="V46" s="1044">
        <v>192</v>
      </c>
      <c r="W46" s="1044">
        <f t="shared" si="3"/>
        <v>159</v>
      </c>
      <c r="X46" s="1045">
        <f t="shared" si="4"/>
        <v>0.828125</v>
      </c>
      <c r="Y46" s="1046">
        <v>1</v>
      </c>
      <c r="Z46" s="1045">
        <f t="shared" si="5"/>
        <v>0.828125</v>
      </c>
      <c r="AA46" s="1047">
        <f t="shared" si="23"/>
        <v>0</v>
      </c>
      <c r="AB46" s="1069" t="s">
        <v>2797</v>
      </c>
      <c r="AC46" s="1069" t="s">
        <v>2797</v>
      </c>
      <c r="AD46" s="1068"/>
      <c r="AE46" s="1115">
        <v>300</v>
      </c>
      <c r="AF46" s="1068"/>
      <c r="AG46" s="1115">
        <v>300</v>
      </c>
      <c r="AH46" s="1115">
        <v>300</v>
      </c>
      <c r="AI46" s="1115"/>
      <c r="AJ46" s="1073"/>
      <c r="AK46" s="1115" t="str">
        <f t="shared" si="45"/>
        <v>yes</v>
      </c>
      <c r="AL46" s="1115" t="str">
        <f>IF(AND(AG46&gt;=5001,AG46&lt;=10000),"yes","no")</f>
        <v>no</v>
      </c>
      <c r="AM46" s="1115" t="str">
        <f>IF(AG46&gt;=10001,"yes","no")</f>
        <v>no</v>
      </c>
      <c r="AN46" s="1115"/>
      <c r="AO46" s="1068"/>
      <c r="AP46" s="1073"/>
      <c r="AQ46" s="1068"/>
      <c r="AR46" s="1068"/>
      <c r="AS46" s="1068"/>
      <c r="AT46" s="1068"/>
      <c r="AU46" s="1068"/>
      <c r="AV46" s="1068"/>
      <c r="AW46" s="1068"/>
      <c r="AX46" s="1068"/>
      <c r="AY46" s="1068"/>
      <c r="AZ46" s="1068"/>
      <c r="BA46" s="1073"/>
      <c r="BB46" s="1073"/>
      <c r="BC46" s="1068"/>
      <c r="BD46" s="1068"/>
      <c r="BE46" s="1068"/>
      <c r="BF46" s="1068"/>
      <c r="BG46" s="1068"/>
      <c r="BH46" s="1073"/>
      <c r="BI46" s="1068">
        <v>0</v>
      </c>
      <c r="BJ46" s="1068"/>
      <c r="BK46" s="1083">
        <v>300</v>
      </c>
      <c r="BL46" s="1083"/>
      <c r="BM46" s="1083"/>
      <c r="BN46" s="1092"/>
      <c r="BO46" s="1153"/>
      <c r="BP46" s="1092"/>
      <c r="BQ46" s="1153"/>
      <c r="CE46" s="1111">
        <v>300</v>
      </c>
      <c r="CF46" s="1074"/>
      <c r="CJ46" s="1093"/>
      <c r="CM46" s="1155">
        <f>BM46</f>
        <v>0</v>
      </c>
      <c r="CN46" s="1127">
        <f>CL46-CM46</f>
        <v>0</v>
      </c>
      <c r="CO46" s="1098">
        <v>300</v>
      </c>
      <c r="CP46" s="1098">
        <f>CO46-BQ46</f>
        <v>300</v>
      </c>
      <c r="CQ46" s="1168" t="s">
        <v>2897</v>
      </c>
      <c r="CR46" s="1157"/>
      <c r="CS46" s="1157"/>
      <c r="CT46" s="1157"/>
      <c r="CU46" s="1184">
        <f t="shared" si="19"/>
        <v>300</v>
      </c>
      <c r="CV46" s="1158">
        <f t="shared" si="20"/>
        <v>0</v>
      </c>
      <c r="CW46" s="1159"/>
      <c r="CZ46" s="1111">
        <f>4473.77-300</f>
        <v>4173.7700000000004</v>
      </c>
      <c r="DA46" s="1185">
        <f t="shared" si="32"/>
        <v>4473.7700000000004</v>
      </c>
      <c r="DB46" s="1067">
        <f t="shared" si="46"/>
        <v>4173.7700000000004</v>
      </c>
      <c r="DC46" s="1111" t="s">
        <v>2898</v>
      </c>
      <c r="DE46" s="1066"/>
      <c r="DF46" s="1067">
        <f t="shared" si="6"/>
        <v>4473.7700000000004</v>
      </c>
      <c r="DG46" s="1105">
        <f t="shared" si="7"/>
        <v>0</v>
      </c>
      <c r="DH46" s="1066"/>
      <c r="DI46" s="1067">
        <f t="shared" si="31"/>
        <v>4473.7700000000004</v>
      </c>
      <c r="DJ46" s="1067">
        <f t="shared" si="8"/>
        <v>0</v>
      </c>
      <c r="DL46" s="1066"/>
      <c r="DM46" s="1066">
        <f t="shared" ref="DM46:DM82" si="47">DI46+DL46</f>
        <v>4473.7700000000004</v>
      </c>
      <c r="DP46" s="1067">
        <f t="shared" si="26"/>
        <v>4473.7700000000004</v>
      </c>
      <c r="DQ46" s="1066"/>
      <c r="DR46" s="1067">
        <f t="shared" si="0"/>
        <v>4473.7700000000004</v>
      </c>
      <c r="DS46" s="1066"/>
      <c r="DT46" s="973">
        <f t="shared" si="1"/>
        <v>4473.7700000000004</v>
      </c>
      <c r="DV46" s="251"/>
      <c r="DW46"/>
    </row>
    <row r="47" spans="1:127" x14ac:dyDescent="0.25">
      <c r="A47" s="1068">
        <v>1</v>
      </c>
      <c r="B47" s="480" t="s">
        <v>2787</v>
      </c>
      <c r="C47" s="480">
        <v>211060</v>
      </c>
      <c r="D47" s="480" t="s">
        <v>2899</v>
      </c>
      <c r="E47" s="480" t="s">
        <v>1606</v>
      </c>
      <c r="F47" s="480">
        <v>430362</v>
      </c>
      <c r="G47" s="480" t="s">
        <v>2900</v>
      </c>
      <c r="H47" s="480" t="s">
        <v>420</v>
      </c>
      <c r="I47" s="1038">
        <v>41270</v>
      </c>
      <c r="J47" s="480">
        <v>6</v>
      </c>
      <c r="K47" s="1039">
        <f t="shared" ca="1" si="44"/>
        <v>12.736481861738536</v>
      </c>
      <c r="L47" s="1039" t="s">
        <v>1885</v>
      </c>
      <c r="M47" s="1039" t="s">
        <v>66</v>
      </c>
      <c r="N47" s="480" t="s">
        <v>2153</v>
      </c>
      <c r="O47" s="1069"/>
      <c r="P47" s="1069"/>
      <c r="Q47" s="1073">
        <v>5819.25</v>
      </c>
      <c r="R47" s="1073">
        <v>0</v>
      </c>
      <c r="S47" s="963">
        <v>45017</v>
      </c>
      <c r="T47" s="1042">
        <v>1</v>
      </c>
      <c r="U47" s="963">
        <v>45382</v>
      </c>
      <c r="V47" s="1044">
        <v>192</v>
      </c>
      <c r="W47" s="1044">
        <f t="shared" si="3"/>
        <v>192</v>
      </c>
      <c r="X47" s="1045">
        <f t="shared" si="4"/>
        <v>1</v>
      </c>
      <c r="Y47" s="1046">
        <v>1</v>
      </c>
      <c r="Z47" s="1045">
        <f t="shared" si="5"/>
        <v>1</v>
      </c>
      <c r="AA47" s="1047">
        <f t="shared" si="23"/>
        <v>0</v>
      </c>
      <c r="AB47" s="1069" t="s">
        <v>2797</v>
      </c>
      <c r="AC47" s="1069" t="s">
        <v>2797</v>
      </c>
      <c r="AD47" s="1068"/>
      <c r="AE47" s="1072">
        <f>AG47</f>
        <v>5819.25</v>
      </c>
      <c r="AF47" s="1068"/>
      <c r="AG47" s="1073">
        <v>5819.25</v>
      </c>
      <c r="AH47" s="1073">
        <v>5819.25</v>
      </c>
      <c r="AI47" s="1073"/>
      <c r="AJ47" s="1073"/>
      <c r="AK47" s="1073" t="str">
        <f t="shared" si="45"/>
        <v>no</v>
      </c>
      <c r="AL47" s="1073" t="str">
        <f>IF(AND(AG47&gt;=5001,AG47&lt;=10000),"yes","no")</f>
        <v>yes</v>
      </c>
      <c r="AM47" s="1073" t="str">
        <f>IF(AG47&gt;=10001,"yes","no")</f>
        <v>no</v>
      </c>
      <c r="AN47" s="1073"/>
      <c r="AO47" s="1068" t="s">
        <v>2901</v>
      </c>
      <c r="AP47" s="1073">
        <v>1833</v>
      </c>
      <c r="AQ47" s="1068"/>
      <c r="AR47" s="1068"/>
      <c r="AS47" s="1068"/>
      <c r="AT47" s="1068"/>
      <c r="AU47" s="1068"/>
      <c r="AV47" s="1068"/>
      <c r="AW47" s="1068"/>
      <c r="AX47" s="1068"/>
      <c r="AY47" s="1068"/>
      <c r="AZ47" s="1068"/>
      <c r="BA47" s="1073"/>
      <c r="BB47" s="1073"/>
      <c r="BC47" s="1068"/>
      <c r="BD47" s="1068"/>
      <c r="BE47" s="1068"/>
      <c r="BF47" s="1068"/>
      <c r="BG47" s="1068"/>
      <c r="BH47" s="1073">
        <f t="shared" si="43"/>
        <v>1833</v>
      </c>
      <c r="BI47" s="1068">
        <v>0</v>
      </c>
      <c r="BJ47" s="1068"/>
      <c r="BK47" s="1083">
        <v>5819.25</v>
      </c>
      <c r="BL47" s="1083">
        <f t="shared" si="13"/>
        <v>0</v>
      </c>
      <c r="BM47" s="1083">
        <f t="shared" si="14"/>
        <v>0</v>
      </c>
      <c r="BN47" s="1092">
        <f t="shared" si="15"/>
        <v>5819.25</v>
      </c>
      <c r="BO47" s="1092">
        <v>0</v>
      </c>
      <c r="BP47" s="1092"/>
      <c r="BQ47" s="1092">
        <v>5819.25</v>
      </c>
      <c r="CJ47" s="1093">
        <f t="shared" si="22"/>
        <v>5819.25</v>
      </c>
      <c r="CM47" s="1095">
        <f>BM47</f>
        <v>0</v>
      </c>
      <c r="CN47" s="1127">
        <f>CL47-CM47</f>
        <v>0</v>
      </c>
      <c r="CO47" s="1098">
        <v>5819.25</v>
      </c>
      <c r="CP47" s="1098">
        <f>CO47-BQ47</f>
        <v>0</v>
      </c>
      <c r="CQ47" s="1168"/>
      <c r="CR47" s="1100"/>
      <c r="CS47" s="1100"/>
      <c r="CT47" s="1100"/>
      <c r="CU47" s="1101">
        <f t="shared" si="19"/>
        <v>5819.25</v>
      </c>
      <c r="CV47" s="1124">
        <f t="shared" si="20"/>
        <v>0</v>
      </c>
      <c r="CW47" s="1103"/>
      <c r="DA47" s="1104">
        <f t="shared" si="32"/>
        <v>5819.25</v>
      </c>
      <c r="DB47" s="1067">
        <f t="shared" si="46"/>
        <v>0</v>
      </c>
      <c r="DF47" s="1067">
        <f t="shared" si="6"/>
        <v>5819.25</v>
      </c>
      <c r="DG47" s="1105">
        <f t="shared" si="7"/>
        <v>0</v>
      </c>
      <c r="DI47" s="1067">
        <f t="shared" si="31"/>
        <v>5819.25</v>
      </c>
      <c r="DJ47" s="1067">
        <f t="shared" si="8"/>
        <v>0</v>
      </c>
      <c r="DM47" s="1066">
        <f t="shared" si="47"/>
        <v>5819.25</v>
      </c>
      <c r="DP47" s="1067">
        <f t="shared" si="26"/>
        <v>5819.25</v>
      </c>
      <c r="DR47" s="1067">
        <f t="shared" si="0"/>
        <v>5819.25</v>
      </c>
      <c r="DT47" s="973">
        <f t="shared" si="1"/>
        <v>5819.25</v>
      </c>
      <c r="DV47" s="251"/>
    </row>
    <row r="48" spans="1:127" s="1111" customFormat="1" x14ac:dyDescent="0.25">
      <c r="A48" s="1080">
        <v>1</v>
      </c>
      <c r="B48" s="1135" t="s">
        <v>2787</v>
      </c>
      <c r="C48" s="1135">
        <v>211060</v>
      </c>
      <c r="D48" s="1135" t="s">
        <v>2899</v>
      </c>
      <c r="E48" s="1135" t="s">
        <v>1606</v>
      </c>
      <c r="F48" s="1135">
        <v>412833</v>
      </c>
      <c r="G48" s="1135" t="s">
        <v>1205</v>
      </c>
      <c r="H48" s="1135" t="s">
        <v>1296</v>
      </c>
      <c r="I48" s="1182">
        <v>41199</v>
      </c>
      <c r="J48" s="1135">
        <v>6</v>
      </c>
      <c r="K48" s="1147">
        <f t="shared" ca="1" si="44"/>
        <v>12.930869267624914</v>
      </c>
      <c r="L48" s="1147" t="s">
        <v>1885</v>
      </c>
      <c r="M48" s="1147" t="s">
        <v>2902</v>
      </c>
      <c r="N48" s="1135" t="s">
        <v>2153</v>
      </c>
      <c r="O48" s="1148"/>
      <c r="P48" s="1148"/>
      <c r="Q48" s="1115">
        <v>5819</v>
      </c>
      <c r="R48" s="1115">
        <v>0</v>
      </c>
      <c r="S48" s="1146">
        <v>45017</v>
      </c>
      <c r="T48" s="1042">
        <v>1</v>
      </c>
      <c r="U48" s="1146">
        <v>45382</v>
      </c>
      <c r="V48" s="1044">
        <v>192</v>
      </c>
      <c r="W48" s="1044">
        <f t="shared" si="3"/>
        <v>192</v>
      </c>
      <c r="X48" s="1045">
        <f t="shared" si="4"/>
        <v>1</v>
      </c>
      <c r="Y48" s="1046">
        <v>1</v>
      </c>
      <c r="Z48" s="1045">
        <f t="shared" si="5"/>
        <v>1</v>
      </c>
      <c r="AA48" s="1047">
        <f t="shared" si="23"/>
        <v>0</v>
      </c>
      <c r="AB48" s="1186" t="s">
        <v>2787</v>
      </c>
      <c r="AC48" s="1186" t="s">
        <v>2797</v>
      </c>
      <c r="AD48" s="1079"/>
      <c r="AE48" s="1187">
        <f>AG48</f>
        <v>0</v>
      </c>
      <c r="AF48" s="1079"/>
      <c r="AG48" s="1115">
        <v>0</v>
      </c>
      <c r="AH48" s="1115"/>
      <c r="AI48" s="1115"/>
      <c r="AJ48" s="1188" t="s">
        <v>2903</v>
      </c>
      <c r="AK48" s="1115" t="str">
        <f t="shared" si="45"/>
        <v>yes</v>
      </c>
      <c r="AL48" s="1115" t="str">
        <f t="shared" ref="AL48:AL50" si="48">IF(AND(AG48&gt;=5001,AG48&lt;=10000),"yes","no")</f>
        <v>no</v>
      </c>
      <c r="AM48" s="1115" t="str">
        <f t="shared" ref="AM48:AM50" si="49">IF(AG48&gt;=10001,"yes","no")</f>
        <v>no</v>
      </c>
      <c r="AN48" s="1115"/>
      <c r="AO48" s="1079"/>
      <c r="AP48" s="1188"/>
      <c r="AQ48" s="1079"/>
      <c r="AR48" s="1079"/>
      <c r="AS48" s="1079"/>
      <c r="AT48" s="1079"/>
      <c r="AU48" s="1079"/>
      <c r="AV48" s="1079"/>
      <c r="AW48" s="1079"/>
      <c r="AX48" s="1079"/>
      <c r="AY48" s="1079"/>
      <c r="AZ48" s="1079"/>
      <c r="BA48" s="1188"/>
      <c r="BB48" s="1188"/>
      <c r="BC48" s="1079"/>
      <c r="BD48" s="1079"/>
      <c r="BE48" s="1079"/>
      <c r="BF48" s="1079"/>
      <c r="BG48" s="1079"/>
      <c r="BH48" s="1188">
        <f t="shared" si="43"/>
        <v>0</v>
      </c>
      <c r="BI48" s="1079">
        <v>0</v>
      </c>
      <c r="BJ48" s="1079"/>
      <c r="BK48" s="1088">
        <v>0</v>
      </c>
      <c r="BL48" s="1088">
        <f t="shared" si="13"/>
        <v>0</v>
      </c>
      <c r="BM48" s="1088">
        <f t="shared" si="14"/>
        <v>0</v>
      </c>
      <c r="BN48" s="1189">
        <f t="shared" si="15"/>
        <v>0</v>
      </c>
      <c r="BO48" s="1153">
        <v>0</v>
      </c>
      <c r="BP48" s="1189"/>
      <c r="BQ48" s="1153">
        <v>0</v>
      </c>
      <c r="CF48" s="1190"/>
      <c r="CJ48" s="1093">
        <f t="shared" si="22"/>
        <v>0</v>
      </c>
      <c r="CM48" s="1191">
        <f>BM48</f>
        <v>0</v>
      </c>
      <c r="CN48" s="1127">
        <f>CL48-CM48</f>
        <v>0</v>
      </c>
      <c r="CO48" s="1098">
        <v>0</v>
      </c>
      <c r="CP48" s="1098">
        <f>CO48-BQ48</f>
        <v>0</v>
      </c>
      <c r="CQ48" s="1192" t="s">
        <v>2904</v>
      </c>
      <c r="CR48" s="1157"/>
      <c r="CS48" s="1157"/>
      <c r="CT48" s="1157"/>
      <c r="CU48" s="1158">
        <f t="shared" si="19"/>
        <v>0</v>
      </c>
      <c r="CV48" s="1158">
        <f t="shared" si="20"/>
        <v>0</v>
      </c>
      <c r="CW48" s="1159" t="s">
        <v>2904</v>
      </c>
      <c r="DA48" s="1066">
        <f t="shared" si="32"/>
        <v>0</v>
      </c>
      <c r="DB48" s="1066">
        <f t="shared" si="46"/>
        <v>0</v>
      </c>
      <c r="DC48" s="1190"/>
      <c r="DE48" s="1066"/>
      <c r="DF48" s="1066">
        <f t="shared" si="6"/>
        <v>0</v>
      </c>
      <c r="DG48" s="1160">
        <f t="shared" si="7"/>
        <v>0</v>
      </c>
      <c r="DH48" s="1066">
        <f>Q48</f>
        <v>5819</v>
      </c>
      <c r="DI48" s="1067">
        <f t="shared" si="31"/>
        <v>5819</v>
      </c>
      <c r="DJ48" s="1067">
        <f t="shared" si="8"/>
        <v>5819</v>
      </c>
      <c r="DL48" s="1066"/>
      <c r="DM48" s="1066">
        <f t="shared" si="47"/>
        <v>5819</v>
      </c>
      <c r="DP48" s="1067">
        <f t="shared" si="26"/>
        <v>5819</v>
      </c>
      <c r="DQ48" s="1066"/>
      <c r="DR48" s="1067">
        <f t="shared" si="0"/>
        <v>5819</v>
      </c>
      <c r="DS48" s="1066"/>
      <c r="DT48" s="973">
        <f t="shared" si="1"/>
        <v>5819</v>
      </c>
      <c r="DV48" s="251"/>
      <c r="DW48"/>
    </row>
    <row r="49" spans="1:163" x14ac:dyDescent="0.25">
      <c r="A49" s="1068">
        <v>1</v>
      </c>
      <c r="B49" s="480" t="s">
        <v>2905</v>
      </c>
      <c r="C49" s="480">
        <v>209697</v>
      </c>
      <c r="D49" s="480" t="s">
        <v>2906</v>
      </c>
      <c r="E49" s="480" t="s">
        <v>1876</v>
      </c>
      <c r="F49" s="480">
        <v>434798</v>
      </c>
      <c r="G49" s="480" t="s">
        <v>2907</v>
      </c>
      <c r="H49" s="480" t="s">
        <v>2908</v>
      </c>
      <c r="I49" s="1181">
        <v>43254</v>
      </c>
      <c r="J49" s="480">
        <v>0</v>
      </c>
      <c r="K49" s="1039">
        <f t="shared" ca="1" si="44"/>
        <v>7.3045859000684459</v>
      </c>
      <c r="L49" s="1039" t="s">
        <v>1885</v>
      </c>
      <c r="M49" s="1039"/>
      <c r="N49" s="480"/>
      <c r="O49" s="1069">
        <v>14761.25</v>
      </c>
      <c r="P49" s="1069"/>
      <c r="Q49" s="1070">
        <v>14761.25</v>
      </c>
      <c r="R49" s="1073"/>
      <c r="S49" s="963">
        <v>45085</v>
      </c>
      <c r="T49" s="1042">
        <v>33</v>
      </c>
      <c r="U49" s="963">
        <v>45382</v>
      </c>
      <c r="V49" s="1044">
        <v>192</v>
      </c>
      <c r="W49" s="1044">
        <f t="shared" si="3"/>
        <v>160</v>
      </c>
      <c r="X49" s="1045">
        <f t="shared" si="4"/>
        <v>0.83333333333333337</v>
      </c>
      <c r="Y49" s="1046">
        <v>1</v>
      </c>
      <c r="Z49" s="1045">
        <f t="shared" si="5"/>
        <v>0.83333333333333337</v>
      </c>
      <c r="AA49" s="1047">
        <f t="shared" si="23"/>
        <v>12301.041666666668</v>
      </c>
      <c r="AB49" s="1148" t="s">
        <v>2797</v>
      </c>
      <c r="AC49" s="1148" t="s">
        <v>2905</v>
      </c>
      <c r="AD49" s="1068"/>
      <c r="AE49" s="1072"/>
      <c r="AF49" s="1068"/>
      <c r="AG49" s="1073"/>
      <c r="AH49" s="1073">
        <v>13722.3</v>
      </c>
      <c r="AI49" s="1073"/>
      <c r="AJ49" s="1073"/>
      <c r="AK49" s="1073" t="str">
        <f t="shared" si="45"/>
        <v>yes</v>
      </c>
      <c r="AL49" s="1073" t="str">
        <f t="shared" si="48"/>
        <v>no</v>
      </c>
      <c r="AM49" s="1073" t="str">
        <f t="shared" si="49"/>
        <v>no</v>
      </c>
      <c r="AN49" s="1073"/>
      <c r="AO49" s="1068"/>
      <c r="AP49" s="1073"/>
      <c r="AQ49" s="1068"/>
      <c r="AR49" s="1068"/>
      <c r="AS49" s="1068"/>
      <c r="AT49" s="1068"/>
      <c r="AU49" s="1068"/>
      <c r="AV49" s="1068"/>
      <c r="AW49" s="1068"/>
      <c r="AX49" s="1068"/>
      <c r="AY49" s="1068"/>
      <c r="AZ49" s="1068"/>
      <c r="BA49" s="1073"/>
      <c r="BB49" s="1073"/>
      <c r="BC49" s="1068"/>
      <c r="BD49" s="1068"/>
      <c r="BE49" s="1068"/>
      <c r="BF49" s="1068"/>
      <c r="BG49" s="1068"/>
      <c r="BH49" s="1073"/>
      <c r="BI49" s="1068">
        <v>0</v>
      </c>
      <c r="BJ49" s="1068"/>
      <c r="BK49" s="1083">
        <v>0</v>
      </c>
      <c r="BL49" s="1083"/>
      <c r="BM49" s="1083"/>
      <c r="BN49" s="1092"/>
      <c r="BO49" s="1092"/>
      <c r="BP49" s="1092"/>
      <c r="BQ49" s="1092"/>
      <c r="CJ49" s="1093"/>
      <c r="CM49" s="1095"/>
      <c r="CN49" s="1127"/>
      <c r="CO49" s="1098"/>
      <c r="CP49" s="1098"/>
      <c r="CQ49" s="1168"/>
      <c r="CR49" s="1100"/>
      <c r="CS49" s="1100"/>
      <c r="CT49" s="1100"/>
      <c r="CU49" s="1101">
        <f t="shared" si="19"/>
        <v>0</v>
      </c>
      <c r="CV49" s="1124">
        <f t="shared" si="20"/>
        <v>0</v>
      </c>
      <c r="CW49" s="1103" t="s">
        <v>2909</v>
      </c>
      <c r="CZ49" s="1074">
        <v>18643.099999999999</v>
      </c>
      <c r="DA49" s="1104">
        <f t="shared" si="32"/>
        <v>18643.099999999999</v>
      </c>
      <c r="DB49" s="1067">
        <f t="shared" si="46"/>
        <v>18643.099999999999</v>
      </c>
      <c r="DC49" s="1074" t="s">
        <v>2910</v>
      </c>
      <c r="DF49" s="1067">
        <f t="shared" si="6"/>
        <v>18643.099999999999</v>
      </c>
      <c r="DG49" s="1105">
        <f t="shared" si="7"/>
        <v>0</v>
      </c>
      <c r="DH49" s="1067">
        <v>-4844</v>
      </c>
      <c r="DI49" s="1067">
        <f>DF49+(DH49)</f>
        <v>13799.099999999999</v>
      </c>
      <c r="DJ49" s="1067">
        <f t="shared" si="8"/>
        <v>-4844</v>
      </c>
      <c r="DM49" s="1066">
        <f t="shared" si="47"/>
        <v>13799.099999999999</v>
      </c>
      <c r="DP49" s="1067">
        <f t="shared" si="26"/>
        <v>13799.099999999999</v>
      </c>
      <c r="DR49" s="1067">
        <f t="shared" si="0"/>
        <v>13799.099999999999</v>
      </c>
      <c r="DT49" s="973">
        <f t="shared" si="1"/>
        <v>13799.099999999999</v>
      </c>
      <c r="DV49" s="251"/>
    </row>
    <row r="50" spans="1:163" s="1111" customFormat="1" x14ac:dyDescent="0.25">
      <c r="A50" s="1080">
        <v>1</v>
      </c>
      <c r="B50" s="1135" t="s">
        <v>2905</v>
      </c>
      <c r="C50" s="1135">
        <v>209697</v>
      </c>
      <c r="D50" s="1135" t="s">
        <v>2906</v>
      </c>
      <c r="E50" s="1135" t="s">
        <v>1876</v>
      </c>
      <c r="F50" s="1135">
        <v>426633</v>
      </c>
      <c r="G50" s="1135" t="s">
        <v>2911</v>
      </c>
      <c r="H50" s="1135" t="s">
        <v>115</v>
      </c>
      <c r="I50" s="1193">
        <v>42809</v>
      </c>
      <c r="J50" s="1135">
        <v>1</v>
      </c>
      <c r="K50" s="1147">
        <f t="shared" ca="1" si="44"/>
        <v>8.5229295003422312</v>
      </c>
      <c r="L50" s="1147" t="s">
        <v>1885</v>
      </c>
      <c r="M50" s="1147"/>
      <c r="N50" s="1135"/>
      <c r="O50" s="1148"/>
      <c r="P50" s="1148"/>
      <c r="Q50" s="1114">
        <v>5531</v>
      </c>
      <c r="R50" s="1115"/>
      <c r="S50" s="1146">
        <v>45017</v>
      </c>
      <c r="T50" s="1042">
        <v>1</v>
      </c>
      <c r="U50" s="1146">
        <v>45382</v>
      </c>
      <c r="V50" s="1044">
        <v>192</v>
      </c>
      <c r="W50" s="1044">
        <f t="shared" si="3"/>
        <v>192</v>
      </c>
      <c r="X50" s="1045">
        <f t="shared" si="4"/>
        <v>1</v>
      </c>
      <c r="Y50" s="1046">
        <v>1</v>
      </c>
      <c r="Z50" s="1045">
        <f t="shared" si="5"/>
        <v>1</v>
      </c>
      <c r="AA50" s="1047">
        <f>Q50*Z50</f>
        <v>5531</v>
      </c>
      <c r="AB50" s="1148" t="s">
        <v>2797</v>
      </c>
      <c r="AC50" s="1148" t="s">
        <v>2905</v>
      </c>
      <c r="AD50" s="1075"/>
      <c r="AE50" s="1115"/>
      <c r="AF50" s="1075"/>
      <c r="AG50" s="1115"/>
      <c r="AH50" s="1115"/>
      <c r="AI50" s="1115"/>
      <c r="AJ50" s="1116"/>
      <c r="AK50" s="1115" t="str">
        <f t="shared" si="45"/>
        <v>yes</v>
      </c>
      <c r="AL50" s="1115" t="str">
        <f t="shared" si="48"/>
        <v>no</v>
      </c>
      <c r="AM50" s="1115" t="str">
        <f t="shared" si="49"/>
        <v>no</v>
      </c>
      <c r="AN50" s="1115"/>
      <c r="AO50" s="1075"/>
      <c r="AP50" s="1116"/>
      <c r="AQ50" s="1075"/>
      <c r="AR50" s="1075"/>
      <c r="AS50" s="1075"/>
      <c r="AT50" s="1075"/>
      <c r="AU50" s="1075"/>
      <c r="AV50" s="1075"/>
      <c r="AW50" s="1075"/>
      <c r="AX50" s="1075"/>
      <c r="AY50" s="1075"/>
      <c r="AZ50" s="1075"/>
      <c r="BA50" s="1116"/>
      <c r="BB50" s="1116"/>
      <c r="BC50" s="1075"/>
      <c r="BD50" s="1075"/>
      <c r="BE50" s="1075"/>
      <c r="BF50" s="1075"/>
      <c r="BG50" s="1075"/>
      <c r="BH50" s="1116"/>
      <c r="BI50" s="1075">
        <v>0</v>
      </c>
      <c r="BJ50" s="1075"/>
      <c r="BK50" s="1084">
        <v>0</v>
      </c>
      <c r="BL50" s="1084"/>
      <c r="BM50" s="1084"/>
      <c r="BN50" s="1117"/>
      <c r="BO50" s="1153"/>
      <c r="BP50" s="1117"/>
      <c r="BQ50" s="1153"/>
      <c r="CF50" s="1118"/>
      <c r="CJ50" s="1093"/>
      <c r="CM50" s="1155"/>
      <c r="CN50" s="1127"/>
      <c r="CO50" s="1098"/>
      <c r="CP50" s="1098"/>
      <c r="CQ50" s="1122"/>
      <c r="CR50" s="1157"/>
      <c r="CS50" s="1157"/>
      <c r="CT50" s="1157"/>
      <c r="CU50" s="1158">
        <f t="shared" si="19"/>
        <v>0</v>
      </c>
      <c r="CV50" s="1158">
        <f t="shared" si="20"/>
        <v>0</v>
      </c>
      <c r="CW50" s="1159" t="s">
        <v>2912</v>
      </c>
      <c r="CZ50" s="1111">
        <v>24950.45</v>
      </c>
      <c r="DA50" s="1067">
        <f t="shared" si="32"/>
        <v>24950.45</v>
      </c>
      <c r="DB50" s="1067">
        <f t="shared" si="46"/>
        <v>24950.45</v>
      </c>
      <c r="DC50" s="1111" t="s">
        <v>2913</v>
      </c>
      <c r="DE50" s="1066"/>
      <c r="DF50" s="1067">
        <f t="shared" si="6"/>
        <v>24950.45</v>
      </c>
      <c r="DG50" s="1105">
        <f t="shared" si="7"/>
        <v>0</v>
      </c>
      <c r="DH50" s="1066">
        <v>-4843</v>
      </c>
      <c r="DI50" s="1066">
        <f>SUM(DF50)+DH50</f>
        <v>20107.45</v>
      </c>
      <c r="DJ50" s="1067">
        <f t="shared" si="8"/>
        <v>-4843</v>
      </c>
      <c r="DK50" s="1111" t="s">
        <v>75</v>
      </c>
      <c r="DL50" s="1067"/>
      <c r="DM50" s="1066">
        <f t="shared" si="47"/>
        <v>20107.45</v>
      </c>
      <c r="DP50" s="1067">
        <f t="shared" si="26"/>
        <v>20107.45</v>
      </c>
      <c r="DQ50" s="1066"/>
      <c r="DR50" s="1067">
        <f t="shared" si="0"/>
        <v>20107.45</v>
      </c>
      <c r="DS50" s="1066"/>
      <c r="DT50" s="973">
        <f t="shared" si="1"/>
        <v>20107.45</v>
      </c>
      <c r="DV50" s="251"/>
      <c r="DW50"/>
    </row>
    <row r="51" spans="1:163" s="1111" customFormat="1" x14ac:dyDescent="0.25">
      <c r="A51" s="1080">
        <v>1</v>
      </c>
      <c r="B51" s="1135" t="s">
        <v>2799</v>
      </c>
      <c r="C51" s="1135" t="s">
        <v>2824</v>
      </c>
      <c r="D51" s="1135" t="s">
        <v>2216</v>
      </c>
      <c r="E51" s="1135" t="s">
        <v>1606</v>
      </c>
      <c r="F51" s="1135">
        <v>445091</v>
      </c>
      <c r="G51" s="1135" t="s">
        <v>2215</v>
      </c>
      <c r="H51" s="1135" t="s">
        <v>167</v>
      </c>
      <c r="I51" s="1193">
        <v>40951</v>
      </c>
      <c r="J51" s="1135">
        <v>6</v>
      </c>
      <c r="K51" s="1147">
        <f t="shared" ca="1" si="44"/>
        <v>13.609856262833675</v>
      </c>
      <c r="L51" s="1147" t="s">
        <v>1885</v>
      </c>
      <c r="M51" s="1147" t="s">
        <v>37</v>
      </c>
      <c r="N51" s="1135"/>
      <c r="O51" s="1148" t="s">
        <v>2914</v>
      </c>
      <c r="P51" s="1148"/>
      <c r="Q51" s="1114">
        <v>4254</v>
      </c>
      <c r="R51" s="1115"/>
      <c r="S51" s="1146">
        <v>45017</v>
      </c>
      <c r="T51" s="1042">
        <v>1</v>
      </c>
      <c r="U51" s="1146">
        <v>45128</v>
      </c>
      <c r="V51" s="1044">
        <v>63</v>
      </c>
      <c r="W51" s="1044">
        <f t="shared" si="3"/>
        <v>63</v>
      </c>
      <c r="X51" s="1045">
        <f t="shared" si="4"/>
        <v>0.328125</v>
      </c>
      <c r="Y51" s="1046">
        <v>1</v>
      </c>
      <c r="Z51" s="1045">
        <f t="shared" si="5"/>
        <v>0.328125</v>
      </c>
      <c r="AA51" s="1047">
        <f>Q51*Z51</f>
        <v>1395.84375</v>
      </c>
      <c r="AB51" s="1069" t="s">
        <v>2797</v>
      </c>
      <c r="AC51" s="1069" t="s">
        <v>2797</v>
      </c>
      <c r="AD51" s="1075"/>
      <c r="AE51" s="1115">
        <v>4254</v>
      </c>
      <c r="AF51" s="1075"/>
      <c r="AG51" s="1115">
        <v>4254</v>
      </c>
      <c r="AH51" s="1115">
        <v>4254</v>
      </c>
      <c r="AI51" s="1115"/>
      <c r="AJ51" s="1116"/>
      <c r="AK51" s="1115" t="str">
        <f t="shared" si="45"/>
        <v>yes</v>
      </c>
      <c r="AL51" s="1115" t="str">
        <f>IF(AND(AG51&gt;=5001,AG51&lt;=10000),"yes","no")</f>
        <v>no</v>
      </c>
      <c r="AM51" s="1115" t="str">
        <f>IF(AG51&gt;=10001,"yes","no")</f>
        <v>no</v>
      </c>
      <c r="AN51" s="1115"/>
      <c r="AO51" s="1075"/>
      <c r="AP51" s="1116"/>
      <c r="AQ51" s="1075"/>
      <c r="AR51" s="1075"/>
      <c r="AS51" s="1075"/>
      <c r="AT51" s="1075"/>
      <c r="AU51" s="1075"/>
      <c r="AV51" s="1075"/>
      <c r="AW51" s="1075"/>
      <c r="AX51" s="1075"/>
      <c r="AY51" s="1075"/>
      <c r="AZ51" s="1075"/>
      <c r="BA51" s="1116"/>
      <c r="BB51" s="1116"/>
      <c r="BC51" s="1075"/>
      <c r="BD51" s="1075"/>
      <c r="BE51" s="1075"/>
      <c r="BF51" s="1075"/>
      <c r="BG51" s="1075"/>
      <c r="BH51" s="1116"/>
      <c r="BI51" s="1075">
        <v>0</v>
      </c>
      <c r="BJ51" s="1075"/>
      <c r="BK51" s="1084">
        <v>4254</v>
      </c>
      <c r="BL51" s="1084"/>
      <c r="BM51" s="1084"/>
      <c r="BN51" s="1117"/>
      <c r="BO51" s="1153">
        <v>0</v>
      </c>
      <c r="BP51" s="1092"/>
      <c r="BQ51" s="1153">
        <v>0</v>
      </c>
      <c r="BX51" s="1111" t="s">
        <v>2208</v>
      </c>
      <c r="BY51" s="1194">
        <v>44911</v>
      </c>
      <c r="CE51" s="1195">
        <v>4254</v>
      </c>
      <c r="CF51" s="1118" t="s">
        <v>2915</v>
      </c>
      <c r="CJ51" s="1093">
        <f t="shared" si="22"/>
        <v>4254</v>
      </c>
      <c r="CM51" s="1155">
        <f>BM51</f>
        <v>0</v>
      </c>
      <c r="CN51" s="1127">
        <f>CL51-CM51</f>
        <v>0</v>
      </c>
      <c r="CO51" s="1098">
        <v>4254</v>
      </c>
      <c r="CP51" s="1098">
        <f>CO51-BQ51</f>
        <v>4254</v>
      </c>
      <c r="CQ51" s="1168" t="s">
        <v>2471</v>
      </c>
      <c r="CR51" s="1157"/>
      <c r="CS51" s="1157"/>
      <c r="CT51" s="1157"/>
      <c r="CU51" s="1158">
        <f t="shared" si="19"/>
        <v>4254</v>
      </c>
      <c r="CV51" s="1158">
        <f t="shared" si="20"/>
        <v>0</v>
      </c>
      <c r="CW51" s="1159"/>
      <c r="DA51" s="1067">
        <f t="shared" si="32"/>
        <v>4254</v>
      </c>
      <c r="DB51" s="1067">
        <f t="shared" si="46"/>
        <v>0</v>
      </c>
      <c r="DE51" s="1066"/>
      <c r="DF51" s="1067">
        <f t="shared" si="6"/>
        <v>4254</v>
      </c>
      <c r="DG51" s="1105">
        <f t="shared" si="7"/>
        <v>0</v>
      </c>
      <c r="DH51" s="1066">
        <v>-2836</v>
      </c>
      <c r="DI51" s="1066">
        <f>SUM(DF51)+DH51</f>
        <v>1418</v>
      </c>
      <c r="DJ51" s="1067">
        <f t="shared" si="8"/>
        <v>-2836</v>
      </c>
      <c r="DL51" s="1066"/>
      <c r="DM51" s="1066">
        <f t="shared" si="47"/>
        <v>1418</v>
      </c>
      <c r="DP51" s="1067">
        <f t="shared" si="26"/>
        <v>1418</v>
      </c>
      <c r="DQ51" s="1066"/>
      <c r="DR51" s="1067">
        <f t="shared" si="0"/>
        <v>1418</v>
      </c>
      <c r="DS51" s="1066"/>
      <c r="DT51" s="973">
        <f t="shared" si="1"/>
        <v>1418</v>
      </c>
      <c r="DV51" s="251"/>
      <c r="DW51"/>
    </row>
    <row r="52" spans="1:163" s="1111" customFormat="1" x14ac:dyDescent="0.25">
      <c r="A52" s="1080">
        <v>1</v>
      </c>
      <c r="B52" s="1135" t="s">
        <v>2871</v>
      </c>
      <c r="C52" s="1135" t="s">
        <v>2824</v>
      </c>
      <c r="D52" s="1135" t="s">
        <v>2916</v>
      </c>
      <c r="E52" s="1135" t="s">
        <v>1876</v>
      </c>
      <c r="F52" s="1135">
        <v>440814</v>
      </c>
      <c r="G52" s="1135" t="s">
        <v>2527</v>
      </c>
      <c r="H52" s="1135" t="s">
        <v>2528</v>
      </c>
      <c r="I52" s="1193">
        <v>43310</v>
      </c>
      <c r="J52" s="1135">
        <v>0</v>
      </c>
      <c r="K52" s="1147">
        <f t="shared" ca="1" si="44"/>
        <v>7.1512662559890483</v>
      </c>
      <c r="L52" s="1147" t="s">
        <v>1885</v>
      </c>
      <c r="M52" s="1147"/>
      <c r="N52" s="1135" t="s">
        <v>2184</v>
      </c>
      <c r="O52" s="1148"/>
      <c r="P52" s="1148" t="s">
        <v>2917</v>
      </c>
      <c r="Q52" s="1114">
        <f>AH52</f>
        <v>5819.25</v>
      </c>
      <c r="R52" s="1115"/>
      <c r="S52" s="1146">
        <v>45170</v>
      </c>
      <c r="T52" s="1042">
        <v>65</v>
      </c>
      <c r="U52" s="1146">
        <v>45382</v>
      </c>
      <c r="V52" s="1044">
        <v>192</v>
      </c>
      <c r="W52" s="1044">
        <f t="shared" si="3"/>
        <v>128</v>
      </c>
      <c r="X52" s="1045">
        <f t="shared" si="4"/>
        <v>0.66666666666666663</v>
      </c>
      <c r="Y52" s="1046">
        <v>1</v>
      </c>
      <c r="Z52" s="1045">
        <f t="shared" si="5"/>
        <v>0.66666666666666663</v>
      </c>
      <c r="AA52" s="1047">
        <f t="shared" si="23"/>
        <v>0</v>
      </c>
      <c r="AB52" s="1149" t="s">
        <v>2797</v>
      </c>
      <c r="AC52" s="1149" t="s">
        <v>2797</v>
      </c>
      <c r="AD52" s="1077"/>
      <c r="AE52" s="1115"/>
      <c r="AF52" s="1077"/>
      <c r="AG52" s="1115"/>
      <c r="AH52" s="1114">
        <v>5819.25</v>
      </c>
      <c r="AI52" s="1115"/>
      <c r="AJ52" s="1150"/>
      <c r="AK52" s="1115" t="str">
        <f t="shared" si="45"/>
        <v>yes</v>
      </c>
      <c r="AL52" s="1115" t="str">
        <f t="shared" ref="AL52" si="50">IF(AND(AG52&gt;=5001,AG52&lt;=10000),"yes","no")</f>
        <v>no</v>
      </c>
      <c r="AM52" s="1115" t="str">
        <f t="shared" ref="AM52" si="51">IF(AG52&gt;=10001,"yes","no")</f>
        <v>no</v>
      </c>
      <c r="AN52" s="1115"/>
      <c r="AO52" s="1077"/>
      <c r="AP52" s="1150"/>
      <c r="AQ52" s="1077"/>
      <c r="AR52" s="1077"/>
      <c r="AS52" s="1077"/>
      <c r="AT52" s="1077"/>
      <c r="AU52" s="1077"/>
      <c r="AV52" s="1077"/>
      <c r="AW52" s="1077"/>
      <c r="AX52" s="1077"/>
      <c r="AY52" s="1077"/>
      <c r="AZ52" s="1077"/>
      <c r="BA52" s="1150"/>
      <c r="BB52" s="1150"/>
      <c r="BC52" s="1077"/>
      <c r="BD52" s="1077"/>
      <c r="BE52" s="1077"/>
      <c r="BF52" s="1077"/>
      <c r="BG52" s="1077"/>
      <c r="BH52" s="1150"/>
      <c r="BI52" s="1077">
        <v>0</v>
      </c>
      <c r="BJ52" s="1077"/>
      <c r="BK52" s="1086">
        <v>0</v>
      </c>
      <c r="BL52" s="1086"/>
      <c r="BM52" s="1086"/>
      <c r="BN52" s="1152"/>
      <c r="BO52" s="1153"/>
      <c r="BP52" s="1142"/>
      <c r="BQ52" s="1153"/>
      <c r="BY52" s="1194"/>
      <c r="CE52" s="1195"/>
      <c r="CF52" s="1154"/>
      <c r="CJ52" s="1093"/>
      <c r="CM52" s="1155"/>
      <c r="CN52" s="1127"/>
      <c r="CO52" s="1098"/>
      <c r="CP52" s="1098"/>
      <c r="CQ52" s="1172"/>
      <c r="CR52" s="1157" t="s">
        <v>2918</v>
      </c>
      <c r="CS52" s="1196">
        <f>AH52</f>
        <v>5819.25</v>
      </c>
      <c r="CT52" s="1196"/>
      <c r="CU52" s="1158">
        <f t="shared" si="19"/>
        <v>5819.25</v>
      </c>
      <c r="CV52" s="1158">
        <f t="shared" si="20"/>
        <v>5819.25</v>
      </c>
      <c r="CW52" s="1159" t="s">
        <v>2919</v>
      </c>
      <c r="CZ52" s="1111">
        <v>-1909.44</v>
      </c>
      <c r="DA52" s="1067">
        <f t="shared" si="32"/>
        <v>3909.81</v>
      </c>
      <c r="DB52" s="1067">
        <f t="shared" si="46"/>
        <v>-1909.44</v>
      </c>
      <c r="DC52" s="1180" t="s">
        <v>2920</v>
      </c>
      <c r="DE52" s="1066"/>
      <c r="DF52" s="1067">
        <f t="shared" si="6"/>
        <v>3909.81</v>
      </c>
      <c r="DG52" s="1105">
        <f t="shared" si="7"/>
        <v>0</v>
      </c>
      <c r="DH52" s="1066">
        <v>979</v>
      </c>
      <c r="DI52" s="1066">
        <f t="shared" ref="DI52:DI62" si="52">DF52+DH52</f>
        <v>4888.8099999999995</v>
      </c>
      <c r="DJ52" s="1067">
        <f t="shared" si="8"/>
        <v>978.99999999999955</v>
      </c>
      <c r="DL52" s="1066"/>
      <c r="DM52" s="1066">
        <f t="shared" si="47"/>
        <v>4888.8099999999995</v>
      </c>
      <c r="DP52" s="1067">
        <f t="shared" si="26"/>
        <v>4888.8099999999995</v>
      </c>
      <c r="DQ52" s="1066"/>
      <c r="DR52" s="1067">
        <f t="shared" si="0"/>
        <v>4888.8099999999995</v>
      </c>
      <c r="DS52" s="1066"/>
      <c r="DT52" s="973">
        <f t="shared" si="1"/>
        <v>4888.8099999999995</v>
      </c>
      <c r="DV52" s="251"/>
      <c r="DW52"/>
    </row>
    <row r="53" spans="1:163" s="1111" customFormat="1" x14ac:dyDescent="0.25">
      <c r="A53" s="1080">
        <v>1</v>
      </c>
      <c r="B53" s="1135" t="s">
        <v>2871</v>
      </c>
      <c r="C53" s="1135" t="s">
        <v>2824</v>
      </c>
      <c r="D53" s="1135" t="s">
        <v>2916</v>
      </c>
      <c r="E53" s="1135" t="s">
        <v>1876</v>
      </c>
      <c r="F53" s="1135">
        <v>445708</v>
      </c>
      <c r="G53" s="1135" t="s">
        <v>624</v>
      </c>
      <c r="H53" s="1135" t="s">
        <v>745</v>
      </c>
      <c r="I53" s="1193">
        <v>43612</v>
      </c>
      <c r="J53" s="1135">
        <v>0</v>
      </c>
      <c r="K53" s="1147">
        <f t="shared" ca="1" si="44"/>
        <v>6.324435318275154</v>
      </c>
      <c r="L53" s="1147" t="s">
        <v>1885</v>
      </c>
      <c r="M53" s="1147"/>
      <c r="N53" s="1135" t="s">
        <v>2921</v>
      </c>
      <c r="O53" s="1148">
        <v>10071</v>
      </c>
      <c r="P53" s="1148"/>
      <c r="Q53" s="1114">
        <v>10071</v>
      </c>
      <c r="R53" s="1115"/>
      <c r="S53" s="1146">
        <v>45170</v>
      </c>
      <c r="T53" s="1042">
        <v>65</v>
      </c>
      <c r="U53" s="1146">
        <v>45382</v>
      </c>
      <c r="V53" s="1044">
        <v>192</v>
      </c>
      <c r="W53" s="1044">
        <f t="shared" si="3"/>
        <v>128</v>
      </c>
      <c r="X53" s="1045">
        <f t="shared" si="4"/>
        <v>0.66666666666666663</v>
      </c>
      <c r="Y53" s="1046">
        <v>1</v>
      </c>
      <c r="Z53" s="1045">
        <f t="shared" si="5"/>
        <v>0.66666666666666663</v>
      </c>
      <c r="AA53" s="1047">
        <f t="shared" si="23"/>
        <v>6714</v>
      </c>
      <c r="AB53" s="1113" t="s">
        <v>2797</v>
      </c>
      <c r="AC53" s="1113" t="s">
        <v>2797</v>
      </c>
      <c r="AD53" s="1075"/>
      <c r="AE53" s="1115"/>
      <c r="AF53" s="1075"/>
      <c r="AG53" s="1115"/>
      <c r="AH53" s="1114">
        <v>10074</v>
      </c>
      <c r="AI53" s="1115"/>
      <c r="AJ53" s="1116"/>
      <c r="AK53" s="1115" t="s">
        <v>2804</v>
      </c>
      <c r="AL53" s="1115" t="s">
        <v>2804</v>
      </c>
      <c r="AM53" s="1115" t="s">
        <v>2805</v>
      </c>
      <c r="AN53" s="1115"/>
      <c r="AO53" s="1075"/>
      <c r="AP53" s="1116"/>
      <c r="AQ53" s="1075"/>
      <c r="AR53" s="1075"/>
      <c r="AS53" s="1075"/>
      <c r="AT53" s="1075"/>
      <c r="AU53" s="1075"/>
      <c r="AV53" s="1075"/>
      <c r="AW53" s="1075"/>
      <c r="AX53" s="1075"/>
      <c r="AY53" s="1075"/>
      <c r="AZ53" s="1075"/>
      <c r="BA53" s="1116"/>
      <c r="BB53" s="1116"/>
      <c r="BC53" s="1075"/>
      <c r="BD53" s="1075"/>
      <c r="BE53" s="1075"/>
      <c r="BF53" s="1075"/>
      <c r="BG53" s="1075"/>
      <c r="BH53" s="1116"/>
      <c r="BI53" s="1075">
        <v>0</v>
      </c>
      <c r="BJ53" s="1075"/>
      <c r="BK53" s="1084">
        <v>0</v>
      </c>
      <c r="BL53" s="1084"/>
      <c r="BM53" s="1084"/>
      <c r="BN53" s="1117"/>
      <c r="BO53" s="1153"/>
      <c r="BP53" s="1092"/>
      <c r="BQ53" s="1153"/>
      <c r="BY53" s="1194"/>
      <c r="CE53" s="1195"/>
      <c r="CF53" s="1118"/>
      <c r="CJ53" s="1093"/>
      <c r="CM53" s="1155"/>
      <c r="CN53" s="1127"/>
      <c r="CO53" s="1098">
        <v>10074</v>
      </c>
      <c r="CP53" s="1098"/>
      <c r="CQ53" s="1168"/>
      <c r="CR53" s="1157" t="s">
        <v>2918</v>
      </c>
      <c r="CS53" s="1196"/>
      <c r="CT53" s="1196"/>
      <c r="CU53" s="1158"/>
      <c r="CV53" s="1158">
        <f t="shared" si="20"/>
        <v>-10074</v>
      </c>
      <c r="CW53" s="1159"/>
      <c r="CZ53" s="1111">
        <v>8239.91</v>
      </c>
      <c r="DA53" s="1067">
        <f t="shared" si="32"/>
        <v>8239.91</v>
      </c>
      <c r="DB53" s="1067">
        <f t="shared" si="46"/>
        <v>8239.91</v>
      </c>
      <c r="DC53" s="1111" t="s">
        <v>2922</v>
      </c>
      <c r="DE53" s="1066"/>
      <c r="DF53" s="1067">
        <f t="shared" si="6"/>
        <v>8239.91</v>
      </c>
      <c r="DG53" s="1105">
        <f t="shared" si="7"/>
        <v>0</v>
      </c>
      <c r="DH53" s="1066">
        <v>-1470.91</v>
      </c>
      <c r="DI53" s="1066">
        <f t="shared" si="52"/>
        <v>6769</v>
      </c>
      <c r="DJ53" s="1067">
        <f t="shared" si="8"/>
        <v>-1470.9099999999999</v>
      </c>
      <c r="DL53" s="1066"/>
      <c r="DM53" s="1066">
        <f t="shared" si="47"/>
        <v>6769</v>
      </c>
      <c r="DP53" s="1067">
        <f t="shared" si="26"/>
        <v>6769</v>
      </c>
      <c r="DQ53" s="1066"/>
      <c r="DR53" s="1067">
        <f t="shared" si="0"/>
        <v>6769</v>
      </c>
      <c r="DS53" s="1066"/>
      <c r="DT53" s="973">
        <f t="shared" si="1"/>
        <v>6769</v>
      </c>
      <c r="DV53" s="251"/>
      <c r="DW53"/>
    </row>
    <row r="54" spans="1:163" x14ac:dyDescent="0.25">
      <c r="A54" s="1068">
        <v>1</v>
      </c>
      <c r="B54" s="480" t="s">
        <v>2787</v>
      </c>
      <c r="C54" s="480" t="s">
        <v>2923</v>
      </c>
      <c r="D54" s="480" t="s">
        <v>2164</v>
      </c>
      <c r="E54" s="480" t="s">
        <v>1876</v>
      </c>
      <c r="F54" s="480">
        <v>376446</v>
      </c>
      <c r="G54" s="480" t="s">
        <v>2166</v>
      </c>
      <c r="H54" s="480" t="s">
        <v>2165</v>
      </c>
      <c r="I54" s="1181">
        <v>39496</v>
      </c>
      <c r="J54" s="480">
        <v>10</v>
      </c>
      <c r="K54" s="1039">
        <f t="shared" ca="1" si="44"/>
        <v>17.593429158110883</v>
      </c>
      <c r="L54" s="1039" t="s">
        <v>1886</v>
      </c>
      <c r="M54" s="1039" t="s">
        <v>43</v>
      </c>
      <c r="N54" s="480" t="s">
        <v>2184</v>
      </c>
      <c r="O54" s="1069"/>
      <c r="P54" s="1069"/>
      <c r="Q54" s="1070">
        <v>8183.0999999999985</v>
      </c>
      <c r="R54" s="1073">
        <v>0</v>
      </c>
      <c r="S54" s="963">
        <v>45049</v>
      </c>
      <c r="T54" s="1042">
        <v>13</v>
      </c>
      <c r="U54" s="963">
        <v>45382</v>
      </c>
      <c r="V54" s="1044">
        <v>192</v>
      </c>
      <c r="W54" s="1044">
        <f t="shared" si="3"/>
        <v>180</v>
      </c>
      <c r="X54" s="1045">
        <f t="shared" si="4"/>
        <v>0.9375</v>
      </c>
      <c r="Y54" s="1046">
        <v>1</v>
      </c>
      <c r="Z54" s="1045">
        <f t="shared" si="5"/>
        <v>0.9375</v>
      </c>
      <c r="AA54" s="1047">
        <f t="shared" si="23"/>
        <v>0</v>
      </c>
      <c r="AB54" s="1069" t="s">
        <v>2797</v>
      </c>
      <c r="AC54" s="1069" t="s">
        <v>2797</v>
      </c>
      <c r="AD54" s="1068"/>
      <c r="AE54" s="1072">
        <f>AG54</f>
        <v>8183.1</v>
      </c>
      <c r="AF54" s="1068"/>
      <c r="AG54" s="1073">
        <v>8183.1</v>
      </c>
      <c r="AH54" s="1073">
        <v>8183.1</v>
      </c>
      <c r="AI54" s="1073"/>
      <c r="AJ54" s="1073"/>
      <c r="AK54" s="1073" t="str">
        <f t="shared" si="45"/>
        <v>no</v>
      </c>
      <c r="AL54" s="1073" t="str">
        <f>IF(AND(AG54&gt;=5001,AG54&lt;=10000),"yes","no")</f>
        <v>yes</v>
      </c>
      <c r="AM54" s="1073" t="str">
        <f>IF(AG54&gt;=10001,"yes","no")</f>
        <v>no</v>
      </c>
      <c r="AN54" s="1073"/>
      <c r="AO54" s="1068"/>
      <c r="AP54" s="1073"/>
      <c r="AQ54" s="1068"/>
      <c r="AR54" s="1068"/>
      <c r="AS54" s="1068"/>
      <c r="AT54" s="1068"/>
      <c r="AU54" s="1068"/>
      <c r="AV54" s="1068"/>
      <c r="AW54" s="1068"/>
      <c r="AX54" s="1068"/>
      <c r="AY54" s="1068"/>
      <c r="AZ54" s="1068"/>
      <c r="BA54" s="1073"/>
      <c r="BB54" s="1073"/>
      <c r="BC54" s="1068"/>
      <c r="BD54" s="1068"/>
      <c r="BE54" s="1068"/>
      <c r="BF54" s="1068"/>
      <c r="BG54" s="1068"/>
      <c r="BH54" s="1073">
        <f t="shared" si="43"/>
        <v>0</v>
      </c>
      <c r="BI54" s="1068">
        <v>0</v>
      </c>
      <c r="BJ54" s="1068"/>
      <c r="BK54" s="1083">
        <v>8183.1</v>
      </c>
      <c r="BL54" s="1083">
        <f t="shared" si="13"/>
        <v>0</v>
      </c>
      <c r="BM54" s="1083">
        <f t="shared" si="14"/>
        <v>0</v>
      </c>
      <c r="BN54" s="1092">
        <f t="shared" si="15"/>
        <v>8183.1</v>
      </c>
      <c r="BO54" s="1092">
        <v>0</v>
      </c>
      <c r="BP54" s="1092"/>
      <c r="BQ54" s="1092">
        <v>8183.1</v>
      </c>
      <c r="CJ54" s="1093">
        <f t="shared" si="22"/>
        <v>8183.1</v>
      </c>
      <c r="CM54" s="1095">
        <f>BM54</f>
        <v>0</v>
      </c>
      <c r="CN54" s="1127">
        <f>CL54-CM54</f>
        <v>0</v>
      </c>
      <c r="CO54" s="1098">
        <v>8183.1</v>
      </c>
      <c r="CP54" s="1098">
        <f>CO54-BQ54</f>
        <v>0</v>
      </c>
      <c r="CQ54" s="1168"/>
      <c r="CR54" s="1100"/>
      <c r="CS54" s="1100"/>
      <c r="CT54" s="1100"/>
      <c r="CU54" s="1101">
        <f t="shared" si="19"/>
        <v>8183.1</v>
      </c>
      <c r="CV54" s="1124">
        <f t="shared" si="20"/>
        <v>0</v>
      </c>
      <c r="CW54" s="1103"/>
      <c r="DA54" s="1104">
        <f t="shared" si="32"/>
        <v>8183.1</v>
      </c>
      <c r="DB54" s="1067">
        <f t="shared" si="46"/>
        <v>0</v>
      </c>
      <c r="DF54" s="1067">
        <f t="shared" si="6"/>
        <v>8183.1</v>
      </c>
      <c r="DG54" s="1105">
        <f t="shared" si="7"/>
        <v>0</v>
      </c>
      <c r="DH54" s="1067">
        <v>-469</v>
      </c>
      <c r="DI54" s="1067">
        <f t="shared" si="52"/>
        <v>7714.1</v>
      </c>
      <c r="DJ54" s="1067">
        <f t="shared" si="8"/>
        <v>-469</v>
      </c>
      <c r="DM54" s="1066">
        <f t="shared" si="47"/>
        <v>7714.1</v>
      </c>
      <c r="DP54" s="1067">
        <f t="shared" si="26"/>
        <v>7714.1</v>
      </c>
      <c r="DR54" s="1067">
        <f t="shared" si="0"/>
        <v>7714.1</v>
      </c>
      <c r="DT54" s="973">
        <f t="shared" si="1"/>
        <v>7714.1</v>
      </c>
      <c r="DV54" s="251"/>
    </row>
    <row r="55" spans="1:163" s="1130" customFormat="1" x14ac:dyDescent="0.25">
      <c r="A55" s="1068">
        <v>1</v>
      </c>
      <c r="B55" s="480" t="s">
        <v>2221</v>
      </c>
      <c r="C55" s="480">
        <v>211166</v>
      </c>
      <c r="D55" s="480" t="s">
        <v>2924</v>
      </c>
      <c r="E55" s="480" t="s">
        <v>1876</v>
      </c>
      <c r="F55" s="480">
        <v>396996</v>
      </c>
      <c r="G55" s="480" t="s">
        <v>2925</v>
      </c>
      <c r="H55" s="480" t="s">
        <v>2926</v>
      </c>
      <c r="I55" s="1181">
        <v>40719</v>
      </c>
      <c r="J55" s="480">
        <v>4</v>
      </c>
      <c r="K55" s="1039">
        <f t="shared" ca="1" si="44"/>
        <v>14.245037645448322</v>
      </c>
      <c r="L55" s="1039" t="s">
        <v>1886</v>
      </c>
      <c r="M55" s="1039" t="s">
        <v>43</v>
      </c>
      <c r="N55" s="480" t="s">
        <v>91</v>
      </c>
      <c r="O55" s="1069" t="s">
        <v>2927</v>
      </c>
      <c r="P55" s="1069" t="s">
        <v>2928</v>
      </c>
      <c r="Q55" s="1073">
        <f>9079</f>
        <v>9079</v>
      </c>
      <c r="R55" s="1073">
        <v>5300</v>
      </c>
      <c r="S55" s="963">
        <v>45017</v>
      </c>
      <c r="T55" s="1042">
        <v>1</v>
      </c>
      <c r="U55" s="963">
        <v>45382</v>
      </c>
      <c r="V55" s="1044">
        <v>192</v>
      </c>
      <c r="W55" s="1044">
        <f t="shared" si="3"/>
        <v>192</v>
      </c>
      <c r="X55" s="1045">
        <f t="shared" si="4"/>
        <v>1</v>
      </c>
      <c r="Y55" s="1046">
        <v>1</v>
      </c>
      <c r="Z55" s="1045">
        <f t="shared" si="5"/>
        <v>1</v>
      </c>
      <c r="AA55" s="1047">
        <f>Q55*Z55</f>
        <v>9079</v>
      </c>
      <c r="AB55" s="1069" t="s">
        <v>2797</v>
      </c>
      <c r="AC55" s="1069" t="s">
        <v>2797</v>
      </c>
      <c r="AD55" s="1068"/>
      <c r="AE55" s="1072">
        <f>AG55</f>
        <v>14379</v>
      </c>
      <c r="AF55" s="1068"/>
      <c r="AG55" s="1073">
        <f>9079+5300</f>
        <v>14379</v>
      </c>
      <c r="AH55" s="1073">
        <v>9079</v>
      </c>
      <c r="AI55" s="1073">
        <v>5300</v>
      </c>
      <c r="AJ55" s="1073" t="s">
        <v>2929</v>
      </c>
      <c r="AK55" s="1073" t="str">
        <f t="shared" si="45"/>
        <v>no</v>
      </c>
      <c r="AL55" s="1073" t="str">
        <f>IF(AND(AG55&gt;=5001,AG55&lt;=10000),"yes","no")</f>
        <v>no</v>
      </c>
      <c r="AM55" s="1073" t="str">
        <f>IF(AG55&gt;=10001,"yes","no")</f>
        <v>yes</v>
      </c>
      <c r="AN55" s="1073"/>
      <c r="AO55" s="1068"/>
      <c r="AP55" s="1073"/>
      <c r="AQ55" s="1068"/>
      <c r="AR55" s="1068"/>
      <c r="AS55" s="1068"/>
      <c r="AT55" s="1068"/>
      <c r="AU55" s="1068"/>
      <c r="AV55" s="1068"/>
      <c r="AW55" s="1068"/>
      <c r="AX55" s="1068"/>
      <c r="AY55" s="1068"/>
      <c r="AZ55" s="1068"/>
      <c r="BA55" s="1073">
        <v>9079</v>
      </c>
      <c r="BB55" s="1073"/>
      <c r="BC55" s="1068"/>
      <c r="BD55" s="1068"/>
      <c r="BE55" s="1068"/>
      <c r="BF55" s="1068"/>
      <c r="BG55" s="1068"/>
      <c r="BH55" s="1073">
        <f t="shared" si="43"/>
        <v>0</v>
      </c>
      <c r="BI55" s="1068">
        <v>0</v>
      </c>
      <c r="BJ55" s="1068"/>
      <c r="BK55" s="1083">
        <v>14379</v>
      </c>
      <c r="BL55" s="1083">
        <f t="shared" si="13"/>
        <v>0</v>
      </c>
      <c r="BM55" s="1083">
        <f t="shared" si="14"/>
        <v>9079</v>
      </c>
      <c r="BN55" s="1092">
        <f t="shared" si="15"/>
        <v>5300</v>
      </c>
      <c r="BO55" s="1092">
        <v>0</v>
      </c>
      <c r="BP55" s="1092"/>
      <c r="BQ55" s="1092">
        <v>5300</v>
      </c>
      <c r="BR55" s="1074"/>
      <c r="BS55" s="1074"/>
      <c r="BT55" s="1074"/>
      <c r="BU55" s="1074"/>
      <c r="BV55" s="1074"/>
      <c r="BW55" s="1074"/>
      <c r="BX55" s="1074"/>
      <c r="BY55" s="1074"/>
      <c r="BZ55" s="1074"/>
      <c r="CA55" s="1074"/>
      <c r="CB55" s="1074"/>
      <c r="CC55" s="1074"/>
      <c r="CD55" s="1074"/>
      <c r="CE55" s="1074"/>
      <c r="CF55" s="1074"/>
      <c r="CG55" s="1074"/>
      <c r="CH55" s="1074"/>
      <c r="CI55" s="1074"/>
      <c r="CJ55" s="1093">
        <f t="shared" si="22"/>
        <v>4670</v>
      </c>
      <c r="CK55" s="1074"/>
      <c r="CL55" s="1197">
        <v>9709</v>
      </c>
      <c r="CM55" s="1198">
        <f>BM55</f>
        <v>9079</v>
      </c>
      <c r="CN55" s="1127">
        <f>CL55-CM55</f>
        <v>630</v>
      </c>
      <c r="CO55" s="1098">
        <v>4670</v>
      </c>
      <c r="CP55" s="1098">
        <f>CO55-BQ55</f>
        <v>-630</v>
      </c>
      <c r="CQ55" s="1167" t="s">
        <v>2930</v>
      </c>
      <c r="CR55" s="1100"/>
      <c r="CS55" s="1100"/>
      <c r="CT55" s="1100"/>
      <c r="CU55" s="1101">
        <f t="shared" si="19"/>
        <v>4670</v>
      </c>
      <c r="CV55" s="1124">
        <f t="shared" si="20"/>
        <v>0</v>
      </c>
      <c r="CW55" s="1129"/>
      <c r="CY55" s="1074"/>
      <c r="CZ55" s="1111">
        <v>9709</v>
      </c>
      <c r="DA55" s="1104">
        <f t="shared" si="32"/>
        <v>14379</v>
      </c>
      <c r="DB55" s="1067">
        <f t="shared" si="46"/>
        <v>9709</v>
      </c>
      <c r="DC55" s="1111" t="s">
        <v>2931</v>
      </c>
      <c r="DD55" s="1074"/>
      <c r="DE55" s="1067"/>
      <c r="DF55" s="1067">
        <f t="shared" si="6"/>
        <v>14379</v>
      </c>
      <c r="DG55" s="1105">
        <f t="shared" si="7"/>
        <v>0</v>
      </c>
      <c r="DH55" s="1067">
        <v>-4670</v>
      </c>
      <c r="DI55" s="1067">
        <f t="shared" si="52"/>
        <v>9709</v>
      </c>
      <c r="DJ55" s="1067">
        <f t="shared" si="8"/>
        <v>-4670</v>
      </c>
      <c r="DK55" s="1074"/>
      <c r="DL55" s="1067"/>
      <c r="DM55" s="1066">
        <f t="shared" si="47"/>
        <v>9709</v>
      </c>
      <c r="DN55" s="1074"/>
      <c r="DO55" s="1074"/>
      <c r="DP55" s="1067">
        <f t="shared" si="26"/>
        <v>9709</v>
      </c>
      <c r="DQ55" s="1067">
        <v>3026.34</v>
      </c>
      <c r="DR55" s="1067">
        <f t="shared" si="0"/>
        <v>12735.34</v>
      </c>
      <c r="DS55" s="1067"/>
      <c r="DT55" s="973">
        <f t="shared" si="1"/>
        <v>12735.34</v>
      </c>
      <c r="DU55" s="1074"/>
      <c r="DV55" s="251"/>
      <c r="DW55"/>
      <c r="DX55" s="1074"/>
      <c r="DY55" s="1074"/>
      <c r="DZ55" s="1074"/>
      <c r="EA55" s="1074"/>
      <c r="EB55" s="1074"/>
      <c r="EC55" s="1074"/>
      <c r="ED55" s="1074"/>
      <c r="EE55" s="1074"/>
      <c r="EF55" s="1074"/>
      <c r="EG55" s="1074"/>
      <c r="EH55" s="1074"/>
      <c r="EI55" s="1074"/>
      <c r="EJ55" s="1074"/>
      <c r="EK55" s="1074"/>
      <c r="EL55" s="1074"/>
      <c r="EM55" s="1074"/>
      <c r="EN55" s="1074"/>
      <c r="EO55" s="1074"/>
      <c r="EP55" s="1074"/>
      <c r="EQ55" s="1074"/>
      <c r="ER55" s="1074"/>
      <c r="ES55" s="1074"/>
      <c r="ET55" s="1074"/>
      <c r="EU55" s="1074"/>
      <c r="EV55" s="1074"/>
      <c r="EW55" s="1074"/>
      <c r="EX55" s="1074"/>
      <c r="EY55" s="1074"/>
      <c r="EZ55" s="1074"/>
      <c r="FA55" s="1074"/>
      <c r="FB55" s="1074"/>
      <c r="FC55" s="1074"/>
      <c r="FD55" s="1074"/>
      <c r="FE55" s="1074"/>
      <c r="FF55" s="1074"/>
      <c r="FG55" s="1074"/>
    </row>
    <row r="56" spans="1:163" x14ac:dyDescent="0.25">
      <c r="A56" s="1068">
        <v>1</v>
      </c>
      <c r="B56" s="480" t="s">
        <v>2787</v>
      </c>
      <c r="C56" s="480" t="s">
        <v>2824</v>
      </c>
      <c r="D56" s="480" t="s">
        <v>2932</v>
      </c>
      <c r="E56" s="1199" t="s">
        <v>1876</v>
      </c>
      <c r="F56" s="1200">
        <v>379534</v>
      </c>
      <c r="G56" s="1201" t="s">
        <v>2933</v>
      </c>
      <c r="H56" s="1202" t="s">
        <v>2934</v>
      </c>
      <c r="I56" s="1038">
        <v>40165</v>
      </c>
      <c r="J56" s="480">
        <v>8</v>
      </c>
      <c r="K56" s="1039">
        <f t="shared" ca="1" si="44"/>
        <v>15.761806981519507</v>
      </c>
      <c r="L56" s="1039" t="s">
        <v>1886</v>
      </c>
      <c r="M56" s="1039" t="s">
        <v>43</v>
      </c>
      <c r="N56" s="480" t="s">
        <v>2348</v>
      </c>
      <c r="O56" s="1203"/>
      <c r="P56" s="1069" t="s">
        <v>2935</v>
      </c>
      <c r="Q56" s="1070">
        <v>5819</v>
      </c>
      <c r="R56" s="1073">
        <v>0</v>
      </c>
      <c r="S56" s="963">
        <v>45089</v>
      </c>
      <c r="T56" s="1042">
        <v>35</v>
      </c>
      <c r="U56" s="963">
        <v>45382</v>
      </c>
      <c r="V56" s="1044">
        <v>192</v>
      </c>
      <c r="W56" s="1044">
        <f t="shared" si="3"/>
        <v>158</v>
      </c>
      <c r="X56" s="1045">
        <f t="shared" si="4"/>
        <v>0.82291666666666663</v>
      </c>
      <c r="Y56" s="1046">
        <v>1</v>
      </c>
      <c r="Z56" s="1045">
        <f t="shared" si="5"/>
        <v>0.82291666666666663</v>
      </c>
      <c r="AA56" s="1047">
        <f t="shared" si="23"/>
        <v>0</v>
      </c>
      <c r="AB56" s="1069" t="s">
        <v>2797</v>
      </c>
      <c r="AC56" s="1069" t="s">
        <v>2797</v>
      </c>
      <c r="AD56" s="1068"/>
      <c r="AE56" s="1072">
        <f>Q56/3*2</f>
        <v>3879.3333333333335</v>
      </c>
      <c r="AF56" s="1068"/>
      <c r="AG56" s="1073">
        <v>3879.3333333333335</v>
      </c>
      <c r="AH56" s="1204">
        <v>3879.3333333333335</v>
      </c>
      <c r="AI56" s="1073"/>
      <c r="AJ56" s="1205"/>
      <c r="AK56" s="1073" t="str">
        <f t="shared" si="45"/>
        <v>yes</v>
      </c>
      <c r="AL56" s="1073" t="str">
        <f t="shared" ref="AL56:AL63" si="53">IF(AND(AG56&gt;=5001,AG56&lt;=10000),"yes","no")</f>
        <v>no</v>
      </c>
      <c r="AM56" s="1073" t="str">
        <f>IF(AG56&gt;=10001,"yes","no")</f>
        <v>no</v>
      </c>
      <c r="AN56" s="1073"/>
      <c r="AO56" s="1068"/>
      <c r="AP56" s="1073"/>
      <c r="AQ56" s="1068"/>
      <c r="AR56" s="1068"/>
      <c r="AS56" s="1068"/>
      <c r="AT56" s="1068"/>
      <c r="AU56" s="1068"/>
      <c r="AV56" s="1068"/>
      <c r="AW56" s="1068"/>
      <c r="AX56" s="1068"/>
      <c r="AY56" s="1068"/>
      <c r="AZ56" s="1068"/>
      <c r="BA56" s="1073"/>
      <c r="BB56" s="1206"/>
      <c r="BC56" s="1068"/>
      <c r="BD56" s="1068"/>
      <c r="BE56" s="1068"/>
      <c r="BF56" s="1068"/>
      <c r="BG56" s="1068"/>
      <c r="BH56" s="1073"/>
      <c r="BI56" s="1068">
        <v>0</v>
      </c>
      <c r="BJ56" s="1068"/>
      <c r="BK56" s="1083">
        <v>3879.3333333333335</v>
      </c>
      <c r="BL56" s="1083"/>
      <c r="BM56" s="1083"/>
      <c r="BN56" s="1092"/>
      <c r="BO56" s="1092"/>
      <c r="BP56" s="1092"/>
      <c r="BQ56" s="1092"/>
      <c r="CE56" s="1207">
        <v>3879.3333333333335</v>
      </c>
      <c r="CJ56" s="1093"/>
      <c r="CL56" s="1207"/>
      <c r="CM56" s="1198"/>
      <c r="CN56" s="1127"/>
      <c r="CO56" s="1098">
        <v>3879.3333333333335</v>
      </c>
      <c r="CP56" s="1098">
        <f t="shared" ref="CP56:CP62" si="54">CO56-BQ56</f>
        <v>3879.3333333333335</v>
      </c>
      <c r="CQ56" s="1168" t="s">
        <v>2471</v>
      </c>
      <c r="CR56" s="1100"/>
      <c r="CS56" s="1100"/>
      <c r="CT56" s="1100"/>
      <c r="CU56" s="1101">
        <f t="shared" si="19"/>
        <v>3879.3333333333335</v>
      </c>
      <c r="CV56" s="1124">
        <f t="shared" si="20"/>
        <v>0</v>
      </c>
      <c r="CW56" s="1103"/>
      <c r="CZ56" s="1111">
        <v>1939.92</v>
      </c>
      <c r="DA56" s="1104">
        <f t="shared" si="32"/>
        <v>5819.253333333334</v>
      </c>
      <c r="DB56" s="1067">
        <f t="shared" si="46"/>
        <v>1939.9200000000005</v>
      </c>
      <c r="DC56" s="1111" t="s">
        <v>2936</v>
      </c>
      <c r="DF56" s="1067">
        <f t="shared" si="6"/>
        <v>5819.253333333334</v>
      </c>
      <c r="DG56" s="1105">
        <f t="shared" si="7"/>
        <v>0</v>
      </c>
      <c r="DH56" s="1067">
        <v>-1000</v>
      </c>
      <c r="DI56" s="1067">
        <f t="shared" si="52"/>
        <v>4819.253333333334</v>
      </c>
      <c r="DJ56" s="1067">
        <f t="shared" si="8"/>
        <v>-1000</v>
      </c>
      <c r="DM56" s="1066">
        <f t="shared" si="47"/>
        <v>4819.253333333334</v>
      </c>
      <c r="DP56" s="1067">
        <f t="shared" si="26"/>
        <v>4819.253333333334</v>
      </c>
      <c r="DR56" s="1067">
        <f t="shared" si="0"/>
        <v>4819.253333333334</v>
      </c>
      <c r="DT56" s="973">
        <f t="shared" si="1"/>
        <v>4819.253333333334</v>
      </c>
      <c r="DV56" s="251"/>
    </row>
    <row r="57" spans="1:163" x14ac:dyDescent="0.25">
      <c r="A57" s="1068">
        <v>1</v>
      </c>
      <c r="B57" s="480" t="s">
        <v>2787</v>
      </c>
      <c r="C57" s="480">
        <v>211039</v>
      </c>
      <c r="D57" s="480" t="s">
        <v>2937</v>
      </c>
      <c r="E57" s="1199" t="s">
        <v>1606</v>
      </c>
      <c r="F57" s="1200">
        <v>425507</v>
      </c>
      <c r="G57" s="1201" t="s">
        <v>2938</v>
      </c>
      <c r="H57" s="1202" t="s">
        <v>1459</v>
      </c>
      <c r="I57" s="1038">
        <v>42185</v>
      </c>
      <c r="J57" s="480">
        <v>3</v>
      </c>
      <c r="K57" s="1039">
        <f t="shared" ca="1" si="44"/>
        <v>10.231348391512663</v>
      </c>
      <c r="L57" s="1039" t="s">
        <v>1885</v>
      </c>
      <c r="M57" s="1039" t="s">
        <v>43</v>
      </c>
      <c r="N57" s="480" t="s">
        <v>2939</v>
      </c>
      <c r="O57" s="1203"/>
      <c r="P57" s="1203"/>
      <c r="Q57" s="1070">
        <v>4400.9399999999996</v>
      </c>
      <c r="R57" s="1073">
        <v>0</v>
      </c>
      <c r="S57" s="963">
        <v>45017</v>
      </c>
      <c r="T57" s="1042">
        <v>1</v>
      </c>
      <c r="U57" s="963">
        <v>45382</v>
      </c>
      <c r="V57" s="1044">
        <v>192</v>
      </c>
      <c r="W57" s="1044">
        <f t="shared" si="3"/>
        <v>192</v>
      </c>
      <c r="X57" s="1045">
        <f t="shared" si="4"/>
        <v>1</v>
      </c>
      <c r="Y57" s="1046">
        <v>1</v>
      </c>
      <c r="Z57" s="1045">
        <f t="shared" si="5"/>
        <v>1</v>
      </c>
      <c r="AA57" s="1047">
        <f t="shared" si="23"/>
        <v>0</v>
      </c>
      <c r="AB57" s="1069" t="s">
        <v>2797</v>
      </c>
      <c r="AC57" s="1069" t="s">
        <v>2797</v>
      </c>
      <c r="AD57" s="1068"/>
      <c r="AE57" s="1072">
        <f t="shared" ref="AE57:AE62" si="55">AG57</f>
        <v>4400.9399999999996</v>
      </c>
      <c r="AF57" s="1068"/>
      <c r="AG57" s="1073">
        <v>4400.9399999999996</v>
      </c>
      <c r="AH57" s="1073">
        <v>4400.9399999999996</v>
      </c>
      <c r="AI57" s="1073"/>
      <c r="AJ57" s="1073"/>
      <c r="AK57" s="1073" t="str">
        <f t="shared" si="45"/>
        <v>yes</v>
      </c>
      <c r="AL57" s="1073" t="str">
        <f t="shared" si="53"/>
        <v>no</v>
      </c>
      <c r="AM57" s="1073" t="str">
        <f t="shared" ref="AM57:AM82" si="56">IF(AG57&gt;=10001,"yes","no")</f>
        <v>no</v>
      </c>
      <c r="AN57" s="1073"/>
      <c r="AO57" s="1068" t="s">
        <v>2940</v>
      </c>
      <c r="AP57" s="1073">
        <v>3757</v>
      </c>
      <c r="AQ57" s="1068"/>
      <c r="AR57" s="1068"/>
      <c r="AS57" s="1068"/>
      <c r="AT57" s="1068"/>
      <c r="AU57" s="1068"/>
      <c r="AV57" s="1068"/>
      <c r="AW57" s="1068"/>
      <c r="AX57" s="1068"/>
      <c r="AY57" s="1068"/>
      <c r="AZ57" s="1068"/>
      <c r="BA57" s="1073"/>
      <c r="BB57" s="1206"/>
      <c r="BC57" s="1068"/>
      <c r="BD57" s="1068"/>
      <c r="BE57" s="1068"/>
      <c r="BF57" s="1068"/>
      <c r="BG57" s="1068"/>
      <c r="BH57" s="1073">
        <f t="shared" si="43"/>
        <v>3757</v>
      </c>
      <c r="BI57" s="1068">
        <v>0</v>
      </c>
      <c r="BJ57" s="1068"/>
      <c r="BK57" s="1083">
        <v>4400.9399999999996</v>
      </c>
      <c r="BL57" s="1083">
        <f t="shared" si="13"/>
        <v>0</v>
      </c>
      <c r="BM57" s="1083">
        <f t="shared" si="14"/>
        <v>0</v>
      </c>
      <c r="BN57" s="1092">
        <f t="shared" si="15"/>
        <v>4400.9399999999996</v>
      </c>
      <c r="BO57" s="1092">
        <v>0</v>
      </c>
      <c r="BP57" s="1092"/>
      <c r="BQ57" s="1092">
        <v>4400.9399999999996</v>
      </c>
      <c r="CJ57" s="1093">
        <f t="shared" si="22"/>
        <v>4400.9399999999996</v>
      </c>
      <c r="CL57" s="1207"/>
      <c r="CM57" s="1198">
        <f t="shared" ref="CM57:CM62" si="57">BM57</f>
        <v>0</v>
      </c>
      <c r="CN57" s="1127">
        <f t="shared" ref="CN57:CN62" si="58">CL57-CM57</f>
        <v>0</v>
      </c>
      <c r="CO57" s="1098">
        <v>4400.9399999999996</v>
      </c>
      <c r="CP57" s="1098">
        <f t="shared" si="54"/>
        <v>0</v>
      </c>
      <c r="CQ57" s="1168"/>
      <c r="CR57" s="1100"/>
      <c r="CS57" s="1100"/>
      <c r="CT57" s="1100"/>
      <c r="CU57" s="1101">
        <f t="shared" si="19"/>
        <v>4400.9399999999996</v>
      </c>
      <c r="CV57" s="1124">
        <f t="shared" si="20"/>
        <v>0</v>
      </c>
      <c r="CW57" s="1103"/>
      <c r="DA57" s="1104">
        <f t="shared" si="32"/>
        <v>4400.9399999999996</v>
      </c>
      <c r="DB57" s="1067">
        <f t="shared" si="46"/>
        <v>0</v>
      </c>
      <c r="DF57" s="1067">
        <f t="shared" si="6"/>
        <v>4400.9399999999996</v>
      </c>
      <c r="DG57" s="1105">
        <f t="shared" si="7"/>
        <v>0</v>
      </c>
      <c r="DH57" s="1067">
        <v>3782.07</v>
      </c>
      <c r="DI57" s="1067">
        <f t="shared" si="52"/>
        <v>8183.01</v>
      </c>
      <c r="DJ57" s="1067">
        <f t="shared" si="8"/>
        <v>3782.0700000000006</v>
      </c>
      <c r="DM57" s="1066">
        <f t="shared" si="47"/>
        <v>8183.01</v>
      </c>
      <c r="DP57" s="1067">
        <f t="shared" si="26"/>
        <v>8183.01</v>
      </c>
      <c r="DR57" s="1067">
        <f t="shared" si="0"/>
        <v>8183.01</v>
      </c>
      <c r="DT57" s="973">
        <f t="shared" si="1"/>
        <v>8183.01</v>
      </c>
      <c r="DV57" s="251"/>
    </row>
    <row r="58" spans="1:163" x14ac:dyDescent="0.25">
      <c r="A58" s="1068">
        <v>1</v>
      </c>
      <c r="B58" s="480" t="s">
        <v>2787</v>
      </c>
      <c r="C58" s="480">
        <v>211188</v>
      </c>
      <c r="D58" s="1208" t="s">
        <v>2168</v>
      </c>
      <c r="E58" s="1068" t="s">
        <v>1606</v>
      </c>
      <c r="F58" s="1209">
        <v>451043</v>
      </c>
      <c r="G58" s="1208" t="s">
        <v>2170</v>
      </c>
      <c r="H58" s="1208" t="s">
        <v>2169</v>
      </c>
      <c r="I58" s="1210">
        <v>41556</v>
      </c>
      <c r="J58" s="1211">
        <v>4</v>
      </c>
      <c r="K58" s="1039">
        <f t="shared" ca="1" si="44"/>
        <v>11.953456536618754</v>
      </c>
      <c r="L58" s="1039" t="s">
        <v>1885</v>
      </c>
      <c r="M58" s="1039" t="s">
        <v>1495</v>
      </c>
      <c r="N58" s="480" t="s">
        <v>2171</v>
      </c>
      <c r="O58" s="1069" t="s">
        <v>2941</v>
      </c>
      <c r="P58" s="1069" t="s">
        <v>2942</v>
      </c>
      <c r="Q58" s="1070">
        <v>5120</v>
      </c>
      <c r="R58" s="1073">
        <v>2200</v>
      </c>
      <c r="S58" s="963">
        <v>45017</v>
      </c>
      <c r="T58" s="1042">
        <v>1</v>
      </c>
      <c r="U58" s="963">
        <v>45282</v>
      </c>
      <c r="V58" s="1044">
        <v>134</v>
      </c>
      <c r="W58" s="1044">
        <f t="shared" si="3"/>
        <v>134</v>
      </c>
      <c r="X58" s="1045">
        <f t="shared" si="4"/>
        <v>0.69791666666666663</v>
      </c>
      <c r="Y58" s="1046">
        <v>1</v>
      </c>
      <c r="Z58" s="1045">
        <f t="shared" si="5"/>
        <v>0.69791666666666663</v>
      </c>
      <c r="AA58" s="1047">
        <f>Q58*Z58</f>
        <v>3573.333333333333</v>
      </c>
      <c r="AB58" s="1069" t="s">
        <v>2797</v>
      </c>
      <c r="AC58" s="1069" t="s">
        <v>2797</v>
      </c>
      <c r="AD58" s="1068"/>
      <c r="AE58" s="1072">
        <f t="shared" si="55"/>
        <v>7320</v>
      </c>
      <c r="AF58" s="1068"/>
      <c r="AG58" s="1073">
        <f>5120+2200</f>
        <v>7320</v>
      </c>
      <c r="AH58" s="1204">
        <v>5120</v>
      </c>
      <c r="AI58" s="1073">
        <v>2200</v>
      </c>
      <c r="AJ58" s="1205" t="s">
        <v>2943</v>
      </c>
      <c r="AK58" s="1073" t="str">
        <f t="shared" si="45"/>
        <v>no</v>
      </c>
      <c r="AL58" s="1073" t="str">
        <f t="shared" si="53"/>
        <v>yes</v>
      </c>
      <c r="AM58" s="1073" t="str">
        <f t="shared" si="56"/>
        <v>no</v>
      </c>
      <c r="AN58" s="1073"/>
      <c r="AO58" s="1068" t="s">
        <v>2944</v>
      </c>
      <c r="AP58" s="1083">
        <v>5120</v>
      </c>
      <c r="AQ58" s="1068"/>
      <c r="AR58" s="1068"/>
      <c r="AS58" s="1068"/>
      <c r="AT58" s="1068"/>
      <c r="AU58" s="1068"/>
      <c r="AV58" s="1068"/>
      <c r="AW58" s="1068"/>
      <c r="AX58" s="1068"/>
      <c r="AY58" s="1068"/>
      <c r="AZ58" s="1068"/>
      <c r="BA58" s="1073"/>
      <c r="BB58" s="1206"/>
      <c r="BC58" s="1068"/>
      <c r="BD58" s="1068"/>
      <c r="BE58" s="1068"/>
      <c r="BF58" s="1068"/>
      <c r="BG58" s="1068"/>
      <c r="BH58" s="1073">
        <f t="shared" si="43"/>
        <v>5120</v>
      </c>
      <c r="BI58" s="1068">
        <v>0</v>
      </c>
      <c r="BJ58" s="1068"/>
      <c r="BK58" s="1083">
        <v>7320</v>
      </c>
      <c r="BL58" s="1083">
        <f t="shared" si="13"/>
        <v>0</v>
      </c>
      <c r="BM58" s="1083">
        <f t="shared" si="14"/>
        <v>0</v>
      </c>
      <c r="BN58" s="1092">
        <f t="shared" si="15"/>
        <v>7320</v>
      </c>
      <c r="BO58" s="1092">
        <v>0</v>
      </c>
      <c r="BP58" s="1092"/>
      <c r="BQ58" s="1092">
        <v>7320</v>
      </c>
      <c r="CJ58" s="1093">
        <f t="shared" si="22"/>
        <v>7320</v>
      </c>
      <c r="CL58" s="1207"/>
      <c r="CM58" s="1198">
        <f t="shared" si="57"/>
        <v>0</v>
      </c>
      <c r="CN58" s="1127">
        <f t="shared" si="58"/>
        <v>0</v>
      </c>
      <c r="CO58" s="1098">
        <v>7320</v>
      </c>
      <c r="CP58" s="1098">
        <f t="shared" si="54"/>
        <v>0</v>
      </c>
      <c r="CQ58" s="1168"/>
      <c r="CR58" s="1100"/>
      <c r="CS58" s="1100"/>
      <c r="CT58" s="1100"/>
      <c r="CU58" s="1101">
        <f t="shared" si="19"/>
        <v>7320</v>
      </c>
      <c r="CV58" s="1124">
        <f t="shared" si="20"/>
        <v>0</v>
      </c>
      <c r="CW58" s="1103"/>
      <c r="DA58" s="1104">
        <f t="shared" si="32"/>
        <v>7320</v>
      </c>
      <c r="DB58" s="1067">
        <f t="shared" si="46"/>
        <v>0</v>
      </c>
      <c r="DF58" s="1067">
        <f t="shared" si="6"/>
        <v>7320</v>
      </c>
      <c r="DG58" s="1105">
        <f t="shared" si="7"/>
        <v>0</v>
      </c>
      <c r="DI58" s="1067">
        <f t="shared" si="52"/>
        <v>7320</v>
      </c>
      <c r="DJ58" s="1067">
        <f t="shared" si="8"/>
        <v>0</v>
      </c>
      <c r="DM58" s="1066">
        <f t="shared" si="47"/>
        <v>7320</v>
      </c>
      <c r="DP58" s="1067">
        <f t="shared" si="26"/>
        <v>7320</v>
      </c>
      <c r="DQ58" s="1067">
        <v>-1546</v>
      </c>
      <c r="DR58" s="1067">
        <f t="shared" si="0"/>
        <v>5774</v>
      </c>
      <c r="DT58" s="973">
        <f t="shared" si="1"/>
        <v>5774</v>
      </c>
      <c r="DV58" s="251"/>
    </row>
    <row r="59" spans="1:163" x14ac:dyDescent="0.25">
      <c r="A59" s="1068">
        <v>1</v>
      </c>
      <c r="B59" s="480" t="s">
        <v>2787</v>
      </c>
      <c r="C59" s="480">
        <v>211188</v>
      </c>
      <c r="D59" s="1208" t="s">
        <v>2168</v>
      </c>
      <c r="E59" s="1068" t="s">
        <v>1606</v>
      </c>
      <c r="F59" s="1209">
        <v>448469</v>
      </c>
      <c r="G59" s="1208" t="s">
        <v>2945</v>
      </c>
      <c r="H59" s="1208" t="s">
        <v>2946</v>
      </c>
      <c r="I59" s="1210">
        <v>42591</v>
      </c>
      <c r="J59" s="1211">
        <v>2</v>
      </c>
      <c r="K59" s="1039">
        <f t="shared" ca="1" si="44"/>
        <v>9.1197809719370291</v>
      </c>
      <c r="L59" s="1039" t="s">
        <v>1885</v>
      </c>
      <c r="M59" s="1039" t="s">
        <v>56</v>
      </c>
      <c r="N59" s="480" t="s">
        <v>2947</v>
      </c>
      <c r="O59" s="480" t="s">
        <v>2947</v>
      </c>
      <c r="P59" s="1069" t="s">
        <v>2948</v>
      </c>
      <c r="Q59" s="1212">
        <v>5819</v>
      </c>
      <c r="R59" s="1073">
        <f>Q59*2.5</f>
        <v>14547.5</v>
      </c>
      <c r="S59" s="963">
        <v>45017</v>
      </c>
      <c r="T59" s="1042">
        <v>1</v>
      </c>
      <c r="U59" s="963">
        <v>45382</v>
      </c>
      <c r="V59" s="1044">
        <v>192</v>
      </c>
      <c r="W59" s="1044">
        <f t="shared" si="3"/>
        <v>192</v>
      </c>
      <c r="X59" s="1045">
        <f t="shared" si="4"/>
        <v>1</v>
      </c>
      <c r="Y59" s="1046">
        <v>1</v>
      </c>
      <c r="Z59" s="1045">
        <f t="shared" si="5"/>
        <v>1</v>
      </c>
      <c r="AA59" s="1047">
        <f>Q59*Z59</f>
        <v>5819</v>
      </c>
      <c r="AB59" s="1069" t="s">
        <v>2797</v>
      </c>
      <c r="AC59" s="1069" t="s">
        <v>2797</v>
      </c>
      <c r="AD59" s="1068"/>
      <c r="AE59" s="1072">
        <f t="shared" si="55"/>
        <v>5819</v>
      </c>
      <c r="AF59" s="1068"/>
      <c r="AG59" s="1073">
        <v>5819</v>
      </c>
      <c r="AH59" s="1204">
        <v>5819</v>
      </c>
      <c r="AI59" s="1073"/>
      <c r="AJ59" s="1205" t="s">
        <v>2949</v>
      </c>
      <c r="AK59" s="1073" t="str">
        <f t="shared" si="45"/>
        <v>no</v>
      </c>
      <c r="AL59" s="1073" t="str">
        <f t="shared" si="53"/>
        <v>yes</v>
      </c>
      <c r="AM59" s="1073" t="str">
        <f t="shared" si="56"/>
        <v>no</v>
      </c>
      <c r="AN59" s="1073"/>
      <c r="AO59" s="1068"/>
      <c r="AP59" s="1073"/>
      <c r="AQ59" s="1068"/>
      <c r="AR59" s="1068"/>
      <c r="AS59" s="1068"/>
      <c r="AT59" s="1068"/>
      <c r="AU59" s="1068"/>
      <c r="AV59" s="1068"/>
      <c r="AW59" s="1068"/>
      <c r="AX59" s="1068"/>
      <c r="AY59" s="1068"/>
      <c r="AZ59" s="1068"/>
      <c r="BA59" s="1073"/>
      <c r="BB59" s="1206"/>
      <c r="BC59" s="1068"/>
      <c r="BD59" s="1068"/>
      <c r="BE59" s="1068"/>
      <c r="BF59" s="1068"/>
      <c r="BG59" s="1068"/>
      <c r="BH59" s="1073">
        <f t="shared" si="43"/>
        <v>0</v>
      </c>
      <c r="BI59" s="1068">
        <v>0</v>
      </c>
      <c r="BJ59" s="1068"/>
      <c r="BK59" s="1083">
        <v>5819</v>
      </c>
      <c r="BL59" s="1083">
        <f t="shared" si="13"/>
        <v>0</v>
      </c>
      <c r="BM59" s="1083">
        <f t="shared" si="14"/>
        <v>0</v>
      </c>
      <c r="BN59" s="1092">
        <f t="shared" si="15"/>
        <v>5819</v>
      </c>
      <c r="BO59" s="1092">
        <v>0</v>
      </c>
      <c r="BP59" s="1092"/>
      <c r="BQ59" s="1092">
        <v>5819</v>
      </c>
      <c r="CJ59" s="1093">
        <f t="shared" si="22"/>
        <v>5819</v>
      </c>
      <c r="CL59" s="1207"/>
      <c r="CM59" s="1198">
        <f t="shared" si="57"/>
        <v>0</v>
      </c>
      <c r="CN59" s="1127">
        <f t="shared" si="58"/>
        <v>0</v>
      </c>
      <c r="CO59" s="1098">
        <v>5819</v>
      </c>
      <c r="CP59" s="1098">
        <f t="shared" si="54"/>
        <v>0</v>
      </c>
      <c r="CQ59" s="1168"/>
      <c r="CR59" s="1100"/>
      <c r="CS59" s="1100"/>
      <c r="CT59" s="1100"/>
      <c r="CU59" s="1124">
        <f t="shared" si="19"/>
        <v>5819</v>
      </c>
      <c r="CV59" s="1124">
        <f t="shared" si="20"/>
        <v>0</v>
      </c>
      <c r="CW59" s="1103"/>
      <c r="DA59" s="1067">
        <f t="shared" si="32"/>
        <v>5819</v>
      </c>
      <c r="DB59" s="1067">
        <f t="shared" si="46"/>
        <v>0</v>
      </c>
      <c r="DC59" s="1074" t="s">
        <v>2950</v>
      </c>
      <c r="DE59" s="1067">
        <v>1941</v>
      </c>
      <c r="DF59" s="1067">
        <f t="shared" si="6"/>
        <v>7760</v>
      </c>
      <c r="DG59" s="1105">
        <f t="shared" si="7"/>
        <v>1941</v>
      </c>
      <c r="DI59" s="1067">
        <f t="shared" si="52"/>
        <v>7760</v>
      </c>
      <c r="DJ59" s="1067">
        <f t="shared" si="8"/>
        <v>0</v>
      </c>
      <c r="DM59" s="1066">
        <f t="shared" si="47"/>
        <v>7760</v>
      </c>
      <c r="DP59" s="1067">
        <f t="shared" si="26"/>
        <v>7760</v>
      </c>
      <c r="DR59" s="1067">
        <f t="shared" si="0"/>
        <v>7760</v>
      </c>
      <c r="DT59" s="973">
        <f t="shared" si="1"/>
        <v>7760</v>
      </c>
      <c r="DV59" s="251"/>
    </row>
    <row r="60" spans="1:163" s="1130" customFormat="1" x14ac:dyDescent="0.25">
      <c r="A60" s="1068">
        <v>0</v>
      </c>
      <c r="B60" s="480" t="s">
        <v>2799</v>
      </c>
      <c r="C60" s="480">
        <v>202989</v>
      </c>
      <c r="D60" s="480" t="s">
        <v>2951</v>
      </c>
      <c r="E60" s="480" t="s">
        <v>1606</v>
      </c>
      <c r="F60" s="480">
        <v>434223</v>
      </c>
      <c r="G60" s="480" t="s">
        <v>2952</v>
      </c>
      <c r="H60" s="480" t="s">
        <v>2591</v>
      </c>
      <c r="I60" s="1181">
        <v>41898</v>
      </c>
      <c r="J60" s="480">
        <v>2</v>
      </c>
      <c r="K60" s="1039">
        <f t="shared" ca="1" si="44"/>
        <v>11.017111567419576</v>
      </c>
      <c r="L60" s="1039" t="s">
        <v>1885</v>
      </c>
      <c r="M60" s="1039" t="s">
        <v>56</v>
      </c>
      <c r="N60" s="480" t="s">
        <v>2153</v>
      </c>
      <c r="O60" s="1069">
        <v>5819.25</v>
      </c>
      <c r="P60" s="1069" t="s">
        <v>2953</v>
      </c>
      <c r="Q60" s="1073">
        <v>5819.25</v>
      </c>
      <c r="R60" s="1073">
        <v>3289</v>
      </c>
      <c r="S60" s="963"/>
      <c r="T60" s="1042" t="e">
        <v>#N/A</v>
      </c>
      <c r="U60" s="963">
        <v>44809</v>
      </c>
      <c r="V60" s="1044" t="e">
        <v>#N/A</v>
      </c>
      <c r="W60" s="1044" t="e">
        <f t="shared" si="3"/>
        <v>#N/A</v>
      </c>
      <c r="X60" s="1045" t="e">
        <f t="shared" si="4"/>
        <v>#N/A</v>
      </c>
      <c r="Y60" s="1046">
        <v>1</v>
      </c>
      <c r="Z60" s="1045">
        <v>0</v>
      </c>
      <c r="AA60" s="1047">
        <f>Q60*Z60</f>
        <v>0</v>
      </c>
      <c r="AB60" s="1069" t="s">
        <v>2797</v>
      </c>
      <c r="AC60" s="1069" t="s">
        <v>2797</v>
      </c>
      <c r="AD60" s="1068" t="s">
        <v>2954</v>
      </c>
      <c r="AE60" s="1072">
        <f t="shared" si="55"/>
        <v>3289</v>
      </c>
      <c r="AF60" s="1068"/>
      <c r="AG60" s="1073">
        <v>3289</v>
      </c>
      <c r="AH60" s="1204"/>
      <c r="AI60" s="1073">
        <v>3289</v>
      </c>
      <c r="AJ60" s="1205" t="s">
        <v>2955</v>
      </c>
      <c r="AK60" s="1073" t="str">
        <f t="shared" si="45"/>
        <v>yes</v>
      </c>
      <c r="AL60" s="1073" t="str">
        <f t="shared" si="53"/>
        <v>no</v>
      </c>
      <c r="AM60" s="1073" t="str">
        <f t="shared" si="56"/>
        <v>no</v>
      </c>
      <c r="AN60" s="1073"/>
      <c r="AO60" s="1068" t="s">
        <v>2956</v>
      </c>
      <c r="AP60" s="1073">
        <v>3289</v>
      </c>
      <c r="AQ60" s="1068"/>
      <c r="AR60" s="1068"/>
      <c r="AS60" s="1068"/>
      <c r="AT60" s="1068"/>
      <c r="AU60" s="1068"/>
      <c r="AV60" s="1068"/>
      <c r="AW60" s="1068"/>
      <c r="AX60" s="1068"/>
      <c r="AY60" s="1068"/>
      <c r="AZ60" s="1068"/>
      <c r="BA60" s="1073"/>
      <c r="BB60" s="1073">
        <v>3289</v>
      </c>
      <c r="BC60" s="1068">
        <v>3611625965</v>
      </c>
      <c r="BD60" s="1068"/>
      <c r="BE60" s="1074"/>
      <c r="BF60" s="1068"/>
      <c r="BG60" s="1068"/>
      <c r="BH60" s="1073">
        <f t="shared" si="43"/>
        <v>3289</v>
      </c>
      <c r="BI60" s="1068">
        <v>0</v>
      </c>
      <c r="BJ60" s="1068"/>
      <c r="BK60" s="1083">
        <v>3289</v>
      </c>
      <c r="BL60" s="1083">
        <f t="shared" si="13"/>
        <v>3289</v>
      </c>
      <c r="BM60" s="1083">
        <f t="shared" si="14"/>
        <v>0</v>
      </c>
      <c r="BN60" s="1092">
        <f t="shared" si="15"/>
        <v>6578</v>
      </c>
      <c r="BO60" s="1092">
        <v>0</v>
      </c>
      <c r="BP60" s="1092"/>
      <c r="BQ60" s="1092">
        <v>6578</v>
      </c>
      <c r="BR60" s="1074"/>
      <c r="BS60" s="1074"/>
      <c r="BT60" s="1074"/>
      <c r="BU60" s="1074"/>
      <c r="BV60" s="1074"/>
      <c r="BW60" s="1074"/>
      <c r="BX60" s="1074"/>
      <c r="BY60" s="1074"/>
      <c r="BZ60" s="1074"/>
      <c r="CA60" s="1074"/>
      <c r="CB60" s="1074"/>
      <c r="CC60" s="1074"/>
      <c r="CD60" s="1074"/>
      <c r="CE60" s="1074"/>
      <c r="CF60" s="1074"/>
      <c r="CG60" s="1074"/>
      <c r="CH60" s="1074"/>
      <c r="CI60" s="1074"/>
      <c r="CJ60" s="1093">
        <f t="shared" si="22"/>
        <v>3289</v>
      </c>
      <c r="CK60" s="1074"/>
      <c r="CL60" s="1197">
        <v>3289</v>
      </c>
      <c r="CM60" s="1198">
        <f t="shared" si="57"/>
        <v>0</v>
      </c>
      <c r="CN60" s="1127">
        <f t="shared" si="58"/>
        <v>3289</v>
      </c>
      <c r="CO60" s="1098">
        <v>3289</v>
      </c>
      <c r="CP60" s="1098">
        <f t="shared" si="54"/>
        <v>-3289</v>
      </c>
      <c r="CQ60" s="1167" t="s">
        <v>2957</v>
      </c>
      <c r="CR60" s="1100"/>
      <c r="CS60" s="1100"/>
      <c r="CT60" s="1100"/>
      <c r="CU60" s="1101">
        <f t="shared" si="19"/>
        <v>3289</v>
      </c>
      <c r="CV60" s="1124">
        <f t="shared" si="20"/>
        <v>0</v>
      </c>
      <c r="CW60" s="1129"/>
      <c r="CY60" s="1074"/>
      <c r="CZ60" s="1074"/>
      <c r="DA60" s="1104">
        <f t="shared" si="32"/>
        <v>3289</v>
      </c>
      <c r="DB60" s="1067">
        <f t="shared" si="46"/>
        <v>0</v>
      </c>
      <c r="DC60" s="1074"/>
      <c r="DD60" s="1074"/>
      <c r="DE60" s="1067"/>
      <c r="DF60" s="1067">
        <f t="shared" si="6"/>
        <v>3289</v>
      </c>
      <c r="DG60" s="1105">
        <f t="shared" si="7"/>
        <v>0</v>
      </c>
      <c r="DH60" s="1067"/>
      <c r="DI60" s="1067">
        <f t="shared" si="52"/>
        <v>3289</v>
      </c>
      <c r="DJ60" s="1067">
        <f t="shared" si="8"/>
        <v>0</v>
      </c>
      <c r="DK60" s="1074"/>
      <c r="DL60" s="1067"/>
      <c r="DM60" s="1066">
        <f t="shared" si="47"/>
        <v>3289</v>
      </c>
      <c r="DN60" s="1074"/>
      <c r="DO60" s="1074"/>
      <c r="DP60" s="1067">
        <f t="shared" si="26"/>
        <v>3289</v>
      </c>
      <c r="DQ60" s="1067"/>
      <c r="DR60" s="1067">
        <f t="shared" si="0"/>
        <v>3289</v>
      </c>
      <c r="DS60" s="1067"/>
      <c r="DT60" s="973">
        <f t="shared" si="1"/>
        <v>3289</v>
      </c>
      <c r="DU60" s="1074"/>
      <c r="DV60" s="251"/>
      <c r="DW60"/>
      <c r="DX60" s="1074"/>
      <c r="DY60" s="1074"/>
      <c r="DZ60" s="1074"/>
      <c r="EA60" s="1074"/>
      <c r="EB60" s="1074"/>
      <c r="EC60" s="1074"/>
      <c r="ED60" s="1074"/>
      <c r="EE60" s="1074"/>
      <c r="EF60" s="1074"/>
      <c r="EG60" s="1074"/>
      <c r="EH60" s="1074"/>
      <c r="EI60" s="1074"/>
      <c r="EJ60" s="1074"/>
      <c r="EK60" s="1074"/>
      <c r="EL60" s="1074"/>
      <c r="EM60" s="1074"/>
      <c r="EN60" s="1074"/>
      <c r="EO60" s="1074"/>
      <c r="EP60" s="1074"/>
      <c r="EQ60" s="1074"/>
      <c r="ER60" s="1074"/>
      <c r="ES60" s="1074"/>
      <c r="ET60" s="1074"/>
      <c r="EU60" s="1074"/>
      <c r="EV60" s="1074"/>
      <c r="EW60" s="1074"/>
      <c r="EX60" s="1074"/>
      <c r="EY60" s="1074"/>
      <c r="EZ60" s="1074"/>
      <c r="FA60" s="1074"/>
      <c r="FB60" s="1074"/>
      <c r="FC60" s="1074"/>
      <c r="FD60" s="1074"/>
      <c r="FE60" s="1074"/>
      <c r="FF60" s="1074"/>
      <c r="FG60" s="1074"/>
    </row>
    <row r="61" spans="1:163" x14ac:dyDescent="0.25">
      <c r="A61" s="1068">
        <v>1</v>
      </c>
      <c r="B61" s="480" t="s">
        <v>2221</v>
      </c>
      <c r="C61" s="480">
        <v>202596</v>
      </c>
      <c r="D61" s="480" t="s">
        <v>2958</v>
      </c>
      <c r="E61" s="480" t="s">
        <v>1876</v>
      </c>
      <c r="F61" s="480">
        <v>369604</v>
      </c>
      <c r="G61" s="480" t="s">
        <v>2959</v>
      </c>
      <c r="H61" s="480" t="s">
        <v>211</v>
      </c>
      <c r="I61" s="1181">
        <v>39219</v>
      </c>
      <c r="J61" s="480">
        <v>9</v>
      </c>
      <c r="K61" s="1039">
        <f t="shared" ca="1" si="44"/>
        <v>18.351813826146476</v>
      </c>
      <c r="L61" s="1039" t="s">
        <v>1886</v>
      </c>
      <c r="M61" s="1039" t="s">
        <v>56</v>
      </c>
      <c r="N61" s="480" t="s">
        <v>2151</v>
      </c>
      <c r="O61" s="1069"/>
      <c r="P61" s="1069" t="s">
        <v>2960</v>
      </c>
      <c r="Q61" s="1070">
        <v>4000</v>
      </c>
      <c r="R61" s="1073">
        <v>8000</v>
      </c>
      <c r="S61" s="963">
        <v>45017</v>
      </c>
      <c r="T61" s="1042">
        <v>1</v>
      </c>
      <c r="U61" s="963">
        <v>45382</v>
      </c>
      <c r="V61" s="1044">
        <v>192</v>
      </c>
      <c r="W61" s="1044">
        <f t="shared" si="3"/>
        <v>192</v>
      </c>
      <c r="X61" s="1045">
        <f t="shared" si="4"/>
        <v>1</v>
      </c>
      <c r="Y61" s="1046">
        <v>1</v>
      </c>
      <c r="Z61" s="1045">
        <f t="shared" si="5"/>
        <v>1</v>
      </c>
      <c r="AA61" s="1047">
        <f t="shared" si="23"/>
        <v>0</v>
      </c>
      <c r="AB61" s="1069" t="s">
        <v>2797</v>
      </c>
      <c r="AC61" s="1069" t="s">
        <v>2797</v>
      </c>
      <c r="AD61" s="1068"/>
      <c r="AE61" s="1072">
        <f t="shared" si="55"/>
        <v>12000</v>
      </c>
      <c r="AF61" s="1068"/>
      <c r="AG61" s="1073">
        <f>8000+4000</f>
        <v>12000</v>
      </c>
      <c r="AH61" s="1204">
        <v>4000</v>
      </c>
      <c r="AI61" s="1073">
        <v>8000</v>
      </c>
      <c r="AJ61" s="1205" t="s">
        <v>2961</v>
      </c>
      <c r="AK61" s="1073" t="str">
        <f t="shared" si="45"/>
        <v>no</v>
      </c>
      <c r="AL61" s="1073" t="str">
        <f t="shared" si="53"/>
        <v>no</v>
      </c>
      <c r="AM61" s="1073" t="str">
        <f t="shared" si="56"/>
        <v>yes</v>
      </c>
      <c r="AN61" s="1073"/>
      <c r="AO61" s="1068"/>
      <c r="AP61" s="1073"/>
      <c r="AQ61" s="1068"/>
      <c r="AR61" s="1068"/>
      <c r="AS61" s="1068"/>
      <c r="AT61" s="1068"/>
      <c r="AU61" s="1068"/>
      <c r="AV61" s="1068"/>
      <c r="AW61" s="1068"/>
      <c r="AX61" s="1068"/>
      <c r="AY61" s="1068"/>
      <c r="AZ61" s="1068"/>
      <c r="BA61" s="1073">
        <v>8000</v>
      </c>
      <c r="BB61" s="1136"/>
      <c r="BC61" s="1068"/>
      <c r="BD61" s="1068"/>
      <c r="BE61" s="1068"/>
      <c r="BF61" s="1068"/>
      <c r="BG61" s="1068"/>
      <c r="BH61" s="1073">
        <f t="shared" si="43"/>
        <v>0</v>
      </c>
      <c r="BI61" s="1068">
        <v>0</v>
      </c>
      <c r="BJ61" s="1068"/>
      <c r="BK61" s="1083">
        <v>12000</v>
      </c>
      <c r="BL61" s="1083">
        <f t="shared" si="13"/>
        <v>0</v>
      </c>
      <c r="BM61" s="1083">
        <f t="shared" si="14"/>
        <v>8000</v>
      </c>
      <c r="BN61" s="1092">
        <f t="shared" si="15"/>
        <v>4000</v>
      </c>
      <c r="BO61" s="1092">
        <v>0</v>
      </c>
      <c r="BP61" s="1092"/>
      <c r="BQ61" s="1092">
        <v>4000</v>
      </c>
      <c r="BX61" s="1213" t="s">
        <v>2958</v>
      </c>
      <c r="CJ61" s="1093">
        <f t="shared" si="22"/>
        <v>4000</v>
      </c>
      <c r="CL61" s="1197">
        <v>8000</v>
      </c>
      <c r="CM61" s="1198">
        <f t="shared" si="57"/>
        <v>8000</v>
      </c>
      <c r="CN61" s="1127">
        <f t="shared" si="58"/>
        <v>0</v>
      </c>
      <c r="CO61" s="1098">
        <v>4000</v>
      </c>
      <c r="CP61" s="1098">
        <f t="shared" si="54"/>
        <v>0</v>
      </c>
      <c r="CQ61" s="1168"/>
      <c r="CR61" s="1100"/>
      <c r="CS61" s="1100"/>
      <c r="CT61" s="1100"/>
      <c r="CU61" s="1101">
        <f t="shared" si="19"/>
        <v>4000</v>
      </c>
      <c r="CV61" s="1124">
        <f t="shared" si="20"/>
        <v>0</v>
      </c>
      <c r="CW61" s="1103"/>
      <c r="DA61" s="1104">
        <f t="shared" si="32"/>
        <v>4000</v>
      </c>
      <c r="DB61" s="1067">
        <f t="shared" si="46"/>
        <v>0</v>
      </c>
      <c r="DF61" s="1067">
        <f t="shared" si="6"/>
        <v>4000</v>
      </c>
      <c r="DG61" s="1105">
        <f t="shared" si="7"/>
        <v>0</v>
      </c>
      <c r="DI61" s="1067">
        <f t="shared" si="52"/>
        <v>4000</v>
      </c>
      <c r="DJ61" s="1067">
        <f t="shared" si="8"/>
        <v>0</v>
      </c>
      <c r="DM61" s="1066">
        <f t="shared" si="47"/>
        <v>4000</v>
      </c>
      <c r="DP61" s="1067">
        <f t="shared" si="26"/>
        <v>4000</v>
      </c>
      <c r="DR61" s="1067">
        <f t="shared" si="0"/>
        <v>4000</v>
      </c>
      <c r="DS61" s="1067">
        <v>2490</v>
      </c>
      <c r="DT61" s="973">
        <f t="shared" si="1"/>
        <v>6490</v>
      </c>
      <c r="DV61" s="251"/>
    </row>
    <row r="62" spans="1:163" x14ac:dyDescent="0.25">
      <c r="A62" s="1068">
        <v>1</v>
      </c>
      <c r="B62" s="480" t="s">
        <v>2221</v>
      </c>
      <c r="C62" s="480">
        <v>202596</v>
      </c>
      <c r="D62" s="480" t="s">
        <v>2958</v>
      </c>
      <c r="E62" s="480" t="s">
        <v>1876</v>
      </c>
      <c r="F62" s="480">
        <v>371317</v>
      </c>
      <c r="G62" s="480" t="s">
        <v>2220</v>
      </c>
      <c r="H62" s="480" t="s">
        <v>381</v>
      </c>
      <c r="I62" s="1181">
        <v>39002</v>
      </c>
      <c r="J62" s="480">
        <v>9</v>
      </c>
      <c r="K62" s="1039">
        <f t="shared" ca="1" si="44"/>
        <v>18.945927446954141</v>
      </c>
      <c r="L62" s="1039" t="s">
        <v>1886</v>
      </c>
      <c r="M62" s="1039" t="s">
        <v>128</v>
      </c>
      <c r="N62" s="480" t="s">
        <v>2157</v>
      </c>
      <c r="O62" s="1069" t="s">
        <v>2962</v>
      </c>
      <c r="P62" s="1069" t="s">
        <v>2960</v>
      </c>
      <c r="Q62" s="1070">
        <v>4000</v>
      </c>
      <c r="R62" s="1073">
        <v>8000</v>
      </c>
      <c r="S62" s="963">
        <v>45017</v>
      </c>
      <c r="T62" s="1042">
        <v>1</v>
      </c>
      <c r="U62" s="963">
        <v>45382</v>
      </c>
      <c r="V62" s="1044">
        <v>192</v>
      </c>
      <c r="W62" s="1044">
        <f t="shared" si="3"/>
        <v>192</v>
      </c>
      <c r="X62" s="1045">
        <f t="shared" si="4"/>
        <v>1</v>
      </c>
      <c r="Y62" s="1046">
        <v>1</v>
      </c>
      <c r="Z62" s="1045">
        <f t="shared" si="5"/>
        <v>1</v>
      </c>
      <c r="AA62" s="1047">
        <f>Q62*Z62</f>
        <v>4000</v>
      </c>
      <c r="AB62" s="1069" t="s">
        <v>2797</v>
      </c>
      <c r="AC62" s="1069" t="s">
        <v>2797</v>
      </c>
      <c r="AD62" s="1068"/>
      <c r="AE62" s="1072">
        <f t="shared" si="55"/>
        <v>12000</v>
      </c>
      <c r="AF62" s="1068"/>
      <c r="AG62" s="1073">
        <f>8000+4000</f>
        <v>12000</v>
      </c>
      <c r="AH62" s="1204">
        <v>4000</v>
      </c>
      <c r="AI62" s="1073">
        <v>8000</v>
      </c>
      <c r="AJ62" s="1205" t="s">
        <v>2963</v>
      </c>
      <c r="AK62" s="1073" t="str">
        <f t="shared" si="45"/>
        <v>no</v>
      </c>
      <c r="AL62" s="1073" t="str">
        <f t="shared" si="53"/>
        <v>no</v>
      </c>
      <c r="AM62" s="1073" t="str">
        <f t="shared" si="56"/>
        <v>yes</v>
      </c>
      <c r="AN62" s="1204"/>
      <c r="AO62" s="1068"/>
      <c r="AP62" s="1073"/>
      <c r="AQ62" s="1068"/>
      <c r="AR62" s="1068"/>
      <c r="AS62" s="1068"/>
      <c r="AT62" s="1068"/>
      <c r="AU62" s="1068"/>
      <c r="AV62" s="1068"/>
      <c r="AW62" s="1068"/>
      <c r="AX62" s="1068"/>
      <c r="AY62" s="1068"/>
      <c r="AZ62" s="1068"/>
      <c r="BA62" s="1073">
        <v>8000</v>
      </c>
      <c r="BB62" s="1136"/>
      <c r="BC62" s="1068"/>
      <c r="BD62" s="1068"/>
      <c r="BE62" s="1068"/>
      <c r="BF62" s="1068"/>
      <c r="BG62" s="1068"/>
      <c r="BH62" s="1073">
        <f t="shared" si="43"/>
        <v>0</v>
      </c>
      <c r="BI62" s="1068">
        <v>0</v>
      </c>
      <c r="BJ62" s="1068"/>
      <c r="BK62" s="1083">
        <v>12000</v>
      </c>
      <c r="BL62" s="1083">
        <f t="shared" si="13"/>
        <v>0</v>
      </c>
      <c r="BM62" s="1083">
        <f t="shared" si="14"/>
        <v>8000</v>
      </c>
      <c r="BN62" s="1092">
        <f t="shared" si="15"/>
        <v>4000</v>
      </c>
      <c r="BO62" s="1092">
        <v>0</v>
      </c>
      <c r="BP62" s="1092"/>
      <c r="BQ62" s="1092">
        <v>4000</v>
      </c>
      <c r="BX62" s="1213" t="s">
        <v>2958</v>
      </c>
      <c r="CJ62" s="1093">
        <f t="shared" si="22"/>
        <v>4000</v>
      </c>
      <c r="CL62" s="1197">
        <v>8000</v>
      </c>
      <c r="CM62" s="1198">
        <f t="shared" si="57"/>
        <v>8000</v>
      </c>
      <c r="CN62" s="1127">
        <f t="shared" si="58"/>
        <v>0</v>
      </c>
      <c r="CO62" s="1098">
        <v>4000</v>
      </c>
      <c r="CP62" s="1098">
        <f t="shared" si="54"/>
        <v>0</v>
      </c>
      <c r="CQ62" s="1168"/>
      <c r="CR62" s="1100"/>
      <c r="CS62" s="1100"/>
      <c r="CT62" s="1100"/>
      <c r="CU62" s="1101">
        <f t="shared" si="19"/>
        <v>4000</v>
      </c>
      <c r="CV62" s="1124">
        <f t="shared" si="20"/>
        <v>0</v>
      </c>
      <c r="CW62" s="1103"/>
      <c r="DA62" s="1104">
        <f t="shared" si="32"/>
        <v>4000</v>
      </c>
      <c r="DB62" s="1067">
        <f t="shared" si="46"/>
        <v>0</v>
      </c>
      <c r="DF62" s="1067">
        <f t="shared" si="6"/>
        <v>4000</v>
      </c>
      <c r="DG62" s="1105">
        <f t="shared" si="7"/>
        <v>0</v>
      </c>
      <c r="DH62" s="1067">
        <v>4183</v>
      </c>
      <c r="DI62" s="1067">
        <f t="shared" si="52"/>
        <v>8183</v>
      </c>
      <c r="DJ62" s="1067">
        <f t="shared" si="8"/>
        <v>4183</v>
      </c>
      <c r="DM62" s="1066">
        <f t="shared" si="47"/>
        <v>8183</v>
      </c>
      <c r="DP62" s="1067">
        <f t="shared" si="26"/>
        <v>8183</v>
      </c>
      <c r="DR62" s="1067">
        <f t="shared" si="0"/>
        <v>8183</v>
      </c>
      <c r="DS62" s="1067">
        <v>6370.16</v>
      </c>
      <c r="DT62" s="973">
        <f t="shared" si="1"/>
        <v>14553.16</v>
      </c>
      <c r="DV62" s="251"/>
    </row>
    <row r="63" spans="1:163" s="1111" customFormat="1" x14ac:dyDescent="0.25">
      <c r="A63" s="1080">
        <v>1</v>
      </c>
      <c r="B63" s="1214" t="s">
        <v>2787</v>
      </c>
      <c r="C63" s="1214">
        <v>203805</v>
      </c>
      <c r="D63" s="1214" t="s">
        <v>2964</v>
      </c>
      <c r="E63" s="1214" t="s">
        <v>2804</v>
      </c>
      <c r="F63" s="1214">
        <v>416054</v>
      </c>
      <c r="G63" s="1214" t="s">
        <v>2965</v>
      </c>
      <c r="H63" s="1214" t="s">
        <v>2966</v>
      </c>
      <c r="I63" s="1193">
        <v>41742</v>
      </c>
      <c r="J63" s="1214">
        <v>4</v>
      </c>
      <c r="K63" s="1147">
        <f t="shared" ca="1" si="44"/>
        <v>11.444216290212184</v>
      </c>
      <c r="L63" s="1215" t="s">
        <v>1885</v>
      </c>
      <c r="M63" s="1215"/>
      <c r="N63" s="1135"/>
      <c r="O63" s="1148"/>
      <c r="P63" s="1148"/>
      <c r="Q63" s="1114">
        <v>2990</v>
      </c>
      <c r="R63" s="1115">
        <v>0</v>
      </c>
      <c r="S63" s="1146">
        <v>45170</v>
      </c>
      <c r="T63" s="1042">
        <v>65</v>
      </c>
      <c r="U63" s="1146">
        <v>45382</v>
      </c>
      <c r="V63" s="1044">
        <v>192</v>
      </c>
      <c r="W63" s="1044">
        <f t="shared" si="3"/>
        <v>128</v>
      </c>
      <c r="X63" s="1045">
        <f t="shared" si="4"/>
        <v>0.66666666666666663</v>
      </c>
      <c r="Y63" s="1046">
        <v>1</v>
      </c>
      <c r="Z63" s="1045">
        <f t="shared" si="5"/>
        <v>0.66666666666666663</v>
      </c>
      <c r="AA63" s="1047">
        <f t="shared" si="23"/>
        <v>0</v>
      </c>
      <c r="AB63" s="1148" t="s">
        <v>2797</v>
      </c>
      <c r="AC63" s="1148" t="s">
        <v>2797</v>
      </c>
      <c r="AD63" s="1080"/>
      <c r="AE63" s="1115"/>
      <c r="AF63" s="1080"/>
      <c r="AG63" s="1115">
        <f>2990*0.66</f>
        <v>1973.4</v>
      </c>
      <c r="AH63" s="1216"/>
      <c r="AI63" s="1115"/>
      <c r="AJ63" s="1217"/>
      <c r="AK63" s="1115" t="str">
        <f t="shared" si="45"/>
        <v>yes</v>
      </c>
      <c r="AL63" s="1115" t="str">
        <f t="shared" si="53"/>
        <v>no</v>
      </c>
      <c r="AM63" s="1115" t="str">
        <f t="shared" si="56"/>
        <v>no</v>
      </c>
      <c r="AN63" s="1216"/>
      <c r="AO63" s="1080"/>
      <c r="AP63" s="1115"/>
      <c r="AQ63" s="1080"/>
      <c r="AR63" s="1080"/>
      <c r="AS63" s="1080"/>
      <c r="AT63" s="1080"/>
      <c r="AU63" s="1080"/>
      <c r="AV63" s="1080"/>
      <c r="AW63" s="1080"/>
      <c r="AX63" s="1080"/>
      <c r="AY63" s="1080"/>
      <c r="AZ63" s="1080"/>
      <c r="BA63" s="1115"/>
      <c r="BB63" s="1175"/>
      <c r="BC63" s="1080"/>
      <c r="BD63" s="1080"/>
      <c r="BE63" s="1080"/>
      <c r="BF63" s="1080"/>
      <c r="BG63" s="1080"/>
      <c r="BH63" s="1115"/>
      <c r="BI63" s="1080">
        <v>0</v>
      </c>
      <c r="BJ63" s="1080"/>
      <c r="BK63" s="1089">
        <v>1973.4</v>
      </c>
      <c r="BL63" s="1089"/>
      <c r="BM63" s="1089"/>
      <c r="BN63" s="1153"/>
      <c r="BO63" s="1153">
        <v>0</v>
      </c>
      <c r="BP63" s="1153"/>
      <c r="BQ63" s="1153">
        <v>0</v>
      </c>
      <c r="BX63" s="1168"/>
      <c r="CJ63" s="1093"/>
      <c r="CL63" s="1195"/>
      <c r="CM63" s="1218"/>
      <c r="CN63" s="1127"/>
      <c r="CO63" s="1098">
        <v>0</v>
      </c>
      <c r="CP63" s="1098">
        <v>0</v>
      </c>
      <c r="CQ63" s="1168"/>
      <c r="CR63" s="1157"/>
      <c r="CS63" s="1157"/>
      <c r="CT63" s="1157"/>
      <c r="CU63" s="1184">
        <v>2990</v>
      </c>
      <c r="CV63" s="1158">
        <f t="shared" si="20"/>
        <v>2990</v>
      </c>
      <c r="CW63" s="1159" t="s">
        <v>2967</v>
      </c>
      <c r="DA63" s="1185">
        <f t="shared" si="32"/>
        <v>2990</v>
      </c>
      <c r="DB63" s="1066">
        <f t="shared" si="46"/>
        <v>0</v>
      </c>
      <c r="DE63" s="1066"/>
      <c r="DF63" s="1066">
        <f t="shared" si="6"/>
        <v>2990</v>
      </c>
      <c r="DG63" s="1160">
        <f t="shared" si="7"/>
        <v>0</v>
      </c>
      <c r="DH63" s="1066">
        <v>-986.7</v>
      </c>
      <c r="DI63" s="1066">
        <f>SUM(DF63)+DH63</f>
        <v>2003.3</v>
      </c>
      <c r="DJ63" s="1067">
        <f t="shared" si="8"/>
        <v>-986.7</v>
      </c>
      <c r="DK63" s="1111" t="s">
        <v>75</v>
      </c>
      <c r="DL63" s="1066"/>
      <c r="DM63" s="1066">
        <f t="shared" si="47"/>
        <v>2003.3</v>
      </c>
      <c r="DP63" s="1067">
        <f t="shared" si="26"/>
        <v>2003.3</v>
      </c>
      <c r="DQ63" s="1066"/>
      <c r="DR63" s="1067">
        <f t="shared" si="0"/>
        <v>2003.3</v>
      </c>
      <c r="DS63" s="1066"/>
      <c r="DT63" s="973">
        <f t="shared" si="1"/>
        <v>2003.3</v>
      </c>
      <c r="DV63" s="251"/>
      <c r="DW63"/>
    </row>
    <row r="64" spans="1:163" x14ac:dyDescent="0.25">
      <c r="A64" s="1068">
        <v>1</v>
      </c>
      <c r="B64" s="1219" t="s">
        <v>2221</v>
      </c>
      <c r="C64" s="1219">
        <v>201183</v>
      </c>
      <c r="D64" s="1219" t="s">
        <v>2968</v>
      </c>
      <c r="E64" s="1219" t="s">
        <v>1606</v>
      </c>
      <c r="F64" s="1219">
        <v>367890</v>
      </c>
      <c r="G64" s="1219" t="s">
        <v>2969</v>
      </c>
      <c r="H64" s="1219" t="s">
        <v>217</v>
      </c>
      <c r="I64" s="1038">
        <v>39050</v>
      </c>
      <c r="J64" s="1219">
        <v>9</v>
      </c>
      <c r="K64" s="1220">
        <f t="shared" ca="1" si="44"/>
        <v>18.814510609171801</v>
      </c>
      <c r="L64" s="1220" t="s">
        <v>1886</v>
      </c>
      <c r="M64" s="1220" t="s">
        <v>43</v>
      </c>
      <c r="N64" s="480" t="s">
        <v>2153</v>
      </c>
      <c r="O64" s="1069"/>
      <c r="P64" s="1069"/>
      <c r="Q64" s="1070">
        <v>5819.25</v>
      </c>
      <c r="R64" s="1073">
        <v>0</v>
      </c>
      <c r="S64" s="963">
        <v>45017</v>
      </c>
      <c r="T64" s="1042">
        <v>1</v>
      </c>
      <c r="U64" s="1221">
        <v>45382</v>
      </c>
      <c r="V64" s="1044">
        <v>192</v>
      </c>
      <c r="W64" s="1044">
        <f t="shared" si="3"/>
        <v>192</v>
      </c>
      <c r="X64" s="1045">
        <f t="shared" si="4"/>
        <v>1</v>
      </c>
      <c r="Y64" s="1046">
        <v>1</v>
      </c>
      <c r="Z64" s="1045">
        <f t="shared" si="5"/>
        <v>1</v>
      </c>
      <c r="AA64" s="1047">
        <f t="shared" si="23"/>
        <v>0</v>
      </c>
      <c r="AB64" s="1222" t="s">
        <v>2797</v>
      </c>
      <c r="AC64" s="1222" t="s">
        <v>2797</v>
      </c>
      <c r="AD64" s="1068"/>
      <c r="AE64" s="1072">
        <f>AG64</f>
        <v>5819.25</v>
      </c>
      <c r="AF64" s="1068"/>
      <c r="AG64" s="1073">
        <v>5819.25</v>
      </c>
      <c r="AH64" s="1204">
        <v>5819.25</v>
      </c>
      <c r="AI64" s="1073"/>
      <c r="AJ64" s="1205"/>
      <c r="AK64" s="1073" t="str">
        <f t="shared" si="45"/>
        <v>no</v>
      </c>
      <c r="AL64" s="1073" t="str">
        <f>IF(AND(AG64&gt;=5001,AG64&lt;=10000),"yes","no")</f>
        <v>yes</v>
      </c>
      <c r="AM64" s="1073" t="str">
        <f t="shared" si="56"/>
        <v>no</v>
      </c>
      <c r="AN64" s="1204"/>
      <c r="AO64" s="1068"/>
      <c r="AP64" s="1073"/>
      <c r="AQ64" s="1068"/>
      <c r="AR64" s="1068"/>
      <c r="AS64" s="1068"/>
      <c r="AT64" s="1068"/>
      <c r="AU64" s="1068"/>
      <c r="AV64" s="1068"/>
      <c r="AW64" s="1068"/>
      <c r="AX64" s="1068"/>
      <c r="AY64" s="1068"/>
      <c r="AZ64" s="1068"/>
      <c r="BA64" s="1073"/>
      <c r="BB64" s="1073"/>
      <c r="BC64" s="1068"/>
      <c r="BD64" s="1068"/>
      <c r="BE64" s="1068"/>
      <c r="BF64" s="1068"/>
      <c r="BG64" s="1068"/>
      <c r="BH64" s="1073">
        <f t="shared" si="43"/>
        <v>0</v>
      </c>
      <c r="BI64" s="1068">
        <v>0</v>
      </c>
      <c r="BJ64" s="1068"/>
      <c r="BK64" s="1083">
        <v>5819.25</v>
      </c>
      <c r="BL64" s="1083">
        <f t="shared" si="13"/>
        <v>0</v>
      </c>
      <c r="BM64" s="1083">
        <f t="shared" si="14"/>
        <v>0</v>
      </c>
      <c r="BN64" s="1092">
        <f t="shared" si="15"/>
        <v>5819.25</v>
      </c>
      <c r="BO64" s="1092">
        <v>-3879.5</v>
      </c>
      <c r="BP64" s="1092"/>
      <c r="BQ64" s="1092">
        <v>1939.75</v>
      </c>
      <c r="BX64" s="1213" t="s">
        <v>2223</v>
      </c>
      <c r="CA64" s="1105">
        <f>BN64/3*2*-1</f>
        <v>-3879.5</v>
      </c>
      <c r="CE64" s="1133"/>
      <c r="CJ64" s="1093">
        <f t="shared" si="22"/>
        <v>1939.75</v>
      </c>
      <c r="CL64" s="1207"/>
      <c r="CM64" s="1198">
        <f>BM64</f>
        <v>0</v>
      </c>
      <c r="CN64" s="1127">
        <f>CL64-CM64</f>
        <v>0</v>
      </c>
      <c r="CO64" s="1098">
        <v>1939.75</v>
      </c>
      <c r="CP64" s="1098">
        <f>CO64-BQ64</f>
        <v>0</v>
      </c>
      <c r="CQ64" s="1168"/>
      <c r="CR64" s="1100"/>
      <c r="CS64" s="1100"/>
      <c r="CT64" s="1100"/>
      <c r="CU64" s="1101">
        <f t="shared" si="19"/>
        <v>1939.75</v>
      </c>
      <c r="CV64" s="1124">
        <f t="shared" si="20"/>
        <v>0</v>
      </c>
      <c r="CW64" s="1103"/>
      <c r="DA64" s="1104">
        <f t="shared" si="32"/>
        <v>1939.75</v>
      </c>
      <c r="DB64" s="1067">
        <f t="shared" si="46"/>
        <v>0</v>
      </c>
      <c r="DF64" s="1067">
        <f t="shared" si="6"/>
        <v>1939.75</v>
      </c>
      <c r="DG64" s="1105">
        <f t="shared" si="7"/>
        <v>0</v>
      </c>
      <c r="DI64" s="1067">
        <f t="shared" ref="DI64:DI78" si="59">DF64+DH64</f>
        <v>1939.75</v>
      </c>
      <c r="DJ64" s="1067">
        <f t="shared" si="8"/>
        <v>0</v>
      </c>
      <c r="DM64" s="1066">
        <f t="shared" si="47"/>
        <v>1939.75</v>
      </c>
      <c r="DP64" s="1067">
        <f t="shared" si="26"/>
        <v>1939.75</v>
      </c>
      <c r="DR64" s="1067">
        <f t="shared" si="0"/>
        <v>1939.75</v>
      </c>
      <c r="DT64" s="973">
        <f t="shared" si="1"/>
        <v>1939.75</v>
      </c>
      <c r="DV64" s="251"/>
    </row>
    <row r="65" spans="1:127" s="1236" customFormat="1" x14ac:dyDescent="0.25">
      <c r="A65" s="1223">
        <v>1</v>
      </c>
      <c r="B65" s="1224" t="s">
        <v>2221</v>
      </c>
      <c r="C65" s="1224">
        <v>201183</v>
      </c>
      <c r="D65" s="1224" t="s">
        <v>2968</v>
      </c>
      <c r="E65" s="1224" t="s">
        <v>1606</v>
      </c>
      <c r="F65" s="1224">
        <v>439635</v>
      </c>
      <c r="G65" s="1224" t="s">
        <v>2970</v>
      </c>
      <c r="H65" s="1224" t="s">
        <v>2971</v>
      </c>
      <c r="I65" s="1225">
        <v>39302</v>
      </c>
      <c r="J65" s="1224">
        <v>0</v>
      </c>
      <c r="K65" s="1226">
        <f t="shared" ca="1" si="44"/>
        <v>18.12457221081451</v>
      </c>
      <c r="L65" s="1226" t="s">
        <v>1886</v>
      </c>
      <c r="M65" s="1226" t="s">
        <v>43</v>
      </c>
      <c r="N65" s="1224" t="s">
        <v>91</v>
      </c>
      <c r="O65" s="1227" t="s">
        <v>2947</v>
      </c>
      <c r="P65" s="1227" t="s">
        <v>2972</v>
      </c>
      <c r="Q65" s="1228">
        <v>0</v>
      </c>
      <c r="R65" s="1228">
        <v>0</v>
      </c>
      <c r="S65" s="1229">
        <v>45017</v>
      </c>
      <c r="T65" s="1042">
        <v>1</v>
      </c>
      <c r="U65" s="1229">
        <v>45382</v>
      </c>
      <c r="V65" s="1044">
        <v>192</v>
      </c>
      <c r="W65" s="1044">
        <f t="shared" si="3"/>
        <v>192</v>
      </c>
      <c r="X65" s="1045">
        <f t="shared" si="4"/>
        <v>1</v>
      </c>
      <c r="Y65" s="1046">
        <v>1</v>
      </c>
      <c r="Z65" s="1045">
        <f t="shared" si="5"/>
        <v>1</v>
      </c>
      <c r="AA65" s="1047">
        <f>Q65*Z65</f>
        <v>0</v>
      </c>
      <c r="AB65" s="1069" t="s">
        <v>2797</v>
      </c>
      <c r="AC65" s="1069" t="s">
        <v>2797</v>
      </c>
      <c r="AD65" s="1068"/>
      <c r="AE65" s="1230">
        <v>3715</v>
      </c>
      <c r="AF65" s="1068"/>
      <c r="AG65" s="1228">
        <v>3715</v>
      </c>
      <c r="AH65" s="1231"/>
      <c r="AI65" s="1228"/>
      <c r="AJ65" s="1232" t="s">
        <v>2973</v>
      </c>
      <c r="AK65" s="1228" t="str">
        <f t="shared" si="45"/>
        <v>yes</v>
      </c>
      <c r="AL65" s="1228" t="str">
        <f>IF(AND(AG65&gt;=5001,AG65&lt;=10000),"yes","no")</f>
        <v>no</v>
      </c>
      <c r="AM65" s="1228" t="str">
        <f t="shared" si="56"/>
        <v>no</v>
      </c>
      <c r="AN65" s="1233"/>
      <c r="AO65" s="1068"/>
      <c r="AP65" s="1073"/>
      <c r="AQ65" s="1068"/>
      <c r="AR65" s="1068"/>
      <c r="AS65" s="1068"/>
      <c r="AT65" s="1068"/>
      <c r="AU65" s="1068"/>
      <c r="AV65" s="1068"/>
      <c r="AW65" s="1068"/>
      <c r="AX65" s="1068"/>
      <c r="AY65" s="1068"/>
      <c r="AZ65" s="1068"/>
      <c r="BA65" s="1073"/>
      <c r="BB65" s="1234"/>
      <c r="BC65" s="1068"/>
      <c r="BD65" s="1068"/>
      <c r="BE65" s="1068"/>
      <c r="BF65" s="1068"/>
      <c r="BG65" s="1068"/>
      <c r="BH65" s="1073">
        <f t="shared" si="43"/>
        <v>0</v>
      </c>
      <c r="BI65" s="1068">
        <v>0</v>
      </c>
      <c r="BJ65" s="1068"/>
      <c r="BK65" s="1083">
        <v>3715</v>
      </c>
      <c r="BL65" s="1083">
        <f t="shared" si="13"/>
        <v>0</v>
      </c>
      <c r="BM65" s="1083">
        <f t="shared" si="14"/>
        <v>0</v>
      </c>
      <c r="BN65" s="1092">
        <f t="shared" si="15"/>
        <v>3715</v>
      </c>
      <c r="BO65" s="1235">
        <v>0</v>
      </c>
      <c r="BP65" s="1092"/>
      <c r="BQ65" s="1235">
        <v>3715</v>
      </c>
      <c r="BX65" s="1237" t="s">
        <v>2224</v>
      </c>
      <c r="CF65" s="1074"/>
      <c r="CJ65" s="1238">
        <f t="shared" si="22"/>
        <v>3715</v>
      </c>
      <c r="CL65" s="1239"/>
      <c r="CM65" s="1240">
        <f>BM65</f>
        <v>0</v>
      </c>
      <c r="CN65" s="1241">
        <f>CL65-CM65</f>
        <v>0</v>
      </c>
      <c r="CO65" s="1242">
        <v>3715</v>
      </c>
      <c r="CP65" s="1242">
        <f>CO65-BQ65</f>
        <v>0</v>
      </c>
      <c r="CQ65" s="1168"/>
      <c r="CR65" s="1243"/>
      <c r="CS65" s="1243"/>
      <c r="CT65" s="1244">
        <f>480*12</f>
        <v>5760</v>
      </c>
      <c r="CU65" s="1245">
        <f t="shared" si="19"/>
        <v>9475</v>
      </c>
      <c r="CV65" s="1245">
        <f t="shared" si="20"/>
        <v>5760</v>
      </c>
      <c r="CW65" s="1246"/>
      <c r="DA65" s="1247">
        <f t="shared" si="32"/>
        <v>9475</v>
      </c>
      <c r="DB65" s="1247">
        <f t="shared" si="46"/>
        <v>0</v>
      </c>
      <c r="DC65" s="1074"/>
      <c r="DE65" s="1247"/>
      <c r="DF65" s="1247">
        <f t="shared" si="6"/>
        <v>9475</v>
      </c>
      <c r="DG65" s="1248">
        <f t="shared" si="7"/>
        <v>0</v>
      </c>
      <c r="DH65" s="1247"/>
      <c r="DI65" s="1247">
        <f t="shared" si="59"/>
        <v>9475</v>
      </c>
      <c r="DJ65" s="1067">
        <f t="shared" si="8"/>
        <v>0</v>
      </c>
      <c r="DK65" s="1236" t="s">
        <v>2974</v>
      </c>
      <c r="DL65" s="1247"/>
      <c r="DM65" s="1066">
        <f t="shared" si="47"/>
        <v>9475</v>
      </c>
      <c r="DP65" s="1067">
        <f t="shared" si="26"/>
        <v>9475</v>
      </c>
      <c r="DQ65" s="1247"/>
      <c r="DR65" s="1067">
        <f t="shared" si="0"/>
        <v>9475</v>
      </c>
      <c r="DS65" s="1247"/>
      <c r="DT65" s="973">
        <f t="shared" si="1"/>
        <v>9475</v>
      </c>
      <c r="DV65" s="251"/>
      <c r="DW65"/>
    </row>
    <row r="66" spans="1:127" x14ac:dyDescent="0.25">
      <c r="A66" s="1068">
        <v>1</v>
      </c>
      <c r="B66" s="480" t="s">
        <v>2975</v>
      </c>
      <c r="C66" s="480">
        <v>209161</v>
      </c>
      <c r="D66" s="480" t="s">
        <v>2976</v>
      </c>
      <c r="E66" s="480" t="s">
        <v>1876</v>
      </c>
      <c r="F66" s="480">
        <v>415158</v>
      </c>
      <c r="G66" s="480" t="s">
        <v>2350</v>
      </c>
      <c r="H66" s="480" t="s">
        <v>2977</v>
      </c>
      <c r="I66" s="1038">
        <v>39905</v>
      </c>
      <c r="J66" s="480"/>
      <c r="K66" s="1039">
        <f t="shared" ca="1" si="44"/>
        <v>16.473648186173854</v>
      </c>
      <c r="L66" s="1039" t="s">
        <v>1886</v>
      </c>
      <c r="M66" s="1039"/>
      <c r="N66" s="480"/>
      <c r="O66" s="1069">
        <v>5000</v>
      </c>
      <c r="P66" s="1069" t="s">
        <v>2978</v>
      </c>
      <c r="Q66" s="1073">
        <v>5000</v>
      </c>
      <c r="R66" s="1073">
        <v>0</v>
      </c>
      <c r="S66" s="963">
        <v>45017</v>
      </c>
      <c r="T66" s="1042">
        <v>1</v>
      </c>
      <c r="U66" s="963">
        <v>45128</v>
      </c>
      <c r="V66" s="1044">
        <v>63</v>
      </c>
      <c r="W66" s="1044">
        <f t="shared" si="3"/>
        <v>63</v>
      </c>
      <c r="X66" s="1045">
        <f t="shared" si="4"/>
        <v>0.328125</v>
      </c>
      <c r="Y66" s="1046">
        <v>1</v>
      </c>
      <c r="Z66" s="1045">
        <f t="shared" si="5"/>
        <v>0.328125</v>
      </c>
      <c r="AA66" s="1047">
        <f>Q66*Z66</f>
        <v>1640.625</v>
      </c>
      <c r="AB66" s="1069"/>
      <c r="AC66" s="1069"/>
      <c r="AD66" s="1068"/>
      <c r="AE66" s="1072"/>
      <c r="AF66" s="1068"/>
      <c r="AG66" s="1073"/>
      <c r="AH66" s="1204"/>
      <c r="AI66" s="1073"/>
      <c r="AJ66" s="1232"/>
      <c r="AK66" s="1073"/>
      <c r="AL66" s="1073"/>
      <c r="AM66" s="1073"/>
      <c r="AN66" s="1249"/>
      <c r="AO66" s="1068"/>
      <c r="AP66" s="1073"/>
      <c r="AQ66" s="1068"/>
      <c r="AR66" s="1068"/>
      <c r="AS66" s="1068"/>
      <c r="AT66" s="1068"/>
      <c r="AU66" s="1068"/>
      <c r="AV66" s="1068"/>
      <c r="AW66" s="1068"/>
      <c r="AX66" s="1068"/>
      <c r="AY66" s="1068"/>
      <c r="AZ66" s="1068"/>
      <c r="BA66" s="1073"/>
      <c r="BB66" s="1234"/>
      <c r="BC66" s="1068"/>
      <c r="BD66" s="1068"/>
      <c r="BE66" s="1068"/>
      <c r="BF66" s="1068"/>
      <c r="BG66" s="1068"/>
      <c r="BH66" s="1073"/>
      <c r="BI66" s="1068">
        <v>0</v>
      </c>
      <c r="BJ66" s="1068"/>
      <c r="BK66" s="1083">
        <v>0</v>
      </c>
      <c r="BL66" s="1083"/>
      <c r="BM66" s="1083"/>
      <c r="BN66" s="1092"/>
      <c r="BO66" s="1092"/>
      <c r="BP66" s="1092"/>
      <c r="BQ66" s="1092"/>
      <c r="BX66" s="1213"/>
      <c r="CJ66" s="1093"/>
      <c r="CL66" s="1207"/>
      <c r="CM66" s="1198"/>
      <c r="CN66" s="1127"/>
      <c r="CO66" s="1098"/>
      <c r="CP66" s="1098"/>
      <c r="CQ66" s="1168"/>
      <c r="CR66" s="1100"/>
      <c r="CS66" s="1100"/>
      <c r="CT66" s="1250"/>
      <c r="CU66" s="1124"/>
      <c r="CV66" s="1124"/>
      <c r="CW66" s="1103"/>
      <c r="DG66" s="1105"/>
      <c r="DJ66" s="1067"/>
      <c r="DL66" s="1067">
        <v>5000</v>
      </c>
      <c r="DM66" s="1066">
        <f t="shared" si="47"/>
        <v>5000</v>
      </c>
      <c r="DP66" s="1067">
        <f t="shared" si="26"/>
        <v>5000</v>
      </c>
      <c r="DR66" s="1067">
        <f t="shared" si="0"/>
        <v>5000</v>
      </c>
      <c r="DT66" s="973">
        <f t="shared" si="1"/>
        <v>5000</v>
      </c>
      <c r="DV66" s="251"/>
    </row>
    <row r="67" spans="1:127" x14ac:dyDescent="0.25">
      <c r="A67" s="1068">
        <v>1</v>
      </c>
      <c r="B67" s="480" t="s">
        <v>2787</v>
      </c>
      <c r="C67" s="480">
        <v>202257</v>
      </c>
      <c r="D67" s="480" t="s">
        <v>2979</v>
      </c>
      <c r="E67" s="480" t="s">
        <v>1606</v>
      </c>
      <c r="F67" s="480">
        <v>453414</v>
      </c>
      <c r="G67" s="480" t="s">
        <v>2176</v>
      </c>
      <c r="H67" s="480" t="s">
        <v>2175</v>
      </c>
      <c r="I67" s="1038">
        <v>42519</v>
      </c>
      <c r="J67" s="480">
        <v>2</v>
      </c>
      <c r="K67" s="1039">
        <f t="shared" ca="1" si="44"/>
        <v>9.3169062286105415</v>
      </c>
      <c r="L67" s="1039" t="s">
        <v>1885</v>
      </c>
      <c r="M67" s="1039" t="s">
        <v>1495</v>
      </c>
      <c r="N67" s="480"/>
      <c r="O67" s="1069">
        <v>7390</v>
      </c>
      <c r="P67" s="1069"/>
      <c r="Q67" s="1073">
        <f>7390</f>
        <v>7390</v>
      </c>
      <c r="R67" s="1073">
        <v>1250</v>
      </c>
      <c r="S67" s="963">
        <v>45017</v>
      </c>
      <c r="T67" s="1042">
        <v>1</v>
      </c>
      <c r="U67" s="963">
        <v>45382</v>
      </c>
      <c r="V67" s="1044">
        <v>192</v>
      </c>
      <c r="W67" s="1044">
        <f t="shared" si="3"/>
        <v>192</v>
      </c>
      <c r="X67" s="1045">
        <f t="shared" si="4"/>
        <v>1</v>
      </c>
      <c r="Y67" s="1046">
        <v>1</v>
      </c>
      <c r="Z67" s="1045">
        <f t="shared" si="5"/>
        <v>1</v>
      </c>
      <c r="AA67" s="1047">
        <f t="shared" si="23"/>
        <v>7390</v>
      </c>
      <c r="AB67" s="1069" t="s">
        <v>2797</v>
      </c>
      <c r="AC67" s="1069" t="s">
        <v>2797</v>
      </c>
      <c r="AD67" s="1068"/>
      <c r="AE67" s="1072">
        <f>AG67</f>
        <v>8640</v>
      </c>
      <c r="AF67" s="1068"/>
      <c r="AG67" s="1073">
        <f>7390+1250</f>
        <v>8640</v>
      </c>
      <c r="AH67" s="1204">
        <v>7390</v>
      </c>
      <c r="AI67" s="1073">
        <v>1250</v>
      </c>
      <c r="AJ67" s="1251" t="s">
        <v>2980</v>
      </c>
      <c r="AK67" s="1073" t="str">
        <f t="shared" si="45"/>
        <v>no</v>
      </c>
      <c r="AL67" s="1073" t="str">
        <f>IF(AND(AG67&gt;=5001,AG67&lt;=10000),"yes","no")</f>
        <v>yes</v>
      </c>
      <c r="AM67" s="1073" t="str">
        <f t="shared" si="56"/>
        <v>no</v>
      </c>
      <c r="AN67" s="1252"/>
      <c r="AO67" s="1068"/>
      <c r="AP67" s="1073"/>
      <c r="AQ67" s="1068"/>
      <c r="AR67" s="1068"/>
      <c r="AS67" s="1068"/>
      <c r="AT67" s="1068"/>
      <c r="AU67" s="1068"/>
      <c r="AV67" s="1068"/>
      <c r="AW67" s="1068"/>
      <c r="AX67" s="1068"/>
      <c r="AY67" s="1068"/>
      <c r="AZ67" s="1068"/>
      <c r="BA67" s="1073"/>
      <c r="BB67" s="1138"/>
      <c r="BC67" s="1068"/>
      <c r="BD67" s="1068"/>
      <c r="BE67" s="1068"/>
      <c r="BF67" s="1068"/>
      <c r="BG67" s="1068"/>
      <c r="BH67" s="1073">
        <f t="shared" si="43"/>
        <v>0</v>
      </c>
      <c r="BI67" s="1068">
        <v>0</v>
      </c>
      <c r="BJ67" s="1068"/>
      <c r="BK67" s="1083">
        <v>8640</v>
      </c>
      <c r="BL67" s="1083">
        <f t="shared" si="13"/>
        <v>0</v>
      </c>
      <c r="BM67" s="1083">
        <f t="shared" si="14"/>
        <v>0</v>
      </c>
      <c r="BN67" s="1092">
        <f t="shared" si="15"/>
        <v>8640</v>
      </c>
      <c r="BO67" s="1092">
        <v>0</v>
      </c>
      <c r="BP67" s="1092"/>
      <c r="BQ67" s="1092">
        <v>8640</v>
      </c>
      <c r="CJ67" s="1093">
        <f t="shared" si="22"/>
        <v>8640</v>
      </c>
      <c r="CL67" s="1207"/>
      <c r="CM67" s="1198">
        <f>BM67</f>
        <v>0</v>
      </c>
      <c r="CN67" s="1127">
        <f>CL67-CM67</f>
        <v>0</v>
      </c>
      <c r="CO67" s="1098">
        <v>8640</v>
      </c>
      <c r="CP67" s="1098">
        <f>CO67-BQ67</f>
        <v>0</v>
      </c>
      <c r="CQ67" s="1168"/>
      <c r="CR67" s="1100"/>
      <c r="CS67" s="1100"/>
      <c r="CT67" s="1100"/>
      <c r="CU67" s="1101">
        <f t="shared" si="19"/>
        <v>8640</v>
      </c>
      <c r="CV67" s="1124">
        <f t="shared" si="20"/>
        <v>0</v>
      </c>
      <c r="CW67" s="1103"/>
      <c r="DA67" s="1104">
        <f t="shared" si="32"/>
        <v>8640</v>
      </c>
      <c r="DB67" s="1067">
        <f t="shared" si="46"/>
        <v>0</v>
      </c>
      <c r="DF67" s="1067">
        <f t="shared" si="6"/>
        <v>8640</v>
      </c>
      <c r="DG67" s="1105">
        <f t="shared" si="7"/>
        <v>0</v>
      </c>
      <c r="DH67" s="1067">
        <v>-4927</v>
      </c>
      <c r="DI67" s="1067">
        <f t="shared" si="59"/>
        <v>3713</v>
      </c>
      <c r="DJ67" s="1067">
        <f t="shared" si="8"/>
        <v>-4927</v>
      </c>
      <c r="DM67" s="1066">
        <f t="shared" si="47"/>
        <v>3713</v>
      </c>
      <c r="DP67" s="1067">
        <f t="shared" si="26"/>
        <v>3713</v>
      </c>
      <c r="DR67" s="1067">
        <f t="shared" si="0"/>
        <v>3713</v>
      </c>
      <c r="DT67" s="973">
        <f t="shared" si="1"/>
        <v>3713</v>
      </c>
      <c r="DV67" s="251"/>
    </row>
    <row r="68" spans="1:127" x14ac:dyDescent="0.25">
      <c r="A68" s="1068">
        <v>1</v>
      </c>
      <c r="B68" s="480" t="s">
        <v>2221</v>
      </c>
      <c r="C68" s="480" t="s">
        <v>2824</v>
      </c>
      <c r="D68" s="480" t="s">
        <v>2981</v>
      </c>
      <c r="E68" s="480" t="s">
        <v>1606</v>
      </c>
      <c r="F68" s="1074">
        <v>453988</v>
      </c>
      <c r="G68" s="1074" t="s">
        <v>1148</v>
      </c>
      <c r="H68" s="1074" t="s">
        <v>2982</v>
      </c>
      <c r="I68" s="1038">
        <v>41232</v>
      </c>
      <c r="J68" s="480">
        <v>5</v>
      </c>
      <c r="K68" s="1039">
        <f t="shared" ca="1" si="44"/>
        <v>12.840520191649555</v>
      </c>
      <c r="L68" s="1039" t="s">
        <v>1885</v>
      </c>
      <c r="M68" s="1039"/>
      <c r="N68" s="480" t="s">
        <v>2348</v>
      </c>
      <c r="O68" s="1069">
        <v>5819.25</v>
      </c>
      <c r="P68" s="1069"/>
      <c r="Q68" s="1073">
        <f>5819.25/192*143</f>
        <v>4334.12890625</v>
      </c>
      <c r="R68" s="1073"/>
      <c r="S68" s="963">
        <v>45111</v>
      </c>
      <c r="T68" s="1042">
        <v>51</v>
      </c>
      <c r="U68" s="963">
        <v>45382</v>
      </c>
      <c r="V68" s="1044">
        <v>192</v>
      </c>
      <c r="W68" s="1044">
        <f t="shared" si="3"/>
        <v>142</v>
      </c>
      <c r="X68" s="1045">
        <f t="shared" si="4"/>
        <v>0.73958333333333337</v>
      </c>
      <c r="Y68" s="1046">
        <v>1</v>
      </c>
      <c r="Z68" s="1045">
        <f t="shared" si="5"/>
        <v>0.73958333333333337</v>
      </c>
      <c r="AA68" s="1047">
        <f>Q68*Z68</f>
        <v>3205.4495035807295</v>
      </c>
      <c r="AB68" s="1069"/>
      <c r="AC68" s="1069"/>
      <c r="AD68" s="1068"/>
      <c r="AE68" s="1072"/>
      <c r="AF68" s="1068"/>
      <c r="AG68" s="1073"/>
      <c r="AH68" s="1204"/>
      <c r="AI68" s="1073"/>
      <c r="AJ68" s="1251"/>
      <c r="AK68" s="1073"/>
      <c r="AL68" s="1073"/>
      <c r="AM68" s="1073"/>
      <c r="AN68" s="1252"/>
      <c r="AO68" s="1068"/>
      <c r="AP68" s="1073"/>
      <c r="AQ68" s="1068"/>
      <c r="AR68" s="1068"/>
      <c r="AS68" s="1068"/>
      <c r="AT68" s="1068"/>
      <c r="AU68" s="1068"/>
      <c r="AV68" s="1068"/>
      <c r="AW68" s="1068"/>
      <c r="AX68" s="1068"/>
      <c r="AY68" s="1068"/>
      <c r="AZ68" s="1068"/>
      <c r="BA68" s="1073"/>
      <c r="BB68" s="1138"/>
      <c r="BC68" s="1068"/>
      <c r="BD68" s="1068"/>
      <c r="BE68" s="1068"/>
      <c r="BF68" s="1068"/>
      <c r="BG68" s="1068"/>
      <c r="BH68" s="1073"/>
      <c r="BI68" s="1068">
        <v>0</v>
      </c>
      <c r="BJ68" s="1068"/>
      <c r="BK68" s="1083">
        <v>0</v>
      </c>
      <c r="BL68" s="1083"/>
      <c r="BM68" s="1083"/>
      <c r="BN68" s="1092"/>
      <c r="BO68" s="1092"/>
      <c r="BP68" s="1092"/>
      <c r="BQ68" s="1092"/>
      <c r="CJ68" s="1093"/>
      <c r="CL68" s="1207"/>
      <c r="CM68" s="1198"/>
      <c r="CN68" s="1127"/>
      <c r="CO68" s="1098"/>
      <c r="CP68" s="1098"/>
      <c r="CQ68" s="1168"/>
      <c r="CR68" s="1100"/>
      <c r="CS68" s="1100"/>
      <c r="CT68" s="1100"/>
      <c r="CU68" s="1101"/>
      <c r="CV68" s="1124"/>
      <c r="CW68" s="1103"/>
      <c r="DA68" s="1104"/>
      <c r="DG68" s="1105"/>
      <c r="DH68" s="1067">
        <f>Q68</f>
        <v>4334.12890625</v>
      </c>
      <c r="DI68" s="1067">
        <f t="shared" si="59"/>
        <v>4334.12890625</v>
      </c>
      <c r="DJ68" s="1067">
        <f t="shared" si="8"/>
        <v>4334.12890625</v>
      </c>
      <c r="DM68" s="1066">
        <f t="shared" si="47"/>
        <v>4334.12890625</v>
      </c>
      <c r="DP68" s="1067">
        <f t="shared" si="26"/>
        <v>4334.12890625</v>
      </c>
      <c r="DR68" s="1067">
        <f t="shared" ref="DR68:DR82" si="60">DP68+DQ68</f>
        <v>4334.12890625</v>
      </c>
      <c r="DT68" s="973">
        <f t="shared" si="1"/>
        <v>4334.12890625</v>
      </c>
      <c r="DV68" s="251"/>
    </row>
    <row r="69" spans="1:127" x14ac:dyDescent="0.25">
      <c r="A69" s="1068">
        <v>1</v>
      </c>
      <c r="B69" s="480" t="s">
        <v>2806</v>
      </c>
      <c r="C69" s="480">
        <v>209778</v>
      </c>
      <c r="D69" s="480" t="s">
        <v>2983</v>
      </c>
      <c r="E69" s="480" t="s">
        <v>1606</v>
      </c>
      <c r="F69" s="480">
        <v>440001</v>
      </c>
      <c r="G69" s="480" t="s">
        <v>2984</v>
      </c>
      <c r="H69" s="480" t="s">
        <v>2985</v>
      </c>
      <c r="I69" s="1038">
        <v>41469</v>
      </c>
      <c r="J69" s="480">
        <v>0</v>
      </c>
      <c r="K69" s="1039">
        <f t="shared" ca="1" si="44"/>
        <v>12.191649555099247</v>
      </c>
      <c r="L69" s="1039" t="s">
        <v>1885</v>
      </c>
      <c r="M69" s="1039" t="s">
        <v>43</v>
      </c>
      <c r="N69" s="480" t="s">
        <v>91</v>
      </c>
      <c r="O69" s="1069">
        <v>13650</v>
      </c>
      <c r="P69" s="1069" t="s">
        <v>2986</v>
      </c>
      <c r="Q69" s="1073">
        <v>6960</v>
      </c>
      <c r="R69" s="1073">
        <v>0</v>
      </c>
      <c r="S69" s="963">
        <v>45033</v>
      </c>
      <c r="T69" s="1042">
        <v>2</v>
      </c>
      <c r="U69" s="963">
        <v>45128</v>
      </c>
      <c r="V69" s="1044">
        <v>63</v>
      </c>
      <c r="W69" s="1044">
        <f t="shared" si="3"/>
        <v>62</v>
      </c>
      <c r="X69" s="1045">
        <f t="shared" si="4"/>
        <v>0.32291666666666669</v>
      </c>
      <c r="Y69" s="1046">
        <v>1</v>
      </c>
      <c r="Z69" s="1045">
        <f t="shared" si="5"/>
        <v>0.32291666666666669</v>
      </c>
      <c r="AA69" s="1047">
        <f t="shared" si="23"/>
        <v>4407.8125</v>
      </c>
      <c r="AB69" s="1069" t="s">
        <v>2797</v>
      </c>
      <c r="AC69" s="1069" t="s">
        <v>2797</v>
      </c>
      <c r="AD69" s="1068"/>
      <c r="AE69" s="1072">
        <f>AG69</f>
        <v>6960</v>
      </c>
      <c r="AF69" s="1068"/>
      <c r="AG69" s="1073">
        <v>6960</v>
      </c>
      <c r="AH69" s="1204">
        <v>6960</v>
      </c>
      <c r="AI69" s="1073"/>
      <c r="AJ69" s="1253" t="s">
        <v>2987</v>
      </c>
      <c r="AK69" s="1073" t="str">
        <f t="shared" si="45"/>
        <v>no</v>
      </c>
      <c r="AL69" s="1073" t="str">
        <f>IF(AND(AG69&gt;=5001,AG69&lt;=10000),"yes","no")</f>
        <v>yes</v>
      </c>
      <c r="AM69" s="1073" t="str">
        <f t="shared" si="56"/>
        <v>no</v>
      </c>
      <c r="AN69" s="1204"/>
      <c r="AO69" s="1068" t="s">
        <v>2988</v>
      </c>
      <c r="AP69" s="1073">
        <v>7540</v>
      </c>
      <c r="AQ69" s="1254">
        <v>45078</v>
      </c>
      <c r="AR69" s="1068"/>
      <c r="AS69" s="1068"/>
      <c r="AT69" s="1068"/>
      <c r="AU69" s="1068"/>
      <c r="AV69" s="1068"/>
      <c r="AW69" s="1068"/>
      <c r="AX69" s="1068"/>
      <c r="AY69" s="1068"/>
      <c r="AZ69" s="1068"/>
      <c r="BA69" s="1073"/>
      <c r="BB69" s="1073"/>
      <c r="BC69" s="1068"/>
      <c r="BD69" s="1068"/>
      <c r="BE69" s="1068"/>
      <c r="BF69" s="1068"/>
      <c r="BG69" s="1068"/>
      <c r="BH69" s="1073">
        <f t="shared" si="43"/>
        <v>7540</v>
      </c>
      <c r="BI69" s="1068">
        <v>0</v>
      </c>
      <c r="BJ69" s="1068"/>
      <c r="BK69" s="1083">
        <v>6960</v>
      </c>
      <c r="BL69" s="1083">
        <f t="shared" si="13"/>
        <v>0</v>
      </c>
      <c r="BM69" s="1083">
        <f t="shared" si="14"/>
        <v>0</v>
      </c>
      <c r="BN69" s="1092">
        <f t="shared" si="15"/>
        <v>6960</v>
      </c>
      <c r="BO69" s="1092">
        <v>-6960</v>
      </c>
      <c r="BP69" s="1092"/>
      <c r="BQ69" s="1092">
        <v>0</v>
      </c>
      <c r="BS69" s="1255">
        <v>68130</v>
      </c>
      <c r="BT69" s="1256" t="s">
        <v>2989</v>
      </c>
      <c r="BU69" s="1257" t="s">
        <v>2990</v>
      </c>
      <c r="BV69" s="1074" t="s">
        <v>2991</v>
      </c>
      <c r="CA69" s="1207">
        <v>-6960</v>
      </c>
      <c r="CB69" s="1258"/>
      <c r="CC69" s="1258"/>
      <c r="CD69" s="1258"/>
      <c r="CE69" s="1259">
        <v>14500</v>
      </c>
      <c r="CF69" s="1258"/>
      <c r="CJ69" s="1093">
        <f t="shared" si="22"/>
        <v>14500</v>
      </c>
      <c r="CL69" s="1207"/>
      <c r="CM69" s="1198">
        <f>BM69</f>
        <v>0</v>
      </c>
      <c r="CN69" s="1127">
        <f>CL69-CM69</f>
        <v>0</v>
      </c>
      <c r="CO69" s="1098">
        <v>14500</v>
      </c>
      <c r="CP69" s="1098">
        <f>CO69-BQ69</f>
        <v>14500</v>
      </c>
      <c r="CQ69" s="1168" t="s">
        <v>2992</v>
      </c>
      <c r="CR69" s="1100"/>
      <c r="CS69" s="1100"/>
      <c r="CT69" s="1100"/>
      <c r="CU69" s="1101">
        <f t="shared" si="19"/>
        <v>14500</v>
      </c>
      <c r="CV69" s="1124">
        <f t="shared" si="20"/>
        <v>0</v>
      </c>
      <c r="CW69" s="1103"/>
      <c r="DA69" s="1104">
        <f t="shared" si="32"/>
        <v>14500</v>
      </c>
      <c r="DB69" s="1067">
        <f t="shared" si="46"/>
        <v>0</v>
      </c>
      <c r="DF69" s="1067">
        <f t="shared" si="6"/>
        <v>14500</v>
      </c>
      <c r="DG69" s="1105">
        <f t="shared" si="7"/>
        <v>0</v>
      </c>
      <c r="DH69" s="1067">
        <v>-6960</v>
      </c>
      <c r="DI69" s="1067">
        <f t="shared" si="59"/>
        <v>7540</v>
      </c>
      <c r="DJ69" s="1067">
        <f t="shared" si="8"/>
        <v>-6960</v>
      </c>
      <c r="DM69" s="1066">
        <f t="shared" si="47"/>
        <v>7540</v>
      </c>
      <c r="DP69" s="1067">
        <f t="shared" si="26"/>
        <v>7540</v>
      </c>
      <c r="DR69" s="1067">
        <f t="shared" si="60"/>
        <v>7540</v>
      </c>
      <c r="DT69" s="973">
        <f t="shared" ref="DT69:DT88" si="61">DR69+DS69</f>
        <v>7540</v>
      </c>
      <c r="DV69" s="251"/>
    </row>
    <row r="70" spans="1:127" x14ac:dyDescent="0.25">
      <c r="A70" s="1068">
        <v>1</v>
      </c>
      <c r="B70" s="480" t="s">
        <v>2221</v>
      </c>
      <c r="C70" s="480">
        <v>206937</v>
      </c>
      <c r="D70" s="480" t="s">
        <v>2993</v>
      </c>
      <c r="E70" s="480" t="s">
        <v>1606</v>
      </c>
      <c r="F70" s="480">
        <v>436217</v>
      </c>
      <c r="G70" s="480" t="s">
        <v>1922</v>
      </c>
      <c r="H70" s="480" t="s">
        <v>2994</v>
      </c>
      <c r="I70" s="1038">
        <v>42717</v>
      </c>
      <c r="J70" s="480">
        <v>0</v>
      </c>
      <c r="K70" s="1039">
        <f t="shared" ca="1" si="44"/>
        <v>8.774811772758385</v>
      </c>
      <c r="L70" s="1039" t="s">
        <v>1885</v>
      </c>
      <c r="M70" s="1039" t="s">
        <v>1495</v>
      </c>
      <c r="N70" s="480" t="s">
        <v>2348</v>
      </c>
      <c r="O70" s="1069"/>
      <c r="P70" s="1069"/>
      <c r="Q70" s="1070">
        <v>5819.25</v>
      </c>
      <c r="R70" s="1073">
        <v>0</v>
      </c>
      <c r="S70" s="963">
        <v>45017</v>
      </c>
      <c r="T70" s="1042">
        <v>1</v>
      </c>
      <c r="U70" s="963">
        <v>45382</v>
      </c>
      <c r="V70" s="1044">
        <v>192</v>
      </c>
      <c r="W70" s="1044">
        <f t="shared" si="3"/>
        <v>192</v>
      </c>
      <c r="X70" s="1045">
        <f t="shared" si="4"/>
        <v>1</v>
      </c>
      <c r="Y70" s="1046">
        <v>1</v>
      </c>
      <c r="Z70" s="1045">
        <f t="shared" si="5"/>
        <v>1</v>
      </c>
      <c r="AA70" s="1047">
        <f t="shared" si="23"/>
        <v>0</v>
      </c>
      <c r="AB70" s="1069" t="s">
        <v>2797</v>
      </c>
      <c r="AC70" s="1069" t="s">
        <v>2797</v>
      </c>
      <c r="AD70" s="1068"/>
      <c r="AE70" s="1072">
        <f>AG70</f>
        <v>5819.25</v>
      </c>
      <c r="AF70" s="1068"/>
      <c r="AG70" s="1073">
        <v>5819.25</v>
      </c>
      <c r="AH70" s="1204">
        <v>5819.25</v>
      </c>
      <c r="AI70" s="1073"/>
      <c r="AJ70" s="1205"/>
      <c r="AK70" s="1073" t="str">
        <f t="shared" si="45"/>
        <v>no</v>
      </c>
      <c r="AL70" s="1073" t="str">
        <f>IF(AND(AG70&gt;=5001,AG70&lt;=10000),"yes","no")</f>
        <v>yes</v>
      </c>
      <c r="AM70" s="1073" t="str">
        <f t="shared" si="56"/>
        <v>no</v>
      </c>
      <c r="AN70" s="1204"/>
      <c r="AO70" s="1068"/>
      <c r="AP70" s="1073"/>
      <c r="AQ70" s="1068"/>
      <c r="AR70" s="1068"/>
      <c r="AS70" s="1068"/>
      <c r="AT70" s="1068"/>
      <c r="AU70" s="1068"/>
      <c r="AV70" s="1068"/>
      <c r="AW70" s="1068"/>
      <c r="AX70" s="1068"/>
      <c r="AY70" s="1068"/>
      <c r="AZ70" s="1068"/>
      <c r="BA70" s="1073"/>
      <c r="BB70" s="1073"/>
      <c r="BC70" s="1068"/>
      <c r="BD70" s="1068"/>
      <c r="BE70" s="1068"/>
      <c r="BF70" s="1068"/>
      <c r="BG70" s="1068"/>
      <c r="BH70" s="1073">
        <f t="shared" si="43"/>
        <v>0</v>
      </c>
      <c r="BI70" s="1068">
        <v>0</v>
      </c>
      <c r="BJ70" s="1068"/>
      <c r="BK70" s="1083">
        <v>5819.25</v>
      </c>
      <c r="BL70" s="1083">
        <f t="shared" si="13"/>
        <v>0</v>
      </c>
      <c r="BM70" s="1083">
        <f t="shared" si="14"/>
        <v>0</v>
      </c>
      <c r="BN70" s="1092">
        <f t="shared" si="15"/>
        <v>5819.25</v>
      </c>
      <c r="BO70" s="1092">
        <v>0</v>
      </c>
      <c r="BP70" s="1092"/>
      <c r="BQ70" s="1092">
        <v>5819.25</v>
      </c>
      <c r="CJ70" s="1093">
        <f t="shared" si="22"/>
        <v>5819.25</v>
      </c>
      <c r="CL70" s="1207"/>
      <c r="CM70" s="1198">
        <f>BM70</f>
        <v>0</v>
      </c>
      <c r="CN70" s="1127">
        <f>CL70-CM70</f>
        <v>0</v>
      </c>
      <c r="CO70" s="1098">
        <v>5819.25</v>
      </c>
      <c r="CP70" s="1098">
        <f>CO70-BQ70</f>
        <v>0</v>
      </c>
      <c r="CQ70" s="1168"/>
      <c r="CR70" s="1100"/>
      <c r="CS70" s="1100"/>
      <c r="CT70" s="1100"/>
      <c r="CU70" s="1101">
        <f t="shared" si="19"/>
        <v>5819.25</v>
      </c>
      <c r="CV70" s="1124">
        <f t="shared" si="20"/>
        <v>0</v>
      </c>
      <c r="CW70" s="1103"/>
      <c r="DA70" s="1104">
        <f t="shared" si="32"/>
        <v>5819.25</v>
      </c>
      <c r="DB70" s="1067">
        <f t="shared" si="46"/>
        <v>0</v>
      </c>
      <c r="DF70" s="1067">
        <f t="shared" si="6"/>
        <v>5819.25</v>
      </c>
      <c r="DG70" s="1105">
        <f t="shared" si="7"/>
        <v>0</v>
      </c>
      <c r="DI70" s="1067">
        <f t="shared" si="59"/>
        <v>5819.25</v>
      </c>
      <c r="DJ70" s="1067">
        <f t="shared" si="8"/>
        <v>0</v>
      </c>
      <c r="DM70" s="1066">
        <f t="shared" si="47"/>
        <v>5819.25</v>
      </c>
      <c r="DP70" s="1067">
        <f t="shared" si="26"/>
        <v>5819.25</v>
      </c>
      <c r="DR70" s="1067">
        <f t="shared" si="60"/>
        <v>5819.25</v>
      </c>
      <c r="DT70" s="973">
        <f t="shared" si="61"/>
        <v>5819.25</v>
      </c>
      <c r="DV70" s="251"/>
    </row>
    <row r="71" spans="1:127" x14ac:dyDescent="0.25">
      <c r="A71" s="1068">
        <v>1</v>
      </c>
      <c r="B71" s="480" t="s">
        <v>2787</v>
      </c>
      <c r="C71" s="480" t="s">
        <v>2824</v>
      </c>
      <c r="D71" s="480" t="s">
        <v>2995</v>
      </c>
      <c r="E71" s="480" t="s">
        <v>1606</v>
      </c>
      <c r="F71" s="480">
        <v>409007</v>
      </c>
      <c r="G71" s="480" t="s">
        <v>2212</v>
      </c>
      <c r="H71" s="480" t="s">
        <v>2213</v>
      </c>
      <c r="I71" s="1181">
        <v>40870</v>
      </c>
      <c r="J71" s="480">
        <v>6</v>
      </c>
      <c r="K71" s="1039">
        <f t="shared" ca="1" si="44"/>
        <v>13.831622176591376</v>
      </c>
      <c r="L71" s="1039" t="s">
        <v>1885</v>
      </c>
      <c r="M71" s="1039" t="s">
        <v>56</v>
      </c>
      <c r="N71" s="480" t="s">
        <v>2388</v>
      </c>
      <c r="O71" s="1069">
        <v>5343.48</v>
      </c>
      <c r="P71" s="1069" t="s">
        <v>2996</v>
      </c>
      <c r="Q71" s="1070">
        <v>0</v>
      </c>
      <c r="R71" s="1073">
        <v>0</v>
      </c>
      <c r="S71" s="963">
        <v>45017</v>
      </c>
      <c r="T71" s="1042">
        <v>1</v>
      </c>
      <c r="U71" s="963">
        <v>45128</v>
      </c>
      <c r="V71" s="1044">
        <v>63</v>
      </c>
      <c r="W71" s="1044">
        <f t="shared" ref="W71:W86" si="62">V71-T71+1</f>
        <v>63</v>
      </c>
      <c r="X71" s="1045">
        <f t="shared" ref="X71:X86" si="63">W71/192</f>
        <v>0.328125</v>
      </c>
      <c r="Y71" s="1046">
        <v>1</v>
      </c>
      <c r="Z71" s="1045">
        <f t="shared" ref="Z71:Z88" si="64">Y71*X71</f>
        <v>0.328125</v>
      </c>
      <c r="AA71" s="1047">
        <f t="shared" si="23"/>
        <v>1753.3293749999998</v>
      </c>
      <c r="AB71" s="1069" t="s">
        <v>2797</v>
      </c>
      <c r="AC71" s="1069" t="s">
        <v>2797</v>
      </c>
      <c r="AD71" s="1068"/>
      <c r="AE71" s="1072">
        <v>5069.76</v>
      </c>
      <c r="AF71" s="1068"/>
      <c r="AG71" s="1073">
        <v>5069.76</v>
      </c>
      <c r="AH71" s="1204"/>
      <c r="AI71" s="1073"/>
      <c r="AJ71" s="1253" t="s">
        <v>2997</v>
      </c>
      <c r="AK71" s="1073" t="s">
        <v>2804</v>
      </c>
      <c r="AL71" s="1073" t="s">
        <v>2805</v>
      </c>
      <c r="AM71" s="1073" t="str">
        <f t="shared" si="56"/>
        <v>no</v>
      </c>
      <c r="AN71" s="1204"/>
      <c r="AO71" s="1068"/>
      <c r="AP71" s="1073"/>
      <c r="AQ71" s="1068"/>
      <c r="AR71" s="1073"/>
      <c r="AS71" s="1068"/>
      <c r="AT71" s="1068"/>
      <c r="AU71" s="1068"/>
      <c r="AV71" s="1068"/>
      <c r="AW71" s="1068"/>
      <c r="AX71" s="1068"/>
      <c r="AY71" s="1068"/>
      <c r="AZ71" s="1068"/>
      <c r="BA71" s="1073">
        <v>5069.76</v>
      </c>
      <c r="BB71" s="1136"/>
      <c r="BC71" s="1068"/>
      <c r="BD71" s="1068"/>
      <c r="BE71" s="1068"/>
      <c r="BF71" s="1068"/>
      <c r="BG71" s="1068"/>
      <c r="BH71" s="1073">
        <f t="shared" si="43"/>
        <v>0</v>
      </c>
      <c r="BI71" s="1068">
        <v>0</v>
      </c>
      <c r="BJ71" s="1068"/>
      <c r="BK71" s="1083">
        <v>5069.76</v>
      </c>
      <c r="BL71" s="1083">
        <f t="shared" si="13"/>
        <v>0</v>
      </c>
      <c r="BM71" s="1083">
        <f t="shared" si="14"/>
        <v>5069.76</v>
      </c>
      <c r="BN71" s="1092">
        <f t="shared" si="15"/>
        <v>0</v>
      </c>
      <c r="BO71" s="1092">
        <v>0</v>
      </c>
      <c r="BP71" s="1092"/>
      <c r="BQ71" s="1092">
        <v>0</v>
      </c>
      <c r="CJ71" s="1093">
        <f t="shared" si="22"/>
        <v>0</v>
      </c>
      <c r="CL71" s="1197">
        <v>5069.76</v>
      </c>
      <c r="CM71" s="1198">
        <f>BM71</f>
        <v>5069.76</v>
      </c>
      <c r="CN71" s="1127">
        <f>CL71-CM71</f>
        <v>0</v>
      </c>
      <c r="CO71" s="1098">
        <v>0</v>
      </c>
      <c r="CP71" s="1098">
        <f>CO71-BQ71</f>
        <v>0</v>
      </c>
      <c r="CQ71" s="1168" t="s">
        <v>2998</v>
      </c>
      <c r="CR71" s="1100"/>
      <c r="CS71" s="1100"/>
      <c r="CT71" s="1100"/>
      <c r="CU71" s="1101">
        <f t="shared" si="19"/>
        <v>0</v>
      </c>
      <c r="CV71" s="1124">
        <f t="shared" si="20"/>
        <v>0</v>
      </c>
      <c r="CW71" s="1103"/>
      <c r="DA71" s="1104">
        <f t="shared" si="32"/>
        <v>0</v>
      </c>
      <c r="DB71" s="1067">
        <f t="shared" si="46"/>
        <v>0</v>
      </c>
      <c r="DE71" s="1067">
        <v>1782.16</v>
      </c>
      <c r="DF71" s="1067">
        <f t="shared" si="6"/>
        <v>1782.16</v>
      </c>
      <c r="DG71" s="1105">
        <f t="shared" si="7"/>
        <v>1782.16</v>
      </c>
      <c r="DI71" s="1067">
        <f t="shared" si="59"/>
        <v>1782.16</v>
      </c>
      <c r="DJ71" s="1067">
        <f t="shared" si="8"/>
        <v>0</v>
      </c>
      <c r="DM71" s="1066">
        <f t="shared" si="47"/>
        <v>1782.16</v>
      </c>
      <c r="DP71" s="1067">
        <f t="shared" si="26"/>
        <v>1782.16</v>
      </c>
      <c r="DR71" s="1067">
        <f t="shared" si="60"/>
        <v>1782.16</v>
      </c>
      <c r="DT71" s="973">
        <f t="shared" si="61"/>
        <v>1782.16</v>
      </c>
      <c r="DV71" s="251"/>
    </row>
    <row r="72" spans="1:127" x14ac:dyDescent="0.25">
      <c r="A72" s="1068">
        <v>0</v>
      </c>
      <c r="B72" s="1219" t="s">
        <v>2787</v>
      </c>
      <c r="C72" s="1219">
        <v>208724</v>
      </c>
      <c r="D72" s="1219" t="s">
        <v>2999</v>
      </c>
      <c r="E72" s="1219" t="s">
        <v>1606</v>
      </c>
      <c r="F72" s="1219">
        <v>412718</v>
      </c>
      <c r="G72" s="1219" t="s">
        <v>3000</v>
      </c>
      <c r="H72" s="1219" t="s">
        <v>2299</v>
      </c>
      <c r="I72" s="1181">
        <v>41260</v>
      </c>
      <c r="J72" s="1219">
        <v>6</v>
      </c>
      <c r="K72" s="1220">
        <f t="shared" ca="1" si="44"/>
        <v>12.763860369609857</v>
      </c>
      <c r="L72" s="1220" t="s">
        <v>1885</v>
      </c>
      <c r="M72" s="1039" t="s">
        <v>56</v>
      </c>
      <c r="N72" s="480" t="s">
        <v>2795</v>
      </c>
      <c r="O72" s="1069">
        <v>9686.0400000000009</v>
      </c>
      <c r="P72" s="1069"/>
      <c r="Q72" s="1073">
        <v>5728</v>
      </c>
      <c r="R72" s="1073">
        <f>9686.04</f>
        <v>9686.0400000000009</v>
      </c>
      <c r="S72" s="963">
        <v>45044</v>
      </c>
      <c r="T72" s="1042">
        <v>11</v>
      </c>
      <c r="U72" s="963">
        <v>45081</v>
      </c>
      <c r="V72" s="1044" t="e">
        <v>#N/A</v>
      </c>
      <c r="W72" s="1044" t="e">
        <f t="shared" si="62"/>
        <v>#N/A</v>
      </c>
      <c r="X72" s="1045" t="e">
        <f t="shared" si="63"/>
        <v>#N/A</v>
      </c>
      <c r="Y72" s="1046">
        <v>1</v>
      </c>
      <c r="Z72" s="1045">
        <v>0</v>
      </c>
      <c r="AA72" s="1047">
        <f>Q72*Z72</f>
        <v>0</v>
      </c>
      <c r="AB72" s="1069" t="s">
        <v>2797</v>
      </c>
      <c r="AC72" s="1069" t="s">
        <v>2797</v>
      </c>
      <c r="AD72" s="1068"/>
      <c r="AE72" s="1072">
        <f>AG72</f>
        <v>19372.080000000002</v>
      </c>
      <c r="AF72" s="1068"/>
      <c r="AG72" s="1073">
        <f>9686.04+9686.04</f>
        <v>19372.080000000002</v>
      </c>
      <c r="AH72" s="1110">
        <v>9686.0400000000009</v>
      </c>
      <c r="AI72" s="1073">
        <v>9686.0400000000009</v>
      </c>
      <c r="AJ72" s="1260" t="s">
        <v>3001</v>
      </c>
      <c r="AK72" s="1073" t="str">
        <f t="shared" ref="AK72:AK82" si="65">IF(AG72&lt;=5000,"yes","no")</f>
        <v>no</v>
      </c>
      <c r="AL72" s="1073" t="str">
        <f t="shared" ref="AL72:AL82" si="66">IF(AND(AG72&gt;=5001,AG72&lt;=10000),"yes","no")</f>
        <v>no</v>
      </c>
      <c r="AM72" s="1073" t="str">
        <f t="shared" si="56"/>
        <v>yes</v>
      </c>
      <c r="AN72" s="1260"/>
      <c r="AO72" s="1068"/>
      <c r="AP72" s="1073"/>
      <c r="AQ72" s="1068"/>
      <c r="AR72" s="1073"/>
      <c r="AS72" s="1068"/>
      <c r="AT72" s="1068"/>
      <c r="AU72" s="1068"/>
      <c r="AV72" s="1068"/>
      <c r="AW72" s="1068"/>
      <c r="AX72" s="1068"/>
      <c r="AY72" s="1068"/>
      <c r="AZ72" s="1068"/>
      <c r="BA72" s="1073"/>
      <c r="BB72" s="1073"/>
      <c r="BC72" s="1068"/>
      <c r="BD72" s="1068"/>
      <c r="BE72" s="1068"/>
      <c r="BF72" s="1068"/>
      <c r="BG72" s="1068"/>
      <c r="BH72" s="1073">
        <f t="shared" si="43"/>
        <v>0</v>
      </c>
      <c r="BI72" s="1068">
        <v>0</v>
      </c>
      <c r="BJ72" s="1068"/>
      <c r="BK72" s="1083">
        <v>19372.080000000002</v>
      </c>
      <c r="BL72" s="1083">
        <f t="shared" si="13"/>
        <v>0</v>
      </c>
      <c r="BM72" s="1083">
        <f t="shared" si="14"/>
        <v>0</v>
      </c>
      <c r="BN72" s="1092">
        <f t="shared" si="15"/>
        <v>19372.080000000002</v>
      </c>
      <c r="BO72" s="1092">
        <v>0</v>
      </c>
      <c r="BP72" s="1092"/>
      <c r="BQ72" s="1092">
        <v>19372.080000000002</v>
      </c>
      <c r="CI72" s="1074">
        <f>511.48-9686.04</f>
        <v>-9174.5600000000013</v>
      </c>
      <c r="CJ72" s="1093">
        <f>BQ72-CC72+CE72-CN72+CI72</f>
        <v>511.47999999999956</v>
      </c>
      <c r="CL72" s="1197">
        <v>9686.0400000000009</v>
      </c>
      <c r="CM72" s="1198">
        <f>BM72</f>
        <v>0</v>
      </c>
      <c r="CN72" s="1127">
        <f>CL72-CM72</f>
        <v>9686.0400000000009</v>
      </c>
      <c r="CO72" s="1098">
        <v>18860.600000000002</v>
      </c>
      <c r="CP72" s="1098">
        <f>CO72-BQ72</f>
        <v>-511.47999999999956</v>
      </c>
      <c r="CQ72" s="1168" t="s">
        <v>3002</v>
      </c>
      <c r="CR72" s="1100"/>
      <c r="CS72" s="1100"/>
      <c r="CT72" s="1100"/>
      <c r="CU72" s="1101">
        <f t="shared" si="19"/>
        <v>18860.600000000002</v>
      </c>
      <c r="CV72" s="1124">
        <f t="shared" si="20"/>
        <v>0</v>
      </c>
      <c r="CW72" s="1103"/>
      <c r="DA72" s="1104">
        <f t="shared" si="32"/>
        <v>18860.600000000002</v>
      </c>
      <c r="DB72" s="1067">
        <f t="shared" si="46"/>
        <v>0</v>
      </c>
      <c r="DF72" s="1067">
        <f t="shared" si="6"/>
        <v>18860.600000000002</v>
      </c>
      <c r="DG72" s="1105">
        <f t="shared" si="7"/>
        <v>0</v>
      </c>
      <c r="DH72" s="1067">
        <v>-8440</v>
      </c>
      <c r="DI72" s="1261">
        <f t="shared" si="59"/>
        <v>10420.600000000002</v>
      </c>
      <c r="DJ72" s="1067">
        <f t="shared" si="8"/>
        <v>-8440</v>
      </c>
      <c r="DM72" s="1066">
        <f t="shared" si="47"/>
        <v>10420.600000000002</v>
      </c>
      <c r="DP72" s="1067">
        <f t="shared" si="26"/>
        <v>10420.600000000002</v>
      </c>
      <c r="DR72" s="1067">
        <f t="shared" si="60"/>
        <v>10420.600000000002</v>
      </c>
      <c r="DT72" s="973">
        <f t="shared" si="61"/>
        <v>10420.600000000002</v>
      </c>
      <c r="DV72" s="251"/>
    </row>
    <row r="73" spans="1:127" x14ac:dyDescent="0.25">
      <c r="A73" s="1068">
        <v>1</v>
      </c>
      <c r="B73" s="1219" t="s">
        <v>2787</v>
      </c>
      <c r="C73" s="1219">
        <v>208724</v>
      </c>
      <c r="D73" s="1219" t="s">
        <v>2999</v>
      </c>
      <c r="E73" s="1219" t="s">
        <v>1606</v>
      </c>
      <c r="F73" s="1068">
        <v>455542</v>
      </c>
      <c r="G73" s="1068" t="s">
        <v>3003</v>
      </c>
      <c r="H73" s="1068" t="s">
        <v>307</v>
      </c>
      <c r="I73" s="1262">
        <v>41179</v>
      </c>
      <c r="J73" s="1074">
        <v>5</v>
      </c>
      <c r="K73" s="1220">
        <f t="shared" ca="1" si="44"/>
        <v>12.985626283367557</v>
      </c>
      <c r="L73" s="1220" t="s">
        <v>1885</v>
      </c>
      <c r="M73" s="1220"/>
      <c r="N73" s="1219" t="s">
        <v>91</v>
      </c>
      <c r="O73" s="1222">
        <v>9630</v>
      </c>
      <c r="P73" s="1069"/>
      <c r="Q73" s="1073">
        <v>7724</v>
      </c>
      <c r="R73" s="1073"/>
      <c r="S73" s="963">
        <v>45096</v>
      </c>
      <c r="T73" s="1042">
        <v>40</v>
      </c>
      <c r="U73" s="963">
        <v>45382</v>
      </c>
      <c r="V73" s="1044">
        <v>192</v>
      </c>
      <c r="W73" s="1044">
        <f t="shared" si="62"/>
        <v>153</v>
      </c>
      <c r="X73" s="1045">
        <f t="shared" si="63"/>
        <v>0.796875</v>
      </c>
      <c r="Y73" s="1046">
        <v>1</v>
      </c>
      <c r="Z73" s="1045">
        <f t="shared" si="64"/>
        <v>0.796875</v>
      </c>
      <c r="AA73" s="1047">
        <f t="shared" si="23"/>
        <v>7673.90625</v>
      </c>
      <c r="AB73" s="1222"/>
      <c r="AC73" s="1222"/>
      <c r="AD73" s="1068"/>
      <c r="AE73" s="1072"/>
      <c r="AF73" s="1068"/>
      <c r="AG73" s="1073"/>
      <c r="AI73" s="1073"/>
      <c r="AJ73" s="1260"/>
      <c r="AK73" s="1073"/>
      <c r="AL73" s="1073"/>
      <c r="AM73" s="1073"/>
      <c r="AN73" s="1260"/>
      <c r="AO73" s="1068"/>
      <c r="AP73" s="1073"/>
      <c r="AQ73" s="1068"/>
      <c r="AR73" s="1073"/>
      <c r="AS73" s="1068"/>
      <c r="AT73" s="1068"/>
      <c r="AU73" s="1068"/>
      <c r="AV73" s="1068"/>
      <c r="AW73" s="1068"/>
      <c r="AX73" s="1068"/>
      <c r="AY73" s="1068"/>
      <c r="AZ73" s="1068"/>
      <c r="BA73" s="1073"/>
      <c r="BB73" s="1073"/>
      <c r="BC73" s="1068"/>
      <c r="BD73" s="1068"/>
      <c r="BE73" s="1068"/>
      <c r="BF73" s="1068"/>
      <c r="BG73" s="1068"/>
      <c r="BH73" s="1073"/>
      <c r="BI73" s="1068">
        <v>0</v>
      </c>
      <c r="BJ73" s="1068"/>
      <c r="BK73" s="1083">
        <v>0</v>
      </c>
      <c r="BL73" s="1083"/>
      <c r="BM73" s="1083"/>
      <c r="BN73" s="1092"/>
      <c r="BO73" s="1092"/>
      <c r="BP73" s="1092"/>
      <c r="BQ73" s="1092"/>
      <c r="CJ73" s="1093"/>
      <c r="CL73" s="1207"/>
      <c r="CM73" s="1198"/>
      <c r="CN73" s="1127"/>
      <c r="CO73" s="1098"/>
      <c r="CP73" s="1098"/>
      <c r="CQ73" s="1168"/>
      <c r="CR73" s="1100"/>
      <c r="CS73" s="1100"/>
      <c r="CT73" s="1100"/>
      <c r="CU73" s="1101"/>
      <c r="CV73" s="1124"/>
      <c r="CW73" s="1103"/>
      <c r="DA73" s="1104"/>
      <c r="DG73" s="1105"/>
      <c r="DH73" s="1067">
        <f>Q73</f>
        <v>7724</v>
      </c>
      <c r="DI73" s="1067">
        <f t="shared" si="59"/>
        <v>7724</v>
      </c>
      <c r="DJ73" s="1067">
        <f t="shared" ref="DJ73:DJ82" si="67">DI73-DF73</f>
        <v>7724</v>
      </c>
      <c r="DM73" s="1066">
        <f t="shared" si="47"/>
        <v>7724</v>
      </c>
      <c r="DP73" s="1067">
        <f t="shared" si="26"/>
        <v>7724</v>
      </c>
      <c r="DR73" s="1067">
        <f t="shared" si="60"/>
        <v>7724</v>
      </c>
      <c r="DT73" s="973">
        <f t="shared" si="61"/>
        <v>7724</v>
      </c>
      <c r="DV73" s="251"/>
    </row>
    <row r="74" spans="1:127" ht="15.75" x14ac:dyDescent="0.25">
      <c r="A74" s="1068">
        <v>1</v>
      </c>
      <c r="B74" s="1219" t="s">
        <v>2787</v>
      </c>
      <c r="C74" s="1219">
        <v>210636</v>
      </c>
      <c r="D74" s="1219" t="s">
        <v>3004</v>
      </c>
      <c r="E74" s="1219" t="s">
        <v>2805</v>
      </c>
      <c r="F74" s="1263">
        <v>437270</v>
      </c>
      <c r="G74" s="1219" t="s">
        <v>1989</v>
      </c>
      <c r="H74" s="1219" t="s">
        <v>777</v>
      </c>
      <c r="I74" s="1038">
        <v>43424</v>
      </c>
      <c r="J74" s="1219">
        <v>-1</v>
      </c>
      <c r="K74" s="1220">
        <f ca="1">(TODAY()-I74)/365.25</f>
        <v>6.839151266255989</v>
      </c>
      <c r="L74" s="1264" t="s">
        <v>1885</v>
      </c>
      <c r="M74" s="1220" t="s">
        <v>56</v>
      </c>
      <c r="N74" s="480" t="s">
        <v>3005</v>
      </c>
      <c r="O74" s="1069"/>
      <c r="P74" s="1069"/>
      <c r="Q74" s="1070">
        <v>9455.4</v>
      </c>
      <c r="R74" s="1073">
        <v>0</v>
      </c>
      <c r="S74" s="963">
        <v>45017</v>
      </c>
      <c r="T74" s="1042">
        <v>1</v>
      </c>
      <c r="U74" s="963">
        <v>45128</v>
      </c>
      <c r="V74" s="1044">
        <v>63</v>
      </c>
      <c r="W74" s="1044">
        <f t="shared" si="62"/>
        <v>63</v>
      </c>
      <c r="X74" s="1045">
        <f t="shared" si="63"/>
        <v>0.328125</v>
      </c>
      <c r="Y74" s="1046">
        <v>1</v>
      </c>
      <c r="Z74" s="1045">
        <f t="shared" si="64"/>
        <v>0.328125</v>
      </c>
      <c r="AA74" s="1047">
        <f t="shared" ref="AA74:AA81" si="68">O74*Z74</f>
        <v>0</v>
      </c>
      <c r="AB74" s="1222" t="s">
        <v>2797</v>
      </c>
      <c r="AC74" s="1222" t="s">
        <v>2797</v>
      </c>
      <c r="AD74" s="1068"/>
      <c r="AE74" s="1072">
        <f>AG74</f>
        <v>9455.4</v>
      </c>
      <c r="AF74" s="1068"/>
      <c r="AG74" s="1073">
        <v>9455.4</v>
      </c>
      <c r="AH74" s="1204">
        <v>9455.4</v>
      </c>
      <c r="AI74" s="1073"/>
      <c r="AK74" s="1073" t="str">
        <f t="shared" si="65"/>
        <v>no</v>
      </c>
      <c r="AL74" s="1073" t="str">
        <f t="shared" si="66"/>
        <v>yes</v>
      </c>
      <c r="AM74" s="1073" t="str">
        <f t="shared" si="56"/>
        <v>no</v>
      </c>
      <c r="AO74" s="1265" t="s">
        <v>3006</v>
      </c>
      <c r="AP74" s="1073">
        <v>951.55</v>
      </c>
      <c r="AQ74" s="1134">
        <v>44980</v>
      </c>
      <c r="AR74" s="1073"/>
      <c r="AS74" s="1068"/>
      <c r="AT74" s="1068"/>
      <c r="AU74" s="1068"/>
      <c r="AV74" s="1068"/>
      <c r="AW74" s="1068"/>
      <c r="AX74" s="1068"/>
      <c r="AY74" s="1068"/>
      <c r="AZ74" s="1068"/>
      <c r="BA74" s="1073"/>
      <c r="BB74" s="1073"/>
      <c r="BC74" s="1068"/>
      <c r="BD74" s="1068"/>
      <c r="BE74" s="1068"/>
      <c r="BF74" s="1068"/>
      <c r="BG74" s="1068"/>
      <c r="BH74" s="1073">
        <f t="shared" si="43"/>
        <v>951.55</v>
      </c>
      <c r="BI74" s="1068">
        <v>0</v>
      </c>
      <c r="BJ74" s="1068"/>
      <c r="BK74" s="1083">
        <v>9455.4</v>
      </c>
      <c r="BL74" s="1083">
        <f t="shared" si="13"/>
        <v>0</v>
      </c>
      <c r="BM74" s="1083">
        <f t="shared" si="14"/>
        <v>0</v>
      </c>
      <c r="BN74" s="1092">
        <f t="shared" si="15"/>
        <v>9455.4</v>
      </c>
      <c r="BO74" s="1092">
        <v>0</v>
      </c>
      <c r="BP74" s="1092"/>
      <c r="BQ74" s="1092">
        <v>9455.4</v>
      </c>
      <c r="CJ74" s="1093">
        <f t="shared" si="22"/>
        <v>9455.4</v>
      </c>
      <c r="CL74" s="1207"/>
      <c r="CM74" s="1198">
        <f>BM74</f>
        <v>0</v>
      </c>
      <c r="CN74" s="1127">
        <f>CL74-CM74</f>
        <v>0</v>
      </c>
      <c r="CO74" s="1098">
        <v>9455.4</v>
      </c>
      <c r="CP74" s="1098">
        <f>CO74-BQ74</f>
        <v>0</v>
      </c>
      <c r="CQ74" s="1168"/>
      <c r="CR74" s="1100"/>
      <c r="CS74" s="1100"/>
      <c r="CT74" s="1100"/>
      <c r="CU74" s="1101">
        <f t="shared" si="19"/>
        <v>9455.4</v>
      </c>
      <c r="CV74" s="1124">
        <f t="shared" si="20"/>
        <v>0</v>
      </c>
      <c r="CW74" s="1103"/>
      <c r="DA74" s="1104">
        <f t="shared" si="32"/>
        <v>9455.4</v>
      </c>
      <c r="DB74" s="1067">
        <f t="shared" si="46"/>
        <v>0</v>
      </c>
      <c r="DF74" s="1067">
        <f t="shared" si="6"/>
        <v>9455.4</v>
      </c>
      <c r="DG74" s="1105">
        <f t="shared" si="7"/>
        <v>0</v>
      </c>
      <c r="DI74" s="1067">
        <f t="shared" si="59"/>
        <v>9455.4</v>
      </c>
      <c r="DJ74" s="1067">
        <f t="shared" si="67"/>
        <v>0</v>
      </c>
      <c r="DL74" s="1067">
        <v>-6303.6</v>
      </c>
      <c r="DM74" s="1066">
        <f t="shared" si="47"/>
        <v>3151.7999999999993</v>
      </c>
      <c r="DP74" s="1067">
        <f t="shared" si="26"/>
        <v>3151.7999999999993</v>
      </c>
      <c r="DR74" s="1067">
        <f t="shared" si="60"/>
        <v>3151.7999999999993</v>
      </c>
      <c r="DT74" s="973">
        <f t="shared" si="61"/>
        <v>3151.7999999999993</v>
      </c>
      <c r="DV74" s="251"/>
    </row>
    <row r="75" spans="1:127" ht="15.75" x14ac:dyDescent="0.25">
      <c r="A75" s="1082">
        <v>0</v>
      </c>
      <c r="B75" s="482" t="s">
        <v>2787</v>
      </c>
      <c r="C75" s="482">
        <v>210636</v>
      </c>
      <c r="D75" s="482" t="s">
        <v>3004</v>
      </c>
      <c r="E75" s="482" t="s">
        <v>2805</v>
      </c>
      <c r="F75" s="1266">
        <v>451930</v>
      </c>
      <c r="G75" s="482" t="s">
        <v>2610</v>
      </c>
      <c r="H75" s="482" t="s">
        <v>2609</v>
      </c>
      <c r="I75" s="971">
        <v>43672</v>
      </c>
      <c r="J75" s="482">
        <v>-1</v>
      </c>
      <c r="K75" s="1267">
        <f ca="1">(TODAY()-I75)/365.25</f>
        <v>6.1601642710472282</v>
      </c>
      <c r="L75" s="1268" t="s">
        <v>1865</v>
      </c>
      <c r="M75" s="1220" t="s">
        <v>56</v>
      </c>
      <c r="N75" s="480" t="s">
        <v>3007</v>
      </c>
      <c r="O75" s="1203" t="s">
        <v>3008</v>
      </c>
      <c r="P75" s="1203" t="s">
        <v>3009</v>
      </c>
      <c r="Q75" s="1070">
        <v>11819.25</v>
      </c>
      <c r="R75" s="1269"/>
      <c r="S75" s="1270">
        <v>45017</v>
      </c>
      <c r="T75" s="1042">
        <v>1</v>
      </c>
      <c r="U75" s="1270">
        <v>45110</v>
      </c>
      <c r="V75" s="1044">
        <v>49</v>
      </c>
      <c r="W75" s="1044">
        <f t="shared" si="62"/>
        <v>49</v>
      </c>
      <c r="X75" s="1045">
        <f t="shared" si="63"/>
        <v>0.25520833333333331</v>
      </c>
      <c r="Y75" s="1046">
        <v>1</v>
      </c>
      <c r="Z75" s="1045">
        <f t="shared" si="64"/>
        <v>0.25520833333333331</v>
      </c>
      <c r="AA75" s="1047">
        <f>Q75*Z75</f>
        <v>3016.37109375</v>
      </c>
      <c r="AB75" s="1222" t="s">
        <v>2797</v>
      </c>
      <c r="AC75" s="1222" t="s">
        <v>2797</v>
      </c>
      <c r="AD75" s="1082"/>
      <c r="AE75" s="1072"/>
      <c r="AF75" s="1082"/>
      <c r="AG75" s="1073">
        <v>9455.4</v>
      </c>
      <c r="AH75" s="1204">
        <v>9455.4</v>
      </c>
      <c r="AI75" s="1073"/>
      <c r="AK75" s="1073" t="str">
        <f t="shared" si="65"/>
        <v>no</v>
      </c>
      <c r="AL75" s="1073" t="str">
        <f t="shared" si="66"/>
        <v>yes</v>
      </c>
      <c r="AM75" s="1073" t="str">
        <f t="shared" si="56"/>
        <v>no</v>
      </c>
      <c r="AO75" s="1265"/>
      <c r="AP75" s="1073"/>
      <c r="AQ75" s="1134"/>
      <c r="AR75" s="1073"/>
      <c r="AS75" s="1068"/>
      <c r="AT75" s="1068"/>
      <c r="AU75" s="1068"/>
      <c r="AV75" s="1068"/>
      <c r="AW75" s="1068"/>
      <c r="AX75" s="1068"/>
      <c r="AY75" s="1068"/>
      <c r="AZ75" s="1068"/>
      <c r="BA75" s="1073"/>
      <c r="BB75" s="1073"/>
      <c r="BC75" s="1068"/>
      <c r="BD75" s="1068"/>
      <c r="BE75" s="1068"/>
      <c r="BF75" s="1068"/>
      <c r="BG75" s="1068"/>
      <c r="BH75" s="1073"/>
      <c r="BI75" s="1068">
        <v>0</v>
      </c>
      <c r="BJ75" s="1068"/>
      <c r="BK75" s="1083">
        <v>9455.4</v>
      </c>
      <c r="BL75" s="1083">
        <f t="shared" si="13"/>
        <v>0</v>
      </c>
      <c r="BM75" s="1083">
        <f t="shared" si="14"/>
        <v>0</v>
      </c>
      <c r="BN75" s="1092">
        <f t="shared" si="15"/>
        <v>9455.4</v>
      </c>
      <c r="BO75" s="1092">
        <v>0</v>
      </c>
      <c r="BP75" s="1092"/>
      <c r="BQ75" s="1092">
        <v>9455.4</v>
      </c>
      <c r="CJ75" s="1093">
        <f t="shared" si="22"/>
        <v>9455.4</v>
      </c>
      <c r="CL75" s="1207"/>
      <c r="CM75" s="1198">
        <f>BM75</f>
        <v>0</v>
      </c>
      <c r="CN75" s="1127">
        <f>CL75-CM75</f>
        <v>0</v>
      </c>
      <c r="CO75" s="1098">
        <v>9455.4</v>
      </c>
      <c r="CP75" s="1098">
        <f>CO75-BQ75</f>
        <v>0</v>
      </c>
      <c r="CQ75" s="1168"/>
      <c r="CR75" s="1100"/>
      <c r="CS75" s="1100"/>
      <c r="CT75" s="1100"/>
      <c r="CU75" s="1124">
        <f t="shared" si="19"/>
        <v>9455.4</v>
      </c>
      <c r="CV75" s="1124">
        <f t="shared" si="20"/>
        <v>0</v>
      </c>
      <c r="CW75" s="1103"/>
      <c r="DA75" s="1067">
        <f t="shared" si="32"/>
        <v>9455.4</v>
      </c>
      <c r="DB75" s="1067">
        <f t="shared" si="46"/>
        <v>0</v>
      </c>
      <c r="DF75" s="1067">
        <f t="shared" si="6"/>
        <v>9455.4</v>
      </c>
      <c r="DG75" s="1105">
        <f t="shared" si="7"/>
        <v>0</v>
      </c>
      <c r="DH75" s="1067">
        <v>-8503.85</v>
      </c>
      <c r="DI75" s="1067">
        <f t="shared" si="59"/>
        <v>951.54999999999927</v>
      </c>
      <c r="DJ75" s="1067">
        <f t="shared" si="67"/>
        <v>-8503.85</v>
      </c>
      <c r="DM75" s="1066">
        <f t="shared" si="47"/>
        <v>951.54999999999927</v>
      </c>
      <c r="DP75" s="1067">
        <f t="shared" si="26"/>
        <v>951.54999999999927</v>
      </c>
      <c r="DR75" s="1067">
        <f t="shared" si="60"/>
        <v>951.54999999999927</v>
      </c>
      <c r="DT75" s="973">
        <f t="shared" si="61"/>
        <v>951.54999999999927</v>
      </c>
      <c r="DV75" s="251"/>
    </row>
    <row r="76" spans="1:127" s="1111" customFormat="1" ht="15.75" x14ac:dyDescent="0.25">
      <c r="A76" s="1080">
        <v>0</v>
      </c>
      <c r="B76" s="1135" t="s">
        <v>2787</v>
      </c>
      <c r="C76" s="1135">
        <v>207050</v>
      </c>
      <c r="D76" s="1135" t="s">
        <v>3010</v>
      </c>
      <c r="E76" s="1135" t="s">
        <v>1606</v>
      </c>
      <c r="F76" s="1271">
        <v>361952</v>
      </c>
      <c r="G76" s="1135" t="s">
        <v>3011</v>
      </c>
      <c r="H76" s="1135" t="s">
        <v>217</v>
      </c>
      <c r="I76" s="1182">
        <v>38703</v>
      </c>
      <c r="J76" s="1135">
        <v>10</v>
      </c>
      <c r="K76" s="1147">
        <f t="shared" ref="K76:K77" ca="1" si="69">(TODAY()-I76)/365.25</f>
        <v>19.76454483230664</v>
      </c>
      <c r="L76" s="1272" t="s">
        <v>270</v>
      </c>
      <c r="M76" s="1215" t="s">
        <v>56</v>
      </c>
      <c r="N76" s="1135" t="s">
        <v>2387</v>
      </c>
      <c r="O76" s="1148"/>
      <c r="P76" s="1273"/>
      <c r="Q76" s="1114">
        <v>6764.79</v>
      </c>
      <c r="R76" s="1274">
        <v>2151.16</v>
      </c>
      <c r="S76" s="1275">
        <v>45017</v>
      </c>
      <c r="T76" s="1042">
        <v>1</v>
      </c>
      <c r="U76" s="1146">
        <v>45169</v>
      </c>
      <c r="V76" s="1044">
        <v>63</v>
      </c>
      <c r="W76" s="1044">
        <f t="shared" si="62"/>
        <v>63</v>
      </c>
      <c r="X76" s="1045">
        <f t="shared" si="63"/>
        <v>0.328125</v>
      </c>
      <c r="Y76" s="1046">
        <v>1</v>
      </c>
      <c r="Z76" s="1045">
        <f t="shared" si="64"/>
        <v>0.328125</v>
      </c>
      <c r="AA76" s="1047">
        <f>Q76*Z76</f>
        <v>2219.6967187499999</v>
      </c>
      <c r="AB76" s="1276" t="s">
        <v>2797</v>
      </c>
      <c r="AC76" s="1276" t="s">
        <v>2797</v>
      </c>
      <c r="AD76" s="1277"/>
      <c r="AE76" s="1187">
        <v>2151.16</v>
      </c>
      <c r="AF76" s="1277"/>
      <c r="AG76" s="1274">
        <v>8915.9500000000007</v>
      </c>
      <c r="AH76" s="1278"/>
      <c r="AI76" s="1115">
        <v>2151.16</v>
      </c>
      <c r="AJ76" s="1279"/>
      <c r="AK76" s="1115" t="str">
        <f t="shared" si="65"/>
        <v>no</v>
      </c>
      <c r="AL76" s="1115" t="str">
        <f t="shared" si="66"/>
        <v>yes</v>
      </c>
      <c r="AM76" s="1115" t="str">
        <f t="shared" si="56"/>
        <v>no</v>
      </c>
      <c r="AN76" s="1183"/>
      <c r="AO76" s="1280"/>
      <c r="AP76" s="1281"/>
      <c r="AQ76" s="1282"/>
      <c r="AR76" s="1281"/>
      <c r="AS76" s="1081"/>
      <c r="AT76" s="1081"/>
      <c r="AU76" s="1081"/>
      <c r="AV76" s="1081"/>
      <c r="AW76" s="1081"/>
      <c r="AX76" s="1081"/>
      <c r="AY76" s="1081"/>
      <c r="AZ76" s="1081"/>
      <c r="BA76" s="1281"/>
      <c r="BB76" s="1281"/>
      <c r="BC76" s="1081"/>
      <c r="BD76" s="1081"/>
      <c r="BE76" s="1081"/>
      <c r="BF76" s="1081"/>
      <c r="BG76" s="1081"/>
      <c r="BH76" s="1281"/>
      <c r="BI76" s="1081">
        <v>0</v>
      </c>
      <c r="BJ76" s="1081"/>
      <c r="BK76" s="1090">
        <v>8915.9500000000007</v>
      </c>
      <c r="BL76" s="1090"/>
      <c r="BM76" s="1090"/>
      <c r="BN76" s="1283">
        <f t="shared" si="15"/>
        <v>8915.9500000000007</v>
      </c>
      <c r="BO76" s="1153"/>
      <c r="BP76" s="1283"/>
      <c r="BQ76" s="1153">
        <v>0</v>
      </c>
      <c r="CE76" s="1195">
        <v>2151.16</v>
      </c>
      <c r="CF76" s="1256"/>
      <c r="CJ76" s="1093">
        <f t="shared" si="22"/>
        <v>2151.16</v>
      </c>
      <c r="CL76" s="1195"/>
      <c r="CM76" s="1284">
        <f>BM76</f>
        <v>0</v>
      </c>
      <c r="CN76" s="1127">
        <f>CL76-CM76</f>
        <v>0</v>
      </c>
      <c r="CO76" s="1098">
        <v>2151.16</v>
      </c>
      <c r="CP76" s="1098">
        <f>CO76-BQ76</f>
        <v>2151.16</v>
      </c>
      <c r="CQ76" s="1257" t="s">
        <v>3012</v>
      </c>
      <c r="CR76" s="1157"/>
      <c r="CS76" s="1157"/>
      <c r="CT76" s="1157"/>
      <c r="CU76" s="1184">
        <f t="shared" si="19"/>
        <v>2151.16</v>
      </c>
      <c r="CV76" s="1158">
        <f t="shared" si="20"/>
        <v>0</v>
      </c>
      <c r="CW76" s="1159"/>
      <c r="CZ76" s="1111">
        <v>4613.63</v>
      </c>
      <c r="DA76" s="1185">
        <f t="shared" si="32"/>
        <v>6764.79</v>
      </c>
      <c r="DB76" s="1067">
        <f t="shared" si="46"/>
        <v>4613.63</v>
      </c>
      <c r="DC76" s="1111" t="s">
        <v>3013</v>
      </c>
      <c r="DE76" s="1066"/>
      <c r="DF76" s="1067">
        <f t="shared" ref="DF76:DF82" si="70">SUM(DA76+DD76+DE76)</f>
        <v>6764.79</v>
      </c>
      <c r="DG76" s="1105">
        <f t="shared" ref="DG76:DG82" si="71">SUM(DF76)-DA76</f>
        <v>0</v>
      </c>
      <c r="DH76" s="1066">
        <v>-2393.63</v>
      </c>
      <c r="DI76" s="1066">
        <f t="shared" si="59"/>
        <v>4371.16</v>
      </c>
      <c r="DJ76" s="1067">
        <f t="shared" si="67"/>
        <v>-2393.63</v>
      </c>
      <c r="DL76" s="1066"/>
      <c r="DM76" s="1066">
        <f t="shared" si="47"/>
        <v>4371.16</v>
      </c>
      <c r="DP76" s="1067">
        <f t="shared" si="26"/>
        <v>4371.16</v>
      </c>
      <c r="DQ76" s="1066"/>
      <c r="DR76" s="1067">
        <f t="shared" si="60"/>
        <v>4371.16</v>
      </c>
      <c r="DS76" s="1066"/>
      <c r="DT76" s="973">
        <f t="shared" si="61"/>
        <v>4371.16</v>
      </c>
      <c r="DV76" s="251"/>
      <c r="DW76"/>
    </row>
    <row r="77" spans="1:127" s="1111" customFormat="1" ht="15.75" x14ac:dyDescent="0.25">
      <c r="A77" s="1080">
        <v>1</v>
      </c>
      <c r="B77" s="1135" t="s">
        <v>2787</v>
      </c>
      <c r="C77" s="1135">
        <v>207050</v>
      </c>
      <c r="D77" s="1135" t="s">
        <v>3010</v>
      </c>
      <c r="E77" s="1135" t="s">
        <v>1606</v>
      </c>
      <c r="F77" s="1271">
        <v>373815</v>
      </c>
      <c r="G77" s="1135" t="s">
        <v>501</v>
      </c>
      <c r="H77" s="1135" t="s">
        <v>3014</v>
      </c>
      <c r="I77" s="1182">
        <v>39431</v>
      </c>
      <c r="J77" s="1135">
        <v>8</v>
      </c>
      <c r="K77" s="1147">
        <f t="shared" ca="1" si="69"/>
        <v>17.77138945927447</v>
      </c>
      <c r="L77" s="1272" t="s">
        <v>270</v>
      </c>
      <c r="M77" s="1215" t="s">
        <v>56</v>
      </c>
      <c r="N77" s="1135" t="s">
        <v>2184</v>
      </c>
      <c r="O77" s="1148"/>
      <c r="P77" s="1273"/>
      <c r="Q77" s="1285">
        <v>8183.1</v>
      </c>
      <c r="R77" s="1274">
        <v>5224.8</v>
      </c>
      <c r="S77" s="1275">
        <v>45017</v>
      </c>
      <c r="T77" s="1042">
        <v>1</v>
      </c>
      <c r="U77" s="1275">
        <v>45382</v>
      </c>
      <c r="V77" s="1044">
        <v>192</v>
      </c>
      <c r="W77" s="1044">
        <f t="shared" si="62"/>
        <v>192</v>
      </c>
      <c r="X77" s="1045">
        <f t="shared" si="63"/>
        <v>1</v>
      </c>
      <c r="Y77" s="1046">
        <v>1</v>
      </c>
      <c r="Z77" s="1045">
        <f t="shared" si="64"/>
        <v>1</v>
      </c>
      <c r="AA77" s="1047">
        <f t="shared" si="68"/>
        <v>0</v>
      </c>
      <c r="AB77" s="1276" t="s">
        <v>2797</v>
      </c>
      <c r="AC77" s="1276" t="s">
        <v>2797</v>
      </c>
      <c r="AD77" s="1277"/>
      <c r="AE77" s="1187">
        <v>13407.900000000001</v>
      </c>
      <c r="AF77" s="1277"/>
      <c r="AG77" s="1274">
        <v>13407.900000000001</v>
      </c>
      <c r="AH77" s="1278">
        <v>13407.900000000001</v>
      </c>
      <c r="AI77" s="1115"/>
      <c r="AJ77" s="1279"/>
      <c r="AK77" s="1115" t="str">
        <f t="shared" si="65"/>
        <v>no</v>
      </c>
      <c r="AL77" s="1115" t="str">
        <f t="shared" si="66"/>
        <v>no</v>
      </c>
      <c r="AM77" s="1115" t="str">
        <f t="shared" si="56"/>
        <v>yes</v>
      </c>
      <c r="AN77" s="1183"/>
      <c r="AO77" s="1280"/>
      <c r="AP77" s="1281"/>
      <c r="AQ77" s="1282"/>
      <c r="AR77" s="1281"/>
      <c r="AS77" s="1081"/>
      <c r="AT77" s="1081"/>
      <c r="AU77" s="1081"/>
      <c r="AV77" s="1081"/>
      <c r="AW77" s="1081"/>
      <c r="AX77" s="1081"/>
      <c r="AY77" s="1081"/>
      <c r="AZ77" s="1081"/>
      <c r="BA77" s="1281"/>
      <c r="BB77" s="1281"/>
      <c r="BC77" s="1081"/>
      <c r="BD77" s="1081"/>
      <c r="BE77" s="1081"/>
      <c r="BF77" s="1081"/>
      <c r="BG77" s="1081"/>
      <c r="BH77" s="1281"/>
      <c r="BI77" s="1081">
        <v>0</v>
      </c>
      <c r="BJ77" s="1081"/>
      <c r="BK77" s="1090">
        <v>13407.900000000001</v>
      </c>
      <c r="BL77" s="1090"/>
      <c r="BM77" s="1090"/>
      <c r="BN77" s="1283">
        <f t="shared" si="15"/>
        <v>13407.900000000001</v>
      </c>
      <c r="BO77" s="1153"/>
      <c r="BP77" s="1283"/>
      <c r="BQ77" s="1153"/>
      <c r="CE77" s="1195">
        <v>13407.900000000001</v>
      </c>
      <c r="CF77" s="1256"/>
      <c r="CJ77" s="1093">
        <f t="shared" si="22"/>
        <v>8183.1000000000013</v>
      </c>
      <c r="CL77" s="1286">
        <v>5224.8</v>
      </c>
      <c r="CM77" s="1284">
        <f>BM77</f>
        <v>0</v>
      </c>
      <c r="CN77" s="1127">
        <f>CL77-CM77</f>
        <v>5224.8</v>
      </c>
      <c r="CO77" s="1098">
        <v>8183.1000000000013</v>
      </c>
      <c r="CP77" s="1098">
        <f>CO77-BQ77</f>
        <v>8183.1000000000013</v>
      </c>
      <c r="CQ77" s="1257" t="s">
        <v>2471</v>
      </c>
      <c r="CR77" s="1157"/>
      <c r="CS77" s="1157"/>
      <c r="CT77" s="1157"/>
      <c r="CU77" s="1184">
        <f t="shared" si="19"/>
        <v>8183.1000000000013</v>
      </c>
      <c r="CV77" s="1158">
        <f t="shared" si="20"/>
        <v>0</v>
      </c>
      <c r="CW77" s="1159"/>
      <c r="DA77" s="1185">
        <f t="shared" si="32"/>
        <v>8183.1000000000013</v>
      </c>
      <c r="DB77" s="1066">
        <f t="shared" si="46"/>
        <v>0</v>
      </c>
      <c r="DC77" s="1256"/>
      <c r="DE77" s="1066"/>
      <c r="DF77" s="1066">
        <f t="shared" si="70"/>
        <v>8183.1000000000013</v>
      </c>
      <c r="DG77" s="1160">
        <f t="shared" si="71"/>
        <v>0</v>
      </c>
      <c r="DH77" s="1066"/>
      <c r="DI77" s="1066">
        <f t="shared" si="59"/>
        <v>8183.1000000000013</v>
      </c>
      <c r="DJ77" s="1067">
        <f t="shared" si="67"/>
        <v>0</v>
      </c>
      <c r="DL77" s="1066"/>
      <c r="DM77" s="1066">
        <f t="shared" si="47"/>
        <v>8183.1000000000013</v>
      </c>
      <c r="DP77" s="1067">
        <f t="shared" ref="DP77:DP82" si="72">DO77+DM77</f>
        <v>8183.1000000000013</v>
      </c>
      <c r="DQ77" s="1066">
        <v>5224.8</v>
      </c>
      <c r="DR77" s="1067">
        <f t="shared" si="60"/>
        <v>13407.900000000001</v>
      </c>
      <c r="DS77" s="1066"/>
      <c r="DT77" s="973">
        <f t="shared" si="61"/>
        <v>13407.900000000001</v>
      </c>
      <c r="DV77" s="251"/>
      <c r="DW77"/>
    </row>
    <row r="78" spans="1:127" s="1111" customFormat="1" ht="15.75" x14ac:dyDescent="0.25">
      <c r="A78" s="1068">
        <v>1</v>
      </c>
      <c r="B78" s="1219" t="s">
        <v>2787</v>
      </c>
      <c r="C78" s="1219">
        <v>207050</v>
      </c>
      <c r="D78" s="1219" t="s">
        <v>3010</v>
      </c>
      <c r="E78" s="1219" t="s">
        <v>1606</v>
      </c>
      <c r="F78" s="1263">
        <v>438236</v>
      </c>
      <c r="G78" s="1219" t="s">
        <v>3015</v>
      </c>
      <c r="H78" s="1219" t="s">
        <v>1476</v>
      </c>
      <c r="I78" s="1182">
        <v>39282</v>
      </c>
      <c r="J78" s="1135"/>
      <c r="K78" s="1147">
        <v>16.2</v>
      </c>
      <c r="L78" s="1272" t="s">
        <v>1886</v>
      </c>
      <c r="M78" s="1215"/>
      <c r="N78" s="1135" t="s">
        <v>91</v>
      </c>
      <c r="O78" s="1148">
        <v>9000</v>
      </c>
      <c r="P78" s="1273"/>
      <c r="Q78" s="1285">
        <v>9000</v>
      </c>
      <c r="R78" s="1274"/>
      <c r="S78" s="1275">
        <v>45170</v>
      </c>
      <c r="T78" s="1042">
        <v>65</v>
      </c>
      <c r="U78" s="1275">
        <v>45382</v>
      </c>
      <c r="V78" s="1044">
        <v>192</v>
      </c>
      <c r="W78" s="1044">
        <f t="shared" si="62"/>
        <v>128</v>
      </c>
      <c r="X78" s="1045">
        <f t="shared" si="63"/>
        <v>0.66666666666666663</v>
      </c>
      <c r="Y78" s="1046">
        <v>1</v>
      </c>
      <c r="Z78" s="1045">
        <f t="shared" si="64"/>
        <v>0.66666666666666663</v>
      </c>
      <c r="AA78" s="1047">
        <f t="shared" si="68"/>
        <v>6000</v>
      </c>
      <c r="AB78" s="1276"/>
      <c r="AC78" s="1276"/>
      <c r="AD78" s="1277"/>
      <c r="AE78" s="1187"/>
      <c r="AF78" s="1277"/>
      <c r="AG78" s="1274"/>
      <c r="AH78" s="1278"/>
      <c r="AI78" s="1115"/>
      <c r="AJ78" s="1279"/>
      <c r="AK78" s="1115"/>
      <c r="AL78" s="1115"/>
      <c r="AM78" s="1115"/>
      <c r="AN78" s="1183"/>
      <c r="AO78" s="1280"/>
      <c r="AP78" s="1281"/>
      <c r="AQ78" s="1282"/>
      <c r="AR78" s="1281"/>
      <c r="AS78" s="1081"/>
      <c r="AT78" s="1081"/>
      <c r="AU78" s="1081"/>
      <c r="AV78" s="1081"/>
      <c r="AW78" s="1081"/>
      <c r="AX78" s="1081"/>
      <c r="AY78" s="1081"/>
      <c r="AZ78" s="1081"/>
      <c r="BA78" s="1281"/>
      <c r="BB78" s="1281"/>
      <c r="BC78" s="1081"/>
      <c r="BD78" s="1081"/>
      <c r="BE78" s="1081"/>
      <c r="BF78" s="1081"/>
      <c r="BG78" s="1081"/>
      <c r="BH78" s="1281"/>
      <c r="BI78" s="1081">
        <v>0</v>
      </c>
      <c r="BJ78" s="1081"/>
      <c r="BK78" s="1090">
        <v>0</v>
      </c>
      <c r="BL78" s="1090"/>
      <c r="BM78" s="1090"/>
      <c r="BN78" s="1283"/>
      <c r="BO78" s="1153"/>
      <c r="BP78" s="1283"/>
      <c r="BQ78" s="1153"/>
      <c r="CE78" s="1195"/>
      <c r="CF78" s="1256"/>
      <c r="CJ78" s="1093"/>
      <c r="CL78" s="1195"/>
      <c r="CM78" s="1284"/>
      <c r="CN78" s="1127"/>
      <c r="CO78" s="1098"/>
      <c r="CP78" s="1098"/>
      <c r="CQ78" s="1257"/>
      <c r="CR78" s="1157"/>
      <c r="CS78" s="1157"/>
      <c r="CT78" s="1157"/>
      <c r="CU78" s="1158"/>
      <c r="CV78" s="1158"/>
      <c r="CW78" s="1159"/>
      <c r="DA78" s="1066"/>
      <c r="DB78" s="1066"/>
      <c r="DC78" s="1256"/>
      <c r="DE78" s="1066"/>
      <c r="DF78" s="1066"/>
      <c r="DG78" s="1160"/>
      <c r="DH78" s="1066">
        <f>Q78</f>
        <v>9000</v>
      </c>
      <c r="DI78" s="1066">
        <f t="shared" si="59"/>
        <v>9000</v>
      </c>
      <c r="DJ78" s="1067">
        <f t="shared" si="67"/>
        <v>9000</v>
      </c>
      <c r="DL78" s="1066"/>
      <c r="DM78" s="1066">
        <f t="shared" si="47"/>
        <v>9000</v>
      </c>
      <c r="DP78" s="1067">
        <f t="shared" si="72"/>
        <v>9000</v>
      </c>
      <c r="DQ78" s="1066"/>
      <c r="DR78" s="1067">
        <f t="shared" si="60"/>
        <v>9000</v>
      </c>
      <c r="DS78" s="1066"/>
      <c r="DT78" s="973">
        <f t="shared" si="61"/>
        <v>9000</v>
      </c>
      <c r="DV78" s="251"/>
      <c r="DW78"/>
    </row>
    <row r="79" spans="1:127" x14ac:dyDescent="0.25">
      <c r="A79" s="1068">
        <v>1</v>
      </c>
      <c r="B79" s="480" t="s">
        <v>3016</v>
      </c>
      <c r="C79" s="480" t="s">
        <v>2824</v>
      </c>
      <c r="D79" s="480" t="s">
        <v>3017</v>
      </c>
      <c r="E79" s="1165" t="s">
        <v>1606</v>
      </c>
      <c r="F79" s="1287">
        <v>451225</v>
      </c>
      <c r="G79" s="1288" t="s">
        <v>3018</v>
      </c>
      <c r="H79" s="1288" t="s">
        <v>111</v>
      </c>
      <c r="I79" s="1289">
        <v>42930</v>
      </c>
      <c r="J79" s="1044">
        <v>1</v>
      </c>
      <c r="K79" s="1039">
        <f ca="1">(TODAY()-I79)/365.25</f>
        <v>8.1916495550992465</v>
      </c>
      <c r="L79" s="963" t="s">
        <v>1885</v>
      </c>
      <c r="M79" s="963" t="s">
        <v>1495</v>
      </c>
      <c r="N79" s="1290"/>
      <c r="O79" s="1106">
        <v>0</v>
      </c>
      <c r="P79" s="1068" t="s">
        <v>2996</v>
      </c>
      <c r="Q79" s="1073">
        <v>0</v>
      </c>
      <c r="R79" s="1291">
        <v>17043</v>
      </c>
      <c r="S79" s="1292">
        <v>45017</v>
      </c>
      <c r="T79" s="1042">
        <v>1</v>
      </c>
      <c r="U79" s="963">
        <v>45032</v>
      </c>
      <c r="V79" s="1044">
        <v>1</v>
      </c>
      <c r="W79" s="1044">
        <v>0</v>
      </c>
      <c r="X79" s="1045">
        <f t="shared" si="63"/>
        <v>0</v>
      </c>
      <c r="Y79" s="1046">
        <v>1</v>
      </c>
      <c r="Z79" s="1045">
        <f t="shared" si="64"/>
        <v>0</v>
      </c>
      <c r="AA79" s="1047">
        <f>R79*Z79</f>
        <v>0</v>
      </c>
      <c r="AB79" s="1037" t="s">
        <v>2797</v>
      </c>
      <c r="AC79" s="1037" t="s">
        <v>2797</v>
      </c>
      <c r="AD79" s="1068"/>
      <c r="AE79" s="1072">
        <f>AG79</f>
        <v>0</v>
      </c>
      <c r="AF79" s="1068"/>
      <c r="AG79" s="1073"/>
      <c r="AH79" s="1073"/>
      <c r="AI79" s="1073"/>
      <c r="AJ79" s="1073" t="s">
        <v>3019</v>
      </c>
      <c r="AK79" s="1073" t="str">
        <f t="shared" si="65"/>
        <v>yes</v>
      </c>
      <c r="AL79" s="1073" t="str">
        <f t="shared" si="66"/>
        <v>no</v>
      </c>
      <c r="AM79" s="1073" t="str">
        <f t="shared" si="56"/>
        <v>no</v>
      </c>
      <c r="AN79" s="1293"/>
      <c r="AO79" s="1068"/>
      <c r="AP79" s="1073"/>
      <c r="AQ79" s="1068"/>
      <c r="AR79" s="1294"/>
      <c r="AS79" s="1068"/>
      <c r="AT79" s="1068"/>
      <c r="AU79" s="1068"/>
      <c r="AV79" s="1068"/>
      <c r="AW79" s="1068"/>
      <c r="AX79" s="1068"/>
      <c r="AY79" s="1068"/>
      <c r="AZ79" s="1068"/>
      <c r="BA79" s="1294">
        <v>17043</v>
      </c>
      <c r="BB79" s="1295"/>
      <c r="BC79" s="1068"/>
      <c r="BD79" s="1068"/>
      <c r="BE79" s="1068"/>
      <c r="BF79" s="1068"/>
      <c r="BG79" s="1068"/>
      <c r="BH79" s="1073">
        <f>AP79+AT79+AX79</f>
        <v>0</v>
      </c>
      <c r="BI79" s="1068">
        <v>0</v>
      </c>
      <c r="BJ79" s="1068"/>
      <c r="BK79" s="1083">
        <v>0</v>
      </c>
      <c r="BL79" s="1083">
        <f t="shared" si="13"/>
        <v>0</v>
      </c>
      <c r="BM79" s="1083">
        <f t="shared" si="14"/>
        <v>17043</v>
      </c>
      <c r="BN79" s="1092">
        <f t="shared" si="15"/>
        <v>-17043</v>
      </c>
      <c r="BO79" s="1092">
        <v>0</v>
      </c>
      <c r="BP79" s="1092"/>
      <c r="BQ79" s="1092">
        <v>-17043</v>
      </c>
      <c r="CJ79" s="1093">
        <f t="shared" si="22"/>
        <v>-5681</v>
      </c>
      <c r="CL79" s="1197">
        <v>5681</v>
      </c>
      <c r="CM79" s="1198">
        <f>BM79</f>
        <v>17043</v>
      </c>
      <c r="CN79" s="1127">
        <f>CL79-CM79</f>
        <v>-11362</v>
      </c>
      <c r="CO79" s="1098">
        <v>-5681</v>
      </c>
      <c r="CP79" s="1098">
        <f>CO79-BQ79</f>
        <v>11362</v>
      </c>
      <c r="CQ79" s="1168" t="s">
        <v>3020</v>
      </c>
      <c r="CR79" s="1100"/>
      <c r="CS79" s="1100"/>
      <c r="CT79" s="1100"/>
      <c r="CU79" s="1101">
        <f t="shared" si="19"/>
        <v>-5681</v>
      </c>
      <c r="CV79" s="1124">
        <f t="shared" si="20"/>
        <v>0</v>
      </c>
      <c r="CW79" s="1103"/>
      <c r="DA79" s="1104">
        <f t="shared" si="32"/>
        <v>-5681</v>
      </c>
      <c r="DB79" s="1067">
        <f t="shared" si="46"/>
        <v>0</v>
      </c>
      <c r="DF79" s="1067">
        <f>SUM(DA79+DD79+DE79)</f>
        <v>-5681</v>
      </c>
      <c r="DG79" s="1105">
        <f>SUM(DF79)-DA79</f>
        <v>0</v>
      </c>
      <c r="DI79" s="1067">
        <v>0</v>
      </c>
      <c r="DJ79" s="1067">
        <v>0</v>
      </c>
      <c r="DM79" s="1066">
        <f t="shared" si="47"/>
        <v>0</v>
      </c>
      <c r="DP79" s="1067">
        <f t="shared" si="72"/>
        <v>0</v>
      </c>
      <c r="DR79" s="1067">
        <f t="shared" si="60"/>
        <v>0</v>
      </c>
      <c r="DT79" s="973">
        <f t="shared" si="61"/>
        <v>0</v>
      </c>
      <c r="DV79" s="251"/>
    </row>
    <row r="80" spans="1:127" x14ac:dyDescent="0.25">
      <c r="A80" s="1068">
        <v>1</v>
      </c>
      <c r="B80" s="480" t="s">
        <v>2787</v>
      </c>
      <c r="C80" s="480">
        <v>208517</v>
      </c>
      <c r="D80" s="480" t="s">
        <v>3021</v>
      </c>
      <c r="E80" s="480" t="s">
        <v>1606</v>
      </c>
      <c r="F80" s="480">
        <v>448226</v>
      </c>
      <c r="G80" s="1135" t="s">
        <v>590</v>
      </c>
      <c r="H80" s="1135" t="s">
        <v>427</v>
      </c>
      <c r="I80" s="1038">
        <v>41859</v>
      </c>
      <c r="J80" s="480">
        <v>3</v>
      </c>
      <c r="K80" s="1039">
        <f ca="1">(TODAY()-I80)/365.25</f>
        <v>11.123887748117728</v>
      </c>
      <c r="L80" s="1039" t="s">
        <v>1885</v>
      </c>
      <c r="M80" s="1039" t="s">
        <v>56</v>
      </c>
      <c r="N80" s="480"/>
      <c r="O80" s="1069">
        <v>5819.25</v>
      </c>
      <c r="P80" s="1069"/>
      <c r="Q80" s="1073">
        <v>0</v>
      </c>
      <c r="R80" s="1073">
        <v>2850</v>
      </c>
      <c r="S80" s="963">
        <v>45017</v>
      </c>
      <c r="T80" s="1042">
        <v>1</v>
      </c>
      <c r="U80" s="963">
        <v>45382</v>
      </c>
      <c r="V80" s="1044">
        <v>192</v>
      </c>
      <c r="W80" s="1044">
        <f t="shared" si="62"/>
        <v>192</v>
      </c>
      <c r="X80" s="1045">
        <f t="shared" si="63"/>
        <v>1</v>
      </c>
      <c r="Y80" s="1046">
        <v>1</v>
      </c>
      <c r="Z80" s="1045">
        <f t="shared" si="64"/>
        <v>1</v>
      </c>
      <c r="AA80" s="1047">
        <f>Q80*Z80</f>
        <v>0</v>
      </c>
      <c r="AB80" s="1069" t="s">
        <v>2797</v>
      </c>
      <c r="AC80" s="1069" t="s">
        <v>2797</v>
      </c>
      <c r="AD80" s="1068"/>
      <c r="AE80" s="1072">
        <f>AG80</f>
        <v>2850</v>
      </c>
      <c r="AF80" s="1068"/>
      <c r="AG80" s="1073">
        <v>2850</v>
      </c>
      <c r="AH80" s="1073">
        <v>2850</v>
      </c>
      <c r="AI80" s="1073"/>
      <c r="AJ80" s="1073"/>
      <c r="AK80" s="1073" t="str">
        <f t="shared" si="65"/>
        <v>yes</v>
      </c>
      <c r="AL80" s="1073" t="str">
        <f t="shared" si="66"/>
        <v>no</v>
      </c>
      <c r="AM80" s="1073" t="str">
        <f t="shared" si="56"/>
        <v>no</v>
      </c>
      <c r="AN80" s="1296"/>
      <c r="AO80" s="1068"/>
      <c r="AP80" s="1073"/>
      <c r="AQ80" s="1068"/>
      <c r="AR80" s="1073"/>
      <c r="AS80" s="1068"/>
      <c r="AT80" s="1068"/>
      <c r="AU80" s="1068"/>
      <c r="AV80" s="1068"/>
      <c r="AW80" s="1068"/>
      <c r="AX80" s="1068"/>
      <c r="AY80" s="1068"/>
      <c r="AZ80" s="1068"/>
      <c r="BA80" s="1073"/>
      <c r="BB80" s="1073"/>
      <c r="BC80" s="1068"/>
      <c r="BD80" s="1068"/>
      <c r="BE80" s="1068"/>
      <c r="BF80" s="1068"/>
      <c r="BG80" s="1068"/>
      <c r="BH80" s="1073">
        <f>AP80+AT80+AX80</f>
        <v>0</v>
      </c>
      <c r="BI80" s="1068">
        <v>0</v>
      </c>
      <c r="BJ80" s="1068"/>
      <c r="BK80" s="1083">
        <v>2850</v>
      </c>
      <c r="BL80" s="1083">
        <f t="shared" si="13"/>
        <v>0</v>
      </c>
      <c r="BM80" s="1083">
        <f t="shared" si="14"/>
        <v>0</v>
      </c>
      <c r="BN80" s="1092">
        <f t="shared" si="15"/>
        <v>2850</v>
      </c>
      <c r="BO80" s="1092">
        <v>0</v>
      </c>
      <c r="BP80" s="1092"/>
      <c r="BQ80" s="1092">
        <v>2850</v>
      </c>
      <c r="CJ80" s="1093">
        <f t="shared" si="22"/>
        <v>2850</v>
      </c>
      <c r="CL80" s="1207"/>
      <c r="CM80" s="1198">
        <f>BM80</f>
        <v>0</v>
      </c>
      <c r="CN80" s="1127">
        <f>CL80-CM80</f>
        <v>0</v>
      </c>
      <c r="CO80" s="1098">
        <v>2850</v>
      </c>
      <c r="CP80" s="1098">
        <f>CO80-BQ80</f>
        <v>0</v>
      </c>
      <c r="CR80" s="1100"/>
      <c r="CS80" s="1100"/>
      <c r="CT80" s="1100"/>
      <c r="CU80" s="1101">
        <f t="shared" si="19"/>
        <v>2850</v>
      </c>
      <c r="CV80" s="1124">
        <f t="shared" ref="CV80:CV81" si="73">CU80-CO80</f>
        <v>0</v>
      </c>
      <c r="CW80" s="1103"/>
      <c r="DA80" s="1104">
        <f t="shared" si="32"/>
        <v>2850</v>
      </c>
      <c r="DB80" s="1067">
        <f t="shared" si="46"/>
        <v>0</v>
      </c>
      <c r="DF80" s="1067">
        <f t="shared" si="70"/>
        <v>2850</v>
      </c>
      <c r="DG80" s="1105">
        <f t="shared" si="71"/>
        <v>0</v>
      </c>
      <c r="DH80" s="1067">
        <v>2969</v>
      </c>
      <c r="DI80" s="1067">
        <f>DF80+DH80</f>
        <v>5819</v>
      </c>
      <c r="DJ80" s="1067">
        <f t="shared" si="67"/>
        <v>2969</v>
      </c>
      <c r="DM80" s="1066">
        <f t="shared" si="47"/>
        <v>5819</v>
      </c>
      <c r="DP80" s="1067">
        <f t="shared" si="72"/>
        <v>5819</v>
      </c>
      <c r="DR80" s="1067">
        <f t="shared" si="60"/>
        <v>5819</v>
      </c>
      <c r="DT80" s="973">
        <f t="shared" si="61"/>
        <v>5819</v>
      </c>
      <c r="DV80" s="251"/>
    </row>
    <row r="81" spans="1:189" s="1310" customFormat="1" x14ac:dyDescent="0.25">
      <c r="A81" s="1082">
        <v>1</v>
      </c>
      <c r="B81" s="1297" t="s">
        <v>2799</v>
      </c>
      <c r="C81" s="1297">
        <v>202197</v>
      </c>
      <c r="D81" s="1297" t="s">
        <v>3022</v>
      </c>
      <c r="E81" s="1297" t="s">
        <v>1606</v>
      </c>
      <c r="F81" s="1298">
        <v>383252</v>
      </c>
      <c r="G81" s="1299" t="s">
        <v>3023</v>
      </c>
      <c r="H81" s="1299" t="s">
        <v>506</v>
      </c>
      <c r="I81" s="1300">
        <v>39637</v>
      </c>
      <c r="J81" s="1297">
        <v>0</v>
      </c>
      <c r="K81" s="1301">
        <f ca="1">(TODAY()-I81)/365.25</f>
        <v>17.207392197125255</v>
      </c>
      <c r="L81" s="1301" t="s">
        <v>1886</v>
      </c>
      <c r="M81" s="1301" t="s">
        <v>56</v>
      </c>
      <c r="N81" s="1302" t="s">
        <v>91</v>
      </c>
      <c r="O81" s="1303">
        <v>4559.5</v>
      </c>
      <c r="P81" s="1082" t="s">
        <v>2996</v>
      </c>
      <c r="Q81" s="1269">
        <v>4559.5</v>
      </c>
      <c r="R81" s="1269">
        <v>4559.5</v>
      </c>
      <c r="S81" s="1270">
        <v>45017</v>
      </c>
      <c r="T81" s="1042">
        <v>1</v>
      </c>
      <c r="U81" s="1270">
        <v>45382</v>
      </c>
      <c r="V81" s="1044">
        <v>192</v>
      </c>
      <c r="W81" s="1044">
        <f t="shared" si="62"/>
        <v>192</v>
      </c>
      <c r="X81" s="1045">
        <f t="shared" si="63"/>
        <v>1</v>
      </c>
      <c r="Y81" s="1046">
        <v>1</v>
      </c>
      <c r="Z81" s="1045">
        <f t="shared" si="64"/>
        <v>1</v>
      </c>
      <c r="AA81" s="1047">
        <f t="shared" si="68"/>
        <v>4559.5</v>
      </c>
      <c r="AB81" s="1303" t="s">
        <v>2797</v>
      </c>
      <c r="AC81" s="1303" t="s">
        <v>2797</v>
      </c>
      <c r="AD81" s="1082"/>
      <c r="AE81" s="1304">
        <f>AG81</f>
        <v>9119</v>
      </c>
      <c r="AF81" s="1082"/>
      <c r="AG81" s="1269">
        <f>4559.5+4559.5</f>
        <v>9119</v>
      </c>
      <c r="AH81" s="1269">
        <v>4559</v>
      </c>
      <c r="AI81" s="1269">
        <v>4559</v>
      </c>
      <c r="AJ81" s="1269" t="s">
        <v>3024</v>
      </c>
      <c r="AK81" s="1269" t="str">
        <f t="shared" si="65"/>
        <v>no</v>
      </c>
      <c r="AL81" s="1269" t="str">
        <f t="shared" si="66"/>
        <v>yes</v>
      </c>
      <c r="AM81" s="1269" t="str">
        <f t="shared" si="56"/>
        <v>no</v>
      </c>
      <c r="AN81" s="1293"/>
      <c r="AO81" s="1082"/>
      <c r="AP81" s="1269"/>
      <c r="AQ81" s="1082"/>
      <c r="AR81" s="1305"/>
      <c r="AS81" s="1082"/>
      <c r="AT81" s="1082"/>
      <c r="AU81" s="1082"/>
      <c r="AV81" s="1082"/>
      <c r="AW81" s="1082"/>
      <c r="AX81" s="1082"/>
      <c r="AY81" s="1082"/>
      <c r="AZ81" s="1082"/>
      <c r="BA81" s="1305">
        <v>4559</v>
      </c>
      <c r="BB81" s="1306"/>
      <c r="BC81" s="1082"/>
      <c r="BD81" s="1082"/>
      <c r="BE81" s="1082"/>
      <c r="BF81" s="1082"/>
      <c r="BG81" s="1082"/>
      <c r="BH81" s="1269">
        <f>AP81+AT81+AX81</f>
        <v>0</v>
      </c>
      <c r="BI81" s="1082">
        <v>0</v>
      </c>
      <c r="BJ81" s="1082"/>
      <c r="BK81" s="1091">
        <v>9119</v>
      </c>
      <c r="BL81" s="1091">
        <f t="shared" si="13"/>
        <v>0</v>
      </c>
      <c r="BM81" s="1091">
        <f t="shared" si="14"/>
        <v>4559</v>
      </c>
      <c r="BN81" s="1102">
        <f t="shared" si="15"/>
        <v>4560</v>
      </c>
      <c r="BO81" s="1102">
        <v>0</v>
      </c>
      <c r="BP81" s="1102"/>
      <c r="BQ81" s="1307">
        <v>4560</v>
      </c>
      <c r="BR81" s="1074"/>
      <c r="BS81" s="1074"/>
      <c r="BT81" s="1074"/>
      <c r="BU81" s="1074"/>
      <c r="BV81" s="1074"/>
      <c r="BW81" s="1074"/>
      <c r="BX81" s="1074"/>
      <c r="BY81" s="1074"/>
      <c r="BZ81" s="1074"/>
      <c r="CA81" s="1074"/>
      <c r="CB81" s="1074"/>
      <c r="CC81" s="1074"/>
      <c r="CD81" s="1074"/>
      <c r="CE81" s="1074"/>
      <c r="CF81" s="1074"/>
      <c r="CG81" s="1074"/>
      <c r="CH81" s="1074"/>
      <c r="CI81" s="1074"/>
      <c r="CJ81" s="1093">
        <f t="shared" si="22"/>
        <v>4560</v>
      </c>
      <c r="CK81" s="1074"/>
      <c r="CL81" s="1308">
        <v>4559</v>
      </c>
      <c r="CM81" s="1309">
        <f>BM81</f>
        <v>4559</v>
      </c>
      <c r="CN81" s="1127">
        <f>CL81-CM81</f>
        <v>0</v>
      </c>
      <c r="CO81" s="1098">
        <v>4560</v>
      </c>
      <c r="CP81" s="1098">
        <f>CO81-BQ81</f>
        <v>0</v>
      </c>
      <c r="CQ81" s="1099"/>
      <c r="CR81" s="1100"/>
      <c r="CS81" s="1100"/>
      <c r="CT81" s="1100"/>
      <c r="CU81" s="1101">
        <f t="shared" si="19"/>
        <v>4560</v>
      </c>
      <c r="CV81" s="1124">
        <f t="shared" si="73"/>
        <v>0</v>
      </c>
      <c r="CW81" s="1103"/>
      <c r="CX81" s="1074"/>
      <c r="CY81" s="1074"/>
      <c r="CZ81" s="1074"/>
      <c r="DA81" s="1104">
        <f t="shared" si="32"/>
        <v>4560</v>
      </c>
      <c r="DB81" s="1067">
        <f t="shared" si="46"/>
        <v>0</v>
      </c>
      <c r="DC81" s="1074"/>
      <c r="DD81" s="1074"/>
      <c r="DE81" s="1067"/>
      <c r="DF81" s="1067">
        <f t="shared" si="70"/>
        <v>4560</v>
      </c>
      <c r="DG81" s="1105">
        <f t="shared" si="71"/>
        <v>0</v>
      </c>
      <c r="DH81" s="1067"/>
      <c r="DI81" s="1261">
        <f>DF81+DH81</f>
        <v>4560</v>
      </c>
      <c r="DJ81" s="1067">
        <f t="shared" si="67"/>
        <v>0</v>
      </c>
      <c r="DK81" s="1074"/>
      <c r="DL81" s="1067"/>
      <c r="DM81" s="1066">
        <f t="shared" si="47"/>
        <v>4560</v>
      </c>
      <c r="DN81" s="1074"/>
      <c r="DO81" s="1074"/>
      <c r="DP81" s="1067">
        <f t="shared" si="72"/>
        <v>4560</v>
      </c>
      <c r="DQ81" s="1067"/>
      <c r="DR81" s="1067">
        <f t="shared" si="60"/>
        <v>4560</v>
      </c>
      <c r="DS81" s="1067">
        <v>9118.4</v>
      </c>
      <c r="DT81" s="973">
        <f t="shared" si="61"/>
        <v>13678.4</v>
      </c>
      <c r="DU81" s="1074"/>
      <c r="DV81" s="251"/>
      <c r="DW81"/>
      <c r="DX81" s="1074"/>
      <c r="DY81" s="1074"/>
      <c r="DZ81" s="1074"/>
      <c r="EA81" s="1074"/>
      <c r="EB81" s="1074"/>
      <c r="EC81" s="1074"/>
      <c r="ED81" s="1074"/>
      <c r="EE81" s="1074"/>
      <c r="EF81" s="1074"/>
      <c r="EG81" s="1074"/>
      <c r="EH81" s="1074"/>
      <c r="EI81" s="1074"/>
      <c r="EJ81" s="1074"/>
      <c r="EK81" s="1074"/>
      <c r="EL81" s="1074"/>
      <c r="EM81" s="1074"/>
      <c r="EN81" s="1074"/>
      <c r="EO81" s="1074"/>
      <c r="EP81" s="1074"/>
      <c r="EQ81" s="1074"/>
      <c r="ER81" s="1074"/>
      <c r="ES81" s="1074"/>
      <c r="ET81" s="1074"/>
      <c r="EU81" s="1074"/>
      <c r="EV81" s="1074"/>
      <c r="EW81" s="1074"/>
      <c r="EX81" s="1074"/>
      <c r="EY81" s="1074"/>
      <c r="EZ81" s="1074"/>
      <c r="FA81" s="1074"/>
      <c r="FB81" s="1074"/>
      <c r="FC81" s="1074"/>
      <c r="FD81" s="1074"/>
      <c r="FE81" s="1074"/>
      <c r="FF81" s="1074"/>
      <c r="FG81" s="1074"/>
      <c r="FH81" s="1074"/>
      <c r="FI81" s="1074"/>
      <c r="FJ81" s="1074"/>
      <c r="FK81" s="1074"/>
      <c r="FL81" s="1074"/>
      <c r="FM81" s="1074"/>
      <c r="FN81" s="1074"/>
      <c r="FO81" s="1074"/>
      <c r="FP81" s="1074"/>
      <c r="FQ81" s="1074"/>
      <c r="FR81" s="1074"/>
      <c r="FS81" s="1074"/>
      <c r="FT81" s="1074"/>
      <c r="FU81" s="1074"/>
      <c r="FV81" s="1074"/>
      <c r="FW81" s="1074"/>
      <c r="FX81" s="1074"/>
      <c r="FY81" s="1074"/>
      <c r="FZ81" s="1074"/>
      <c r="GA81" s="1074"/>
      <c r="GB81" s="1074"/>
      <c r="GC81" s="1074"/>
      <c r="GD81" s="1074"/>
      <c r="GE81" s="1074"/>
      <c r="GF81" s="1074"/>
      <c r="GG81" s="1074"/>
    </row>
    <row r="82" spans="1:189" s="1311" customFormat="1" x14ac:dyDescent="0.25">
      <c r="A82" s="1311">
        <v>1</v>
      </c>
      <c r="B82" s="1312" t="s">
        <v>2221</v>
      </c>
      <c r="C82" s="1312" t="s">
        <v>2824</v>
      </c>
      <c r="D82" s="1312" t="s">
        <v>3025</v>
      </c>
      <c r="E82" s="1313" t="s">
        <v>1606</v>
      </c>
      <c r="F82" s="1312">
        <v>454353</v>
      </c>
      <c r="G82" s="1312" t="s">
        <v>3026</v>
      </c>
      <c r="H82" s="1312" t="s">
        <v>3027</v>
      </c>
      <c r="I82" s="1314" t="s">
        <v>3028</v>
      </c>
      <c r="J82" s="1315">
        <v>5</v>
      </c>
      <c r="K82" s="1316">
        <v>10.3</v>
      </c>
      <c r="L82" s="1317" t="s">
        <v>1885</v>
      </c>
      <c r="M82" s="1317"/>
      <c r="N82" s="1312" t="s">
        <v>3029</v>
      </c>
      <c r="O82" s="1318"/>
      <c r="P82" s="1319"/>
      <c r="Q82" s="1320">
        <v>8183.1</v>
      </c>
      <c r="R82" s="1320"/>
      <c r="S82" s="1317">
        <v>45173</v>
      </c>
      <c r="T82" s="1042">
        <v>65</v>
      </c>
      <c r="U82" s="1317">
        <v>45382</v>
      </c>
      <c r="V82" s="1044">
        <v>192</v>
      </c>
      <c r="W82" s="1044">
        <f t="shared" si="62"/>
        <v>128</v>
      </c>
      <c r="X82" s="1045">
        <f t="shared" si="63"/>
        <v>0.66666666666666663</v>
      </c>
      <c r="Y82" s="1046">
        <v>1</v>
      </c>
      <c r="Z82" s="1045">
        <f t="shared" si="64"/>
        <v>0.66666666666666663</v>
      </c>
      <c r="AA82" s="1047">
        <f>Q82*Z82</f>
        <v>5455.4</v>
      </c>
      <c r="AB82" s="1321"/>
      <c r="AC82" s="1321"/>
      <c r="AE82" s="1311">
        <v>8183.1</v>
      </c>
      <c r="AG82" s="1320">
        <v>8183.1</v>
      </c>
      <c r="AH82" s="1320">
        <v>8183.1</v>
      </c>
      <c r="AI82" s="1320"/>
      <c r="AJ82" s="1322"/>
      <c r="AK82" s="1322" t="str">
        <f t="shared" si="65"/>
        <v>no</v>
      </c>
      <c r="AL82" s="1322" t="str">
        <f t="shared" si="66"/>
        <v>yes</v>
      </c>
      <c r="AM82" s="1322" t="str">
        <f t="shared" si="56"/>
        <v>no</v>
      </c>
      <c r="AN82" s="1322"/>
      <c r="AP82" s="1322"/>
      <c r="BA82" s="1323"/>
      <c r="BB82" s="1324"/>
      <c r="BC82" s="1324"/>
      <c r="BD82" s="1324"/>
      <c r="BH82" s="1325"/>
      <c r="BI82" s="1325"/>
      <c r="BJ82" s="1325"/>
      <c r="BK82" s="1325"/>
      <c r="BL82" s="1325"/>
      <c r="BM82" s="1325"/>
      <c r="BN82" s="1325"/>
      <c r="BO82" s="1325"/>
      <c r="BP82" s="1325"/>
      <c r="BQ82" s="1325"/>
      <c r="CA82" s="1324"/>
      <c r="CB82" s="1324"/>
      <c r="CC82" s="1324"/>
      <c r="CD82" s="1324"/>
      <c r="CE82" s="1324"/>
      <c r="CF82" s="1324"/>
      <c r="CG82" s="1324"/>
      <c r="CH82" s="1324"/>
      <c r="CI82" s="2044"/>
      <c r="CJ82" s="2044"/>
      <c r="CK82" s="2044"/>
      <c r="CL82" s="2044"/>
      <c r="CM82" s="2045"/>
      <c r="CN82" s="2044"/>
      <c r="CO82" s="2044"/>
      <c r="CP82" s="2044"/>
      <c r="CQ82" s="1099"/>
      <c r="CR82" s="1074"/>
      <c r="CS82" s="1074"/>
      <c r="CT82" s="1074"/>
      <c r="CU82" s="1074"/>
      <c r="CV82" s="1074"/>
      <c r="CW82" s="1074"/>
      <c r="CX82" s="1074"/>
      <c r="CY82" s="1074"/>
      <c r="CZ82" s="1074">
        <v>8183.1</v>
      </c>
      <c r="DA82" s="1067">
        <f>CU82+CX82+CY82+CZ82</f>
        <v>8183.1</v>
      </c>
      <c r="DB82" s="1067">
        <f t="shared" si="46"/>
        <v>8183.1</v>
      </c>
      <c r="DC82" s="1074" t="s">
        <v>2471</v>
      </c>
      <c r="DD82" s="1074"/>
      <c r="DE82" s="1067">
        <v>-2727.77</v>
      </c>
      <c r="DF82" s="1067">
        <f t="shared" si="70"/>
        <v>5455.33</v>
      </c>
      <c r="DG82" s="1105">
        <f t="shared" si="71"/>
        <v>-2727.7700000000004</v>
      </c>
      <c r="DH82" s="1067"/>
      <c r="DI82" s="1067">
        <f>DF82+DH82</f>
        <v>5455.33</v>
      </c>
      <c r="DJ82" s="1067">
        <f t="shared" si="67"/>
        <v>0</v>
      </c>
      <c r="DK82" s="1074"/>
      <c r="DL82" s="1067"/>
      <c r="DM82" s="1066">
        <f t="shared" si="47"/>
        <v>5455.33</v>
      </c>
      <c r="DN82" s="1074"/>
      <c r="DO82" s="1074"/>
      <c r="DP82" s="1067">
        <f t="shared" si="72"/>
        <v>5455.33</v>
      </c>
      <c r="DQ82" s="1067"/>
      <c r="DR82" s="1067">
        <f t="shared" si="60"/>
        <v>5455.33</v>
      </c>
      <c r="DS82" s="1067"/>
      <c r="DT82" s="973">
        <f t="shared" si="61"/>
        <v>5455.33</v>
      </c>
      <c r="DU82" s="1074"/>
      <c r="DV82" s="251"/>
      <c r="DW82"/>
      <c r="DX82" s="1074"/>
      <c r="DY82" s="1074"/>
      <c r="DZ82" s="1074"/>
      <c r="EA82" s="1074"/>
      <c r="EB82" s="1074"/>
      <c r="EC82" s="1074"/>
      <c r="ED82" s="1074"/>
      <c r="EE82" s="1074"/>
      <c r="EF82" s="1074"/>
      <c r="EG82" s="1074"/>
      <c r="EH82" s="1074"/>
      <c r="EI82" s="1074"/>
    </row>
    <row r="83" spans="1:189" x14ac:dyDescent="0.25">
      <c r="A83" s="1311">
        <v>1</v>
      </c>
      <c r="B83" s="1312" t="s">
        <v>2221</v>
      </c>
      <c r="C83" s="1312">
        <v>211166</v>
      </c>
      <c r="D83" s="1312" t="s">
        <v>2924</v>
      </c>
      <c r="E83" s="1313" t="s">
        <v>1876</v>
      </c>
      <c r="F83" s="1312">
        <v>449772</v>
      </c>
      <c r="G83" s="1312" t="s">
        <v>3845</v>
      </c>
      <c r="H83" s="1312" t="s">
        <v>506</v>
      </c>
      <c r="I83" s="1314">
        <v>40188</v>
      </c>
      <c r="J83" s="1315">
        <v>9</v>
      </c>
      <c r="K83" s="1316">
        <v>14.1</v>
      </c>
      <c r="L83" s="1317"/>
      <c r="M83" s="1317"/>
      <c r="N83" s="1312">
        <v>25</v>
      </c>
      <c r="O83" s="1318">
        <v>5819.25</v>
      </c>
      <c r="P83" s="1319"/>
      <c r="Q83" s="1320"/>
      <c r="R83" s="1320">
        <v>0</v>
      </c>
      <c r="S83" s="1317">
        <v>45170</v>
      </c>
      <c r="T83" s="1042">
        <v>65</v>
      </c>
      <c r="U83" s="1317">
        <v>45382</v>
      </c>
      <c r="V83" s="1044">
        <v>192</v>
      </c>
      <c r="W83" s="1044">
        <f t="shared" si="62"/>
        <v>128</v>
      </c>
      <c r="X83" s="1045">
        <f t="shared" si="63"/>
        <v>0.66666666666666663</v>
      </c>
      <c r="Y83" s="2043">
        <v>1</v>
      </c>
      <c r="Z83" s="1354">
        <f t="shared" si="64"/>
        <v>0.66666666666666663</v>
      </c>
      <c r="AA83" s="1047">
        <f>O83*Z83</f>
        <v>3879.5</v>
      </c>
      <c r="AB83" s="2046" t="s">
        <v>3418</v>
      </c>
      <c r="AC83" s="1321" t="s">
        <v>2797</v>
      </c>
      <c r="AD83" s="1311"/>
      <c r="AE83" s="1311"/>
      <c r="AF83" s="1311"/>
      <c r="AG83" s="1320"/>
      <c r="AH83" s="1320"/>
      <c r="AI83" s="1320"/>
      <c r="AJ83" s="1322"/>
      <c r="AK83" s="1322"/>
      <c r="AL83" s="1322"/>
      <c r="AM83" s="1322"/>
      <c r="AN83" s="1322"/>
      <c r="AO83" s="1311"/>
      <c r="AP83" s="1322"/>
      <c r="AQ83" s="1311"/>
      <c r="AR83" s="1311"/>
      <c r="AS83" s="1311"/>
      <c r="AT83" s="1311"/>
      <c r="AU83" s="1311"/>
      <c r="AV83" s="1311"/>
      <c r="AW83" s="1311"/>
      <c r="AX83" s="1311"/>
      <c r="AY83" s="1311"/>
      <c r="AZ83" s="1311"/>
      <c r="BA83" s="1323"/>
      <c r="BB83" s="1324"/>
      <c r="BC83" s="1324"/>
      <c r="BD83" s="1324"/>
      <c r="BE83" s="1311"/>
      <c r="BF83" s="1311"/>
      <c r="BG83" s="1311"/>
      <c r="BH83" s="1325"/>
      <c r="BI83" s="1325"/>
      <c r="BJ83" s="1325"/>
      <c r="BK83" s="1325"/>
      <c r="BL83" s="1325"/>
      <c r="BM83" s="1325"/>
      <c r="BN83" s="1325"/>
      <c r="BO83" s="1325"/>
      <c r="BP83" s="1325"/>
      <c r="BQ83" s="1325"/>
      <c r="CA83" s="2044"/>
      <c r="CB83" s="2044"/>
      <c r="CC83" s="2044"/>
      <c r="CD83" s="2044"/>
      <c r="CE83" s="2044"/>
      <c r="CF83" s="2044"/>
      <c r="CG83" s="2044"/>
      <c r="CH83" s="2044"/>
      <c r="CI83" s="2044"/>
      <c r="CJ83" s="2044"/>
      <c r="CK83" s="2044"/>
      <c r="CL83" s="2044"/>
      <c r="CM83" s="2045"/>
      <c r="CN83" s="2044"/>
      <c r="CO83" s="2044"/>
      <c r="CP83" s="2044"/>
      <c r="DG83" s="1105"/>
      <c r="DJ83" s="1067"/>
      <c r="DM83" s="1066"/>
      <c r="DP83" s="1067"/>
      <c r="DR83" s="1067"/>
      <c r="DT83" s="973">
        <f t="shared" si="61"/>
        <v>0</v>
      </c>
      <c r="DV83" s="251"/>
    </row>
    <row r="84" spans="1:189" x14ac:dyDescent="0.25">
      <c r="A84" s="1311">
        <v>1</v>
      </c>
      <c r="B84" s="1312" t="s">
        <v>3846</v>
      </c>
      <c r="C84" s="1312">
        <v>211974</v>
      </c>
      <c r="D84" s="1312" t="s">
        <v>3847</v>
      </c>
      <c r="E84" s="1313" t="s">
        <v>1876</v>
      </c>
      <c r="F84" s="1312">
        <v>429161</v>
      </c>
      <c r="G84" s="1312" t="s">
        <v>1509</v>
      </c>
      <c r="H84" s="1312" t="s">
        <v>2482</v>
      </c>
      <c r="I84" s="1314">
        <v>42687</v>
      </c>
      <c r="J84" s="1315"/>
      <c r="K84" s="1316">
        <v>7.2306639288158792</v>
      </c>
      <c r="L84" s="1317" t="s">
        <v>1885</v>
      </c>
      <c r="M84" s="1317"/>
      <c r="N84" s="1312">
        <v>30</v>
      </c>
      <c r="O84" s="1318">
        <v>8183.1</v>
      </c>
      <c r="P84" s="1319"/>
      <c r="Q84" s="1320"/>
      <c r="R84" s="1320">
        <v>0</v>
      </c>
      <c r="S84" s="1317">
        <v>45323</v>
      </c>
      <c r="T84" s="1042">
        <v>158</v>
      </c>
      <c r="U84" s="1317">
        <v>45382</v>
      </c>
      <c r="V84" s="1044">
        <v>192</v>
      </c>
      <c r="W84" s="1044">
        <f t="shared" si="62"/>
        <v>35</v>
      </c>
      <c r="X84" s="1045">
        <f t="shared" si="63"/>
        <v>0.18229166666666666</v>
      </c>
      <c r="Y84" s="2043">
        <v>1</v>
      </c>
      <c r="Z84" s="1354">
        <f t="shared" si="64"/>
        <v>0.18229166666666666</v>
      </c>
      <c r="AA84" s="1047">
        <f>O84*Z84</f>
        <v>1491.7109375</v>
      </c>
      <c r="AB84" s="1303" t="s">
        <v>2797</v>
      </c>
      <c r="AC84" s="1303" t="s">
        <v>2797</v>
      </c>
      <c r="AD84" s="1311"/>
      <c r="AE84" s="1311"/>
      <c r="AF84" s="1311"/>
      <c r="AG84" s="1320"/>
      <c r="AH84" s="1320"/>
      <c r="AI84" s="1320"/>
      <c r="AJ84" s="1322"/>
      <c r="AK84" s="1322"/>
      <c r="AL84" s="1322"/>
      <c r="AM84" s="1322"/>
      <c r="AN84" s="1322"/>
      <c r="AO84" s="1311"/>
      <c r="AP84" s="1322"/>
      <c r="AQ84" s="1311"/>
      <c r="AR84" s="1311"/>
      <c r="AS84" s="1311"/>
      <c r="AT84" s="1311"/>
      <c r="AU84" s="1311"/>
      <c r="AV84" s="1311"/>
      <c r="AW84" s="1311"/>
      <c r="AX84" s="1311"/>
      <c r="AY84" s="1311"/>
      <c r="AZ84" s="1311"/>
      <c r="BA84" s="1323"/>
      <c r="BB84" s="1324"/>
      <c r="BC84" s="1324"/>
      <c r="BD84" s="1324"/>
      <c r="BE84" s="1311"/>
      <c r="BF84" s="1311"/>
      <c r="BG84" s="1311"/>
      <c r="BH84" s="1325"/>
      <c r="BI84" s="1325"/>
      <c r="BJ84" s="1325"/>
      <c r="BK84" s="1325"/>
      <c r="BL84" s="1325"/>
      <c r="BM84" s="1325"/>
      <c r="BN84" s="1325"/>
      <c r="BO84" s="1325"/>
      <c r="BP84" s="1325"/>
      <c r="BQ84" s="1325"/>
      <c r="CA84" s="2044"/>
      <c r="CB84" s="2044"/>
      <c r="CC84" s="2044"/>
      <c r="CD84" s="2044"/>
      <c r="CE84" s="2044"/>
      <c r="CF84" s="2044"/>
      <c r="CG84" s="2044"/>
      <c r="CH84" s="2044"/>
      <c r="CI84" s="2044"/>
      <c r="CJ84" s="2044"/>
      <c r="CK84" s="2044"/>
      <c r="CL84" s="2044"/>
      <c r="CM84" s="2045"/>
      <c r="CN84" s="2044"/>
      <c r="CO84" s="2044"/>
      <c r="CP84" s="2044"/>
      <c r="DG84" s="1105"/>
      <c r="DJ84" s="1067"/>
      <c r="DM84" s="1066"/>
      <c r="DP84" s="1067"/>
      <c r="DR84" s="1074">
        <v>0</v>
      </c>
      <c r="DS84" s="1067">
        <f>AA84</f>
        <v>1491.7109375</v>
      </c>
      <c r="DT84" s="973">
        <f t="shared" si="61"/>
        <v>1491.7109375</v>
      </c>
      <c r="DV84" s="251"/>
    </row>
    <row r="85" spans="1:189" x14ac:dyDescent="0.25">
      <c r="A85" s="1311">
        <v>0</v>
      </c>
      <c r="B85" s="1312" t="s">
        <v>3846</v>
      </c>
      <c r="C85" s="1312">
        <v>211974</v>
      </c>
      <c r="D85" s="1312" t="s">
        <v>3847</v>
      </c>
      <c r="E85" s="1313" t="s">
        <v>1876</v>
      </c>
      <c r="F85" s="1312">
        <v>429161</v>
      </c>
      <c r="G85" s="1312" t="s">
        <v>1509</v>
      </c>
      <c r="H85" s="1312" t="s">
        <v>2482</v>
      </c>
      <c r="I85" s="1314">
        <v>42687</v>
      </c>
      <c r="J85" s="1315"/>
      <c r="K85" s="1316">
        <v>7.2</v>
      </c>
      <c r="L85" s="1317" t="s">
        <v>1885</v>
      </c>
      <c r="M85" s="1317"/>
      <c r="N85" s="1312" t="s">
        <v>91</v>
      </c>
      <c r="O85" s="1318">
        <v>6667.98</v>
      </c>
      <c r="P85" s="1319"/>
      <c r="Q85" s="1320"/>
      <c r="R85" s="1320">
        <v>0</v>
      </c>
      <c r="S85" s="1317">
        <v>45323</v>
      </c>
      <c r="T85" s="1042">
        <v>158</v>
      </c>
      <c r="U85" s="1317">
        <v>45382</v>
      </c>
      <c r="V85" s="1044">
        <v>192</v>
      </c>
      <c r="W85" s="1044">
        <f t="shared" si="62"/>
        <v>35</v>
      </c>
      <c r="X85" s="1045">
        <f t="shared" si="63"/>
        <v>0.18229166666666666</v>
      </c>
      <c r="Y85" s="2043">
        <v>1</v>
      </c>
      <c r="Z85" s="1354">
        <v>1</v>
      </c>
      <c r="AA85" s="1047">
        <f t="shared" ref="AA85:AA88" si="74">O85*Z85</f>
        <v>6667.98</v>
      </c>
      <c r="AB85" s="1303" t="s">
        <v>2797</v>
      </c>
      <c r="AC85" s="1303" t="s">
        <v>2797</v>
      </c>
      <c r="AD85" s="1311"/>
      <c r="AE85" s="1311"/>
      <c r="AF85" s="1311"/>
      <c r="AG85" s="1320"/>
      <c r="AH85" s="1320"/>
      <c r="AI85" s="1320"/>
      <c r="AJ85" s="1322"/>
      <c r="AK85" s="1322"/>
      <c r="AL85" s="1322"/>
      <c r="AM85" s="1322"/>
      <c r="AN85" s="1322"/>
      <c r="AO85" s="1311"/>
      <c r="AP85" s="1322"/>
      <c r="AQ85" s="1311"/>
      <c r="AR85" s="1311"/>
      <c r="AS85" s="1311"/>
      <c r="AT85" s="1311"/>
      <c r="AU85" s="1311"/>
      <c r="AV85" s="1311"/>
      <c r="AW85" s="1311"/>
      <c r="AX85" s="1311"/>
      <c r="AY85" s="1311"/>
      <c r="AZ85" s="1311"/>
      <c r="BA85" s="1323"/>
      <c r="BB85" s="1324"/>
      <c r="BC85" s="1324"/>
      <c r="BD85" s="1324"/>
      <c r="BE85" s="1311"/>
      <c r="BF85" s="1311"/>
      <c r="BG85" s="1311"/>
      <c r="BH85" s="1325"/>
      <c r="BI85" s="1325"/>
      <c r="BJ85" s="1325"/>
      <c r="BK85" s="1325"/>
      <c r="BL85" s="1325"/>
      <c r="BM85" s="1325"/>
      <c r="BN85" s="1325"/>
      <c r="BO85" s="1325"/>
      <c r="BP85" s="1325"/>
      <c r="BQ85" s="1325"/>
      <c r="CA85" s="2044"/>
      <c r="CB85" s="2044"/>
      <c r="CC85" s="2044"/>
      <c r="CD85" s="2044"/>
      <c r="CE85" s="2044"/>
      <c r="CF85" s="2044"/>
      <c r="CG85" s="2044"/>
      <c r="CH85" s="2044"/>
      <c r="CI85" s="2044"/>
      <c r="CJ85" s="2044"/>
      <c r="CK85" s="2044"/>
      <c r="CL85" s="2044"/>
      <c r="CM85" s="2045"/>
      <c r="CN85" s="2044"/>
      <c r="CO85" s="2044"/>
      <c r="CP85" s="2044"/>
      <c r="DG85" s="1105"/>
      <c r="DJ85" s="1067"/>
      <c r="DM85" s="1066"/>
      <c r="DP85" s="1067"/>
      <c r="DR85" s="1074">
        <v>0</v>
      </c>
      <c r="DS85" s="1067">
        <f>AA85</f>
        <v>6667.98</v>
      </c>
      <c r="DT85" s="973">
        <f t="shared" si="61"/>
        <v>6667.98</v>
      </c>
      <c r="DV85" s="251"/>
    </row>
    <row r="86" spans="1:189" x14ac:dyDescent="0.25">
      <c r="A86" s="1311">
        <v>1</v>
      </c>
      <c r="B86" s="1312" t="s">
        <v>2787</v>
      </c>
      <c r="C86" s="1312">
        <v>207585</v>
      </c>
      <c r="D86" s="1312" t="s">
        <v>3848</v>
      </c>
      <c r="E86" s="1313"/>
      <c r="F86" s="1312">
        <v>456028</v>
      </c>
      <c r="G86" s="1312" t="s">
        <v>3849</v>
      </c>
      <c r="H86" s="1312" t="s">
        <v>2626</v>
      </c>
      <c r="I86" s="1314">
        <v>43514</v>
      </c>
      <c r="J86" s="1315">
        <v>0</v>
      </c>
      <c r="K86" s="1316">
        <v>4.9664613278576315</v>
      </c>
      <c r="L86" s="1317"/>
      <c r="M86" s="1317"/>
      <c r="N86" s="1312" t="s">
        <v>91</v>
      </c>
      <c r="O86" s="1318">
        <v>9630</v>
      </c>
      <c r="P86" s="1319"/>
      <c r="Q86" s="1320"/>
      <c r="R86" s="1320">
        <v>0</v>
      </c>
      <c r="S86" s="1317">
        <v>45112</v>
      </c>
      <c r="T86" s="1042">
        <v>52</v>
      </c>
      <c r="U86" s="1317">
        <v>45338</v>
      </c>
      <c r="V86" s="1044">
        <v>163</v>
      </c>
      <c r="W86" s="1044">
        <f t="shared" si="62"/>
        <v>112</v>
      </c>
      <c r="X86" s="1045">
        <f t="shared" si="63"/>
        <v>0.58333333333333337</v>
      </c>
      <c r="Y86" s="2043">
        <v>1</v>
      </c>
      <c r="Z86" s="1354">
        <f t="shared" si="64"/>
        <v>0.58333333333333337</v>
      </c>
      <c r="AA86" s="1047">
        <f t="shared" si="74"/>
        <v>5617.5</v>
      </c>
      <c r="AB86" s="1303" t="s">
        <v>2797</v>
      </c>
      <c r="AC86" s="1303" t="s">
        <v>2797</v>
      </c>
      <c r="AD86" s="1311"/>
      <c r="AE86" s="1311"/>
      <c r="AF86" s="1311"/>
      <c r="AG86" s="1320"/>
      <c r="AH86" s="1320"/>
      <c r="AI86" s="1320"/>
      <c r="AJ86" s="1322"/>
      <c r="AK86" s="1322"/>
      <c r="AL86" s="1322"/>
      <c r="AM86" s="1322"/>
      <c r="AN86" s="1322"/>
      <c r="AO86" s="1311"/>
      <c r="AP86" s="1322"/>
      <c r="AQ86" s="1311"/>
      <c r="AR86" s="1311"/>
      <c r="AS86" s="1311"/>
      <c r="AT86" s="1311"/>
      <c r="AU86" s="1311"/>
      <c r="AV86" s="1311"/>
      <c r="AW86" s="1311"/>
      <c r="AX86" s="1311"/>
      <c r="AY86" s="1311"/>
      <c r="AZ86" s="1311"/>
      <c r="BA86" s="1323"/>
      <c r="BB86" s="1324"/>
      <c r="BC86" s="1324"/>
      <c r="BD86" s="1324"/>
      <c r="BE86" s="1311"/>
      <c r="BF86" s="1311"/>
      <c r="BG86" s="1311"/>
      <c r="BH86" s="1325"/>
      <c r="BI86" s="1325"/>
      <c r="BJ86" s="1325"/>
      <c r="BK86" s="1325"/>
      <c r="BL86" s="1325"/>
      <c r="BM86" s="1325"/>
      <c r="BN86" s="1325"/>
      <c r="BO86" s="1325"/>
      <c r="BP86" s="1325"/>
      <c r="BQ86" s="1325"/>
      <c r="CA86" s="2044"/>
      <c r="CB86" s="2044"/>
      <c r="CC86" s="2044"/>
      <c r="CD86" s="2044"/>
      <c r="CE86" s="2044"/>
      <c r="CF86" s="2044"/>
      <c r="CG86" s="2044"/>
      <c r="CH86" s="2044"/>
      <c r="CI86" s="2044"/>
      <c r="CJ86" s="2044"/>
      <c r="CK86" s="2044"/>
      <c r="CL86" s="2044"/>
      <c r="CM86" s="2045"/>
      <c r="CN86" s="2044"/>
      <c r="CO86" s="2044"/>
      <c r="CP86" s="2044"/>
      <c r="DG86" s="1105"/>
      <c r="DJ86" s="1067"/>
      <c r="DM86" s="1066"/>
      <c r="DP86" s="1067"/>
      <c r="DS86" s="1067">
        <f>AA86</f>
        <v>5617.5</v>
      </c>
      <c r="DT86" s="973">
        <f t="shared" si="61"/>
        <v>5617.5</v>
      </c>
      <c r="DV86" s="251"/>
    </row>
    <row r="87" spans="1:189" x14ac:dyDescent="0.25">
      <c r="A87" s="1311">
        <v>1</v>
      </c>
      <c r="B87" s="1312" t="s">
        <v>3850</v>
      </c>
      <c r="C87" s="1312">
        <v>209106</v>
      </c>
      <c r="D87" s="1312" t="s">
        <v>3851</v>
      </c>
      <c r="E87" s="1313" t="s">
        <v>1876</v>
      </c>
      <c r="F87" s="1312">
        <v>409219</v>
      </c>
      <c r="G87" s="1312" t="s">
        <v>2608</v>
      </c>
      <c r="H87" s="1312" t="s">
        <v>2607</v>
      </c>
      <c r="I87" s="1314">
        <v>41464</v>
      </c>
      <c r="J87" s="1315"/>
      <c r="K87" s="1316">
        <v>10.57905544147844</v>
      </c>
      <c r="L87" s="1317"/>
      <c r="M87" s="1317"/>
      <c r="N87" s="1312" t="s">
        <v>3852</v>
      </c>
      <c r="O87" s="1318"/>
      <c r="P87" s="1319"/>
      <c r="Q87" s="1320"/>
      <c r="R87" s="1320"/>
      <c r="S87" s="1317">
        <v>45540</v>
      </c>
      <c r="T87" s="2042"/>
      <c r="U87" s="1317"/>
      <c r="V87" s="1329"/>
      <c r="W87" s="1329"/>
      <c r="X87" s="1354"/>
      <c r="Y87" s="2043"/>
      <c r="Z87" s="1354"/>
      <c r="AA87" s="1355"/>
      <c r="AB87" s="1303" t="s">
        <v>2797</v>
      </c>
      <c r="AC87" s="1303" t="s">
        <v>2797</v>
      </c>
      <c r="AD87" s="1311"/>
      <c r="AE87" s="1311"/>
      <c r="AF87" s="1311"/>
      <c r="AG87" s="1320"/>
      <c r="AH87" s="1320"/>
      <c r="AI87" s="1320"/>
      <c r="AJ87" s="1322"/>
      <c r="AK87" s="1322"/>
      <c r="AL87" s="1322"/>
      <c r="AM87" s="1322"/>
      <c r="AN87" s="1322"/>
      <c r="AO87" s="1311"/>
      <c r="AP87" s="1322"/>
      <c r="AQ87" s="1311"/>
      <c r="AR87" s="1311"/>
      <c r="AS87" s="1311"/>
      <c r="AT87" s="1311"/>
      <c r="AU87" s="1311"/>
      <c r="AV87" s="1311"/>
      <c r="AW87" s="1311"/>
      <c r="AX87" s="1311"/>
      <c r="AY87" s="1311"/>
      <c r="AZ87" s="1311"/>
      <c r="BA87" s="1323"/>
      <c r="BB87" s="1324"/>
      <c r="BC87" s="1324"/>
      <c r="BD87" s="1324"/>
      <c r="BE87" s="1311"/>
      <c r="BF87" s="1311"/>
      <c r="BG87" s="1311"/>
      <c r="BH87" s="1325"/>
      <c r="BI87" s="1325"/>
      <c r="BJ87" s="1325"/>
      <c r="BK87" s="1325"/>
      <c r="BL87" s="1325"/>
      <c r="BM87" s="1325"/>
      <c r="BN87" s="1325"/>
      <c r="BO87" s="1325"/>
      <c r="BP87" s="1325"/>
      <c r="BQ87" s="1325"/>
      <c r="CA87" s="2044"/>
      <c r="CB87" s="2044"/>
      <c r="CC87" s="2044"/>
      <c r="CD87" s="2044"/>
      <c r="CE87" s="2044"/>
      <c r="CF87" s="2044"/>
      <c r="CG87" s="2044"/>
      <c r="CH87" s="2044"/>
      <c r="CI87" s="2044"/>
      <c r="CJ87" s="2044"/>
      <c r="CK87" s="2044"/>
      <c r="CL87" s="2044"/>
      <c r="CM87" s="2045"/>
      <c r="CN87" s="2044"/>
      <c r="CO87" s="2044"/>
      <c r="CP87" s="2044"/>
      <c r="DG87" s="1105"/>
      <c r="DJ87" s="1067"/>
      <c r="DM87" s="1066"/>
      <c r="DP87" s="1067"/>
      <c r="DT87" s="973">
        <f t="shared" si="61"/>
        <v>0</v>
      </c>
      <c r="DV87" s="251"/>
    </row>
    <row r="88" spans="1:189" x14ac:dyDescent="0.25">
      <c r="A88" s="1311">
        <v>1</v>
      </c>
      <c r="B88" s="1312" t="s">
        <v>2787</v>
      </c>
      <c r="C88" s="1312">
        <v>207050</v>
      </c>
      <c r="D88" s="1312" t="s">
        <v>3010</v>
      </c>
      <c r="E88" s="1313" t="s">
        <v>1606</v>
      </c>
      <c r="F88" s="1312">
        <v>365574</v>
      </c>
      <c r="G88" s="1312" t="s">
        <v>3644</v>
      </c>
      <c r="H88" s="1312" t="s">
        <v>3619</v>
      </c>
      <c r="I88" s="1314">
        <v>39450</v>
      </c>
      <c r="J88" s="1315"/>
      <c r="K88" s="1316">
        <f t="shared" ref="K88" ca="1" si="75">(TODAY()-I88)/365.25</f>
        <v>17.71937029431896</v>
      </c>
      <c r="L88" s="1317" t="s">
        <v>1886</v>
      </c>
      <c r="M88" s="1317"/>
      <c r="N88" s="1312" t="s">
        <v>3853</v>
      </c>
      <c r="O88" s="1318">
        <v>4373.71</v>
      </c>
      <c r="P88" s="1319"/>
      <c r="Q88" s="1320"/>
      <c r="R88" s="1320">
        <v>0</v>
      </c>
      <c r="S88" s="1317">
        <v>45226</v>
      </c>
      <c r="T88" s="1042">
        <v>100</v>
      </c>
      <c r="U88" s="1317">
        <v>45382</v>
      </c>
      <c r="V88" s="1044">
        <v>192</v>
      </c>
      <c r="W88" s="1044">
        <f t="shared" ref="W88" si="76">V88-T88+1</f>
        <v>93</v>
      </c>
      <c r="X88" s="1045">
        <f t="shared" ref="X88" si="77">W88/192</f>
        <v>0.484375</v>
      </c>
      <c r="Y88" s="2043">
        <v>1</v>
      </c>
      <c r="Z88" s="1354">
        <f t="shared" si="64"/>
        <v>0.484375</v>
      </c>
      <c r="AA88" s="1047">
        <f t="shared" si="74"/>
        <v>2118.5157812500001</v>
      </c>
      <c r="AB88" s="2046" t="s">
        <v>2787</v>
      </c>
      <c r="AC88" s="1321" t="s">
        <v>2797</v>
      </c>
      <c r="AD88" s="1311"/>
      <c r="AE88" s="1311"/>
      <c r="AF88" s="1311"/>
      <c r="AG88" s="1320"/>
      <c r="AH88" s="1320"/>
      <c r="AI88" s="1320"/>
      <c r="AJ88" s="1322"/>
      <c r="AK88" s="1322"/>
      <c r="AL88" s="1322"/>
      <c r="AM88" s="1322"/>
      <c r="AN88" s="1322"/>
      <c r="AO88" s="1311"/>
      <c r="AP88" s="1322"/>
      <c r="AQ88" s="1311"/>
      <c r="AR88" s="1311"/>
      <c r="AS88" s="1311"/>
      <c r="AT88" s="1311"/>
      <c r="AU88" s="1311"/>
      <c r="AV88" s="1311"/>
      <c r="AW88" s="1311"/>
      <c r="AX88" s="1311"/>
      <c r="AY88" s="1311"/>
      <c r="AZ88" s="1311"/>
      <c r="BA88" s="1323"/>
      <c r="BB88" s="1324"/>
      <c r="BC88" s="1324"/>
      <c r="BD88" s="1324"/>
      <c r="BE88" s="1311"/>
      <c r="BF88" s="1311"/>
      <c r="BG88" s="1311"/>
      <c r="BH88" s="1325"/>
      <c r="BI88" s="1325"/>
      <c r="BJ88" s="1325"/>
      <c r="BK88" s="1325"/>
      <c r="BL88" s="1325"/>
      <c r="BM88" s="1325"/>
      <c r="BN88" s="1325"/>
      <c r="BO88" s="1325"/>
      <c r="BP88" s="1325"/>
      <c r="BQ88" s="1325"/>
      <c r="CA88" s="2044"/>
      <c r="CB88" s="2044"/>
      <c r="CC88" s="2044"/>
      <c r="CD88" s="2044"/>
      <c r="CE88" s="2044"/>
      <c r="CF88" s="2044"/>
      <c r="CG88" s="2044"/>
      <c r="CH88" s="2044"/>
      <c r="CI88" s="2044"/>
      <c r="CJ88" s="2044"/>
      <c r="CK88" s="2044"/>
      <c r="CL88" s="2044"/>
      <c r="CM88" s="2045"/>
      <c r="CN88" s="2044"/>
      <c r="CO88" s="2044"/>
      <c r="CP88" s="2044"/>
      <c r="DG88" s="1105"/>
      <c r="DJ88" s="1067"/>
      <c r="DM88" s="1066"/>
      <c r="DP88" s="1067"/>
      <c r="DS88" s="1067">
        <f>AA88</f>
        <v>2118.5157812500001</v>
      </c>
      <c r="DT88" s="973">
        <f t="shared" si="61"/>
        <v>2118.5157812500001</v>
      </c>
      <c r="DV88" s="251"/>
    </row>
    <row r="89" spans="1:189" x14ac:dyDescent="0.25">
      <c r="A89" s="1311">
        <v>1</v>
      </c>
      <c r="B89" s="1312" t="s">
        <v>2885</v>
      </c>
      <c r="C89" s="1312">
        <v>202189</v>
      </c>
      <c r="D89" s="1312" t="s">
        <v>3055</v>
      </c>
      <c r="E89" s="1313" t="s">
        <v>1606</v>
      </c>
      <c r="F89" s="1312">
        <v>367772</v>
      </c>
      <c r="G89" s="1312" t="s">
        <v>1347</v>
      </c>
      <c r="H89" s="1312" t="s">
        <v>293</v>
      </c>
      <c r="I89" s="1314">
        <v>38605</v>
      </c>
      <c r="J89" s="1315"/>
      <c r="K89" s="1316">
        <v>18.406570841889117</v>
      </c>
      <c r="L89" s="1317" t="s">
        <v>1886</v>
      </c>
      <c r="M89" s="1317" t="s">
        <v>2836</v>
      </c>
      <c r="N89" s="1312">
        <v>25</v>
      </c>
      <c r="O89" s="1318">
        <v>4559.5</v>
      </c>
      <c r="P89" s="1319"/>
      <c r="Q89" s="1320"/>
      <c r="R89" s="1320">
        <v>5851</v>
      </c>
      <c r="S89" s="1317">
        <v>44287</v>
      </c>
      <c r="T89" s="2042"/>
      <c r="U89" s="1317">
        <v>44773</v>
      </c>
      <c r="V89" s="1329"/>
      <c r="W89" s="1329"/>
      <c r="X89" s="1354"/>
      <c r="Y89" s="2043"/>
      <c r="Z89" s="1354"/>
      <c r="AA89" s="1355"/>
      <c r="AB89" s="2046"/>
      <c r="AC89" s="1321"/>
      <c r="AD89" s="1311"/>
      <c r="AE89" s="1311"/>
      <c r="AF89" s="1311"/>
      <c r="AG89" s="1320"/>
      <c r="AH89" s="1320"/>
      <c r="AI89" s="1320"/>
      <c r="AJ89" s="1322"/>
      <c r="AK89" s="1322"/>
      <c r="AL89" s="1322"/>
      <c r="AM89" s="1322"/>
      <c r="AN89" s="1322"/>
      <c r="AO89" s="1311"/>
      <c r="AP89" s="1322"/>
      <c r="AQ89" s="1311"/>
      <c r="AR89" s="1311"/>
      <c r="AS89" s="1311"/>
      <c r="AT89" s="1311"/>
      <c r="AU89" s="1311"/>
      <c r="AV89" s="1311"/>
      <c r="AW89" s="1311"/>
      <c r="AX89" s="1311"/>
      <c r="AY89" s="1311"/>
      <c r="AZ89" s="1311"/>
      <c r="BA89" s="1323"/>
      <c r="BB89" s="1324"/>
      <c r="BC89" s="1324"/>
      <c r="BD89" s="1324"/>
      <c r="BE89" s="1311"/>
      <c r="BF89" s="1311"/>
      <c r="BG89" s="1311"/>
      <c r="BH89" s="1325"/>
      <c r="BI89" s="1325"/>
      <c r="BJ89" s="1325"/>
      <c r="BK89" s="1325"/>
      <c r="BL89" s="1325"/>
      <c r="BM89" s="1325"/>
      <c r="BN89" s="1325"/>
      <c r="BO89" s="1325"/>
      <c r="BP89" s="1325"/>
      <c r="BQ89" s="1325"/>
      <c r="CA89" s="2044"/>
      <c r="CB89" s="2044"/>
      <c r="CC89" s="2044"/>
      <c r="CD89" s="2044"/>
      <c r="CE89" s="2044"/>
      <c r="CF89" s="2044"/>
      <c r="CG89" s="2044"/>
      <c r="CH89" s="2044"/>
      <c r="CI89" s="2044"/>
      <c r="CJ89" s="2044"/>
      <c r="CK89" s="2044"/>
      <c r="CL89" s="2044"/>
      <c r="CM89" s="2045"/>
      <c r="CN89" s="2044"/>
      <c r="CO89" s="2044"/>
      <c r="CP89" s="2044"/>
      <c r="DG89" s="1105"/>
      <c r="DJ89" s="1067"/>
      <c r="DM89" s="1066"/>
      <c r="DP89" s="1067"/>
      <c r="DT89" s="973">
        <f>DR89+DS89</f>
        <v>0</v>
      </c>
      <c r="DV89" s="251"/>
    </row>
    <row r="90" spans="1:189" x14ac:dyDescent="0.25">
      <c r="A90" s="1311"/>
      <c r="B90" s="1312"/>
      <c r="C90" s="1312"/>
      <c r="D90" s="1312"/>
      <c r="E90" s="1313"/>
      <c r="F90" s="1312"/>
      <c r="G90" s="1312"/>
      <c r="H90" s="1312"/>
      <c r="I90" s="1314"/>
      <c r="J90" s="1315"/>
      <c r="K90" s="1316"/>
      <c r="L90" s="1317"/>
      <c r="M90" s="1317"/>
      <c r="N90" s="1312"/>
      <c r="O90" s="1318"/>
      <c r="P90" s="1319"/>
      <c r="Q90" s="1320"/>
      <c r="R90" s="1320"/>
      <c r="S90" s="1317"/>
      <c r="T90" s="2042"/>
      <c r="U90" s="1317"/>
      <c r="V90" s="1329"/>
      <c r="W90" s="1329"/>
      <c r="X90" s="1354"/>
      <c r="Y90" s="2043"/>
      <c r="Z90" s="1354"/>
      <c r="AA90" s="1355"/>
      <c r="AB90" s="2046"/>
      <c r="AC90" s="1321"/>
      <c r="AD90" s="1311"/>
      <c r="AE90" s="1311"/>
      <c r="AF90" s="1311"/>
      <c r="AG90" s="1320"/>
      <c r="AH90" s="1320"/>
      <c r="AI90" s="1320"/>
      <c r="AJ90" s="1322"/>
      <c r="AK90" s="1322"/>
      <c r="AL90" s="1322"/>
      <c r="AM90" s="1322"/>
      <c r="AN90" s="1322"/>
      <c r="AO90" s="1311"/>
      <c r="AP90" s="1322"/>
      <c r="AQ90" s="1311"/>
      <c r="AR90" s="1311"/>
      <c r="AS90" s="1311"/>
      <c r="AT90" s="1311"/>
      <c r="AU90" s="1311"/>
      <c r="AV90" s="1311"/>
      <c r="AW90" s="1311"/>
      <c r="AX90" s="1311"/>
      <c r="AY90" s="1311"/>
      <c r="AZ90" s="1311"/>
      <c r="BA90" s="1323"/>
      <c r="BB90" s="1324"/>
      <c r="BC90" s="1324"/>
      <c r="BD90" s="1324"/>
      <c r="BE90" s="1311"/>
      <c r="BF90" s="1311"/>
      <c r="BG90" s="1311"/>
      <c r="BH90" s="1325"/>
      <c r="BI90" s="1325"/>
      <c r="BJ90" s="1325"/>
      <c r="BK90" s="1325"/>
      <c r="BL90" s="1325"/>
      <c r="BM90" s="1325"/>
      <c r="BN90" s="1325"/>
      <c r="BO90" s="1325"/>
      <c r="BP90" s="1325"/>
      <c r="BQ90" s="1325"/>
      <c r="CA90" s="2044"/>
      <c r="CB90" s="2044"/>
      <c r="CC90" s="2044"/>
      <c r="CD90" s="2044"/>
      <c r="CE90" s="2044"/>
      <c r="CF90" s="2044"/>
      <c r="CG90" s="2044"/>
      <c r="CH90" s="2044"/>
      <c r="CI90" s="2044"/>
      <c r="CJ90" s="2044"/>
      <c r="CK90" s="2044"/>
      <c r="CL90" s="2044"/>
      <c r="CM90" s="2045"/>
      <c r="CN90" s="2044"/>
      <c r="CO90" s="2044"/>
      <c r="CP90" s="2044"/>
      <c r="DG90" s="1105"/>
      <c r="DJ90" s="1067"/>
      <c r="DM90" s="1066"/>
      <c r="DP90" s="1067"/>
      <c r="DR90" s="1067"/>
      <c r="DT90" s="973">
        <f t="shared" ref="DT90" si="78">DR90+DS90</f>
        <v>0</v>
      </c>
      <c r="DV90" s="251"/>
    </row>
    <row r="91" spans="1:189" x14ac:dyDescent="0.25">
      <c r="A91" s="1326">
        <f>COUNT(A3:A82)</f>
        <v>78</v>
      </c>
      <c r="B91" s="1219"/>
      <c r="C91" s="1219"/>
      <c r="D91" s="1219"/>
      <c r="E91" s="1327"/>
      <c r="F91" s="1327"/>
      <c r="G91" s="1219"/>
      <c r="H91" s="1219"/>
      <c r="I91" s="1328"/>
      <c r="J91" s="1329"/>
      <c r="K91" s="1220"/>
      <c r="L91" s="1221"/>
      <c r="M91" s="1221"/>
      <c r="N91" s="1219"/>
      <c r="O91" s="1330"/>
      <c r="P91" s="1331"/>
      <c r="Q91" s="1332">
        <f>SUM(Q5:Q82)</f>
        <v>522478.15788060887</v>
      </c>
      <c r="R91" s="1332">
        <f>SUM(R5:R82)</f>
        <v>108349.02</v>
      </c>
      <c r="S91" s="1332"/>
      <c r="T91" s="1333"/>
      <c r="U91" s="1332"/>
      <c r="V91" s="1333"/>
      <c r="W91" s="1333"/>
      <c r="X91" s="1334"/>
      <c r="Y91" s="1334">
        <f>SUM(Y4:Y86)</f>
        <v>83</v>
      </c>
      <c r="Z91" s="1334">
        <f>SUM(Z4:Z85)</f>
        <v>63.661458333333321</v>
      </c>
      <c r="AA91" s="1335"/>
      <c r="AB91" s="1332">
        <f t="shared" ref="AB91:AI91" si="79">SUM(AB5:AB82)</f>
        <v>0</v>
      </c>
      <c r="AC91" s="1332">
        <f t="shared" si="79"/>
        <v>0</v>
      </c>
      <c r="AD91" s="1332">
        <f t="shared" si="79"/>
        <v>0</v>
      </c>
      <c r="AE91" s="1332">
        <f t="shared" si="79"/>
        <v>441526.82333333336</v>
      </c>
      <c r="AF91" s="1332">
        <f t="shared" si="79"/>
        <v>0</v>
      </c>
      <c r="AG91" s="1332">
        <f t="shared" si="79"/>
        <v>464936.2333333334</v>
      </c>
      <c r="AH91" s="1332">
        <f t="shared" si="79"/>
        <v>411997.12666666665</v>
      </c>
      <c r="AI91" s="1332">
        <f t="shared" si="79"/>
        <v>69033.37</v>
      </c>
      <c r="AJ91" s="1336"/>
      <c r="AK91" s="1336"/>
      <c r="AL91" s="1336"/>
      <c r="AM91" s="1336"/>
      <c r="AN91" s="1336"/>
      <c r="AO91" s="1326"/>
      <c r="AP91" s="1336">
        <f>SUM(AP5:AP81)</f>
        <v>72580.72</v>
      </c>
      <c r="AQ91" s="1326"/>
      <c r="AR91" s="1326"/>
      <c r="AS91" s="1326"/>
      <c r="AT91" s="1326"/>
      <c r="AU91" s="1326"/>
      <c r="AV91" s="1326"/>
      <c r="AW91" s="1326"/>
      <c r="AX91" s="1326"/>
      <c r="AY91" s="1326"/>
      <c r="AZ91" s="1326"/>
      <c r="BA91" s="1337">
        <f>SUM(BA5:BA81)</f>
        <v>59658.96</v>
      </c>
      <c r="BB91" s="1338">
        <f>SUM(BB5:BB81)</f>
        <v>9909.35</v>
      </c>
      <c r="BC91" s="1338"/>
      <c r="BD91" s="1338">
        <f>SUM(BD5:BD81)</f>
        <v>4032</v>
      </c>
      <c r="BE91" s="1326"/>
      <c r="BF91" s="1326"/>
      <c r="BG91" s="1326"/>
      <c r="BH91" s="1339">
        <f>SUM(BH5:BH81)</f>
        <v>72580.72</v>
      </c>
      <c r="BI91" s="1339">
        <f>SUM(BI5:BI81)</f>
        <v>4032</v>
      </c>
      <c r="BJ91" s="1339"/>
      <c r="BK91" s="1339">
        <f>SUM(BK5:BK81)</f>
        <v>456753.13333333342</v>
      </c>
      <c r="BL91" s="1339">
        <f>SUM(BL5:BL81)</f>
        <v>9909.35</v>
      </c>
      <c r="BM91" s="1339">
        <f>SUM(BM5:BM81)</f>
        <v>59658.96</v>
      </c>
      <c r="BN91" s="1339">
        <f>SUM(BN5:BN81)</f>
        <v>371403.13000000012</v>
      </c>
      <c r="BO91" s="1339">
        <f>SUM(BO5:BO81)</f>
        <v>-18186.166666666664</v>
      </c>
      <c r="BP91" s="1339"/>
      <c r="BQ91" s="1340">
        <f>SUM(BQ5:BQ81)</f>
        <v>330893.11333333346</v>
      </c>
      <c r="CA91" s="1341">
        <f>SUM(CA5:CA81)</f>
        <v>-18186.166666666664</v>
      </c>
      <c r="CB91" s="1341"/>
      <c r="CC91" s="1341">
        <f>SUM(CC5:CC81)</f>
        <v>-3286</v>
      </c>
      <c r="CD91" s="1341">
        <f>SUM(CD5:CD81)</f>
        <v>0</v>
      </c>
      <c r="CE91" s="1341">
        <f>SUM(CE5:CE81)</f>
        <v>54228.23333333333</v>
      </c>
      <c r="CF91" s="1341">
        <f>SUM(CF5:CF81)</f>
        <v>0</v>
      </c>
      <c r="CG91" s="1341">
        <f>SUM(CG5:CG81)</f>
        <v>0</v>
      </c>
      <c r="CH91" s="1341"/>
      <c r="CI91" s="1341"/>
      <c r="CJ91" s="1341">
        <f>SUM(CJ5:CJ81)</f>
        <v>357386.94333333336</v>
      </c>
      <c r="CK91" s="1341"/>
      <c r="CL91" s="1341">
        <f t="shared" ref="CL91:CQ91" si="80">SUM(CL5:CL81)</f>
        <v>77325.47</v>
      </c>
      <c r="CM91" s="1342">
        <f t="shared" si="80"/>
        <v>59658.96</v>
      </c>
      <c r="CN91" s="1343">
        <f t="shared" si="80"/>
        <v>17666.509999999998</v>
      </c>
      <c r="CO91" s="1344">
        <f t="shared" si="80"/>
        <v>389989.39666666661</v>
      </c>
      <c r="CP91" s="1344">
        <f t="shared" si="80"/>
        <v>49022.283333333333</v>
      </c>
      <c r="CQ91" s="1344">
        <f t="shared" si="80"/>
        <v>0</v>
      </c>
      <c r="CR91" s="1345"/>
      <c r="CS91" s="1345">
        <f>SUM(CS5:CS81)</f>
        <v>5819.25</v>
      </c>
      <c r="CT91" s="1345"/>
      <c r="CU91" s="1346">
        <f>SUM(CU5:CU81)</f>
        <v>402413.97999999992</v>
      </c>
      <c r="CV91" s="1347">
        <f>SUM(CV5:CV81)</f>
        <v>12424.583333333334</v>
      </c>
      <c r="DA91" s="1348">
        <f>SUM(DA5:DA82)</f>
        <v>487736.41999999993</v>
      </c>
      <c r="DB91" s="1349">
        <f>SUM(DB5:DB82)</f>
        <v>85322.44</v>
      </c>
      <c r="DE91" s="1067">
        <f t="shared" ref="DE91:DJ91" si="81">SUM(DE5:DE82)</f>
        <v>20187.816666666666</v>
      </c>
      <c r="DF91" s="1350">
        <f t="shared" si="81"/>
        <v>507924.23666666663</v>
      </c>
      <c r="DG91" s="1351">
        <f t="shared" si="81"/>
        <v>20187.816666666666</v>
      </c>
      <c r="DH91" s="1067">
        <f t="shared" si="81"/>
        <v>-21270.098786057693</v>
      </c>
      <c r="DI91" s="1350">
        <f t="shared" si="81"/>
        <v>497866.13788060896</v>
      </c>
      <c r="DJ91" s="1350">
        <f t="shared" si="81"/>
        <v>-21270.098786057693</v>
      </c>
      <c r="DL91" s="1066">
        <f>SUM(DL4:DL82)</f>
        <v>-4890.16</v>
      </c>
      <c r="DM91" s="1352">
        <f>SUM(DM4:DM82)</f>
        <v>492975.97788060893</v>
      </c>
      <c r="DP91" s="1353">
        <f>SUM(DP4:DP82)</f>
        <v>492975.97788060893</v>
      </c>
      <c r="DQ91" s="1067">
        <f>SUBTOTAL(9,DQ4:DQ82)</f>
        <v>6571.58</v>
      </c>
      <c r="DR91" s="1353">
        <f>SUM(DR4:DR82)</f>
        <v>499547.55788060901</v>
      </c>
      <c r="DS91" s="1353">
        <f>SUM(DS4:DS90)</f>
        <v>36801.993437500001</v>
      </c>
      <c r="DT91" s="1353">
        <f>SUM(DT4:DT90)</f>
        <v>536349.55131810892</v>
      </c>
    </row>
    <row r="92" spans="1:189" x14ac:dyDescent="0.25">
      <c r="A92" s="1326">
        <f>SUM(A5:A81)</f>
        <v>70</v>
      </c>
      <c r="B92" s="1219"/>
      <c r="C92" s="1219"/>
      <c r="D92" s="1219"/>
      <c r="E92" s="1327"/>
      <c r="F92" s="1327"/>
      <c r="G92" s="1219"/>
      <c r="H92" s="1219"/>
      <c r="I92" s="1328"/>
      <c r="J92" s="1329"/>
      <c r="K92" s="1220"/>
      <c r="L92" s="1221"/>
      <c r="M92" s="1221"/>
      <c r="N92" s="1219"/>
      <c r="O92" s="1330"/>
      <c r="P92" s="1331"/>
      <c r="Q92" s="1332"/>
      <c r="R92" s="1332"/>
      <c r="S92" s="1221"/>
      <c r="T92" s="1329"/>
      <c r="U92" s="1221"/>
      <c r="V92" s="1329"/>
      <c r="W92" s="1329"/>
      <c r="X92" s="1354"/>
      <c r="Y92" s="1354"/>
      <c r="Z92" s="1354"/>
      <c r="AA92" s="1355"/>
      <c r="AB92" s="1356"/>
      <c r="AC92" s="1356"/>
      <c r="AD92" s="1326"/>
      <c r="AE92" s="1326"/>
      <c r="AF92" s="1326"/>
      <c r="AG92" s="1332"/>
      <c r="AH92" s="1332"/>
      <c r="AI92" s="1332"/>
      <c r="AJ92" s="1336"/>
      <c r="AK92" s="1336"/>
      <c r="AL92" s="1336"/>
      <c r="AM92" s="1336"/>
      <c r="AN92" s="1336"/>
      <c r="AO92" s="1326"/>
      <c r="AP92" s="1336"/>
      <c r="AQ92" s="1326"/>
      <c r="AR92" s="1326"/>
      <c r="AS92" s="1326"/>
      <c r="AT92" s="1326"/>
      <c r="AU92" s="1326"/>
      <c r="AV92" s="1326"/>
      <c r="AW92" s="1326"/>
      <c r="AX92" s="1326"/>
      <c r="AY92" s="1326"/>
      <c r="AZ92" s="1326"/>
      <c r="BA92" s="1337"/>
      <c r="BB92" s="1338"/>
      <c r="BC92" s="1338"/>
      <c r="BD92" s="1338"/>
      <c r="BE92" s="1326"/>
      <c r="BF92" s="1103"/>
      <c r="BG92" s="1103"/>
      <c r="BH92" s="1357"/>
      <c r="BI92" s="1357"/>
      <c r="BJ92" s="1339"/>
      <c r="BK92" s="1339"/>
      <c r="BL92" s="1339"/>
      <c r="BM92" s="1339"/>
      <c r="BN92" s="1339"/>
      <c r="BO92" s="1339"/>
      <c r="BP92" s="1339"/>
      <c r="BQ92" s="1339"/>
      <c r="CA92" s="1341"/>
      <c r="CB92" s="1341"/>
      <c r="CC92" s="1341"/>
      <c r="CD92" s="1341"/>
      <c r="CE92" s="1341"/>
      <c r="CF92" s="1341"/>
      <c r="CG92" s="1341"/>
      <c r="CH92" s="1341"/>
      <c r="CI92" s="1341"/>
      <c r="CJ92" s="1341"/>
      <c r="CK92" s="1341"/>
      <c r="CL92" s="1341"/>
      <c r="CM92" s="1342">
        <f>CL91-CM91</f>
        <v>17666.510000000002</v>
      </c>
      <c r="CN92" s="1358"/>
      <c r="CO92" s="1358">
        <v>379915.39666666667</v>
      </c>
      <c r="CP92" s="1358"/>
      <c r="CU92" s="1105"/>
      <c r="DA92" s="1067">
        <f t="shared" si="32"/>
        <v>0</v>
      </c>
      <c r="DB92" s="1067">
        <f>SUM(DB5:DB82)</f>
        <v>85322.44</v>
      </c>
    </row>
    <row r="93" spans="1:189" x14ac:dyDescent="0.25">
      <c r="DA93" s="1104">
        <v>0</v>
      </c>
      <c r="DC93" s="1074" t="s">
        <v>3030</v>
      </c>
    </row>
    <row r="94" spans="1:189" ht="15.75" x14ac:dyDescent="0.25">
      <c r="A94" s="1326"/>
      <c r="B94" s="1219"/>
      <c r="C94" s="1219"/>
      <c r="D94" s="1219"/>
      <c r="E94" s="1327"/>
      <c r="F94" s="1327"/>
      <c r="G94" s="1219"/>
      <c r="H94" s="1219"/>
      <c r="I94" s="1328"/>
      <c r="J94" s="1329"/>
      <c r="K94" s="1220"/>
      <c r="L94" s="1221"/>
      <c r="M94" s="1221"/>
      <c r="N94" s="1219"/>
      <c r="O94" s="1330"/>
      <c r="P94" s="1331"/>
      <c r="Q94" s="1332"/>
      <c r="R94" s="1332"/>
      <c r="S94" s="1221"/>
      <c r="T94" s="1329"/>
      <c r="U94" s="1221"/>
      <c r="V94" s="1329"/>
      <c r="W94" s="1329"/>
      <c r="X94" s="1354"/>
      <c r="Y94" s="1354"/>
      <c r="Z94" s="1354"/>
      <c r="AA94" s="1355"/>
      <c r="AB94" s="1356"/>
      <c r="AC94" s="1356"/>
      <c r="AD94" s="1326"/>
      <c r="AE94" s="1326"/>
      <c r="AF94" s="1326"/>
      <c r="AG94" s="1332"/>
      <c r="AH94" s="1332"/>
      <c r="AI94" s="1332"/>
      <c r="AJ94" s="1336"/>
      <c r="AK94" s="1336"/>
      <c r="AL94" s="1336"/>
      <c r="AM94" s="1336"/>
      <c r="AN94" s="1336"/>
      <c r="AO94" s="1326"/>
      <c r="AP94" s="1336"/>
      <c r="AQ94" s="1326"/>
      <c r="AR94" s="1326"/>
      <c r="AS94" s="1326"/>
      <c r="AT94" s="1326"/>
      <c r="AU94" s="1326"/>
      <c r="AV94" s="1326"/>
      <c r="AW94" s="1326"/>
      <c r="AX94" s="1326"/>
      <c r="AY94" s="1326"/>
      <c r="AZ94" s="1326"/>
      <c r="BA94" s="1337"/>
      <c r="BB94" s="1338"/>
      <c r="BC94" s="1338"/>
      <c r="BD94" s="1338"/>
      <c r="BE94" s="1326"/>
      <c r="BF94" s="1103"/>
      <c r="BG94" s="1103"/>
      <c r="BH94" s="1357"/>
      <c r="BI94" s="1357"/>
      <c r="BJ94" s="1339"/>
      <c r="BK94" s="1339"/>
      <c r="BL94" s="1339"/>
      <c r="BM94" s="1339"/>
      <c r="BN94" s="1339"/>
      <c r="BO94" s="1339"/>
      <c r="BP94" s="1339"/>
      <c r="BQ94" s="1339"/>
      <c r="CA94" s="1341"/>
      <c r="CB94" s="1341"/>
      <c r="CC94" s="1341"/>
      <c r="CD94" s="1341"/>
      <c r="CE94" s="1341"/>
      <c r="CF94" s="1341"/>
      <c r="CG94" s="1341"/>
      <c r="CH94" s="1341"/>
      <c r="CI94" s="1341"/>
      <c r="CJ94" s="1341"/>
      <c r="CK94" s="1341"/>
      <c r="CL94" s="1341"/>
      <c r="CM94" s="1359"/>
      <c r="CN94" s="1360" t="s">
        <v>3031</v>
      </c>
      <c r="CO94" s="1361">
        <v>203000</v>
      </c>
      <c r="CP94" s="1358"/>
      <c r="CT94" s="1360" t="s">
        <v>3031</v>
      </c>
      <c r="CU94" s="1361">
        <v>203000</v>
      </c>
      <c r="DA94" s="1350">
        <f>SUM(DA91:DA93)</f>
        <v>487736.41999999993</v>
      </c>
      <c r="DE94" s="1350" t="s">
        <v>2595</v>
      </c>
      <c r="DF94" s="1350">
        <f>DF91</f>
        <v>507924.23666666663</v>
      </c>
      <c r="DH94" s="1350" t="s">
        <v>3032</v>
      </c>
      <c r="DI94" s="1350">
        <f>DI91</f>
        <v>497866.13788060896</v>
      </c>
    </row>
    <row r="95" spans="1:189" x14ac:dyDescent="0.25">
      <c r="A95" s="1068"/>
      <c r="B95" s="480"/>
      <c r="C95" s="480"/>
      <c r="D95" s="480"/>
      <c r="E95" s="1165"/>
      <c r="F95" s="1165"/>
      <c r="G95" s="480"/>
      <c r="H95" s="480"/>
      <c r="I95" s="1038"/>
      <c r="J95" s="1044"/>
      <c r="K95" s="1039"/>
      <c r="L95" s="963"/>
      <c r="M95" s="963"/>
      <c r="N95" s="480"/>
      <c r="O95" s="1138"/>
      <c r="P95" s="1362"/>
      <c r="Q95" s="1363"/>
      <c r="R95" s="1364">
        <f>Q91+R91-AG91</f>
        <v>165890.94454727543</v>
      </c>
      <c r="S95" s="1166" t="s">
        <v>3033</v>
      </c>
      <c r="T95" s="1365"/>
      <c r="U95" s="963"/>
      <c r="V95" s="1044"/>
      <c r="W95" s="1044"/>
      <c r="X95" s="1045"/>
      <c r="Y95" s="1045"/>
      <c r="Z95" s="1045"/>
      <c r="AA95" s="1047"/>
      <c r="AB95" s="1037"/>
      <c r="AC95" s="1037"/>
      <c r="AD95" s="1068"/>
      <c r="AE95" s="1068"/>
      <c r="AF95" s="1068"/>
      <c r="AG95" s="1073"/>
      <c r="AH95" s="1073"/>
      <c r="AI95" s="1073"/>
      <c r="AJ95" s="1073"/>
      <c r="AK95" s="1073"/>
      <c r="AL95" s="1073"/>
      <c r="AM95" s="1073"/>
      <c r="AN95" s="1073"/>
      <c r="AO95" s="1068"/>
      <c r="AP95" s="1073"/>
      <c r="AQ95" s="1068"/>
      <c r="AR95" s="1068"/>
      <c r="AS95" s="1068"/>
      <c r="AT95" s="1068"/>
      <c r="AU95" s="1068"/>
      <c r="AV95" s="1068"/>
      <c r="AW95" s="1068"/>
      <c r="AX95" s="1068"/>
      <c r="AY95" s="1068"/>
      <c r="AZ95" s="1068"/>
      <c r="BA95" s="1073"/>
      <c r="BB95" s="1073"/>
      <c r="BC95" s="1068"/>
      <c r="BD95" s="1068"/>
      <c r="BE95" s="1068"/>
      <c r="BF95" s="1082"/>
      <c r="BG95" s="1082"/>
      <c r="BH95" s="1082"/>
      <c r="BI95" s="1082"/>
      <c r="BJ95" s="1068"/>
      <c r="BK95" s="1068"/>
      <c r="BL95" s="1068"/>
      <c r="BM95" s="1068"/>
      <c r="BN95" s="1068"/>
      <c r="BO95" s="1366">
        <v>-18186.166666666664</v>
      </c>
      <c r="BP95" s="1366"/>
      <c r="BQ95" s="1366">
        <v>330893.11333333346</v>
      </c>
      <c r="CA95" s="1105"/>
      <c r="CK95" s="1341"/>
      <c r="CL95" s="1341"/>
      <c r="CM95" s="1359"/>
      <c r="CN95" s="1358"/>
      <c r="CO95" s="1358"/>
      <c r="CP95" s="1358"/>
    </row>
    <row r="96" spans="1:189" x14ac:dyDescent="0.25">
      <c r="A96" s="1068"/>
      <c r="B96" s="480"/>
      <c r="C96" s="480"/>
      <c r="D96" s="480"/>
      <c r="E96" s="1165"/>
      <c r="F96" s="1165"/>
      <c r="G96" s="480"/>
      <c r="H96" s="480"/>
      <c r="I96" s="1038"/>
      <c r="J96" s="1044"/>
      <c r="K96" s="1039"/>
      <c r="L96" s="963"/>
      <c r="M96" s="963"/>
      <c r="N96" s="480"/>
      <c r="O96" s="1138"/>
      <c r="P96" s="1362"/>
      <c r="Q96" s="1363"/>
      <c r="R96" s="1363"/>
      <c r="S96" s="963"/>
      <c r="T96" s="1044"/>
      <c r="U96" s="963"/>
      <c r="V96" s="1044"/>
      <c r="W96" s="1044"/>
      <c r="X96" s="1045"/>
      <c r="Y96" s="1045"/>
      <c r="Z96" s="1045"/>
      <c r="AA96" s="1047"/>
      <c r="AB96" s="1037"/>
      <c r="AC96" s="1037"/>
      <c r="AD96" s="1068"/>
      <c r="AE96" s="1068"/>
      <c r="AF96" s="1068"/>
      <c r="AG96" s="1073"/>
      <c r="AH96" s="1073"/>
      <c r="AI96" s="1073"/>
      <c r="AJ96" s="1073"/>
      <c r="AK96" s="1073"/>
      <c r="AL96" s="1073"/>
      <c r="AM96" s="1073"/>
      <c r="AN96" s="1073"/>
      <c r="AO96" s="1068"/>
      <c r="AP96" s="1073"/>
      <c r="AQ96" s="1068"/>
      <c r="AR96" s="1068"/>
      <c r="AS96" s="1068"/>
      <c r="AT96" s="1068"/>
      <c r="AU96" s="1068"/>
      <c r="AV96" s="1068"/>
      <c r="AW96" s="1068"/>
      <c r="AX96" s="1068"/>
      <c r="AY96" s="1068"/>
      <c r="AZ96" s="1068"/>
      <c r="BA96" s="1073"/>
      <c r="BB96" s="1073"/>
      <c r="BC96" s="1068"/>
      <c r="BD96" s="1068"/>
      <c r="BE96" s="1367"/>
      <c r="BF96" s="1068"/>
      <c r="BG96" s="1068"/>
      <c r="BH96" s="1068"/>
      <c r="BI96" s="1083"/>
      <c r="BJ96" s="1368"/>
      <c r="BK96" s="1068"/>
      <c r="BL96" s="1068"/>
      <c r="BM96" s="1068"/>
      <c r="BN96" s="1068"/>
      <c r="BO96" s="1068"/>
      <c r="BP96" s="1068"/>
      <c r="BQ96" s="1068"/>
      <c r="BS96" s="1074">
        <v>0</v>
      </c>
      <c r="CK96" s="1341"/>
      <c r="CL96" s="1341"/>
      <c r="CM96" s="1359"/>
      <c r="CN96" s="1369" t="s">
        <v>3034</v>
      </c>
      <c r="CO96" s="1369">
        <f>CO91-CO94</f>
        <v>186989.39666666661</v>
      </c>
      <c r="CP96" s="1358"/>
      <c r="CT96" s="1369" t="s">
        <v>3035</v>
      </c>
      <c r="CU96" s="1370">
        <f>CU91-CU94</f>
        <v>199413.97999999992</v>
      </c>
    </row>
    <row r="97" spans="1:123" x14ac:dyDescent="0.25">
      <c r="A97" s="1068"/>
      <c r="B97" s="480"/>
      <c r="C97" s="480"/>
      <c r="D97" s="480"/>
      <c r="E97" s="1165"/>
      <c r="F97" s="1165"/>
      <c r="G97" s="480"/>
      <c r="H97" s="480"/>
      <c r="I97" s="1038"/>
      <c r="J97" s="1044"/>
      <c r="K97" s="1039"/>
      <c r="L97" s="963"/>
      <c r="M97" s="963"/>
      <c r="N97" s="480"/>
      <c r="O97" s="1138"/>
      <c r="P97" s="1362"/>
      <c r="Q97" s="1363"/>
      <c r="R97" s="1363"/>
      <c r="S97" s="963"/>
      <c r="T97" s="1044"/>
      <c r="U97" s="963"/>
      <c r="V97" s="1044"/>
      <c r="W97" s="1044"/>
      <c r="X97" s="1045"/>
      <c r="Y97" s="1045"/>
      <c r="Z97" s="1045"/>
      <c r="AA97" s="1047"/>
      <c r="AB97" s="1037"/>
      <c r="AC97" s="1037"/>
      <c r="AD97" s="1068"/>
      <c r="AE97" s="1068"/>
      <c r="AF97" s="1068"/>
      <c r="AG97" s="1073"/>
      <c r="AH97" s="1073"/>
      <c r="AI97" s="1073"/>
      <c r="AJ97" s="1073"/>
      <c r="AK97" s="1073"/>
      <c r="AL97" s="1073"/>
      <c r="AM97" s="1073"/>
      <c r="AN97" s="1073"/>
      <c r="AO97" s="1068"/>
      <c r="AP97" s="1073"/>
      <c r="AQ97" s="1068"/>
      <c r="AR97" s="1068"/>
      <c r="AS97" s="1068"/>
      <c r="AT97" s="1068"/>
      <c r="AU97" s="1068"/>
      <c r="AV97" s="1068"/>
      <c r="AW97" s="1068"/>
      <c r="AX97" s="1068"/>
      <c r="AY97" s="1068"/>
      <c r="AZ97" s="1068"/>
      <c r="BA97" s="1073"/>
      <c r="BB97" s="1073"/>
      <c r="BC97" s="1068"/>
      <c r="BD97" s="1068"/>
      <c r="BE97" s="1367"/>
      <c r="BF97" s="1068"/>
      <c r="BG97" s="1068"/>
      <c r="BH97" s="1068"/>
      <c r="BI97" s="1083"/>
      <c r="BJ97" s="1368"/>
      <c r="BK97" s="1068"/>
      <c r="BL97" s="1068"/>
      <c r="BM97" s="1068"/>
      <c r="BN97" s="1068"/>
      <c r="BO97" s="1068"/>
      <c r="BP97" s="1068"/>
      <c r="BQ97" s="1068"/>
      <c r="CK97" s="1341"/>
      <c r="CL97" s="1341"/>
      <c r="CM97" s="1359"/>
      <c r="CN97" s="1358"/>
      <c r="CO97" s="1358"/>
      <c r="CP97" s="1358"/>
    </row>
    <row r="98" spans="1:123" x14ac:dyDescent="0.25">
      <c r="A98" s="1068"/>
      <c r="B98" s="480"/>
      <c r="C98" s="480"/>
      <c r="D98" s="480"/>
      <c r="E98" s="1165"/>
      <c r="F98" s="1165"/>
      <c r="G98" s="480"/>
      <c r="H98" s="480"/>
      <c r="I98" s="1038"/>
      <c r="J98" s="1044"/>
      <c r="K98" s="1039"/>
      <c r="L98" s="963"/>
      <c r="M98" s="963"/>
      <c r="N98" s="480"/>
      <c r="O98" s="1138"/>
      <c r="P98" s="1362"/>
      <c r="Q98" s="1363"/>
      <c r="R98" s="1363"/>
      <c r="S98" s="963"/>
      <c r="T98" s="1044"/>
      <c r="U98" s="963"/>
      <c r="V98" s="1044"/>
      <c r="W98" s="1044"/>
      <c r="X98" s="1045"/>
      <c r="Y98" s="1045"/>
      <c r="Z98" s="1045"/>
      <c r="AA98" s="1047"/>
      <c r="AB98" s="1037"/>
      <c r="AC98" s="1037"/>
      <c r="AD98" s="1068"/>
      <c r="AE98" s="1068"/>
      <c r="AF98" s="1068"/>
      <c r="AG98" s="1073"/>
      <c r="AH98" s="1073"/>
      <c r="AI98" s="1073"/>
      <c r="AJ98" s="1073"/>
      <c r="AK98" s="1073"/>
      <c r="AL98" s="1073"/>
      <c r="AM98" s="1073"/>
      <c r="AN98" s="1073"/>
      <c r="AO98" s="1068"/>
      <c r="AP98" s="1073"/>
      <c r="AQ98" s="1068"/>
      <c r="AR98" s="1068"/>
      <c r="AS98" s="1068"/>
      <c r="AT98" s="1068"/>
      <c r="AU98" s="1068"/>
      <c r="AV98" s="1068"/>
      <c r="AW98" s="1068"/>
      <c r="AX98" s="1068"/>
      <c r="AY98" s="1068"/>
      <c r="AZ98" s="1068"/>
      <c r="BA98" s="1073"/>
      <c r="BB98" s="1073"/>
      <c r="BC98" s="1068"/>
      <c r="BD98" s="1068"/>
      <c r="BE98" s="1367"/>
      <c r="BF98" s="1068"/>
      <c r="BG98" s="1068"/>
      <c r="BH98" s="1068"/>
      <c r="BI98" s="1083"/>
      <c r="BJ98" s="1368"/>
      <c r="BK98" s="1068"/>
      <c r="BL98" s="1068"/>
      <c r="BM98" s="1068"/>
      <c r="BN98" s="1068"/>
      <c r="BO98" s="1068"/>
      <c r="BP98" s="1068"/>
      <c r="BQ98" s="1068"/>
      <c r="CK98" s="1341"/>
      <c r="CL98" s="1341"/>
      <c r="CM98" s="1359"/>
      <c r="CN98" s="1358"/>
      <c r="CO98" s="1358"/>
      <c r="CP98" s="1358"/>
      <c r="CT98" s="1371" t="s">
        <v>3036</v>
      </c>
      <c r="CU98" s="1371"/>
      <c r="CV98" s="1143"/>
      <c r="CW98" s="1143"/>
      <c r="CX98" s="1143"/>
      <c r="CY98" s="1143"/>
      <c r="DB98" s="1067" t="s">
        <v>3037</v>
      </c>
      <c r="DD98" s="1074" t="s">
        <v>3037</v>
      </c>
      <c r="DG98" s="1074" t="s">
        <v>3038</v>
      </c>
      <c r="DK98" s="1074" t="s">
        <v>3039</v>
      </c>
      <c r="DP98" s="1074" t="s">
        <v>1071</v>
      </c>
    </row>
    <row r="99" spans="1:123" ht="15.75" x14ac:dyDescent="0.25">
      <c r="A99" s="1068"/>
      <c r="B99" s="480"/>
      <c r="C99" s="480"/>
      <c r="D99" s="480"/>
      <c r="E99" s="1165"/>
      <c r="F99" s="1165"/>
      <c r="G99" s="480"/>
      <c r="H99" s="480"/>
      <c r="I99" s="963"/>
      <c r="J99" s="1044"/>
      <c r="K99" s="1039"/>
      <c r="L99" s="963"/>
      <c r="M99" s="963"/>
      <c r="N99" s="480"/>
      <c r="O99" s="1138"/>
      <c r="P99" s="1362"/>
      <c r="Q99" s="1363"/>
      <c r="R99" s="1363"/>
      <c r="S99" s="963"/>
      <c r="T99" s="1044"/>
      <c r="U99" s="963"/>
      <c r="V99" s="1044"/>
      <c r="W99" s="1044"/>
      <c r="X99" s="1045"/>
      <c r="Y99" s="1045"/>
      <c r="Z99" s="1045"/>
      <c r="AA99" s="1047"/>
      <c r="AB99" s="1037"/>
      <c r="AC99" s="1037"/>
      <c r="AD99" s="1068"/>
      <c r="AE99" s="1068"/>
      <c r="AF99" s="1068"/>
      <c r="AG99" s="1073"/>
      <c r="AH99" s="1073"/>
      <c r="AI99" s="1073"/>
      <c r="AJ99" s="1073"/>
      <c r="AK99" s="1073"/>
      <c r="AL99" s="1073"/>
      <c r="AM99" s="1073"/>
      <c r="AN99" s="1073"/>
      <c r="AO99" s="1068"/>
      <c r="AP99" s="1073"/>
      <c r="AQ99" s="1068"/>
      <c r="AR99" s="1068"/>
      <c r="AS99" s="1068"/>
      <c r="AT99" s="1068"/>
      <c r="AU99" s="1068"/>
      <c r="AV99" s="1068"/>
      <c r="AW99" s="1068"/>
      <c r="AX99" s="1068"/>
      <c r="AY99" s="1068"/>
      <c r="AZ99" s="1068"/>
      <c r="BA99" s="1073"/>
      <c r="BB99" s="1073"/>
      <c r="BC99" s="1068"/>
      <c r="BD99" s="1068"/>
      <c r="BE99" s="1367"/>
      <c r="BF99" s="1372"/>
      <c r="BG99" s="1372"/>
      <c r="BH99" s="1372"/>
      <c r="BI99" s="1373"/>
      <c r="BJ99" s="1368"/>
      <c r="BK99" s="1372"/>
      <c r="BL99" s="1372"/>
      <c r="BM99" s="1372"/>
      <c r="BN99" s="1372"/>
      <c r="BO99" s="1374" t="s">
        <v>3040</v>
      </c>
      <c r="BP99" s="1374"/>
      <c r="BQ99" s="1361">
        <v>203000</v>
      </c>
      <c r="BR99" s="1361"/>
      <c r="CT99" s="1371" t="s">
        <v>3041</v>
      </c>
      <c r="CU99" s="1371"/>
      <c r="CV99" s="1143"/>
      <c r="CW99" s="1143"/>
      <c r="CX99" s="1143"/>
      <c r="CY99" s="1143"/>
      <c r="DB99" s="1074" t="s">
        <v>3042</v>
      </c>
      <c r="DC99" s="1067" t="s">
        <v>1606</v>
      </c>
      <c r="DD99" s="1067" t="s">
        <v>1606</v>
      </c>
      <c r="DE99" s="1067">
        <f>SUMIF($E:$E,DD99,DF:DF)</f>
        <v>196476.00000000003</v>
      </c>
      <c r="DF99" s="1107">
        <v>26</v>
      </c>
      <c r="DG99" s="1074" t="s">
        <v>3042</v>
      </c>
      <c r="DH99" s="1067" t="s">
        <v>1606</v>
      </c>
      <c r="DI99" s="1067">
        <f>SUMIF($E$5:$E$82,DH99,DI5:DI82)</f>
        <v>210467.16890625001</v>
      </c>
      <c r="DJ99" s="1074">
        <v>29</v>
      </c>
      <c r="DK99" s="1067" t="s">
        <v>3042</v>
      </c>
      <c r="DL99" s="1067" t="s">
        <v>1606</v>
      </c>
      <c r="DM99" s="1067">
        <f>SUMIF($E:$E,DL99,DM:DM)</f>
        <v>218915.31890625003</v>
      </c>
      <c r="DN99" s="1074">
        <v>31</v>
      </c>
      <c r="DP99" s="1074" t="s">
        <v>3042</v>
      </c>
      <c r="DQ99" s="1067" t="s">
        <v>1606</v>
      </c>
      <c r="DR99" s="1067">
        <f>SUMIF(E:E,DQ99,DR:DR)</f>
        <v>215656.35890625001</v>
      </c>
      <c r="DS99" s="1067">
        <v>29</v>
      </c>
    </row>
    <row r="100" spans="1:123" ht="15.75" x14ac:dyDescent="0.25">
      <c r="A100" s="1068"/>
      <c r="B100" s="480"/>
      <c r="C100" s="480"/>
      <c r="D100" s="480"/>
      <c r="E100" s="1165"/>
      <c r="F100" s="1165"/>
      <c r="G100" s="480"/>
      <c r="H100" s="480"/>
      <c r="I100" s="1038"/>
      <c r="J100" s="1044"/>
      <c r="K100" s="1039"/>
      <c r="L100" s="963"/>
      <c r="M100" s="963"/>
      <c r="N100" s="480"/>
      <c r="O100" s="1138"/>
      <c r="P100" s="1362"/>
      <c r="Q100" s="1363"/>
      <c r="R100" s="1363"/>
      <c r="S100" s="963"/>
      <c r="T100" s="1044"/>
      <c r="U100" s="963"/>
      <c r="V100" s="1044"/>
      <c r="W100" s="1044"/>
      <c r="X100" s="1045"/>
      <c r="Y100" s="1045"/>
      <c r="Z100" s="1045"/>
      <c r="AA100" s="1047"/>
      <c r="AB100" s="1037"/>
      <c r="AC100" s="1037"/>
      <c r="AD100" s="1068"/>
      <c r="AE100" s="1068"/>
      <c r="AF100" s="1068"/>
      <c r="AG100" s="1073"/>
      <c r="AH100" s="1073"/>
      <c r="AI100" s="1073"/>
      <c r="AJ100" s="1073"/>
      <c r="AK100" s="1073"/>
      <c r="AL100" s="1073"/>
      <c r="AM100" s="1073"/>
      <c r="AN100" s="1073"/>
      <c r="AO100" s="1068"/>
      <c r="AP100" s="1073"/>
      <c r="AQ100" s="1068"/>
      <c r="AR100" s="1068"/>
      <c r="AS100" s="1068"/>
      <c r="AT100" s="1068"/>
      <c r="AU100" s="1068"/>
      <c r="AV100" s="1068"/>
      <c r="AW100" s="1068"/>
      <c r="AX100" s="1068"/>
      <c r="AY100" s="1068"/>
      <c r="AZ100" s="1068"/>
      <c r="BA100" s="1073"/>
      <c r="BB100" s="1073"/>
      <c r="BC100" s="1068"/>
      <c r="BD100" s="1068"/>
      <c r="BE100" s="1367"/>
      <c r="BF100" s="1372"/>
      <c r="BG100" s="1372"/>
      <c r="BH100" s="1372"/>
      <c r="BI100" s="1375"/>
      <c r="BJ100" s="1368"/>
      <c r="BK100" s="1376"/>
      <c r="BL100" s="1376"/>
      <c r="BM100" s="1372"/>
      <c r="BN100" s="1372"/>
      <c r="BO100" s="1377" t="s">
        <v>3043</v>
      </c>
      <c r="BP100" s="1377"/>
      <c r="BQ100" s="1378">
        <f>BQ91</f>
        <v>330893.11333333346</v>
      </c>
      <c r="CK100" s="1128" t="s">
        <v>3044</v>
      </c>
      <c r="CL100" s="1379">
        <v>2966.6666666666665</v>
      </c>
      <c r="CM100" s="1380">
        <v>210182</v>
      </c>
      <c r="CN100" s="1380" t="s">
        <v>3045</v>
      </c>
      <c r="CO100" s="1380" t="s">
        <v>3046</v>
      </c>
      <c r="CP100" s="1099" t="s">
        <v>3047</v>
      </c>
      <c r="CQ100" s="1099" t="s">
        <v>3048</v>
      </c>
      <c r="CR100" s="1099" t="s">
        <v>3049</v>
      </c>
      <c r="DB100" s="1074" t="s">
        <v>3050</v>
      </c>
      <c r="DC100" s="1067" t="s">
        <v>1876</v>
      </c>
      <c r="DD100" s="1067" t="s">
        <v>1876</v>
      </c>
      <c r="DE100" s="1067">
        <f>SUMIF($E:$E,DD100,DF:DF)</f>
        <v>311448.23666666675</v>
      </c>
      <c r="DF100" s="1107">
        <v>37</v>
      </c>
      <c r="DG100" s="1074" t="s">
        <v>3050</v>
      </c>
      <c r="DH100" s="1067" t="s">
        <v>1876</v>
      </c>
      <c r="DI100" s="1067">
        <f>SUMIF($E$5:$E$82,DH100,DI5:DI82)</f>
        <v>287398.96897435904</v>
      </c>
      <c r="DJ100" s="1074">
        <v>38</v>
      </c>
      <c r="DK100" s="1067" t="s">
        <v>3050</v>
      </c>
      <c r="DL100" s="1067" t="s">
        <v>1876</v>
      </c>
      <c r="DM100" s="1381">
        <f>SUMIF($E:$E,DL100,DM:DM)</f>
        <v>274060.65897435904</v>
      </c>
      <c r="DN100" s="1074">
        <v>38</v>
      </c>
      <c r="DP100" s="1074" t="s">
        <v>3050</v>
      </c>
      <c r="DQ100" s="1067" t="s">
        <v>1876</v>
      </c>
      <c r="DR100" s="1067">
        <f>SUMIF(E:E,DQ100,DR:DR)</f>
        <v>283891.19897435902</v>
      </c>
      <c r="DS100" s="1067">
        <v>38</v>
      </c>
    </row>
    <row r="101" spans="1:123" ht="14.1" customHeight="1" thickBot="1" x14ac:dyDescent="0.3">
      <c r="A101" s="1068"/>
      <c r="B101" s="480"/>
      <c r="C101" s="480"/>
      <c r="D101" s="480"/>
      <c r="E101" s="1165"/>
      <c r="F101" s="1287"/>
      <c r="G101" s="1288"/>
      <c r="H101" s="1288"/>
      <c r="I101" s="1289"/>
      <c r="J101" s="1044"/>
      <c r="K101" s="1039"/>
      <c r="L101" s="963"/>
      <c r="M101" s="963"/>
      <c r="N101" s="1290"/>
      <c r="O101" s="1382"/>
      <c r="P101" s="1291"/>
      <c r="Q101" s="1363"/>
      <c r="R101" s="1363"/>
      <c r="S101" s="963"/>
      <c r="T101" s="1044"/>
      <c r="U101" s="963"/>
      <c r="V101" s="1044"/>
      <c r="W101" s="1044"/>
      <c r="X101" s="1045"/>
      <c r="Y101" s="1045"/>
      <c r="Z101" s="1045"/>
      <c r="AA101" s="1047"/>
      <c r="AB101" s="1383"/>
      <c r="AC101" s="1037"/>
      <c r="AD101" s="1068"/>
      <c r="AE101" s="1068"/>
      <c r="AF101" s="1068"/>
      <c r="AG101" s="1073"/>
      <c r="AH101" s="1073"/>
      <c r="AI101" s="1073"/>
      <c r="AJ101" s="1073"/>
      <c r="AK101" s="1073"/>
      <c r="AL101" s="1073"/>
      <c r="AM101" s="1073"/>
      <c r="AN101" s="1073"/>
      <c r="AO101" s="1068"/>
      <c r="AP101" s="1073"/>
      <c r="AQ101" s="1068"/>
      <c r="AR101" s="1068"/>
      <c r="AS101" s="1068"/>
      <c r="AT101" s="1068"/>
      <c r="AU101" s="1068"/>
      <c r="AV101" s="1068"/>
      <c r="AW101" s="1068"/>
      <c r="AX101" s="1068"/>
      <c r="AY101" s="1068"/>
      <c r="AZ101" s="1068"/>
      <c r="BA101" s="1073"/>
      <c r="BB101" s="1073"/>
      <c r="BC101" s="1068"/>
      <c r="BD101" s="1068"/>
      <c r="BE101" s="1367"/>
      <c r="BF101" s="1068"/>
      <c r="BG101" s="1068"/>
      <c r="BH101" s="1384"/>
      <c r="BI101" s="1385"/>
      <c r="BJ101" s="1368"/>
      <c r="BK101" s="1068"/>
      <c r="BL101" s="1068"/>
      <c r="BM101" s="1068"/>
      <c r="BN101" s="1384"/>
      <c r="BO101" s="1384"/>
      <c r="BP101" s="1384"/>
      <c r="BQ101" s="1384"/>
      <c r="CK101" s="1130"/>
      <c r="CL101" s="1379">
        <v>3289</v>
      </c>
      <c r="CM101" s="1380">
        <v>210669</v>
      </c>
      <c r="CN101" s="1380" t="s">
        <v>2167</v>
      </c>
      <c r="CO101" s="1380" t="s">
        <v>3051</v>
      </c>
      <c r="CP101" s="1099" t="s">
        <v>3052</v>
      </c>
      <c r="CR101" s="1099"/>
      <c r="DB101" s="1074"/>
      <c r="DC101" s="1067" t="s">
        <v>3053</v>
      </c>
      <c r="DD101" s="1386" t="s">
        <v>3053</v>
      </c>
      <c r="DE101" s="1386">
        <f>SUBTOTAL(9,DE99:DE100)</f>
        <v>507924.23666666681</v>
      </c>
      <c r="DF101" s="1107">
        <f>SUBTOTAL(9,DF99:DF100)</f>
        <v>63</v>
      </c>
      <c r="DH101" s="1386" t="s">
        <v>3053</v>
      </c>
      <c r="DI101" s="1386">
        <f>SUBTOTAL(9,DI99:DI100)</f>
        <v>497866.13788060902</v>
      </c>
      <c r="DJ101" s="1074">
        <f>SUBTOTAL(9,DJ99:DJ100)</f>
        <v>67</v>
      </c>
      <c r="DM101" s="1387">
        <f>SUM(DM99:DM100)</f>
        <v>492975.97788060911</v>
      </c>
      <c r="DN101" s="1074">
        <f>SUM(DN99:DN100)</f>
        <v>69</v>
      </c>
      <c r="DR101" s="1388">
        <f>SUM(DR99:DR100)</f>
        <v>499547.55788060906</v>
      </c>
      <c r="DS101" s="1067">
        <f>SUM(DS99:DS100)</f>
        <v>67</v>
      </c>
    </row>
    <row r="102" spans="1:123" ht="16.5" thickTop="1" x14ac:dyDescent="0.25">
      <c r="A102" s="1068"/>
      <c r="B102" s="480"/>
      <c r="C102" s="480"/>
      <c r="D102" s="480"/>
      <c r="E102" s="1165"/>
      <c r="F102" s="1165"/>
      <c r="G102" s="480"/>
      <c r="H102" s="480"/>
      <c r="I102" s="1038"/>
      <c r="J102" s="1044"/>
      <c r="K102" s="1039"/>
      <c r="L102" s="963"/>
      <c r="M102" s="963"/>
      <c r="N102" s="480"/>
      <c r="O102" s="1138"/>
      <c r="P102" s="1362"/>
      <c r="Q102" s="1363"/>
      <c r="R102" s="1363"/>
      <c r="S102" s="963"/>
      <c r="T102" s="1044"/>
      <c r="U102" s="963"/>
      <c r="V102" s="1044"/>
      <c r="W102" s="1044"/>
      <c r="X102" s="1045"/>
      <c r="Y102" s="1045"/>
      <c r="Z102" s="1045"/>
      <c r="AA102" s="1047"/>
      <c r="AB102" s="1037"/>
      <c r="AC102" s="1037"/>
      <c r="AD102" s="1068"/>
      <c r="AE102" s="1068"/>
      <c r="AF102" s="1068"/>
      <c r="AG102" s="1073"/>
      <c r="AH102" s="1073"/>
      <c r="AI102" s="1073"/>
      <c r="AJ102" s="1073"/>
      <c r="AK102" s="1073"/>
      <c r="AL102" s="1073"/>
      <c r="AM102" s="1073"/>
      <c r="AN102" s="1073"/>
      <c r="AO102" s="1068"/>
      <c r="AP102" s="1073"/>
      <c r="AQ102" s="1068"/>
      <c r="AR102" s="1068"/>
      <c r="AS102" s="1068"/>
      <c r="AT102" s="1068"/>
      <c r="AU102" s="1068"/>
      <c r="AV102" s="1068"/>
      <c r="AW102" s="1068"/>
      <c r="AX102" s="1068"/>
      <c r="AY102" s="1068"/>
      <c r="AZ102" s="1068"/>
      <c r="BA102" s="1073"/>
      <c r="BB102" s="1073"/>
      <c r="BC102" s="1068"/>
      <c r="BD102" s="1068"/>
      <c r="BE102" s="1068"/>
      <c r="BF102" s="1326"/>
      <c r="BG102" s="1326"/>
      <c r="BH102" s="1326"/>
      <c r="BI102" s="1326"/>
      <c r="BJ102" s="1068"/>
      <c r="BK102" s="1068"/>
      <c r="BL102" s="1068"/>
      <c r="BM102" s="1389"/>
      <c r="BN102" s="1389"/>
      <c r="BO102" s="1390" t="s">
        <v>3054</v>
      </c>
      <c r="BP102" s="1390"/>
      <c r="BQ102" s="1391">
        <f>BQ100-BQ99</f>
        <v>127893.11333333346</v>
      </c>
      <c r="CK102" s="1130"/>
      <c r="CL102" s="1379">
        <v>1950.3333333333333</v>
      </c>
      <c r="CM102" s="1380">
        <v>202189</v>
      </c>
      <c r="CN102" s="1380" t="s">
        <v>3055</v>
      </c>
      <c r="CO102" s="1380" t="s">
        <v>3056</v>
      </c>
      <c r="CP102" s="1099" t="s">
        <v>3057</v>
      </c>
      <c r="CQ102" s="1099" t="s">
        <v>3048</v>
      </c>
      <c r="CR102" s="1099" t="s">
        <v>3058</v>
      </c>
    </row>
    <row r="103" spans="1:123" ht="15.75" x14ac:dyDescent="0.25">
      <c r="A103" s="1068"/>
      <c r="B103" s="480"/>
      <c r="C103" s="480"/>
      <c r="D103" s="480"/>
      <c r="E103" s="1165"/>
      <c r="F103" s="1165"/>
      <c r="G103" s="480"/>
      <c r="H103" s="480"/>
      <c r="I103" s="1038"/>
      <c r="J103" s="1044"/>
      <c r="K103" s="1039"/>
      <c r="L103" s="963"/>
      <c r="M103" s="963"/>
      <c r="N103" s="480"/>
      <c r="O103" s="1138"/>
      <c r="P103" s="1362"/>
      <c r="Q103" s="1363"/>
      <c r="R103" s="1363"/>
      <c r="S103" s="963"/>
      <c r="T103" s="1044"/>
      <c r="U103" s="963"/>
      <c r="V103" s="1044"/>
      <c r="W103" s="1044"/>
      <c r="X103" s="1045"/>
      <c r="Y103" s="1045"/>
      <c r="Z103" s="1045"/>
      <c r="AA103" s="1047"/>
      <c r="AB103" s="1037"/>
      <c r="AC103" s="1037"/>
      <c r="AD103" s="1068"/>
      <c r="AE103" s="1068"/>
      <c r="AF103" s="1068"/>
      <c r="AG103" s="1073"/>
      <c r="AH103" s="1073"/>
      <c r="AI103" s="1073"/>
      <c r="AJ103" s="1073"/>
      <c r="AK103" s="1073"/>
      <c r="AL103" s="1073"/>
      <c r="AM103" s="1073"/>
      <c r="AN103" s="1073"/>
      <c r="AO103" s="1068"/>
      <c r="AP103" s="1073"/>
      <c r="AQ103" s="1068"/>
      <c r="AR103" s="1068"/>
      <c r="AS103" s="1068"/>
      <c r="AT103" s="1068"/>
      <c r="AU103" s="1068"/>
      <c r="AV103" s="1068"/>
      <c r="AW103" s="1068"/>
      <c r="AX103" s="1068"/>
      <c r="AY103" s="1068"/>
      <c r="AZ103" s="1068"/>
      <c r="BA103" s="1073"/>
      <c r="BB103" s="1073"/>
      <c r="BC103" s="1068"/>
      <c r="BD103" s="1068"/>
      <c r="BE103" s="1068"/>
      <c r="BF103" s="1068"/>
      <c r="BG103" s="1392"/>
      <c r="BH103" s="1392"/>
      <c r="BI103" s="1375"/>
      <c r="BJ103" s="1068"/>
      <c r="BK103" s="1068"/>
      <c r="BL103" s="1068"/>
      <c r="BM103" s="1068"/>
      <c r="BN103" s="1068"/>
      <c r="BO103" s="1393" t="s">
        <v>3059</v>
      </c>
      <c r="BP103" s="1068"/>
      <c r="BQ103" s="1076"/>
      <c r="CK103" s="1130"/>
      <c r="CL103" s="1379">
        <v>482.19</v>
      </c>
      <c r="CM103" s="1380">
        <v>202197</v>
      </c>
      <c r="CN103" s="1380" t="s">
        <v>3022</v>
      </c>
      <c r="CO103" s="1380" t="s">
        <v>3060</v>
      </c>
      <c r="CP103" s="1099" t="s">
        <v>3061</v>
      </c>
      <c r="CQ103" s="1099" t="s">
        <v>3048</v>
      </c>
      <c r="CR103" s="1099" t="s">
        <v>3062</v>
      </c>
      <c r="DH103" s="1067" t="s">
        <v>3063</v>
      </c>
      <c r="DI103" s="1067">
        <v>-79369.259999999995</v>
      </c>
      <c r="DJ103" s="1074">
        <v>19</v>
      </c>
      <c r="DK103" s="1074" t="s">
        <v>3064</v>
      </c>
      <c r="DL103" s="1074"/>
      <c r="DM103" s="1067"/>
    </row>
    <row r="104" spans="1:123" x14ac:dyDescent="0.25">
      <c r="A104" s="1068"/>
      <c r="B104" s="480"/>
      <c r="C104" s="480"/>
      <c r="D104" s="480"/>
      <c r="E104" s="1165"/>
      <c r="F104" s="1165"/>
      <c r="G104" s="480"/>
      <c r="H104" s="480"/>
      <c r="I104" s="1038"/>
      <c r="J104" s="1044"/>
      <c r="K104" s="1039"/>
      <c r="L104" s="963"/>
      <c r="M104" s="963"/>
      <c r="N104" s="480"/>
      <c r="O104" s="1138"/>
      <c r="P104" s="1362"/>
      <c r="Q104" s="1363"/>
      <c r="R104" s="1363"/>
      <c r="S104" s="963"/>
      <c r="T104" s="1044"/>
      <c r="U104" s="963"/>
      <c r="V104" s="1044"/>
      <c r="W104" s="1044"/>
      <c r="X104" s="1045"/>
      <c r="Y104" s="1045"/>
      <c r="Z104" s="1045"/>
      <c r="AA104" s="1047"/>
      <c r="AB104" s="1037"/>
      <c r="AC104" s="1037"/>
      <c r="AD104" s="1068"/>
      <c r="AE104" s="1068"/>
      <c r="AF104" s="1068"/>
      <c r="AG104" s="1073"/>
      <c r="AH104" s="1073"/>
      <c r="AI104" s="1073"/>
      <c r="AJ104" s="1073"/>
      <c r="AK104" s="1073"/>
      <c r="AL104" s="1073"/>
      <c r="AM104" s="1073"/>
      <c r="AN104" s="1073"/>
      <c r="AO104" s="1068"/>
      <c r="AP104" s="1073"/>
      <c r="AQ104" s="1068"/>
      <c r="AR104" s="1068"/>
      <c r="AS104" s="1068"/>
      <c r="AT104" s="1068"/>
      <c r="AU104" s="1068"/>
      <c r="AV104" s="1068"/>
      <c r="AW104" s="1068"/>
      <c r="AX104" s="1068"/>
      <c r="AY104" s="1068"/>
      <c r="AZ104" s="1068"/>
      <c r="BA104" s="1073"/>
      <c r="BB104" s="1073"/>
      <c r="BC104" s="1068"/>
      <c r="BD104" s="1068"/>
      <c r="BE104" s="1068"/>
      <c r="BF104" s="1068"/>
      <c r="BG104" s="1068"/>
      <c r="BH104" s="1068"/>
      <c r="BI104" s="1068"/>
      <c r="BJ104" s="1068"/>
      <c r="BK104" s="1068"/>
      <c r="BL104" s="1068"/>
      <c r="BM104" s="1068"/>
      <c r="BN104" s="1068"/>
      <c r="BO104" s="1068"/>
      <c r="BP104" s="1068"/>
      <c r="BQ104" s="1068"/>
      <c r="CK104" s="1130"/>
      <c r="CL104" s="1379">
        <v>3479.5</v>
      </c>
      <c r="CM104" s="1380">
        <v>202197</v>
      </c>
      <c r="CN104" s="1380" t="s">
        <v>3022</v>
      </c>
      <c r="CO104" s="1380" t="s">
        <v>3065</v>
      </c>
      <c r="CP104" s="1099" t="s">
        <v>3066</v>
      </c>
      <c r="CQ104" s="1099" t="s">
        <v>3048</v>
      </c>
      <c r="CR104" s="1099" t="s">
        <v>3067</v>
      </c>
      <c r="DH104" s="1067" t="s">
        <v>2887</v>
      </c>
      <c r="DI104" s="1067">
        <v>58099.16</v>
      </c>
      <c r="DJ104" s="1074">
        <v>12</v>
      </c>
      <c r="DL104" s="1067">
        <f>SUMIF(E:E,DL99,DP:DP)</f>
        <v>218915.31890625003</v>
      </c>
      <c r="DM104" s="1107">
        <v>31</v>
      </c>
    </row>
    <row r="105" spans="1:123" ht="15.75" thickBot="1" x14ac:dyDescent="0.3">
      <c r="A105" s="1068"/>
      <c r="B105" s="480"/>
      <c r="C105" s="480"/>
      <c r="D105" s="480"/>
      <c r="E105" s="1165"/>
      <c r="F105" s="1165"/>
      <c r="G105" s="480"/>
      <c r="H105" s="480"/>
      <c r="I105" s="1038"/>
      <c r="J105" s="1044"/>
      <c r="K105" s="1039"/>
      <c r="L105" s="963"/>
      <c r="M105" s="963"/>
      <c r="N105" s="480"/>
      <c r="O105" s="1138"/>
      <c r="P105" s="1362"/>
      <c r="Q105" s="1363"/>
      <c r="R105" s="1363"/>
      <c r="S105" s="963"/>
      <c r="T105" s="1044"/>
      <c r="U105" s="963"/>
      <c r="V105" s="1044"/>
      <c r="W105" s="1044"/>
      <c r="X105" s="1045"/>
      <c r="Y105" s="1045"/>
      <c r="Z105" s="1045"/>
      <c r="AA105" s="1047"/>
      <c r="AB105" s="1037"/>
      <c r="AC105" s="1037"/>
      <c r="AD105" s="1068"/>
      <c r="AE105" s="1068"/>
      <c r="AF105" s="1068"/>
      <c r="AG105" s="1073"/>
      <c r="AH105" s="1073"/>
      <c r="AI105" s="1073"/>
      <c r="AJ105" s="1073"/>
      <c r="AK105" s="1073"/>
      <c r="AL105" s="1073"/>
      <c r="AM105" s="1073"/>
      <c r="AN105" s="1073"/>
      <c r="AO105" s="1068"/>
      <c r="AP105" s="1073"/>
      <c r="AQ105" s="1068"/>
      <c r="AR105" s="1068"/>
      <c r="AS105" s="1068"/>
      <c r="AT105" s="1068"/>
      <c r="AU105" s="1068"/>
      <c r="AV105" s="1068"/>
      <c r="AW105" s="1068"/>
      <c r="AX105" s="1068"/>
      <c r="AY105" s="1068"/>
      <c r="AZ105" s="1068"/>
      <c r="BA105" s="1073"/>
      <c r="BB105" s="1073"/>
      <c r="BC105" s="1068"/>
      <c r="BD105" s="1068"/>
      <c r="BE105" s="1068"/>
      <c r="BF105" s="1068"/>
      <c r="BG105" s="1068"/>
      <c r="BH105" s="1068"/>
      <c r="BI105" s="1068"/>
      <c r="BJ105" s="1068"/>
      <c r="BK105" s="1068"/>
      <c r="BL105" s="1068"/>
      <c r="BM105" s="1068"/>
      <c r="BN105" s="1068"/>
      <c r="BO105" s="1068"/>
      <c r="BP105" s="1068"/>
      <c r="BQ105" s="1068"/>
      <c r="CK105" s="1394"/>
      <c r="CL105" s="1395">
        <f>SUM(CL100:CL104)</f>
        <v>12167.69</v>
      </c>
      <c r="CM105" s="1396"/>
      <c r="CN105" s="1396"/>
      <c r="CO105" s="1380"/>
      <c r="DI105" s="1067">
        <f>SUM(DI103:DI104)</f>
        <v>-21270.099999999991</v>
      </c>
      <c r="DL105" s="1067">
        <f>SUMIF(E:E,DL100,DP:DP)</f>
        <v>274060.65897435904</v>
      </c>
      <c r="DM105" s="1107">
        <v>38</v>
      </c>
    </row>
    <row r="106" spans="1:123" ht="15.75" thickTop="1" x14ac:dyDescent="0.25">
      <c r="A106" s="1068"/>
      <c r="B106" s="480"/>
      <c r="C106" s="480"/>
      <c r="D106" s="480"/>
      <c r="E106" s="1165"/>
      <c r="F106" s="1165"/>
      <c r="G106" s="480"/>
      <c r="H106" s="480"/>
      <c r="I106" s="1038"/>
      <c r="J106" s="1044"/>
      <c r="K106" s="1039"/>
      <c r="L106" s="963"/>
      <c r="M106" s="963"/>
      <c r="N106" s="480"/>
      <c r="O106" s="1138"/>
      <c r="P106" s="1362"/>
      <c r="Q106" s="1363"/>
      <c r="R106" s="1363"/>
      <c r="S106" s="963"/>
      <c r="T106" s="1044"/>
      <c r="U106" s="963"/>
      <c r="V106" s="1044"/>
      <c r="W106" s="1044"/>
      <c r="X106" s="1045"/>
      <c r="Y106" s="1045"/>
      <c r="Z106" s="1045"/>
      <c r="AA106" s="1047"/>
      <c r="AB106" s="1037"/>
      <c r="AC106" s="1037"/>
      <c r="AD106" s="1068"/>
      <c r="AE106" s="1068"/>
      <c r="AF106" s="1068"/>
      <c r="AG106" s="1073"/>
      <c r="AH106" s="1073"/>
      <c r="AI106" s="1073"/>
      <c r="AJ106" s="1073"/>
      <c r="AK106" s="1073"/>
      <c r="AL106" s="1073"/>
      <c r="AM106" s="1073"/>
      <c r="AN106" s="1073"/>
      <c r="AO106" s="1068"/>
      <c r="AP106" s="1073"/>
      <c r="AQ106" s="1068"/>
      <c r="AR106" s="1068"/>
      <c r="AS106" s="1068"/>
      <c r="AT106" s="1068"/>
      <c r="AU106" s="1068"/>
      <c r="AV106" s="1068"/>
      <c r="AW106" s="1068"/>
      <c r="AX106" s="1068"/>
      <c r="AY106" s="1068"/>
      <c r="AZ106" s="1068"/>
      <c r="BA106" s="1073"/>
      <c r="BB106" s="1206"/>
      <c r="BC106" s="1068"/>
      <c r="BD106" s="1068"/>
      <c r="BE106" s="1068"/>
      <c r="BF106" s="1068"/>
      <c r="BG106" s="1068"/>
      <c r="BH106" s="1068"/>
      <c r="BI106" s="1068"/>
      <c r="BJ106" s="1068"/>
      <c r="BK106" s="1068"/>
      <c r="BL106" s="1068"/>
      <c r="BM106" s="1068"/>
      <c r="BN106" s="1068"/>
      <c r="BO106" s="1068"/>
      <c r="BP106" s="1068"/>
      <c r="BQ106" s="1068"/>
      <c r="CL106" s="1397">
        <f>CL91+CL105</f>
        <v>89493.16</v>
      </c>
      <c r="CM106" s="1398" t="s">
        <v>3068</v>
      </c>
      <c r="CN106" s="1398"/>
      <c r="CO106" s="1398"/>
      <c r="DL106" s="1067">
        <f>SUM(DL104:DL105)</f>
        <v>492975.97788060911</v>
      </c>
      <c r="DM106" s="1107">
        <f>SUM(DM104:DM105)</f>
        <v>69</v>
      </c>
    </row>
    <row r="107" spans="1:123" x14ac:dyDescent="0.25">
      <c r="A107" s="1068"/>
      <c r="B107" s="480"/>
      <c r="C107" s="480"/>
      <c r="D107" s="480"/>
      <c r="E107" s="1165"/>
      <c r="F107" s="1165"/>
      <c r="G107" s="480"/>
      <c r="H107" s="480"/>
      <c r="I107" s="1038"/>
      <c r="J107" s="1044"/>
      <c r="K107" s="1039"/>
      <c r="L107" s="963"/>
      <c r="M107" s="963"/>
      <c r="N107" s="480"/>
      <c r="O107" s="1138"/>
      <c r="P107" s="1362"/>
      <c r="Q107" s="1363"/>
      <c r="R107" s="1363"/>
      <c r="S107" s="963"/>
      <c r="T107" s="1044"/>
      <c r="U107" s="963"/>
      <c r="V107" s="1044"/>
      <c r="W107" s="1044"/>
      <c r="X107" s="1045"/>
      <c r="Y107" s="1045"/>
      <c r="Z107" s="1045"/>
      <c r="AA107" s="1047"/>
      <c r="AB107" s="1383"/>
      <c r="AC107" s="1383"/>
      <c r="AD107" s="1068"/>
      <c r="AE107" s="1068"/>
      <c r="AF107" s="1068"/>
      <c r="AG107" s="1073"/>
      <c r="AH107" s="1073"/>
      <c r="AI107" s="1073"/>
      <c r="AJ107" s="1073"/>
      <c r="AK107" s="1073"/>
      <c r="AL107" s="1073"/>
      <c r="AM107" s="1073"/>
      <c r="AN107" s="1073"/>
      <c r="AO107" s="1068"/>
      <c r="AP107" s="1073"/>
      <c r="AQ107" s="1068"/>
      <c r="AR107" s="1068"/>
      <c r="AS107" s="1068"/>
      <c r="AT107" s="1068"/>
      <c r="AU107" s="1068"/>
      <c r="AV107" s="1068"/>
      <c r="AW107" s="1068"/>
      <c r="AX107" s="1068"/>
      <c r="AY107" s="1068"/>
      <c r="AZ107" s="1068"/>
      <c r="BA107" s="1073"/>
      <c r="BB107" s="1206"/>
      <c r="BC107" s="1068"/>
      <c r="BD107" s="1068"/>
      <c r="BE107" s="1068"/>
      <c r="BF107" s="1068"/>
      <c r="BG107" s="1068"/>
      <c r="BH107" s="1068"/>
      <c r="BI107" s="1068"/>
      <c r="BJ107" s="1068"/>
      <c r="BK107" s="1068"/>
      <c r="BL107" s="1068"/>
      <c r="BM107" s="1068"/>
      <c r="BN107" s="1068"/>
      <c r="BO107" s="1068"/>
      <c r="BP107" s="1068"/>
      <c r="BQ107" s="1068"/>
    </row>
    <row r="108" spans="1:123" x14ac:dyDescent="0.25">
      <c r="A108" s="1068"/>
      <c r="B108" s="480"/>
      <c r="C108" s="480"/>
      <c r="D108" s="480"/>
      <c r="E108" s="1165"/>
      <c r="F108" s="1165"/>
      <c r="G108" s="480"/>
      <c r="H108" s="480"/>
      <c r="I108" s="1038"/>
      <c r="J108" s="1044"/>
      <c r="K108" s="1039"/>
      <c r="L108" s="963"/>
      <c r="M108" s="963"/>
      <c r="N108" s="480"/>
      <c r="O108" s="1138"/>
      <c r="P108" s="1362"/>
      <c r="Q108" s="1363"/>
      <c r="R108" s="1363"/>
      <c r="S108" s="963"/>
      <c r="T108" s="1044"/>
      <c r="U108" s="963"/>
      <c r="V108" s="1044"/>
      <c r="W108" s="1044"/>
      <c r="X108" s="1045"/>
      <c r="Y108" s="1045"/>
      <c r="Z108" s="1045"/>
      <c r="AA108" s="1047"/>
      <c r="AB108" s="1383"/>
      <c r="AC108" s="1383"/>
      <c r="AD108" s="1068"/>
      <c r="AE108" s="1068"/>
      <c r="AF108" s="1068"/>
      <c r="AG108" s="1073"/>
      <c r="AH108" s="1073"/>
      <c r="AI108" s="1073"/>
      <c r="AJ108" s="1073"/>
      <c r="AK108" s="1073"/>
      <c r="AL108" s="1073"/>
      <c r="AM108" s="1073"/>
      <c r="AN108" s="1073"/>
      <c r="AO108" s="1068"/>
      <c r="AP108" s="1073"/>
      <c r="AQ108" s="1068"/>
      <c r="AR108" s="1068"/>
      <c r="AS108" s="1068"/>
      <c r="AT108" s="1068"/>
      <c r="AU108" s="1068"/>
      <c r="AV108" s="1068"/>
      <c r="AW108" s="1068"/>
      <c r="AX108" s="1068"/>
      <c r="AY108" s="1068"/>
      <c r="AZ108" s="1068"/>
      <c r="BA108" s="1073"/>
      <c r="BB108" s="1206"/>
      <c r="BC108" s="1068"/>
      <c r="BD108" s="1068"/>
      <c r="BE108" s="1068"/>
      <c r="BF108" s="1068"/>
      <c r="BG108" s="1068"/>
      <c r="BH108" s="1068"/>
      <c r="BI108" s="1068"/>
      <c r="BJ108" s="1068"/>
      <c r="BK108" s="1068"/>
      <c r="BL108" s="1068"/>
      <c r="BM108" s="1068"/>
      <c r="BN108" s="1068"/>
      <c r="BO108" s="1068"/>
      <c r="BP108" s="1068"/>
      <c r="BQ108" s="1068"/>
      <c r="CL108" s="1094"/>
      <c r="CN108" s="1074" t="s">
        <v>3069</v>
      </c>
    </row>
    <row r="109" spans="1:123" x14ac:dyDescent="0.25">
      <c r="A109" s="1068"/>
      <c r="B109" s="480"/>
      <c r="C109" s="480"/>
      <c r="D109" s="480"/>
      <c r="E109" s="1165"/>
      <c r="F109" s="1165"/>
      <c r="G109" s="480"/>
      <c r="H109" s="480"/>
      <c r="I109" s="1038"/>
      <c r="J109" s="1044"/>
      <c r="K109" s="1039"/>
      <c r="L109" s="963"/>
      <c r="M109" s="963"/>
      <c r="N109" s="480"/>
      <c r="O109" s="1138"/>
      <c r="P109" s="1362"/>
      <c r="Q109" s="1363"/>
      <c r="R109" s="1363"/>
      <c r="S109" s="963"/>
      <c r="T109" s="1044"/>
      <c r="U109" s="963"/>
      <c r="V109" s="1044"/>
      <c r="W109" s="1044"/>
      <c r="X109" s="1045"/>
      <c r="Y109" s="1045"/>
      <c r="Z109" s="1045"/>
      <c r="AA109" s="1047"/>
      <c r="AB109" s="1037"/>
      <c r="AC109" s="1037"/>
      <c r="AD109" s="1068"/>
      <c r="AE109" s="1068"/>
      <c r="AF109" s="1068"/>
      <c r="AG109" s="1073"/>
      <c r="AH109" s="1073"/>
      <c r="AI109" s="1073"/>
      <c r="AJ109" s="1073"/>
      <c r="AK109" s="1073"/>
      <c r="AL109" s="1073"/>
      <c r="AM109" s="1073"/>
      <c r="AN109" s="1073"/>
      <c r="AO109" s="1068"/>
      <c r="AP109" s="1073"/>
      <c r="AQ109" s="1068"/>
      <c r="AR109" s="1068"/>
      <c r="AS109" s="1068"/>
      <c r="AT109" s="1068"/>
      <c r="AU109" s="1068"/>
      <c r="AV109" s="1068"/>
      <c r="AW109" s="1068"/>
      <c r="AX109" s="1068"/>
      <c r="AY109" s="1068"/>
      <c r="AZ109" s="1068"/>
      <c r="BA109" s="1073"/>
      <c r="BB109" s="1206"/>
      <c r="BC109" s="1068"/>
      <c r="BD109" s="1068"/>
      <c r="BE109" s="1068"/>
      <c r="BF109" s="1068"/>
      <c r="BG109" s="1068"/>
      <c r="BH109" s="1068"/>
      <c r="BI109" s="1068"/>
      <c r="BJ109" s="1068"/>
      <c r="BK109" s="1068"/>
      <c r="BL109" s="1068"/>
      <c r="BM109" s="1068"/>
      <c r="BN109" s="1068"/>
      <c r="BO109" s="1068"/>
      <c r="BP109" s="1068"/>
      <c r="BQ109" s="1068"/>
    </row>
    <row r="110" spans="1:123" x14ac:dyDescent="0.25">
      <c r="A110" s="1068"/>
      <c r="B110" s="480"/>
      <c r="C110" s="480"/>
      <c r="D110" s="480"/>
      <c r="E110" s="1165"/>
      <c r="F110" s="1399"/>
      <c r="G110" s="480"/>
      <c r="H110" s="480"/>
      <c r="I110" s="1400"/>
      <c r="J110" s="1044"/>
      <c r="K110" s="1039"/>
      <c r="L110" s="963"/>
      <c r="M110" s="963"/>
      <c r="N110" s="480"/>
      <c r="O110" s="1138"/>
      <c r="P110" s="1362"/>
      <c r="Q110" s="1362"/>
      <c r="R110" s="1362"/>
      <c r="S110" s="963"/>
      <c r="T110" s="1044"/>
      <c r="U110" s="963"/>
      <c r="V110" s="1044"/>
      <c r="W110" s="1044"/>
      <c r="X110" s="1045"/>
      <c r="Y110" s="1045"/>
      <c r="Z110" s="1045"/>
      <c r="AA110" s="1047"/>
      <c r="AB110" s="1037"/>
      <c r="AC110" s="1037"/>
      <c r="AD110" s="1068"/>
      <c r="AE110" s="1068"/>
      <c r="AF110" s="1068"/>
      <c r="AG110" s="1073"/>
      <c r="AH110" s="1073"/>
      <c r="AI110" s="1073"/>
      <c r="AJ110" s="1073"/>
      <c r="AK110" s="1073"/>
      <c r="AL110" s="1073"/>
      <c r="AM110" s="1073"/>
      <c r="AN110" s="1073"/>
      <c r="AO110" s="1068"/>
      <c r="AP110" s="1073"/>
      <c r="AQ110" s="1068"/>
      <c r="AR110" s="1068"/>
      <c r="AS110" s="1068"/>
      <c r="AT110" s="1068"/>
      <c r="AU110" s="1068"/>
      <c r="AV110" s="1068"/>
      <c r="AW110" s="1068"/>
      <c r="AX110" s="1068"/>
      <c r="AY110" s="1068"/>
      <c r="AZ110" s="1068"/>
      <c r="BA110" s="1073"/>
      <c r="BB110" s="1073"/>
      <c r="BC110" s="1068"/>
      <c r="BD110" s="1068"/>
      <c r="BE110" s="1068"/>
      <c r="BF110" s="1068"/>
      <c r="BG110" s="1068"/>
      <c r="BH110" s="1068"/>
      <c r="BI110" s="1068"/>
      <c r="BJ110" s="1068"/>
      <c r="BK110" s="1068"/>
      <c r="BL110" s="1068"/>
      <c r="BM110" s="1068"/>
      <c r="BN110" s="1068"/>
      <c r="BO110" s="1068"/>
      <c r="BP110" s="1068"/>
      <c r="BQ110" s="1068"/>
    </row>
    <row r="111" spans="1:123" x14ac:dyDescent="0.25">
      <c r="A111" s="1068"/>
      <c r="B111" s="480"/>
      <c r="C111" s="480"/>
      <c r="D111" s="480"/>
      <c r="E111" s="1165"/>
      <c r="F111" s="1401"/>
      <c r="G111" s="1402"/>
      <c r="H111" s="1402"/>
      <c r="I111" s="1400"/>
      <c r="J111" s="1044"/>
      <c r="K111" s="1039"/>
      <c r="L111" s="963"/>
      <c r="M111" s="963"/>
      <c r="N111" s="480"/>
      <c r="O111" s="1138"/>
      <c r="P111" s="1362"/>
      <c r="Q111" s="1362"/>
      <c r="R111" s="1362"/>
      <c r="S111" s="963"/>
      <c r="T111" s="1044"/>
      <c r="U111" s="963"/>
      <c r="V111" s="1044"/>
      <c r="W111" s="1044"/>
      <c r="X111" s="1045"/>
      <c r="Y111" s="1045"/>
      <c r="Z111" s="1045"/>
      <c r="AA111" s="1047"/>
      <c r="AB111" s="1383"/>
      <c r="AC111" s="1403"/>
      <c r="AD111" s="1068"/>
      <c r="AE111" s="1068"/>
      <c r="AF111" s="1068"/>
      <c r="AG111" s="1073"/>
      <c r="AH111" s="1073"/>
      <c r="AI111" s="1073"/>
      <c r="AJ111" s="1073"/>
      <c r="AK111" s="1073"/>
      <c r="AL111" s="1073"/>
      <c r="AM111" s="1073"/>
      <c r="AN111" s="1073"/>
      <c r="AO111" s="1068"/>
      <c r="AP111" s="1073"/>
      <c r="AQ111" s="1068"/>
      <c r="AR111" s="1068"/>
      <c r="AS111" s="1068"/>
      <c r="AT111" s="1068"/>
      <c r="AU111" s="1068"/>
      <c r="AV111" s="1068"/>
      <c r="AW111" s="1068"/>
      <c r="AX111" s="1068"/>
      <c r="AY111" s="1068"/>
      <c r="AZ111" s="1068"/>
      <c r="BA111" s="1073"/>
      <c r="BB111" s="1073"/>
      <c r="BC111" s="1068"/>
      <c r="BD111" s="1068"/>
      <c r="BE111" s="1068"/>
      <c r="BF111" s="1068"/>
      <c r="BG111" s="1068"/>
      <c r="BH111" s="1068"/>
      <c r="BI111" s="1068"/>
      <c r="BJ111" s="1068"/>
      <c r="BK111" s="1068"/>
      <c r="BL111" s="1068"/>
      <c r="BM111" s="1068"/>
      <c r="BN111" s="1068"/>
      <c r="BO111" s="1068"/>
      <c r="BP111" s="1068"/>
      <c r="BQ111" s="1068"/>
    </row>
    <row r="112" spans="1:123" x14ac:dyDescent="0.25">
      <c r="A112" s="1068"/>
      <c r="B112" s="480"/>
      <c r="C112" s="480"/>
      <c r="D112" s="480"/>
      <c r="E112" s="1165"/>
      <c r="F112" s="1401"/>
      <c r="G112" s="1402"/>
      <c r="H112" s="1402"/>
      <c r="I112" s="1400"/>
      <c r="J112" s="1044"/>
      <c r="K112" s="1039"/>
      <c r="L112" s="963"/>
      <c r="M112" s="480"/>
      <c r="N112" s="1206"/>
      <c r="O112" s="1382"/>
      <c r="P112" s="1404"/>
      <c r="Q112" s="1291"/>
      <c r="R112" s="1291"/>
      <c r="S112" s="963"/>
      <c r="T112" s="1044"/>
      <c r="U112" s="963"/>
      <c r="V112" s="1044"/>
      <c r="W112" s="1044"/>
      <c r="X112" s="1045"/>
      <c r="Y112" s="1045"/>
      <c r="Z112" s="1045"/>
      <c r="AA112" s="1047"/>
      <c r="AB112" s="1037"/>
      <c r="AC112" s="1037"/>
      <c r="AD112" s="1068"/>
      <c r="AE112" s="1068"/>
      <c r="AF112" s="1068"/>
      <c r="AG112" s="1073"/>
      <c r="AH112" s="1073"/>
      <c r="AI112" s="1073"/>
      <c r="AJ112" s="1073"/>
      <c r="AK112" s="1073"/>
      <c r="AL112" s="1073"/>
      <c r="AM112" s="1073"/>
      <c r="AN112" s="1073"/>
      <c r="AO112" s="1068"/>
      <c r="AP112" s="1073"/>
      <c r="AQ112" s="1068"/>
      <c r="AR112" s="1068"/>
      <c r="AS112" s="1068"/>
      <c r="AT112" s="1068"/>
      <c r="AU112" s="1068"/>
      <c r="AV112" s="1068"/>
      <c r="AW112" s="1068"/>
      <c r="AX112" s="1068"/>
      <c r="AY112" s="1068"/>
      <c r="AZ112" s="1068"/>
      <c r="BA112" s="1073"/>
      <c r="BB112" s="1073"/>
      <c r="BC112" s="1068"/>
      <c r="BD112" s="1068"/>
      <c r="BE112" s="1068"/>
      <c r="BF112" s="1068"/>
      <c r="BG112" s="1068"/>
      <c r="BH112" s="1068"/>
      <c r="BI112" s="1068"/>
      <c r="BJ112" s="1068"/>
      <c r="BK112" s="1068"/>
      <c r="BL112" s="1068"/>
      <c r="BM112" s="1068"/>
      <c r="BN112" s="1068"/>
      <c r="BO112" s="1068"/>
      <c r="BP112" s="1068"/>
      <c r="BQ112" s="1068"/>
    </row>
    <row r="113" spans="1:69" x14ac:dyDescent="0.25">
      <c r="A113" s="1068"/>
      <c r="B113" s="480"/>
      <c r="C113" s="480"/>
      <c r="D113" s="480"/>
      <c r="E113" s="1165"/>
      <c r="F113" s="1401"/>
      <c r="G113" s="1402"/>
      <c r="H113" s="1402"/>
      <c r="I113" s="1400"/>
      <c r="J113" s="1044"/>
      <c r="K113" s="1039"/>
      <c r="L113" s="963"/>
      <c r="M113" s="480"/>
      <c r="N113" s="1206"/>
      <c r="O113" s="1382"/>
      <c r="P113" s="1404"/>
      <c r="Q113" s="1291"/>
      <c r="R113" s="1291"/>
      <c r="S113" s="963"/>
      <c r="T113" s="1044"/>
      <c r="U113" s="963"/>
      <c r="V113" s="1044"/>
      <c r="W113" s="1044"/>
      <c r="X113" s="1045"/>
      <c r="Y113" s="1045"/>
      <c r="Z113" s="1045"/>
      <c r="AA113" s="1047"/>
      <c r="AB113" s="1037"/>
      <c r="AC113" s="1037"/>
      <c r="AD113" s="1068"/>
      <c r="AE113" s="1068"/>
      <c r="AF113" s="1068"/>
      <c r="AG113" s="1073"/>
      <c r="AH113" s="1073"/>
      <c r="AI113" s="1073"/>
      <c r="AJ113" s="1073"/>
      <c r="AK113" s="1073"/>
      <c r="AL113" s="1073"/>
      <c r="AM113" s="1073"/>
      <c r="AN113" s="1073"/>
      <c r="AO113" s="1068"/>
      <c r="AP113" s="1073"/>
      <c r="AQ113" s="1068"/>
      <c r="AR113" s="1068"/>
      <c r="AS113" s="1068"/>
      <c r="AT113" s="1068"/>
      <c r="AU113" s="1068"/>
      <c r="AV113" s="1068"/>
      <c r="AW113" s="1068"/>
      <c r="AX113" s="1068"/>
      <c r="AY113" s="1068"/>
      <c r="AZ113" s="1068"/>
      <c r="BA113" s="1073"/>
      <c r="BB113" s="1073"/>
      <c r="BC113" s="1068"/>
      <c r="BD113" s="1068"/>
      <c r="BE113" s="1068"/>
      <c r="BF113" s="1068"/>
      <c r="BG113" s="1068"/>
      <c r="BH113" s="1068"/>
      <c r="BI113" s="1068"/>
      <c r="BJ113" s="1068"/>
      <c r="BK113" s="1068"/>
      <c r="BL113" s="1068"/>
      <c r="BM113" s="1068"/>
      <c r="BN113" s="1068"/>
      <c r="BO113" s="1068"/>
      <c r="BP113" s="1068"/>
      <c r="BQ113" s="1068"/>
    </row>
    <row r="114" spans="1:69" x14ac:dyDescent="0.25">
      <c r="A114" s="1068"/>
      <c r="B114" s="480"/>
      <c r="C114" s="480"/>
      <c r="D114" s="480"/>
      <c r="E114" s="1165"/>
      <c r="F114" s="1401"/>
      <c r="G114" s="1402"/>
      <c r="H114" s="1402"/>
      <c r="I114" s="1400"/>
      <c r="J114" s="1044"/>
      <c r="K114" s="1039"/>
      <c r="L114" s="963"/>
      <c r="M114" s="480"/>
      <c r="N114" s="1206"/>
      <c r="O114" s="1382"/>
      <c r="P114" s="1404"/>
      <c r="Q114" s="1291"/>
      <c r="R114" s="1291"/>
      <c r="S114" s="963"/>
      <c r="T114" s="1044"/>
      <c r="U114" s="963"/>
      <c r="V114" s="1044"/>
      <c r="W114" s="1044"/>
      <c r="X114" s="1045"/>
      <c r="Y114" s="1045"/>
      <c r="Z114" s="1045"/>
      <c r="AA114" s="1047"/>
      <c r="AB114" s="1037"/>
      <c r="AC114" s="1037"/>
      <c r="AD114" s="1068"/>
      <c r="AE114" s="1068"/>
      <c r="AF114" s="1068"/>
      <c r="AG114" s="1073"/>
      <c r="AH114" s="1073"/>
      <c r="AI114" s="1073"/>
      <c r="AJ114" s="1073"/>
      <c r="AK114" s="1073"/>
      <c r="AL114" s="1073"/>
      <c r="AM114" s="1073"/>
      <c r="AN114" s="1073"/>
      <c r="AO114" s="1068"/>
      <c r="AP114" s="1073"/>
      <c r="AQ114" s="1068"/>
      <c r="AR114" s="1068"/>
      <c r="AS114" s="1068"/>
      <c r="AT114" s="1068"/>
      <c r="AU114" s="1068"/>
      <c r="AV114" s="1068"/>
      <c r="AW114" s="1068"/>
      <c r="AX114" s="1068"/>
      <c r="AY114" s="1068"/>
      <c r="AZ114" s="1068"/>
      <c r="BA114" s="1073"/>
      <c r="BB114" s="1073"/>
      <c r="BC114" s="1068"/>
      <c r="BD114" s="1068"/>
      <c r="BE114" s="1068"/>
      <c r="BF114" s="1068"/>
      <c r="BG114" s="1068"/>
      <c r="BH114" s="1068"/>
      <c r="BI114" s="1068"/>
      <c r="BJ114" s="1068"/>
      <c r="BK114" s="1068"/>
      <c r="BL114" s="1068"/>
      <c r="BM114" s="1068"/>
      <c r="BN114" s="1068"/>
      <c r="BO114" s="1068"/>
      <c r="BP114" s="1068"/>
      <c r="BQ114" s="1068"/>
    </row>
    <row r="115" spans="1:69" x14ac:dyDescent="0.25">
      <c r="A115" s="1068"/>
      <c r="B115" s="480"/>
      <c r="C115" s="480"/>
      <c r="D115" s="480"/>
      <c r="E115" s="1165"/>
      <c r="F115" s="1401"/>
      <c r="G115" s="1402"/>
      <c r="H115" s="1402"/>
      <c r="I115" s="1400"/>
      <c r="J115" s="1044"/>
      <c r="K115" s="1039"/>
      <c r="L115" s="963"/>
      <c r="M115" s="480"/>
      <c r="N115" s="1206"/>
      <c r="O115" s="1382"/>
      <c r="P115" s="1404"/>
      <c r="Q115" s="1291"/>
      <c r="R115" s="1291"/>
      <c r="S115" s="963"/>
      <c r="T115" s="1044"/>
      <c r="U115" s="963"/>
      <c r="V115" s="1044"/>
      <c r="W115" s="1044"/>
      <c r="X115" s="1045"/>
      <c r="Y115" s="1045"/>
      <c r="Z115" s="1045"/>
      <c r="AA115" s="1047"/>
      <c r="AB115" s="1037"/>
      <c r="AC115" s="1037"/>
      <c r="AD115" s="1068"/>
      <c r="AE115" s="1068"/>
      <c r="AF115" s="1068"/>
      <c r="AG115" s="1073"/>
      <c r="AH115" s="1073"/>
      <c r="AI115" s="1073"/>
      <c r="AJ115" s="1073"/>
      <c r="AK115" s="1073"/>
      <c r="AL115" s="1073"/>
      <c r="AM115" s="1073"/>
      <c r="AN115" s="1073"/>
      <c r="AO115" s="1068"/>
      <c r="AP115" s="1073"/>
      <c r="AQ115" s="1068"/>
      <c r="AR115" s="1068"/>
      <c r="AS115" s="1068"/>
      <c r="AT115" s="1068"/>
      <c r="AU115" s="1068"/>
      <c r="AV115" s="1068"/>
      <c r="AW115" s="1068"/>
      <c r="AX115" s="1068"/>
      <c r="AY115" s="1068"/>
      <c r="AZ115" s="1068"/>
      <c r="BA115" s="1073"/>
      <c r="BB115" s="1073"/>
      <c r="BC115" s="1068"/>
      <c r="BD115" s="1068"/>
      <c r="BE115" s="1068"/>
      <c r="BF115" s="1068"/>
      <c r="BG115" s="1068"/>
      <c r="BH115" s="1068"/>
      <c r="BI115" s="1068"/>
      <c r="BJ115" s="1068"/>
      <c r="BK115" s="1068"/>
      <c r="BL115" s="1068"/>
      <c r="BM115" s="1068"/>
      <c r="BN115" s="1068"/>
      <c r="BO115" s="1068"/>
      <c r="BP115" s="1068"/>
      <c r="BQ115" s="1068"/>
    </row>
    <row r="116" spans="1:69" x14ac:dyDescent="0.25">
      <c r="A116" s="1068"/>
      <c r="B116" s="480"/>
      <c r="C116" s="480"/>
      <c r="D116" s="480"/>
      <c r="E116" s="1165"/>
      <c r="F116" s="1401"/>
      <c r="G116" s="1402"/>
      <c r="H116" s="1402"/>
      <c r="I116" s="1400"/>
      <c r="J116" s="1044"/>
      <c r="K116" s="1039"/>
      <c r="L116" s="963"/>
      <c r="M116" s="480"/>
      <c r="N116" s="1206"/>
      <c r="O116" s="1382"/>
      <c r="P116" s="1404"/>
      <c r="Q116" s="1291"/>
      <c r="R116" s="1291"/>
      <c r="S116" s="963"/>
      <c r="T116" s="1044"/>
      <c r="U116" s="963"/>
      <c r="V116" s="1044"/>
      <c r="W116" s="1044"/>
      <c r="X116" s="1045"/>
      <c r="Y116" s="1045"/>
      <c r="Z116" s="1045"/>
      <c r="AA116" s="1047"/>
      <c r="AB116" s="1037"/>
      <c r="AC116" s="1037"/>
      <c r="AD116" s="1068"/>
      <c r="AE116" s="1068"/>
      <c r="AF116" s="1068"/>
      <c r="AG116" s="1073"/>
      <c r="AH116" s="1073"/>
      <c r="AI116" s="1073"/>
      <c r="AJ116" s="1073"/>
      <c r="AK116" s="1073"/>
      <c r="AL116" s="1073"/>
      <c r="AM116" s="1073"/>
      <c r="AN116" s="1073"/>
      <c r="AO116" s="1068"/>
      <c r="AP116" s="1073"/>
      <c r="AQ116" s="1068"/>
      <c r="AR116" s="1068"/>
      <c r="AS116" s="1068"/>
      <c r="AT116" s="1068"/>
      <c r="AU116" s="1068"/>
      <c r="AV116" s="1068"/>
      <c r="AW116" s="1068"/>
      <c r="AX116" s="1068"/>
      <c r="AY116" s="1068"/>
      <c r="AZ116" s="1068"/>
      <c r="BA116" s="1073"/>
      <c r="BB116" s="1073"/>
      <c r="BC116" s="1068"/>
      <c r="BD116" s="1068"/>
      <c r="BE116" s="1068"/>
      <c r="BF116" s="1068"/>
      <c r="BG116" s="1068"/>
      <c r="BH116" s="1068"/>
      <c r="BI116" s="1068"/>
      <c r="BJ116" s="1068"/>
      <c r="BK116" s="1068"/>
      <c r="BL116" s="1068"/>
      <c r="BM116" s="1068"/>
      <c r="BN116" s="1068"/>
      <c r="BO116" s="1068"/>
      <c r="BP116" s="1068"/>
      <c r="BQ116" s="1068"/>
    </row>
    <row r="117" spans="1:69" x14ac:dyDescent="0.25">
      <c r="A117" s="1068"/>
      <c r="B117" s="480"/>
      <c r="C117" s="480"/>
      <c r="D117" s="480"/>
      <c r="E117" s="1165"/>
      <c r="F117" s="1401"/>
      <c r="G117" s="1402"/>
      <c r="H117" s="1402"/>
      <c r="I117" s="1405"/>
      <c r="J117" s="1044"/>
      <c r="K117" s="1039"/>
      <c r="L117" s="963"/>
      <c r="M117" s="480"/>
      <c r="N117" s="1206"/>
      <c r="O117" s="1382"/>
      <c r="P117" s="1404"/>
      <c r="Q117" s="1291"/>
      <c r="R117" s="1291"/>
      <c r="S117" s="963"/>
      <c r="T117" s="1044"/>
      <c r="U117" s="963"/>
      <c r="V117" s="1044"/>
      <c r="W117" s="1044"/>
      <c r="X117" s="1045"/>
      <c r="Y117" s="1045"/>
      <c r="Z117" s="1045"/>
      <c r="AA117" s="1047"/>
      <c r="AB117" s="1037"/>
      <c r="AC117" s="1037"/>
      <c r="AD117" s="1068"/>
      <c r="AE117" s="1068"/>
      <c r="AF117" s="1068"/>
      <c r="AG117" s="1073"/>
      <c r="AH117" s="1073"/>
      <c r="AI117" s="1073"/>
      <c r="AJ117" s="1073"/>
      <c r="AK117" s="1073"/>
      <c r="AL117" s="1073"/>
      <c r="AM117" s="1073"/>
      <c r="AN117" s="1073"/>
      <c r="AO117" s="1068"/>
      <c r="AP117" s="1073"/>
      <c r="AQ117" s="1068"/>
      <c r="AR117" s="1068"/>
      <c r="AS117" s="1068"/>
      <c r="AT117" s="1068"/>
      <c r="AU117" s="1068"/>
      <c r="AV117" s="1068"/>
      <c r="AW117" s="1068"/>
      <c r="AX117" s="1068"/>
      <c r="AY117" s="1068"/>
      <c r="AZ117" s="1068"/>
      <c r="BA117" s="1073"/>
      <c r="BB117" s="1073"/>
      <c r="BC117" s="1068"/>
      <c r="BD117" s="1068"/>
      <c r="BE117" s="1068"/>
      <c r="BF117" s="1068"/>
      <c r="BG117" s="1068"/>
      <c r="BH117" s="1068"/>
      <c r="BI117" s="1068"/>
      <c r="BJ117" s="1068"/>
      <c r="BK117" s="1068"/>
      <c r="BL117" s="1068"/>
      <c r="BM117" s="1068"/>
      <c r="BN117" s="1068"/>
      <c r="BO117" s="1068"/>
      <c r="BP117" s="1068"/>
      <c r="BQ117" s="1068"/>
    </row>
    <row r="118" spans="1:69" x14ac:dyDescent="0.25">
      <c r="A118" s="1068"/>
      <c r="B118" s="480"/>
      <c r="C118" s="480"/>
      <c r="D118" s="480"/>
      <c r="E118" s="1165"/>
      <c r="F118" s="1401"/>
      <c r="G118" s="1402"/>
      <c r="H118" s="1402"/>
      <c r="I118" s="1405"/>
      <c r="J118" s="1044"/>
      <c r="K118" s="1039"/>
      <c r="L118" s="963"/>
      <c r="M118" s="480"/>
      <c r="N118" s="1206"/>
      <c r="O118" s="1382"/>
      <c r="P118" s="1404"/>
      <c r="Q118" s="1291"/>
      <c r="R118" s="1291"/>
      <c r="S118" s="963"/>
      <c r="T118" s="1044"/>
      <c r="U118" s="963"/>
      <c r="V118" s="1044"/>
      <c r="W118" s="1044"/>
      <c r="X118" s="1045"/>
      <c r="Y118" s="1045"/>
      <c r="Z118" s="1045"/>
      <c r="AA118" s="1047"/>
      <c r="AB118" s="1037"/>
      <c r="AC118" s="1037"/>
      <c r="AD118" s="1068"/>
      <c r="AE118" s="1068"/>
      <c r="AF118" s="1068"/>
      <c r="AG118" s="1073"/>
      <c r="AH118" s="1073"/>
      <c r="AI118" s="1073"/>
      <c r="AJ118" s="1073"/>
      <c r="AK118" s="1073"/>
      <c r="AL118" s="1073"/>
      <c r="AM118" s="1073"/>
      <c r="AN118" s="1073"/>
      <c r="AO118" s="1068"/>
      <c r="AP118" s="1073"/>
      <c r="AQ118" s="1068"/>
      <c r="AR118" s="1068"/>
      <c r="AS118" s="1068"/>
      <c r="AT118" s="1068"/>
      <c r="AU118" s="1068"/>
      <c r="AV118" s="1068"/>
      <c r="AW118" s="1068"/>
      <c r="AX118" s="1068"/>
      <c r="AY118" s="1068"/>
      <c r="AZ118" s="1068"/>
      <c r="BA118" s="1073"/>
      <c r="BB118" s="1073"/>
      <c r="BC118" s="1068"/>
      <c r="BD118" s="1068"/>
      <c r="BE118" s="1068"/>
      <c r="BF118" s="1068"/>
      <c r="BG118" s="1068"/>
      <c r="BH118" s="1068"/>
      <c r="BI118" s="1068"/>
      <c r="BJ118" s="1068"/>
      <c r="BK118" s="1068"/>
      <c r="BL118" s="1068"/>
      <c r="BM118" s="1068"/>
      <c r="BN118" s="1068"/>
      <c r="BO118" s="1068"/>
      <c r="BP118" s="1068"/>
      <c r="BQ118" s="1068"/>
    </row>
    <row r="119" spans="1:69" x14ac:dyDescent="0.25">
      <c r="A119" s="1068"/>
      <c r="B119" s="480"/>
      <c r="C119" s="480"/>
      <c r="D119" s="480"/>
      <c r="E119" s="1165"/>
      <c r="F119" s="1401"/>
      <c r="G119" s="1402"/>
      <c r="H119" s="1402"/>
      <c r="I119" s="1405"/>
      <c r="J119" s="1044"/>
      <c r="K119" s="1039"/>
      <c r="L119" s="963"/>
      <c r="M119" s="480"/>
      <c r="N119" s="1206"/>
      <c r="O119" s="1382"/>
      <c r="P119" s="1404"/>
      <c r="Q119" s="1291"/>
      <c r="R119" s="1291"/>
      <c r="S119" s="963"/>
      <c r="T119" s="1044"/>
      <c r="U119" s="963"/>
      <c r="V119" s="1044"/>
      <c r="W119" s="1044"/>
      <c r="X119" s="1045"/>
      <c r="Y119" s="1045"/>
      <c r="Z119" s="1045"/>
      <c r="AA119" s="1047"/>
      <c r="AB119" s="1037"/>
      <c r="AC119" s="1037"/>
      <c r="AD119" s="1068"/>
      <c r="AE119" s="1068"/>
      <c r="AF119" s="1068"/>
      <c r="AG119" s="1073"/>
      <c r="AH119" s="1073"/>
      <c r="AI119" s="1073"/>
      <c r="AJ119" s="1073"/>
      <c r="AK119" s="1073"/>
      <c r="AL119" s="1073"/>
      <c r="AM119" s="1073"/>
      <c r="AN119" s="1073"/>
      <c r="AO119" s="1068"/>
      <c r="AP119" s="1073"/>
      <c r="AQ119" s="1068"/>
      <c r="AR119" s="1068"/>
      <c r="AS119" s="1068"/>
      <c r="AT119" s="1068"/>
      <c r="AU119" s="1068"/>
      <c r="AV119" s="1068"/>
      <c r="AW119" s="1068"/>
      <c r="AX119" s="1068"/>
      <c r="AY119" s="1068"/>
      <c r="AZ119" s="1068"/>
      <c r="BA119" s="1073"/>
      <c r="BB119" s="1073"/>
      <c r="BC119" s="1068"/>
      <c r="BD119" s="1068"/>
      <c r="BE119" s="1068"/>
      <c r="BF119" s="1068"/>
      <c r="BG119" s="1068"/>
      <c r="BH119" s="1068"/>
      <c r="BI119" s="1068"/>
      <c r="BJ119" s="1068"/>
      <c r="BK119" s="1068"/>
      <c r="BL119" s="1068"/>
      <c r="BM119" s="1068"/>
      <c r="BN119" s="1068"/>
      <c r="BO119" s="1068"/>
      <c r="BP119" s="1068"/>
      <c r="BQ119" s="1068"/>
    </row>
    <row r="120" spans="1:69" x14ac:dyDescent="0.25">
      <c r="A120" s="1068"/>
      <c r="B120" s="480"/>
      <c r="C120" s="480"/>
      <c r="D120" s="480"/>
      <c r="E120" s="1165"/>
      <c r="F120" s="1401"/>
      <c r="G120" s="1402"/>
      <c r="H120" s="1402"/>
      <c r="I120" s="1405"/>
      <c r="J120" s="1044"/>
      <c r="K120" s="1039"/>
      <c r="L120" s="963"/>
      <c r="M120" s="480"/>
      <c r="N120" s="1206"/>
      <c r="O120" s="1382"/>
      <c r="P120" s="1404"/>
      <c r="Q120" s="1291"/>
      <c r="R120" s="1291"/>
      <c r="S120" s="963"/>
      <c r="T120" s="1044"/>
      <c r="U120" s="963"/>
      <c r="V120" s="1044"/>
      <c r="W120" s="1044"/>
      <c r="X120" s="1045"/>
      <c r="Y120" s="1045"/>
      <c r="Z120" s="1045"/>
      <c r="AA120" s="1047"/>
      <c r="AB120" s="1037"/>
      <c r="AC120" s="1037"/>
      <c r="AD120" s="1068"/>
      <c r="AE120" s="1068"/>
      <c r="AF120" s="1068"/>
      <c r="AG120" s="1073"/>
      <c r="AH120" s="1073"/>
      <c r="AI120" s="1073"/>
      <c r="AJ120" s="1073"/>
      <c r="AK120" s="1073"/>
      <c r="AL120" s="1073"/>
      <c r="AM120" s="1073"/>
      <c r="AN120" s="1073"/>
      <c r="AO120" s="1068"/>
      <c r="AP120" s="1073"/>
      <c r="AQ120" s="1068"/>
      <c r="AR120" s="1068"/>
      <c r="AS120" s="1068"/>
      <c r="AT120" s="1068"/>
      <c r="AU120" s="1068"/>
      <c r="AV120" s="1068"/>
      <c r="AW120" s="1068"/>
      <c r="AX120" s="1068"/>
      <c r="AY120" s="1068"/>
      <c r="AZ120" s="1068"/>
      <c r="BA120" s="1073"/>
      <c r="BB120" s="1073"/>
      <c r="BC120" s="1068"/>
      <c r="BD120" s="1068"/>
      <c r="BE120" s="1068"/>
      <c r="BF120" s="1068"/>
      <c r="BG120" s="1068"/>
      <c r="BH120" s="1068"/>
      <c r="BI120" s="1068"/>
      <c r="BJ120" s="1068"/>
      <c r="BK120" s="1068"/>
      <c r="BL120" s="1068"/>
      <c r="BM120" s="1068"/>
      <c r="BN120" s="1068"/>
      <c r="BO120" s="1068"/>
      <c r="BP120" s="1068"/>
      <c r="BQ120" s="1068"/>
    </row>
    <row r="121" spans="1:69" x14ac:dyDescent="0.25">
      <c r="A121" s="1068"/>
      <c r="B121" s="480"/>
      <c r="C121" s="1135"/>
      <c r="D121" s="1135"/>
      <c r="E121" s="1406"/>
      <c r="F121" s="1165"/>
      <c r="G121" s="480"/>
      <c r="H121" s="480"/>
      <c r="I121" s="1038"/>
      <c r="J121" s="1044"/>
      <c r="K121" s="1039"/>
      <c r="L121" s="963"/>
      <c r="M121" s="963"/>
      <c r="N121" s="480"/>
      <c r="O121" s="1138"/>
      <c r="P121" s="1362"/>
      <c r="Q121" s="1362"/>
      <c r="R121" s="1362"/>
      <c r="S121" s="963"/>
      <c r="T121" s="1044"/>
      <c r="U121" s="963"/>
      <c r="V121" s="1044"/>
      <c r="W121" s="1044"/>
      <c r="X121" s="1045"/>
      <c r="Y121" s="1045"/>
      <c r="Z121" s="1045"/>
      <c r="AA121" s="1047"/>
      <c r="AB121" s="1383"/>
      <c r="AC121" s="1383"/>
      <c r="AD121" s="1068"/>
      <c r="AE121" s="1068"/>
      <c r="AF121" s="1068"/>
      <c r="AG121" s="1073"/>
      <c r="AH121" s="1073"/>
      <c r="AI121" s="1073"/>
      <c r="AJ121" s="1073"/>
      <c r="AK121" s="1073"/>
      <c r="AL121" s="1073"/>
      <c r="AM121" s="1073"/>
      <c r="AN121" s="1073"/>
      <c r="AO121" s="1068"/>
      <c r="AP121" s="1073"/>
      <c r="AQ121" s="1068"/>
      <c r="AR121" s="1068"/>
      <c r="AS121" s="1068"/>
      <c r="AT121" s="1068"/>
      <c r="AU121" s="1068"/>
      <c r="AV121" s="1068"/>
      <c r="AW121" s="1068"/>
      <c r="AX121" s="1068"/>
      <c r="AY121" s="1068"/>
      <c r="AZ121" s="1068"/>
      <c r="BA121" s="1206"/>
      <c r="BB121" s="1073"/>
      <c r="BC121" s="1068"/>
      <c r="BD121" s="1068"/>
      <c r="BE121" s="1068"/>
      <c r="BF121" s="1068"/>
      <c r="BG121" s="1068"/>
      <c r="BH121" s="1068"/>
      <c r="BI121" s="1068"/>
      <c r="BJ121" s="1068"/>
      <c r="BK121" s="1068"/>
      <c r="BL121" s="1068"/>
      <c r="BM121" s="1068"/>
      <c r="BN121" s="1068"/>
      <c r="BO121" s="1068"/>
      <c r="BP121" s="1068"/>
      <c r="BQ121" s="1068"/>
    </row>
    <row r="122" spans="1:69" x14ac:dyDescent="0.25">
      <c r="A122" s="1068"/>
      <c r="B122" s="480"/>
      <c r="C122" s="1135"/>
      <c r="D122" s="1135"/>
      <c r="E122" s="1406"/>
      <c r="F122" s="1165"/>
      <c r="G122" s="480"/>
      <c r="H122" s="480"/>
      <c r="I122" s="1038"/>
      <c r="J122" s="1044"/>
      <c r="K122" s="1039"/>
      <c r="L122" s="963"/>
      <c r="M122" s="963"/>
      <c r="N122" s="480"/>
      <c r="O122" s="1138"/>
      <c r="P122" s="1362"/>
      <c r="Q122" s="1362"/>
      <c r="R122" s="1362"/>
      <c r="S122" s="963"/>
      <c r="T122" s="1044"/>
      <c r="U122" s="963"/>
      <c r="V122" s="1044"/>
      <c r="W122" s="1044"/>
      <c r="X122" s="1045"/>
      <c r="Y122" s="1045"/>
      <c r="Z122" s="1045"/>
      <c r="AA122" s="1047"/>
      <c r="AB122" s="1037"/>
      <c r="AC122" s="1037"/>
      <c r="AD122" s="1068"/>
      <c r="AE122" s="1068"/>
      <c r="AF122" s="1068"/>
      <c r="AG122" s="1073"/>
      <c r="AH122" s="1073"/>
      <c r="AI122" s="1073"/>
      <c r="AJ122" s="1073"/>
      <c r="AK122" s="1073"/>
      <c r="AL122" s="1073"/>
      <c r="AM122" s="1073"/>
      <c r="AN122" s="1073"/>
      <c r="AO122" s="1068"/>
      <c r="AP122" s="1073"/>
      <c r="AQ122" s="1068"/>
      <c r="AR122" s="1068"/>
      <c r="AS122" s="1068"/>
      <c r="AT122" s="1068"/>
      <c r="AU122" s="1068"/>
      <c r="AV122" s="1068"/>
      <c r="AW122" s="1068"/>
      <c r="AX122" s="1068"/>
      <c r="AY122" s="1068"/>
      <c r="AZ122" s="1068"/>
      <c r="BA122" s="1206"/>
      <c r="BB122" s="1073"/>
      <c r="BC122" s="1068"/>
      <c r="BD122" s="1068"/>
      <c r="BE122" s="1068"/>
      <c r="BF122" s="1068"/>
      <c r="BG122" s="1068"/>
      <c r="BH122" s="1068"/>
      <c r="BI122" s="1068"/>
      <c r="BJ122" s="1068"/>
      <c r="BK122" s="1068"/>
      <c r="BL122" s="1068"/>
      <c r="BM122" s="1068"/>
      <c r="BN122" s="1068"/>
      <c r="BO122" s="1068"/>
      <c r="BP122" s="1068"/>
      <c r="BQ122" s="1068"/>
    </row>
    <row r="123" spans="1:69" x14ac:dyDescent="0.25">
      <c r="B123" s="482"/>
      <c r="AD123" s="1407"/>
      <c r="AE123" s="1407"/>
      <c r="AF123" s="251"/>
      <c r="AG123" s="1408"/>
      <c r="AH123" s="1408"/>
      <c r="AI123" s="1408"/>
      <c r="AJ123" s="1408"/>
      <c r="AK123" s="1408"/>
      <c r="AL123" s="1408"/>
      <c r="AM123" s="1408"/>
      <c r="AN123" s="1408"/>
      <c r="AO123" s="251"/>
      <c r="AP123" s="974"/>
      <c r="AQ123" s="251"/>
      <c r="AR123" s="251"/>
      <c r="AS123" s="251"/>
      <c r="AT123" s="1409"/>
      <c r="AU123" s="1409"/>
    </row>
    <row r="124" spans="1:69" x14ac:dyDescent="0.25">
      <c r="B124" s="251"/>
      <c r="C124" s="251"/>
      <c r="D124" s="1410"/>
      <c r="E124" s="1410"/>
      <c r="F124" s="251"/>
      <c r="G124" s="251"/>
      <c r="H124" s="971"/>
      <c r="AD124" s="1407"/>
      <c r="AE124" s="1407"/>
      <c r="AF124" s="251"/>
      <c r="AG124" s="1408"/>
      <c r="AH124" s="1408"/>
      <c r="AI124" s="1408"/>
      <c r="AJ124" s="1408"/>
      <c r="AK124" s="1408"/>
      <c r="AL124" s="1408"/>
      <c r="AM124" s="1408"/>
      <c r="AN124" s="1408"/>
      <c r="AO124" s="251"/>
      <c r="AP124" s="974"/>
      <c r="AQ124" s="251"/>
      <c r="AR124" s="251"/>
      <c r="AS124" s="251"/>
      <c r="AT124" s="1409"/>
      <c r="AU124" s="1409"/>
      <c r="BA124" s="1411"/>
      <c r="BB124" s="1411"/>
    </row>
    <row r="125" spans="1:69" x14ac:dyDescent="0.25">
      <c r="B125" s="251"/>
      <c r="C125" s="251"/>
      <c r="D125" s="1410"/>
      <c r="E125" s="1410"/>
      <c r="F125" s="251"/>
      <c r="G125" s="251"/>
      <c r="H125" s="971"/>
      <c r="AD125" s="1407"/>
      <c r="AE125" s="1407"/>
      <c r="AF125" s="251"/>
      <c r="AG125" s="1408"/>
      <c r="AH125" s="1408"/>
      <c r="AI125" s="1408"/>
      <c r="AJ125" s="1408"/>
      <c r="AK125" s="1408"/>
      <c r="AL125" s="1408"/>
      <c r="AM125" s="1408"/>
      <c r="AN125" s="1408"/>
      <c r="AO125" s="251"/>
      <c r="AP125" s="974"/>
      <c r="AQ125" s="251"/>
      <c r="AR125" s="251"/>
      <c r="AS125" s="251"/>
      <c r="AT125" s="1409"/>
      <c r="AU125" s="1409"/>
    </row>
    <row r="126" spans="1:69" x14ac:dyDescent="0.25">
      <c r="B126" s="251"/>
      <c r="C126" s="251"/>
      <c r="D126" s="1410"/>
      <c r="E126" s="1410"/>
      <c r="F126" s="251"/>
      <c r="G126" s="251"/>
      <c r="H126" s="1412"/>
      <c r="AS126" s="1108"/>
    </row>
    <row r="127" spans="1:69" x14ac:dyDescent="0.25">
      <c r="AS127" s="1108"/>
    </row>
    <row r="128" spans="1:69" x14ac:dyDescent="0.25">
      <c r="AS128" s="1108"/>
    </row>
    <row r="129" spans="45:45" x14ac:dyDescent="0.25">
      <c r="AS129" s="1108"/>
    </row>
    <row r="130" spans="45:45" x14ac:dyDescent="0.25">
      <c r="AS130" s="1108"/>
    </row>
    <row r="131" spans="45:45" x14ac:dyDescent="0.25">
      <c r="AS131" s="1108"/>
    </row>
    <row r="132" spans="45:45" x14ac:dyDescent="0.25">
      <c r="AS132" s="1108"/>
    </row>
    <row r="133" spans="45:45" x14ac:dyDescent="0.25">
      <c r="AS133" s="1108"/>
    </row>
  </sheetData>
  <autoFilter ref="A3:DR92" xr:uid="{5F8F3E8C-DE85-449C-93A0-9FA6F0F5CDF9}"/>
  <mergeCells count="9">
    <mergeCell ref="CO2:CP2"/>
    <mergeCell ref="CR2:CW2"/>
    <mergeCell ref="AO1:AZ1"/>
    <mergeCell ref="BA1:BG1"/>
    <mergeCell ref="BH1:BI1"/>
    <mergeCell ref="AO2:AR2"/>
    <mergeCell ref="AS2:AV2"/>
    <mergeCell ref="AW2:AZ2"/>
    <mergeCell ref="BA2:BB2"/>
  </mergeCells>
  <pageMargins left="0.7" right="0.7" top="0.75" bottom="0.75" header="0.3" footer="0.3"/>
  <pageSetup paperSize="9" orientation="portrait" r:id="rId1"/>
  <headerFooter>
    <oddFooter>&amp;L_x000D_&amp;1#&amp;"Calibri"&amp;10&amp;K000000 Confidential: Information that needs to be handled with care to avoid loss, damage or inappropriate access. Information which incorrectly disseminated could cause some distress to a limited number of individuals.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57083A-13A1-4549-B8C7-2E032CD5C8B2}">
  <sheetPr>
    <tabColor rgb="FFFF0000"/>
  </sheetPr>
  <dimension ref="A1:GE110"/>
  <sheetViews>
    <sheetView workbookViewId="0">
      <pane xSplit="8" ySplit="3" topLeftCell="J4" activePane="bottomRight" state="frozen"/>
      <selection pane="topRight" activeCell="I1" sqref="I1"/>
      <selection pane="bottomLeft" activeCell="A5" sqref="A5"/>
      <selection pane="bottomRight" activeCell="DC25" sqref="DC25"/>
    </sheetView>
  </sheetViews>
  <sheetFormatPr defaultColWidth="8.85546875" defaultRowHeight="12.75" x14ac:dyDescent="0.2"/>
  <cols>
    <col min="1" max="1" width="6.140625" style="1495" customWidth="1"/>
    <col min="2" max="2" width="9.85546875" style="1495" customWidth="1"/>
    <col min="3" max="3" width="7.85546875" style="1495" customWidth="1"/>
    <col min="4" max="4" width="28.85546875" style="1495" customWidth="1"/>
    <col min="5" max="5" width="9.85546875" style="1495" customWidth="1"/>
    <col min="6" max="6" width="8.85546875" style="1495"/>
    <col min="7" max="7" width="14.85546875" style="1495" bestFit="1" customWidth="1"/>
    <col min="8" max="8" width="11.140625" style="1495" customWidth="1"/>
    <col min="9" max="9" width="10.42578125" style="1495" bestFit="1" customWidth="1"/>
    <col min="10" max="11" width="8.85546875" style="1495"/>
    <col min="12" max="12" width="9.5703125" style="1495" customWidth="1"/>
    <col min="13" max="13" width="8.85546875" style="1495"/>
    <col min="14" max="14" width="12.140625" style="1464" hidden="1" customWidth="1"/>
    <col min="15" max="15" width="12.140625" style="1607" hidden="1" customWidth="1"/>
    <col min="16" max="16" width="31.5703125" style="1464" hidden="1" customWidth="1"/>
    <col min="17" max="18" width="12.140625" style="1464" hidden="1" customWidth="1"/>
    <col min="19" max="19" width="10.42578125" style="1495" customWidth="1"/>
    <col min="20" max="20" width="13.140625" style="1608" customWidth="1"/>
    <col min="21" max="21" width="8.5703125" style="1589" customWidth="1"/>
    <col min="22" max="22" width="7.5703125" style="1589" customWidth="1"/>
    <col min="23" max="23" width="9.42578125" style="1589" customWidth="1"/>
    <col min="24" max="24" width="13.140625" style="1609" customWidth="1"/>
    <col min="25" max="25" width="6" style="1609" customWidth="1"/>
    <col min="26" max="26" width="9.140625" style="1609" customWidth="1"/>
    <col min="27" max="27" width="11.85546875" style="1464" hidden="1" customWidth="1"/>
    <col min="28" max="28" width="13.85546875" style="1464" hidden="1" customWidth="1"/>
    <col min="29" max="29" width="4.140625" style="1464" hidden="1" customWidth="1"/>
    <col min="30" max="30" width="5" style="1464" hidden="1" customWidth="1"/>
    <col min="31" max="31" width="4.140625" style="1464" hidden="1" customWidth="1"/>
    <col min="32" max="33" width="12" style="1510" customWidth="1"/>
    <col min="34" max="34" width="12.85546875" style="1495" customWidth="1"/>
    <col min="35" max="35" width="15" style="1495" customWidth="1"/>
    <col min="36" max="36" width="13.140625" style="1495" customWidth="1"/>
    <col min="37" max="37" width="7.85546875" style="1495" customWidth="1"/>
    <col min="38" max="38" width="8.42578125" style="1495" customWidth="1"/>
    <col min="39" max="39" width="6.85546875" style="1495" customWidth="1"/>
    <col min="40" max="40" width="18.85546875" style="1495" customWidth="1"/>
    <col min="41" max="42" width="9.140625" style="1464" hidden="1" customWidth="1"/>
    <col min="43" max="43" width="11" style="1464" hidden="1" customWidth="1"/>
    <col min="44" max="45" width="9.140625" style="1464" hidden="1" customWidth="1"/>
    <col min="46" max="46" width="8" style="1464" hidden="1" customWidth="1"/>
    <col min="47" max="47" width="11.140625" style="1464" hidden="1" customWidth="1"/>
    <col min="48" max="48" width="9.85546875" style="1464" hidden="1" customWidth="1"/>
    <col min="49" max="49" width="10.85546875" style="1464" hidden="1" customWidth="1"/>
    <col min="50" max="50" width="9.140625" style="1464" hidden="1" customWidth="1"/>
    <col min="51" max="51" width="9.5703125" style="1464" hidden="1" customWidth="1"/>
    <col min="52" max="52" width="9.140625" style="1464" hidden="1" customWidth="1"/>
    <col min="53" max="53" width="9.140625" style="1469" hidden="1" customWidth="1"/>
    <col min="54" max="54" width="10.140625" style="1469" hidden="1" customWidth="1"/>
    <col min="55" max="55" width="8.85546875" style="1464" hidden="1" customWidth="1"/>
    <col min="56" max="56" width="11.140625" style="1464" hidden="1" customWidth="1"/>
    <col min="57" max="57" width="10.140625" style="1464" hidden="1" customWidth="1"/>
    <col min="58" max="58" width="7.140625" style="1464" hidden="1" customWidth="1"/>
    <col min="59" max="59" width="11.140625" style="1464" hidden="1" customWidth="1"/>
    <col min="60" max="61" width="13.140625" style="1495" customWidth="1"/>
    <col min="62" max="62" width="1.140625" style="1495" customWidth="1"/>
    <col min="63" max="63" width="10.140625" style="1495" customWidth="1"/>
    <col min="64" max="64" width="13.85546875" style="1495" customWidth="1"/>
    <col min="65" max="66" width="26.5703125" style="1495" customWidth="1"/>
    <col min="67" max="67" width="18" style="1495" customWidth="1"/>
    <col min="68" max="68" width="3.5703125" style="1495" customWidth="1"/>
    <col min="69" max="70" width="0" style="1464" hidden="1" customWidth="1"/>
    <col min="71" max="71" width="34" style="1464" hidden="1" customWidth="1"/>
    <col min="72" max="72" width="7.42578125" style="1464" hidden="1" customWidth="1"/>
    <col min="73" max="73" width="2.85546875" style="1495" customWidth="1"/>
    <col min="74" max="74" width="7.140625" style="1495" customWidth="1"/>
    <col min="75" max="75" width="10.140625" style="1495" customWidth="1"/>
    <col min="76" max="76" width="9.85546875" style="1495" customWidth="1"/>
    <col min="77" max="77" width="0.85546875" style="1495" customWidth="1"/>
    <col min="78" max="78" width="19.42578125" style="1495" customWidth="1"/>
    <col min="79" max="79" width="1.5703125" style="1495" customWidth="1"/>
    <col min="80" max="80" width="15.42578125" style="1495" customWidth="1"/>
    <col min="81" max="81" width="9.42578125" style="1495" customWidth="1"/>
    <col min="82" max="82" width="12.85546875" style="1495" customWidth="1"/>
    <col min="83" max="84" width="10.140625" style="1495" customWidth="1"/>
    <col min="85" max="85" width="21" style="1495" customWidth="1"/>
    <col min="86" max="86" width="13.42578125" style="1495" customWidth="1"/>
    <col min="87" max="87" width="9" style="1495" bestFit="1" customWidth="1"/>
    <col min="88" max="89" width="8.140625" style="1495" customWidth="1"/>
    <col min="90" max="90" width="12" style="1495" customWidth="1"/>
    <col min="91" max="91" width="9" style="1495" bestFit="1" customWidth="1"/>
    <col min="92" max="92" width="10.5703125" style="1495" customWidth="1"/>
    <col min="93" max="93" width="11" style="1510" bestFit="1" customWidth="1"/>
    <col min="94" max="94" width="9.140625" style="1495" bestFit="1" customWidth="1"/>
    <col min="95" max="95" width="10" style="1510" bestFit="1" customWidth="1"/>
    <col min="96" max="96" width="10.85546875" style="1510" bestFit="1" customWidth="1"/>
    <col min="97" max="97" width="9.85546875" style="1495" bestFit="1" customWidth="1"/>
    <col min="98" max="98" width="8.85546875" style="1495"/>
    <col min="99" max="99" width="11.140625" style="1495" customWidth="1"/>
    <col min="100" max="100" width="10.85546875" style="1495" bestFit="1" customWidth="1"/>
    <col min="101" max="101" width="9" style="1495" bestFit="1" customWidth="1"/>
    <col min="102" max="102" width="10.85546875" style="1495" bestFit="1" customWidth="1"/>
    <col min="103" max="103" width="10.85546875" style="1510" bestFit="1" customWidth="1"/>
    <col min="104" max="104" width="10.85546875" style="1495" bestFit="1" customWidth="1"/>
    <col min="105" max="16384" width="8.85546875" style="1495"/>
  </cols>
  <sheetData>
    <row r="1" spans="1:187" s="251" customFormat="1" x14ac:dyDescent="0.2">
      <c r="B1" s="967" t="s">
        <v>3070</v>
      </c>
      <c r="N1" s="1413"/>
      <c r="O1" s="1414"/>
      <c r="P1" s="1413"/>
      <c r="Q1" s="1415" t="s">
        <v>2679</v>
      </c>
      <c r="R1" s="1413"/>
      <c r="T1" s="971"/>
      <c r="U1" s="970"/>
      <c r="V1" s="970"/>
      <c r="W1" s="970"/>
      <c r="X1" s="972"/>
      <c r="Y1" s="972"/>
      <c r="Z1" s="972"/>
      <c r="AA1" s="1413"/>
      <c r="AB1" s="1413"/>
      <c r="AC1" s="1413"/>
      <c r="AD1" s="1413"/>
      <c r="AE1" s="1413"/>
      <c r="AF1" s="973"/>
      <c r="AG1" s="973"/>
      <c r="AO1" s="2097" t="s">
        <v>2680</v>
      </c>
      <c r="AP1" s="2098"/>
      <c r="AQ1" s="2098"/>
      <c r="AR1" s="2098"/>
      <c r="AS1" s="2098"/>
      <c r="AT1" s="2098"/>
      <c r="AU1" s="2098"/>
      <c r="AV1" s="2098"/>
      <c r="AW1" s="2098"/>
      <c r="AX1" s="2098"/>
      <c r="AY1" s="2098"/>
      <c r="AZ1" s="2098"/>
      <c r="BA1" s="2099" t="s">
        <v>2681</v>
      </c>
      <c r="BB1" s="2100"/>
      <c r="BC1" s="2100"/>
      <c r="BD1" s="2100"/>
      <c r="BE1" s="2101"/>
      <c r="BF1" s="2101"/>
      <c r="BG1" s="2102"/>
      <c r="BH1" s="2103" t="s">
        <v>2682</v>
      </c>
      <c r="BI1" s="2104"/>
      <c r="BJ1" s="1416"/>
      <c r="BK1" s="1416"/>
      <c r="BL1" s="1416"/>
      <c r="BM1" s="976"/>
      <c r="BN1" s="976"/>
      <c r="BQ1" s="1413"/>
      <c r="BR1" s="1413"/>
      <c r="BS1" s="1413"/>
      <c r="BT1" s="1413"/>
      <c r="CO1" s="973"/>
      <c r="CQ1" s="973"/>
      <c r="CR1" s="973"/>
      <c r="CY1" s="973"/>
    </row>
    <row r="2" spans="1:187" s="251" customFormat="1" ht="25.5" x14ac:dyDescent="0.2">
      <c r="B2" s="967" t="s">
        <v>3071</v>
      </c>
      <c r="N2" s="1413" t="s">
        <v>2684</v>
      </c>
      <c r="O2" s="1414" t="s">
        <v>2685</v>
      </c>
      <c r="P2" s="1413" t="s">
        <v>3072</v>
      </c>
      <c r="Q2" s="1413" t="s">
        <v>2687</v>
      </c>
      <c r="R2" s="1413"/>
      <c r="T2" s="971"/>
      <c r="U2" s="970"/>
      <c r="V2" s="970"/>
      <c r="W2" s="970"/>
      <c r="X2" s="972"/>
      <c r="Y2" s="972"/>
      <c r="Z2" s="972"/>
      <c r="AA2" s="1413"/>
      <c r="AB2" s="1413"/>
      <c r="AC2" s="1413"/>
      <c r="AD2" s="1413"/>
      <c r="AE2" s="1413"/>
      <c r="AF2" s="973"/>
      <c r="AG2" s="973"/>
      <c r="AJ2" s="1417" t="s">
        <v>3073</v>
      </c>
      <c r="AK2" s="481"/>
      <c r="AL2" s="481"/>
      <c r="AM2" s="481"/>
      <c r="AO2" s="2105" t="s">
        <v>2688</v>
      </c>
      <c r="AP2" s="2106"/>
      <c r="AQ2" s="2106"/>
      <c r="AR2" s="2107"/>
      <c r="AS2" s="2108" t="s">
        <v>2689</v>
      </c>
      <c r="AT2" s="2106"/>
      <c r="AU2" s="2106"/>
      <c r="AV2" s="2107"/>
      <c r="AW2" s="2109" t="s">
        <v>2690</v>
      </c>
      <c r="AX2" s="2110"/>
      <c r="AY2" s="2110"/>
      <c r="AZ2" s="2110"/>
      <c r="BA2" s="2111" t="s">
        <v>2691</v>
      </c>
      <c r="BB2" s="2112"/>
      <c r="BC2" s="1418" t="s">
        <v>2692</v>
      </c>
      <c r="BD2" s="1418"/>
      <c r="BE2" s="1419"/>
      <c r="BF2" s="1419"/>
      <c r="BG2" s="1420" t="s">
        <v>2693</v>
      </c>
      <c r="BH2" s="1421" t="s">
        <v>2694</v>
      </c>
      <c r="BI2" s="1421" t="s">
        <v>2693</v>
      </c>
      <c r="BJ2" s="1057"/>
      <c r="BK2" s="985" t="s">
        <v>2694</v>
      </c>
      <c r="BL2" s="985" t="s">
        <v>2696</v>
      </c>
      <c r="BM2" s="986" t="s">
        <v>2697</v>
      </c>
      <c r="BN2" s="986"/>
      <c r="BO2" s="480" t="s">
        <v>2698</v>
      </c>
      <c r="BQ2" s="1413"/>
      <c r="BR2" s="1413"/>
      <c r="BS2" s="1413"/>
      <c r="BT2" s="1413"/>
      <c r="BV2" s="2094" t="s">
        <v>3074</v>
      </c>
      <c r="BW2" s="2094"/>
      <c r="BX2" s="2094"/>
      <c r="BZ2" s="988" t="s">
        <v>3075</v>
      </c>
      <c r="CB2" s="2095" t="s">
        <v>3076</v>
      </c>
      <c r="CC2" s="2096"/>
      <c r="CD2" s="1422"/>
      <c r="CE2" s="482"/>
      <c r="CO2" s="973"/>
      <c r="CQ2" s="973"/>
      <c r="CR2" s="973"/>
      <c r="CY2" s="973"/>
    </row>
    <row r="3" spans="1:187" s="251" customFormat="1" ht="90" thickBot="1" x14ac:dyDescent="0.25">
      <c r="A3" s="992" t="s">
        <v>2704</v>
      </c>
      <c r="B3" s="991" t="s">
        <v>2705</v>
      </c>
      <c r="C3" s="992" t="s">
        <v>2706</v>
      </c>
      <c r="D3" s="991" t="s">
        <v>2707</v>
      </c>
      <c r="E3" s="992" t="s">
        <v>2708</v>
      </c>
      <c r="F3" s="992" t="s">
        <v>2709</v>
      </c>
      <c r="G3" s="991" t="s">
        <v>11</v>
      </c>
      <c r="H3" s="991" t="s">
        <v>2140</v>
      </c>
      <c r="I3" s="991" t="s">
        <v>13</v>
      </c>
      <c r="J3" s="991" t="s">
        <v>2710</v>
      </c>
      <c r="K3" s="991" t="s">
        <v>2711</v>
      </c>
      <c r="L3" s="992" t="s">
        <v>2712</v>
      </c>
      <c r="M3" s="992" t="s">
        <v>2713</v>
      </c>
      <c r="N3" s="1423" t="s">
        <v>2714</v>
      </c>
      <c r="O3" s="1424" t="s">
        <v>3077</v>
      </c>
      <c r="P3" s="1423" t="s">
        <v>2716</v>
      </c>
      <c r="Q3" s="1423" t="s">
        <v>2717</v>
      </c>
      <c r="R3" s="1423" t="s">
        <v>2718</v>
      </c>
      <c r="S3" s="992" t="s">
        <v>2719</v>
      </c>
      <c r="T3" s="996" t="s">
        <v>2721</v>
      </c>
      <c r="U3" s="995" t="s">
        <v>19</v>
      </c>
      <c r="V3" s="995" t="s">
        <v>21</v>
      </c>
      <c r="W3" s="995" t="s">
        <v>22</v>
      </c>
      <c r="X3" s="997" t="s">
        <v>23</v>
      </c>
      <c r="Y3" s="997" t="s">
        <v>29</v>
      </c>
      <c r="Z3" s="997" t="s">
        <v>3078</v>
      </c>
      <c r="AA3" s="1425" t="s">
        <v>2727</v>
      </c>
      <c r="AB3" s="1425" t="s">
        <v>2728</v>
      </c>
      <c r="AC3" s="1423" t="s">
        <v>2729</v>
      </c>
      <c r="AD3" s="1426" t="s">
        <v>3079</v>
      </c>
      <c r="AE3" s="1426" t="s">
        <v>2731</v>
      </c>
      <c r="AF3" s="1427" t="s">
        <v>3080</v>
      </c>
      <c r="AG3" s="1427" t="s">
        <v>3081</v>
      </c>
      <c r="AH3" s="1428" t="s">
        <v>3082</v>
      </c>
      <c r="AI3" s="1428" t="s">
        <v>3083</v>
      </c>
      <c r="AJ3" s="1429" t="s">
        <v>3084</v>
      </c>
      <c r="AK3" s="1429" t="s">
        <v>3085</v>
      </c>
      <c r="AL3" s="1429" t="s">
        <v>3086</v>
      </c>
      <c r="AM3" s="1429" t="s">
        <v>3087</v>
      </c>
      <c r="AN3" s="1430" t="s">
        <v>2549</v>
      </c>
      <c r="AO3" s="1431" t="s">
        <v>2738</v>
      </c>
      <c r="AP3" s="1432" t="s">
        <v>2739</v>
      </c>
      <c r="AQ3" s="1432" t="s">
        <v>2740</v>
      </c>
      <c r="AR3" s="1432" t="s">
        <v>2741</v>
      </c>
      <c r="AS3" s="1432" t="s">
        <v>2738</v>
      </c>
      <c r="AT3" s="1432" t="s">
        <v>2739</v>
      </c>
      <c r="AU3" s="1432" t="s">
        <v>2740</v>
      </c>
      <c r="AV3" s="1432" t="s">
        <v>2741</v>
      </c>
      <c r="AW3" s="1432" t="s">
        <v>2738</v>
      </c>
      <c r="AX3" s="1432" t="s">
        <v>2739</v>
      </c>
      <c r="AY3" s="1432" t="s">
        <v>2740</v>
      </c>
      <c r="AZ3" s="1433" t="s">
        <v>2741</v>
      </c>
      <c r="BA3" s="1434" t="s">
        <v>2742</v>
      </c>
      <c r="BB3" s="1435" t="s">
        <v>2743</v>
      </c>
      <c r="BC3" s="1436" t="s">
        <v>2738</v>
      </c>
      <c r="BD3" s="1436" t="s">
        <v>2739</v>
      </c>
      <c r="BE3" s="1437" t="s">
        <v>2744</v>
      </c>
      <c r="BF3" s="1437" t="s">
        <v>2745</v>
      </c>
      <c r="BG3" s="1438">
        <v>43009</v>
      </c>
      <c r="BH3" s="1421">
        <v>43016</v>
      </c>
      <c r="BI3" s="1421">
        <v>43016</v>
      </c>
      <c r="BJ3" s="1057"/>
      <c r="BK3" s="985">
        <v>43016</v>
      </c>
      <c r="BL3" s="985">
        <v>43016</v>
      </c>
      <c r="BM3" s="1017">
        <v>43016</v>
      </c>
      <c r="BN3" s="1018" t="s">
        <v>3088</v>
      </c>
      <c r="BO3" s="1037" t="s">
        <v>3089</v>
      </c>
      <c r="BQ3" s="1439" t="s">
        <v>2750</v>
      </c>
      <c r="BR3" s="1440" t="s">
        <v>2751</v>
      </c>
      <c r="BS3" s="1440" t="s">
        <v>2752</v>
      </c>
      <c r="BT3" s="1440" t="s">
        <v>2751</v>
      </c>
      <c r="BU3" s="1021"/>
      <c r="BV3" s="1022" t="s">
        <v>2753</v>
      </c>
      <c r="BW3" s="1023" t="s">
        <v>2754</v>
      </c>
      <c r="BX3" s="1025" t="s">
        <v>3090</v>
      </c>
      <c r="BY3" s="1441"/>
      <c r="BZ3" s="1024" t="s">
        <v>3090</v>
      </c>
      <c r="CB3" s="251" t="s">
        <v>2756</v>
      </c>
      <c r="CC3" s="251" t="s">
        <v>2757</v>
      </c>
      <c r="CD3" s="1442" t="s">
        <v>3091</v>
      </c>
      <c r="CE3" s="1037" t="s">
        <v>3092</v>
      </c>
      <c r="CF3" s="1037" t="s">
        <v>2549</v>
      </c>
      <c r="CG3" s="1443" t="s">
        <v>3093</v>
      </c>
      <c r="CH3" s="1444" t="s">
        <v>3094</v>
      </c>
      <c r="CI3" s="1026" t="s">
        <v>2767</v>
      </c>
      <c r="CJ3" s="1026" t="s">
        <v>3095</v>
      </c>
      <c r="CK3" s="1026" t="s">
        <v>3096</v>
      </c>
      <c r="CL3" s="1444" t="s">
        <v>3097</v>
      </c>
      <c r="CM3" s="1026" t="s">
        <v>2773</v>
      </c>
      <c r="CN3" s="1026" t="s">
        <v>3098</v>
      </c>
      <c r="CO3" s="1445" t="s">
        <v>3099</v>
      </c>
      <c r="CP3" s="1026" t="s">
        <v>3100</v>
      </c>
      <c r="CQ3" s="973" t="s">
        <v>3101</v>
      </c>
      <c r="CR3" s="1445" t="s">
        <v>3102</v>
      </c>
      <c r="CS3" s="1026" t="s">
        <v>3103</v>
      </c>
      <c r="CT3" s="973" t="s">
        <v>3104</v>
      </c>
      <c r="CU3" s="1445" t="s">
        <v>3105</v>
      </c>
      <c r="CV3" s="1026" t="s">
        <v>3106</v>
      </c>
      <c r="CW3" s="1033" t="s">
        <v>3107</v>
      </c>
      <c r="CX3" s="1445" t="s">
        <v>3108</v>
      </c>
      <c r="CY3" s="1033" t="s">
        <v>3109</v>
      </c>
      <c r="CZ3" s="1445" t="s">
        <v>3110</v>
      </c>
    </row>
    <row r="4" spans="1:187" s="1464" customFormat="1" ht="15" x14ac:dyDescent="0.25">
      <c r="A4" s="1446">
        <v>0</v>
      </c>
      <c r="B4" s="1447" t="s">
        <v>2787</v>
      </c>
      <c r="C4" s="1447">
        <v>205873</v>
      </c>
      <c r="D4" s="1447" t="s">
        <v>2158</v>
      </c>
      <c r="E4" s="1448" t="s">
        <v>1606</v>
      </c>
      <c r="F4" s="1449">
        <v>450768</v>
      </c>
      <c r="G4" s="1447" t="s">
        <v>2143</v>
      </c>
      <c r="H4" s="1447" t="s">
        <v>2144</v>
      </c>
      <c r="I4" s="1450">
        <v>41655</v>
      </c>
      <c r="J4" s="1451">
        <v>4</v>
      </c>
      <c r="K4" s="1452">
        <f t="shared" ref="K4:K20" ca="1" si="0">(TODAY()-I4)/365.25</f>
        <v>11.682409308692677</v>
      </c>
      <c r="L4" s="1453" t="s">
        <v>1885</v>
      </c>
      <c r="M4" s="1453" t="s">
        <v>56</v>
      </c>
      <c r="N4" s="1447"/>
      <c r="O4" s="1454">
        <v>4146.37</v>
      </c>
      <c r="P4" s="1455" t="s">
        <v>3111</v>
      </c>
      <c r="Q4" s="1456">
        <v>4146.37</v>
      </c>
      <c r="R4" s="1457">
        <v>0</v>
      </c>
      <c r="S4" s="1458">
        <v>45017</v>
      </c>
      <c r="T4" s="1458">
        <v>45128</v>
      </c>
      <c r="U4" s="1459">
        <v>1</v>
      </c>
      <c r="V4" s="1459">
        <v>63</v>
      </c>
      <c r="W4" s="1459">
        <f>V4-U4+1</f>
        <v>63</v>
      </c>
      <c r="X4" s="1460">
        <f>W4/192</f>
        <v>0.328125</v>
      </c>
      <c r="Y4" s="1460">
        <v>1</v>
      </c>
      <c r="Z4" s="1460">
        <f>Y4*X4</f>
        <v>0.328125</v>
      </c>
      <c r="AA4" s="1461" t="s">
        <v>2797</v>
      </c>
      <c r="AB4" s="1461" t="s">
        <v>2797</v>
      </c>
      <c r="AC4" s="1446"/>
      <c r="AD4" s="1446"/>
      <c r="AE4" s="1446"/>
      <c r="AF4" s="1462">
        <f t="shared" ref="AF4:AF6" si="1">AH4*Z4</f>
        <v>1360.5276562500001</v>
      </c>
      <c r="AG4" s="1462">
        <v>4146.37</v>
      </c>
      <c r="AH4" s="1463">
        <v>4146.37</v>
      </c>
      <c r="AI4" s="1463">
        <v>4146.37</v>
      </c>
      <c r="AJ4" s="1463"/>
      <c r="AK4" s="1463" t="s">
        <v>2805</v>
      </c>
      <c r="AL4" s="1463" t="s">
        <v>2804</v>
      </c>
      <c r="AM4" s="1463" t="s">
        <v>2804</v>
      </c>
      <c r="AN4" s="1446" t="s">
        <v>3112</v>
      </c>
      <c r="AO4" s="1446"/>
      <c r="AP4" s="1446"/>
      <c r="AQ4" s="1446"/>
      <c r="AR4" s="1446"/>
      <c r="AS4" s="1446"/>
      <c r="AT4" s="1446"/>
      <c r="AU4" s="1446"/>
      <c r="AV4" s="1446"/>
      <c r="AW4" s="1446"/>
      <c r="AX4" s="1446"/>
      <c r="AY4" s="1446"/>
      <c r="AZ4" s="1446"/>
      <c r="BA4" s="1463"/>
      <c r="BB4" s="1463"/>
      <c r="BC4" s="1446"/>
      <c r="BD4" s="1446">
        <v>4146.37</v>
      </c>
      <c r="BE4" s="1446"/>
      <c r="BF4" s="1446"/>
      <c r="BG4" s="1446"/>
      <c r="BH4" s="1446">
        <f>AP4+AT4+AX4</f>
        <v>0</v>
      </c>
      <c r="BI4" s="1446">
        <v>0</v>
      </c>
      <c r="BJ4" s="1446"/>
      <c r="BK4" s="1463">
        <f>AH4</f>
        <v>4146.37</v>
      </c>
      <c r="BL4" s="1463">
        <v>0</v>
      </c>
      <c r="BM4" s="1463">
        <f>BK4-BL4</f>
        <v>4146.37</v>
      </c>
      <c r="BN4" s="1463">
        <f>BX4</f>
        <v>0</v>
      </c>
      <c r="BO4" s="1463">
        <f>BM4+BN4</f>
        <v>4146.37</v>
      </c>
      <c r="CD4" s="1465">
        <f>BO4+BQ4-BZ4+CB4</f>
        <v>4146.37</v>
      </c>
      <c r="CE4" s="1466">
        <f>CD4-BO4</f>
        <v>0</v>
      </c>
      <c r="CF4" s="1466"/>
      <c r="CG4" s="1467"/>
      <c r="CH4" s="1468">
        <f>CD4+CG4</f>
        <v>4146.37</v>
      </c>
      <c r="CI4" s="1469">
        <f>CH4-CD4</f>
        <v>0</v>
      </c>
      <c r="CL4" s="1469">
        <f>CH4+CK4</f>
        <v>4146.37</v>
      </c>
      <c r="CM4" s="1469">
        <f>SUM(CL4)-CH4</f>
        <v>0</v>
      </c>
      <c r="CO4" s="1470">
        <f>CL4+CN4</f>
        <v>4146.37</v>
      </c>
      <c r="CP4" s="1469">
        <f>SUM(CO4)-CL4</f>
        <v>0</v>
      </c>
      <c r="CQ4" s="1470">
        <v>-1275.3699999999999</v>
      </c>
      <c r="CR4" s="1470">
        <f t="shared" ref="CR4:CR20" si="2">CO4+CQ4</f>
        <v>2871</v>
      </c>
      <c r="CS4" s="1470">
        <f>CR4-CO4</f>
        <v>-1275.3699999999999</v>
      </c>
      <c r="CU4" s="1470">
        <f>CR4+CT4</f>
        <v>2871</v>
      </c>
      <c r="CX4" s="1470">
        <f>CU4+CW4</f>
        <v>2871</v>
      </c>
      <c r="CY4" s="1470"/>
      <c r="CZ4" s="1470">
        <f>CX4+CY4</f>
        <v>2871</v>
      </c>
    </row>
    <row r="5" spans="1:187" s="1464" customFormat="1" ht="15" x14ac:dyDescent="0.25">
      <c r="A5" s="1446">
        <v>1</v>
      </c>
      <c r="B5" s="1447" t="s">
        <v>2787</v>
      </c>
      <c r="C5" s="1447">
        <v>205873</v>
      </c>
      <c r="D5" s="1447" t="s">
        <v>2158</v>
      </c>
      <c r="E5" s="1448" t="s">
        <v>1606</v>
      </c>
      <c r="F5" s="1449">
        <v>449773</v>
      </c>
      <c r="G5" s="1447" t="s">
        <v>3113</v>
      </c>
      <c r="H5" s="1447" t="s">
        <v>3114</v>
      </c>
      <c r="I5" s="1450">
        <v>42063</v>
      </c>
      <c r="J5" s="1451">
        <v>3</v>
      </c>
      <c r="K5" s="1452">
        <f t="shared" ca="1" si="0"/>
        <v>10.565366187542779</v>
      </c>
      <c r="L5" s="1453" t="s">
        <v>1885</v>
      </c>
      <c r="M5" s="1453" t="s">
        <v>56</v>
      </c>
      <c r="N5" s="1447"/>
      <c r="O5" s="1454">
        <v>8250</v>
      </c>
      <c r="P5" s="1455" t="s">
        <v>3115</v>
      </c>
      <c r="Q5" s="1456">
        <v>8250</v>
      </c>
      <c r="R5" s="1457">
        <v>5172.28</v>
      </c>
      <c r="S5" s="1458">
        <v>45017</v>
      </c>
      <c r="T5" s="1458">
        <v>45382</v>
      </c>
      <c r="U5" s="1459">
        <v>1</v>
      </c>
      <c r="V5" s="1459">
        <v>192</v>
      </c>
      <c r="W5" s="1459">
        <f t="shared" ref="W5:W20" si="3">V5-U5+1</f>
        <v>192</v>
      </c>
      <c r="X5" s="1460">
        <f t="shared" ref="X5:X20" si="4">W5/192</f>
        <v>1</v>
      </c>
      <c r="Y5" s="1460">
        <v>1</v>
      </c>
      <c r="Z5" s="1460">
        <f t="shared" ref="Z5:Z20" si="5">Y5*X5</f>
        <v>1</v>
      </c>
      <c r="AA5" s="1461" t="s">
        <v>2797</v>
      </c>
      <c r="AB5" s="1461" t="s">
        <v>2797</v>
      </c>
      <c r="AC5" s="1446"/>
      <c r="AD5" s="1446"/>
      <c r="AE5" s="1446"/>
      <c r="AF5" s="1462">
        <f t="shared" si="1"/>
        <v>13422.279999999999</v>
      </c>
      <c r="AG5" s="1462">
        <v>8250</v>
      </c>
      <c r="AH5" s="1463">
        <f>8250+5172.28</f>
        <v>13422.279999999999</v>
      </c>
      <c r="AI5" s="1463">
        <v>8250</v>
      </c>
      <c r="AJ5" s="1463">
        <v>5172.28</v>
      </c>
      <c r="AK5" s="1463" t="s">
        <v>2805</v>
      </c>
      <c r="AL5" s="1463" t="s">
        <v>2804</v>
      </c>
      <c r="AM5" s="1463" t="s">
        <v>2804</v>
      </c>
      <c r="AN5" s="1446" t="s">
        <v>3116</v>
      </c>
      <c r="AO5" s="1446"/>
      <c r="AP5" s="1446"/>
      <c r="AQ5" s="1446"/>
      <c r="AR5" s="1446"/>
      <c r="AS5" s="1446"/>
      <c r="AT5" s="1446"/>
      <c r="AU5" s="1446"/>
      <c r="AV5" s="1446"/>
      <c r="AW5" s="1446"/>
      <c r="AX5" s="1446"/>
      <c r="AY5" s="1446"/>
      <c r="AZ5" s="1446"/>
      <c r="BA5" s="1463"/>
      <c r="BB5" s="1463"/>
      <c r="BC5" s="1446"/>
      <c r="BD5" s="1446">
        <v>5172.28</v>
      </c>
      <c r="BE5" s="1446"/>
      <c r="BF5" s="1446"/>
      <c r="BG5" s="1446"/>
      <c r="BH5" s="1446">
        <f t="shared" ref="BH5:BH20" si="6">AP5+AT5+AX5</f>
        <v>0</v>
      </c>
      <c r="BI5" s="1446">
        <v>0</v>
      </c>
      <c r="BJ5" s="1446"/>
      <c r="BK5" s="1463">
        <f t="shared" ref="BK5:BK20" si="7">AH5</f>
        <v>13422.279999999999</v>
      </c>
      <c r="BL5" s="1446"/>
      <c r="BM5" s="1463">
        <f t="shared" ref="BM5:BM20" si="8">BK5-BL5</f>
        <v>13422.279999999999</v>
      </c>
      <c r="BN5" s="1463">
        <f t="shared" ref="BN5:BN20" si="9">BX5</f>
        <v>0</v>
      </c>
      <c r="BO5" s="1463">
        <f t="shared" ref="BO5:BO20" si="10">BM5+BN5</f>
        <v>13422.279999999999</v>
      </c>
      <c r="CD5" s="1465">
        <f t="shared" ref="CD5:CD20" si="11">BO5+BQ5-BZ5+CB5</f>
        <v>13422.279999999999</v>
      </c>
      <c r="CE5" s="1466">
        <f t="shared" ref="CE5:CE20" si="12">CD5-BO5</f>
        <v>0</v>
      </c>
      <c r="CF5" s="1466"/>
      <c r="CG5" s="1467"/>
      <c r="CH5" s="1468">
        <f t="shared" ref="CH5:CH20" si="13">CD5+CG5</f>
        <v>13422.279999999999</v>
      </c>
      <c r="CI5" s="1469">
        <f t="shared" ref="CI5:CI20" si="14">CH5-CD5</f>
        <v>0</v>
      </c>
      <c r="CL5" s="1469">
        <f t="shared" ref="CL5:CL20" si="15">CH5+CK5</f>
        <v>13422.279999999999</v>
      </c>
      <c r="CM5" s="1469">
        <f t="shared" ref="CM5:CM21" si="16">SUM(CL5)-CH5</f>
        <v>0</v>
      </c>
      <c r="CO5" s="1470">
        <f t="shared" ref="CO5:CO20" si="17">CL5+CN5</f>
        <v>13422.279999999999</v>
      </c>
      <c r="CP5" s="1469">
        <f t="shared" ref="CP5:CP20" si="18">SUM(CO5)-CL5</f>
        <v>0</v>
      </c>
      <c r="CQ5" s="1470">
        <v>0</v>
      </c>
      <c r="CR5" s="1470">
        <f t="shared" si="2"/>
        <v>13422.279999999999</v>
      </c>
      <c r="CS5" s="1470">
        <f t="shared" ref="CS5:CS20" si="19">CR5-CO5</f>
        <v>0</v>
      </c>
      <c r="CU5" s="1470">
        <f t="shared" ref="CU5:CU20" si="20">CR5+CT5</f>
        <v>13422.279999999999</v>
      </c>
      <c r="CX5" s="1470">
        <f t="shared" ref="CX5:CX20" si="21">CU5+CW5</f>
        <v>13422.279999999999</v>
      </c>
      <c r="CY5" s="1470"/>
      <c r="CZ5" s="1470">
        <f t="shared" ref="CZ5:CZ20" si="22">CX5+CY5</f>
        <v>13422.279999999999</v>
      </c>
    </row>
    <row r="6" spans="1:187" s="1464" customFormat="1" ht="15" x14ac:dyDescent="0.25">
      <c r="A6" s="1446">
        <v>1</v>
      </c>
      <c r="B6" s="1447" t="s">
        <v>2787</v>
      </c>
      <c r="C6" s="1447">
        <v>205873</v>
      </c>
      <c r="D6" s="1447" t="s">
        <v>2158</v>
      </c>
      <c r="E6" s="1448" t="s">
        <v>1606</v>
      </c>
      <c r="F6" s="1449">
        <v>411393</v>
      </c>
      <c r="G6" s="1447" t="s">
        <v>3117</v>
      </c>
      <c r="H6" s="1447" t="s">
        <v>3118</v>
      </c>
      <c r="I6" s="1450">
        <v>41429</v>
      </c>
      <c r="J6" s="1451">
        <v>5</v>
      </c>
      <c r="K6" s="1452">
        <f t="shared" ca="1" si="0"/>
        <v>12.301163586584531</v>
      </c>
      <c r="L6" s="1453" t="s">
        <v>1885</v>
      </c>
      <c r="M6" s="1453" t="s">
        <v>56</v>
      </c>
      <c r="N6" s="1447" t="s">
        <v>3119</v>
      </c>
      <c r="O6" s="1454">
        <v>5819.25</v>
      </c>
      <c r="P6" s="1455" t="s">
        <v>3120</v>
      </c>
      <c r="Q6" s="1456">
        <v>5819.25</v>
      </c>
      <c r="R6" s="1457">
        <v>1250</v>
      </c>
      <c r="S6" s="1458">
        <v>45017</v>
      </c>
      <c r="T6" s="1458">
        <v>45382</v>
      </c>
      <c r="U6" s="1459">
        <v>1</v>
      </c>
      <c r="V6" s="1459">
        <v>192</v>
      </c>
      <c r="W6" s="1459">
        <f t="shared" si="3"/>
        <v>192</v>
      </c>
      <c r="X6" s="1460">
        <f t="shared" si="4"/>
        <v>1</v>
      </c>
      <c r="Y6" s="1460">
        <v>1</v>
      </c>
      <c r="Z6" s="1460">
        <f t="shared" si="5"/>
        <v>1</v>
      </c>
      <c r="AA6" s="1461" t="s">
        <v>2797</v>
      </c>
      <c r="AB6" s="1461" t="s">
        <v>2797</v>
      </c>
      <c r="AC6" s="1446"/>
      <c r="AD6" s="1446"/>
      <c r="AE6" s="1446"/>
      <c r="AF6" s="1462">
        <f t="shared" si="1"/>
        <v>7069.25</v>
      </c>
      <c r="AG6" s="1462">
        <v>7069.25</v>
      </c>
      <c r="AH6" s="1463">
        <v>7069.25</v>
      </c>
      <c r="AI6" s="1463">
        <v>7069.25</v>
      </c>
      <c r="AJ6" s="1463"/>
      <c r="AK6" s="1463" t="s">
        <v>2805</v>
      </c>
      <c r="AL6" s="1463" t="s">
        <v>2804</v>
      </c>
      <c r="AM6" s="1463" t="s">
        <v>2804</v>
      </c>
      <c r="AN6" s="1446" t="s">
        <v>3121</v>
      </c>
      <c r="AO6" s="1446"/>
      <c r="AP6" s="1446"/>
      <c r="AQ6" s="1446"/>
      <c r="AR6" s="1446"/>
      <c r="AS6" s="1446"/>
      <c r="AT6" s="1446"/>
      <c r="AU6" s="1446"/>
      <c r="AV6" s="1446"/>
      <c r="AW6" s="1446"/>
      <c r="AX6" s="1446"/>
      <c r="AY6" s="1446"/>
      <c r="AZ6" s="1446"/>
      <c r="BA6" s="1463"/>
      <c r="BB6" s="1463"/>
      <c r="BC6" s="1446"/>
      <c r="BD6" s="1446"/>
      <c r="BE6" s="1446"/>
      <c r="BF6" s="1446"/>
      <c r="BG6" s="1446"/>
      <c r="BH6" s="1446">
        <f t="shared" si="6"/>
        <v>0</v>
      </c>
      <c r="BI6" s="1446">
        <v>0</v>
      </c>
      <c r="BJ6" s="1446"/>
      <c r="BK6" s="1463">
        <f t="shared" si="7"/>
        <v>7069.25</v>
      </c>
      <c r="BL6" s="1446"/>
      <c r="BM6" s="1463">
        <f t="shared" si="8"/>
        <v>7069.25</v>
      </c>
      <c r="BN6" s="1463">
        <f t="shared" si="9"/>
        <v>0</v>
      </c>
      <c r="BO6" s="1463">
        <f t="shared" si="10"/>
        <v>7069.25</v>
      </c>
      <c r="CD6" s="1465">
        <f t="shared" si="11"/>
        <v>7069.25</v>
      </c>
      <c r="CE6" s="1466">
        <f t="shared" si="12"/>
        <v>0</v>
      </c>
      <c r="CF6" s="1466"/>
      <c r="CG6" s="1467"/>
      <c r="CH6" s="1468">
        <f t="shared" si="13"/>
        <v>7069.25</v>
      </c>
      <c r="CI6" s="1469">
        <f t="shared" si="14"/>
        <v>0</v>
      </c>
      <c r="CL6" s="1469">
        <f t="shared" si="15"/>
        <v>7069.25</v>
      </c>
      <c r="CM6" s="1469">
        <f t="shared" si="16"/>
        <v>0</v>
      </c>
      <c r="CO6" s="1470">
        <f t="shared" si="17"/>
        <v>7069.25</v>
      </c>
      <c r="CP6" s="1469">
        <f t="shared" si="18"/>
        <v>0</v>
      </c>
      <c r="CQ6" s="1470">
        <v>-1250</v>
      </c>
      <c r="CR6" s="1470">
        <f t="shared" si="2"/>
        <v>5819.25</v>
      </c>
      <c r="CS6" s="1470">
        <f t="shared" si="19"/>
        <v>-1250</v>
      </c>
      <c r="CU6" s="1470">
        <f t="shared" si="20"/>
        <v>5819.25</v>
      </c>
      <c r="CX6" s="1470">
        <f t="shared" si="21"/>
        <v>5819.25</v>
      </c>
      <c r="CY6" s="1470"/>
      <c r="CZ6" s="1470">
        <f t="shared" si="22"/>
        <v>5819.25</v>
      </c>
    </row>
    <row r="7" spans="1:187" s="1464" customFormat="1" ht="15" x14ac:dyDescent="0.25">
      <c r="A7" s="1471">
        <v>1</v>
      </c>
      <c r="B7" s="480" t="s">
        <v>2787</v>
      </c>
      <c r="C7" s="480">
        <v>205873</v>
      </c>
      <c r="D7" s="480" t="s">
        <v>2158</v>
      </c>
      <c r="E7" s="1472" t="s">
        <v>1606</v>
      </c>
      <c r="F7" s="1165">
        <v>429971</v>
      </c>
      <c r="G7" s="480" t="s">
        <v>2121</v>
      </c>
      <c r="H7" s="480" t="s">
        <v>2205</v>
      </c>
      <c r="I7" s="1038">
        <v>42613</v>
      </c>
      <c r="J7" s="1044"/>
      <c r="K7" s="1039">
        <v>7.055441478439425</v>
      </c>
      <c r="L7" s="963" t="s">
        <v>1885</v>
      </c>
      <c r="M7" s="963"/>
      <c r="N7" s="480"/>
      <c r="O7" s="1138">
        <v>23246.82</v>
      </c>
      <c r="P7" s="1362" t="s">
        <v>3122</v>
      </c>
      <c r="Q7" s="1473">
        <v>23246.82</v>
      </c>
      <c r="R7" s="1474"/>
      <c r="S7" s="1475">
        <v>45170</v>
      </c>
      <c r="T7" s="1475">
        <v>45382</v>
      </c>
      <c r="U7" s="1459">
        <v>1</v>
      </c>
      <c r="V7" s="1459">
        <v>192</v>
      </c>
      <c r="W7" s="1459">
        <f t="shared" si="3"/>
        <v>192</v>
      </c>
      <c r="X7" s="1460">
        <f t="shared" si="4"/>
        <v>1</v>
      </c>
      <c r="Y7" s="1460">
        <v>1</v>
      </c>
      <c r="Z7" s="1460">
        <f t="shared" si="5"/>
        <v>1</v>
      </c>
      <c r="AA7" s="1037" t="s">
        <v>2797</v>
      </c>
      <c r="AB7" s="1037" t="s">
        <v>2797</v>
      </c>
      <c r="AC7" s="1471"/>
      <c r="AD7" s="1471">
        <v>5080026</v>
      </c>
      <c r="AE7" s="1471">
        <v>8082405</v>
      </c>
      <c r="AF7" s="1462">
        <v>15835</v>
      </c>
      <c r="AG7" s="1462">
        <v>23246.82</v>
      </c>
      <c r="AH7" s="1476">
        <v>23246.82</v>
      </c>
      <c r="AI7" s="1471"/>
      <c r="AJ7" s="1471"/>
      <c r="AK7" s="1473"/>
      <c r="AL7" s="1477"/>
      <c r="AM7" s="1477"/>
      <c r="AN7" s="1471"/>
      <c r="AO7" s="1471"/>
      <c r="AP7" s="1471"/>
      <c r="AQ7" s="1471"/>
      <c r="AR7" s="1471"/>
      <c r="AS7" s="1471"/>
      <c r="AT7" s="1471"/>
      <c r="AU7" s="1471"/>
      <c r="AV7" s="1476"/>
      <c r="AW7" s="1476"/>
      <c r="AX7" s="1471" t="s">
        <v>3123</v>
      </c>
      <c r="AY7" s="1471">
        <v>603.03</v>
      </c>
      <c r="AZ7" s="1477">
        <v>45077</v>
      </c>
      <c r="BA7" s="1471"/>
      <c r="BB7" s="1471"/>
      <c r="BC7" s="1471"/>
      <c r="BD7" s="1471"/>
      <c r="BE7" s="1471"/>
      <c r="BF7" s="1471"/>
      <c r="BG7" s="1471" t="s">
        <v>3124</v>
      </c>
      <c r="BH7" s="1446"/>
      <c r="BI7" s="1446"/>
      <c r="BJ7" s="1446"/>
      <c r="BK7" s="1463">
        <f t="shared" si="7"/>
        <v>23246.82</v>
      </c>
      <c r="BL7" s="1446"/>
      <c r="BM7" s="1463"/>
      <c r="BN7" s="1463"/>
      <c r="BO7" s="1463"/>
      <c r="CD7" s="1465"/>
      <c r="CE7" s="1466"/>
      <c r="CF7" s="1466"/>
      <c r="CG7" s="1467"/>
      <c r="CH7" s="1466"/>
      <c r="CI7" s="1469"/>
      <c r="CL7" s="1469">
        <f t="shared" si="15"/>
        <v>0</v>
      </c>
      <c r="CM7" s="1469">
        <f t="shared" si="16"/>
        <v>0</v>
      </c>
      <c r="CO7" s="1470">
        <f t="shared" si="17"/>
        <v>0</v>
      </c>
      <c r="CP7" s="1469">
        <f t="shared" si="18"/>
        <v>0</v>
      </c>
      <c r="CQ7" s="1470">
        <f>AF7</f>
        <v>15835</v>
      </c>
      <c r="CR7" s="1470">
        <f t="shared" si="2"/>
        <v>15835</v>
      </c>
      <c r="CS7" s="1470">
        <f t="shared" si="19"/>
        <v>15835</v>
      </c>
      <c r="CU7" s="1470">
        <f t="shared" si="20"/>
        <v>15835</v>
      </c>
      <c r="CX7" s="1470">
        <f t="shared" si="21"/>
        <v>15835</v>
      </c>
      <c r="CY7" s="1470"/>
      <c r="CZ7" s="1470">
        <f t="shared" si="22"/>
        <v>15835</v>
      </c>
    </row>
    <row r="8" spans="1:187" s="1464" customFormat="1" ht="15" x14ac:dyDescent="0.25">
      <c r="A8" s="1446">
        <v>1</v>
      </c>
      <c r="B8" s="1447" t="s">
        <v>2787</v>
      </c>
      <c r="C8" s="1447">
        <v>204444</v>
      </c>
      <c r="D8" s="1447" t="s">
        <v>3125</v>
      </c>
      <c r="E8" s="1448" t="s">
        <v>1606</v>
      </c>
      <c r="F8" s="1478">
        <v>438236</v>
      </c>
      <c r="G8" s="1479" t="s">
        <v>3015</v>
      </c>
      <c r="H8" s="1479" t="s">
        <v>1476</v>
      </c>
      <c r="I8" s="1480">
        <v>39282</v>
      </c>
      <c r="J8" s="1451">
        <v>10</v>
      </c>
      <c r="K8" s="1452">
        <f t="shared" ca="1" si="0"/>
        <v>18.179329226557151</v>
      </c>
      <c r="L8" s="1453" t="s">
        <v>1886</v>
      </c>
      <c r="M8" s="1453" t="s">
        <v>56</v>
      </c>
      <c r="N8" s="1481" t="s">
        <v>91</v>
      </c>
      <c r="O8" s="1482"/>
      <c r="P8" s="1455" t="s">
        <v>3126</v>
      </c>
      <c r="Q8" s="1456">
        <v>8860</v>
      </c>
      <c r="R8" s="1457">
        <v>17000</v>
      </c>
      <c r="S8" s="1458">
        <v>45017</v>
      </c>
      <c r="T8" s="1458">
        <v>45128</v>
      </c>
      <c r="U8" s="1459">
        <v>1</v>
      </c>
      <c r="V8" s="1459">
        <v>192</v>
      </c>
      <c r="W8" s="1459">
        <f t="shared" si="3"/>
        <v>192</v>
      </c>
      <c r="X8" s="1460">
        <f t="shared" si="4"/>
        <v>1</v>
      </c>
      <c r="Y8" s="1460">
        <v>1</v>
      </c>
      <c r="Z8" s="1460">
        <f t="shared" si="5"/>
        <v>1</v>
      </c>
      <c r="AA8" s="1461" t="s">
        <v>2797</v>
      </c>
      <c r="AB8" s="1461" t="s">
        <v>2797</v>
      </c>
      <c r="AC8" s="1446"/>
      <c r="AD8" s="1446"/>
      <c r="AE8" s="1446"/>
      <c r="AF8" s="1462">
        <f t="shared" ref="AF8:AF20" si="23">AH8*Z8</f>
        <v>25860</v>
      </c>
      <c r="AG8" s="1462">
        <v>8860</v>
      </c>
      <c r="AH8" s="1463">
        <f>17000+8860</f>
        <v>25860</v>
      </c>
      <c r="AI8" s="1463">
        <v>8860</v>
      </c>
      <c r="AJ8" s="1463">
        <v>17000</v>
      </c>
      <c r="AK8" s="1463" t="s">
        <v>2805</v>
      </c>
      <c r="AL8" s="1463" t="s">
        <v>2804</v>
      </c>
      <c r="AM8" s="1463" t="s">
        <v>2804</v>
      </c>
      <c r="AN8" s="1446" t="s">
        <v>3127</v>
      </c>
      <c r="AO8" s="1446"/>
      <c r="AP8" s="1446"/>
      <c r="AQ8" s="1446"/>
      <c r="AR8" s="1446"/>
      <c r="AS8" s="1446"/>
      <c r="AT8" s="1446"/>
      <c r="AU8" s="1446"/>
      <c r="AV8" s="1446"/>
      <c r="AW8" s="1446"/>
      <c r="AX8" s="1446"/>
      <c r="AY8" s="1446"/>
      <c r="AZ8" s="1446"/>
      <c r="BA8" s="1463">
        <v>17000</v>
      </c>
      <c r="BB8" s="1463"/>
      <c r="BC8" s="1446"/>
      <c r="BD8" s="1446"/>
      <c r="BE8" s="1446"/>
      <c r="BF8" s="1446"/>
      <c r="BG8" s="1446"/>
      <c r="BH8" s="1446">
        <f t="shared" si="6"/>
        <v>0</v>
      </c>
      <c r="BI8" s="1446">
        <v>0</v>
      </c>
      <c r="BJ8" s="1446"/>
      <c r="BK8" s="1463">
        <f t="shared" si="7"/>
        <v>25860</v>
      </c>
      <c r="BL8" s="1446">
        <v>17000</v>
      </c>
      <c r="BM8" s="1463">
        <f t="shared" si="8"/>
        <v>8860</v>
      </c>
      <c r="BN8" s="1463">
        <f t="shared" si="9"/>
        <v>-5906.666666666667</v>
      </c>
      <c r="BO8" s="1463">
        <f t="shared" si="10"/>
        <v>2953.333333333333</v>
      </c>
      <c r="BV8" s="1483" t="s">
        <v>3128</v>
      </c>
      <c r="BW8" s="1484">
        <v>45013</v>
      </c>
      <c r="BX8" s="1485">
        <f>8860/3*2*-1</f>
        <v>-5906.666666666667</v>
      </c>
      <c r="BZ8" s="1486"/>
      <c r="CD8" s="1465">
        <f t="shared" si="11"/>
        <v>2953.333333333333</v>
      </c>
      <c r="CE8" s="1466">
        <f t="shared" si="12"/>
        <v>0</v>
      </c>
      <c r="CF8" s="1466"/>
      <c r="CG8" s="1467"/>
      <c r="CH8" s="1468">
        <f t="shared" si="13"/>
        <v>2953.333333333333</v>
      </c>
      <c r="CI8" s="1469">
        <f t="shared" si="14"/>
        <v>0</v>
      </c>
      <c r="CL8" s="1469">
        <f t="shared" si="15"/>
        <v>2953.333333333333</v>
      </c>
      <c r="CM8" s="1469">
        <f t="shared" si="16"/>
        <v>0</v>
      </c>
      <c r="CO8" s="1470">
        <f t="shared" si="17"/>
        <v>2953.333333333333</v>
      </c>
      <c r="CP8" s="1469">
        <f t="shared" si="18"/>
        <v>0</v>
      </c>
      <c r="CQ8" s="1470">
        <v>0</v>
      </c>
      <c r="CR8" s="1470">
        <f t="shared" si="2"/>
        <v>2953.333333333333</v>
      </c>
      <c r="CS8" s="1470">
        <f t="shared" si="19"/>
        <v>0</v>
      </c>
      <c r="CU8" s="1470">
        <f t="shared" si="20"/>
        <v>2953.333333333333</v>
      </c>
      <c r="CX8" s="1470">
        <f t="shared" si="21"/>
        <v>2953.333333333333</v>
      </c>
      <c r="CY8" s="1470"/>
      <c r="CZ8" s="1470">
        <f t="shared" si="22"/>
        <v>2953.333333333333</v>
      </c>
    </row>
    <row r="9" spans="1:187" s="1490" customFormat="1" ht="15" x14ac:dyDescent="0.25">
      <c r="A9" s="1471">
        <v>1</v>
      </c>
      <c r="B9" s="480" t="s">
        <v>2787</v>
      </c>
      <c r="C9" s="480">
        <v>204444</v>
      </c>
      <c r="D9" s="480" t="s">
        <v>3129</v>
      </c>
      <c r="E9" s="480" t="s">
        <v>1876</v>
      </c>
      <c r="F9" s="480">
        <v>449583</v>
      </c>
      <c r="G9" s="480" t="s">
        <v>3130</v>
      </c>
      <c r="H9" s="480" t="s">
        <v>3131</v>
      </c>
      <c r="I9" s="1038">
        <v>41119</v>
      </c>
      <c r="J9" s="480">
        <v>7</v>
      </c>
      <c r="K9" s="1039">
        <f ca="1">(TODAY()-I9)/365.25</f>
        <v>13.149897330595483</v>
      </c>
      <c r="L9" s="1039" t="s">
        <v>1886</v>
      </c>
      <c r="M9" s="1039"/>
      <c r="N9" s="480" t="s">
        <v>2387</v>
      </c>
      <c r="O9" s="1069">
        <v>6764.79</v>
      </c>
      <c r="P9" s="1069"/>
      <c r="Q9" s="1070">
        <v>6764.79</v>
      </c>
      <c r="R9" s="1487"/>
      <c r="S9" s="963">
        <v>45247</v>
      </c>
      <c r="T9" s="1042">
        <v>45382</v>
      </c>
      <c r="U9" s="1044">
        <v>114</v>
      </c>
      <c r="V9" s="1044">
        <v>192</v>
      </c>
      <c r="W9" s="1459">
        <f t="shared" si="3"/>
        <v>79</v>
      </c>
      <c r="X9" s="1045">
        <f>W9/192</f>
        <v>0.41145833333333331</v>
      </c>
      <c r="Y9" s="1046">
        <v>1</v>
      </c>
      <c r="Z9" s="1045">
        <f>Y9*X9</f>
        <v>0.41145833333333331</v>
      </c>
      <c r="AA9" s="1047">
        <f>O9*Z9</f>
        <v>2783.42921875</v>
      </c>
      <c r="AB9" s="1069" t="s">
        <v>2797</v>
      </c>
      <c r="AC9" s="1069" t="s">
        <v>2797</v>
      </c>
      <c r="AD9" s="1471"/>
      <c r="AE9" s="1488"/>
      <c r="AF9" s="1462">
        <f>AG9*Z9</f>
        <v>2783.42921875</v>
      </c>
      <c r="AG9" s="1476">
        <v>6764.79</v>
      </c>
      <c r="AH9" s="1476"/>
      <c r="AI9" s="1476"/>
      <c r="AJ9" s="1476"/>
      <c r="AK9" s="1476"/>
      <c r="AL9" s="1476"/>
      <c r="AM9" s="1476"/>
      <c r="AN9" s="1476"/>
      <c r="AO9" s="1471"/>
      <c r="AP9" s="1476"/>
      <c r="AQ9" s="1471"/>
      <c r="AR9" s="1471"/>
      <c r="AS9" s="1471"/>
      <c r="AT9" s="1471"/>
      <c r="AU9" s="1471"/>
      <c r="AV9" s="1471"/>
      <c r="AW9" s="1471"/>
      <c r="AX9" s="1471"/>
      <c r="AY9" s="1471"/>
      <c r="AZ9" s="1471"/>
      <c r="BA9" s="1476"/>
      <c r="BB9" s="1476"/>
      <c r="BC9" s="1471"/>
      <c r="BD9" s="1471"/>
      <c r="BE9" s="1471"/>
      <c r="BF9" s="1471"/>
      <c r="BG9" s="1471"/>
      <c r="BH9" s="1476"/>
      <c r="BI9" s="1471"/>
      <c r="BJ9" s="1471"/>
      <c r="BK9" s="1083"/>
      <c r="BL9" s="1083"/>
      <c r="BM9" s="1083"/>
      <c r="BN9" s="1489"/>
      <c r="BO9" s="1489"/>
      <c r="BP9" s="1489"/>
      <c r="BQ9" s="1489"/>
      <c r="CJ9" s="1093"/>
      <c r="CM9" s="1095"/>
      <c r="CN9" s="1491"/>
      <c r="CO9" s="1492"/>
      <c r="CP9" s="1492"/>
      <c r="CQ9" s="1493"/>
      <c r="CU9" s="1494"/>
      <c r="CV9" s="1494"/>
      <c r="CW9" s="1495"/>
      <c r="CX9" s="1490">
        <v>0</v>
      </c>
      <c r="CY9" s="1496">
        <f>AF9</f>
        <v>2783.42921875</v>
      </c>
      <c r="CZ9" s="1470">
        <f t="shared" si="22"/>
        <v>2783.42921875</v>
      </c>
      <c r="DA9" s="1496"/>
      <c r="DB9" s="1496"/>
      <c r="DE9" s="1496"/>
      <c r="DF9" s="1496"/>
      <c r="DG9" s="1494"/>
      <c r="DH9" s="1496"/>
      <c r="DI9" s="1496"/>
      <c r="DJ9" s="1496"/>
      <c r="DL9" s="1496"/>
      <c r="DM9" s="1497"/>
      <c r="DP9" s="973"/>
      <c r="DQ9" s="1496"/>
      <c r="DR9" s="1496"/>
    </row>
    <row r="10" spans="1:187" x14ac:dyDescent="0.2">
      <c r="A10" s="1498">
        <v>1</v>
      </c>
      <c r="B10" s="480" t="s">
        <v>3132</v>
      </c>
      <c r="C10" s="480">
        <v>201072</v>
      </c>
      <c r="D10" s="480" t="s">
        <v>3133</v>
      </c>
      <c r="E10" s="1472" t="s">
        <v>1876</v>
      </c>
      <c r="F10" s="1209">
        <v>374923</v>
      </c>
      <c r="G10" s="1208" t="s">
        <v>3134</v>
      </c>
      <c r="H10" s="1208" t="s">
        <v>3135</v>
      </c>
      <c r="I10" s="1210">
        <v>39953</v>
      </c>
      <c r="J10" s="1044">
        <v>9</v>
      </c>
      <c r="K10" s="1039">
        <f t="shared" ca="1" si="0"/>
        <v>16.342231348391511</v>
      </c>
      <c r="L10" s="963" t="s">
        <v>1886</v>
      </c>
      <c r="M10" s="963" t="s">
        <v>128</v>
      </c>
      <c r="N10" s="1499" t="s">
        <v>3136</v>
      </c>
      <c r="O10" s="1500"/>
      <c r="P10" s="1455" t="s">
        <v>3137</v>
      </c>
      <c r="Q10" s="1456">
        <v>21446</v>
      </c>
      <c r="R10" s="1457">
        <v>0</v>
      </c>
      <c r="S10" s="1475">
        <v>45017</v>
      </c>
      <c r="T10" s="1475">
        <v>45382</v>
      </c>
      <c r="U10" s="1501">
        <v>1</v>
      </c>
      <c r="V10" s="1501">
        <v>192</v>
      </c>
      <c r="W10" s="1501">
        <f t="shared" si="3"/>
        <v>192</v>
      </c>
      <c r="X10" s="1502">
        <f t="shared" si="4"/>
        <v>1</v>
      </c>
      <c r="Y10" s="1502">
        <v>1</v>
      </c>
      <c r="Z10" s="1502">
        <f t="shared" si="5"/>
        <v>1</v>
      </c>
      <c r="AA10" s="1461" t="s">
        <v>2797</v>
      </c>
      <c r="AB10" s="1461" t="s">
        <v>2797</v>
      </c>
      <c r="AC10" s="1446"/>
      <c r="AD10" s="1446"/>
      <c r="AE10" s="1446"/>
      <c r="AF10" s="1503">
        <f t="shared" si="23"/>
        <v>21446</v>
      </c>
      <c r="AG10" s="1503">
        <v>21446</v>
      </c>
      <c r="AH10" s="1504">
        <v>21446</v>
      </c>
      <c r="AI10" s="1504">
        <v>21446</v>
      </c>
      <c r="AJ10" s="1504"/>
      <c r="AK10" s="1504" t="s">
        <v>2804</v>
      </c>
      <c r="AL10" s="1504" t="s">
        <v>2804</v>
      </c>
      <c r="AM10" s="1504" t="s">
        <v>2805</v>
      </c>
      <c r="AN10" s="1498"/>
      <c r="AO10" s="1446"/>
      <c r="AP10" s="1446"/>
      <c r="AQ10" s="1446"/>
      <c r="AR10" s="1446"/>
      <c r="AS10" s="1446"/>
      <c r="AT10" s="1446"/>
      <c r="AU10" s="1446"/>
      <c r="AV10" s="1446"/>
      <c r="AW10" s="1446"/>
      <c r="AX10" s="1446"/>
      <c r="AY10" s="1446"/>
      <c r="AZ10" s="1446"/>
      <c r="BA10" s="1463"/>
      <c r="BB10" s="1463"/>
      <c r="BC10" s="1446"/>
      <c r="BD10" s="1446"/>
      <c r="BE10" s="1446"/>
      <c r="BF10" s="1446"/>
      <c r="BG10" s="1446"/>
      <c r="BH10" s="1498">
        <f t="shared" si="6"/>
        <v>0</v>
      </c>
      <c r="BI10" s="1498">
        <v>0</v>
      </c>
      <c r="BJ10" s="1498"/>
      <c r="BK10" s="1504">
        <f t="shared" si="7"/>
        <v>21446</v>
      </c>
      <c r="BL10" s="1498"/>
      <c r="BM10" s="1504">
        <f t="shared" si="8"/>
        <v>21446</v>
      </c>
      <c r="BN10" s="1504">
        <f t="shared" si="9"/>
        <v>0</v>
      </c>
      <c r="BO10" s="1504">
        <f t="shared" si="10"/>
        <v>21446</v>
      </c>
      <c r="CD10" s="1505">
        <f t="shared" si="11"/>
        <v>21446</v>
      </c>
      <c r="CE10" s="1506">
        <f t="shared" si="12"/>
        <v>0</v>
      </c>
      <c r="CF10" s="1506"/>
      <c r="CG10" s="1507"/>
      <c r="CH10" s="1508">
        <f t="shared" si="13"/>
        <v>21446</v>
      </c>
      <c r="CI10" s="1509">
        <f t="shared" si="14"/>
        <v>0</v>
      </c>
      <c r="CL10" s="1509">
        <f t="shared" si="15"/>
        <v>21446</v>
      </c>
      <c r="CM10" s="1509">
        <f t="shared" si="16"/>
        <v>0</v>
      </c>
      <c r="CO10" s="1510">
        <f t="shared" si="17"/>
        <v>21446</v>
      </c>
      <c r="CP10" s="1509">
        <f t="shared" si="18"/>
        <v>0</v>
      </c>
      <c r="CQ10" s="1510">
        <v>0</v>
      </c>
      <c r="CR10" s="1510">
        <f t="shared" si="2"/>
        <v>21446</v>
      </c>
      <c r="CS10" s="1470">
        <f t="shared" si="19"/>
        <v>0</v>
      </c>
      <c r="CU10" s="1470">
        <f t="shared" si="20"/>
        <v>21446</v>
      </c>
      <c r="CX10" s="1470">
        <f t="shared" si="21"/>
        <v>21446</v>
      </c>
      <c r="CZ10" s="1470">
        <f t="shared" si="22"/>
        <v>21446</v>
      </c>
    </row>
    <row r="11" spans="1:187" x14ac:dyDescent="0.2">
      <c r="A11" s="1498">
        <v>1</v>
      </c>
      <c r="B11" s="480" t="s">
        <v>3138</v>
      </c>
      <c r="C11" s="480" t="s">
        <v>2923</v>
      </c>
      <c r="D11" s="480" t="s">
        <v>3139</v>
      </c>
      <c r="E11" s="1472" t="s">
        <v>1876</v>
      </c>
      <c r="F11" s="1209">
        <v>455108</v>
      </c>
      <c r="G11" s="1208" t="s">
        <v>3140</v>
      </c>
      <c r="H11" s="1208" t="s">
        <v>3141</v>
      </c>
      <c r="I11" s="1210">
        <v>41445</v>
      </c>
      <c r="J11" s="1044">
        <v>6</v>
      </c>
      <c r="K11" s="1039">
        <f t="shared" ca="1" si="0"/>
        <v>12.257357973990418</v>
      </c>
      <c r="L11" s="963" t="s">
        <v>1885</v>
      </c>
      <c r="M11" s="963"/>
      <c r="N11" s="1511"/>
      <c r="O11" s="1138">
        <v>25000</v>
      </c>
      <c r="P11" s="1455"/>
      <c r="Q11" s="1456"/>
      <c r="R11" s="1457"/>
      <c r="S11" s="1475">
        <v>45085</v>
      </c>
      <c r="T11" s="1475">
        <v>45382</v>
      </c>
      <c r="U11" s="1501">
        <v>32</v>
      </c>
      <c r="V11" s="1501">
        <v>192</v>
      </c>
      <c r="W11" s="1501">
        <f t="shared" si="3"/>
        <v>161</v>
      </c>
      <c r="X11" s="1502">
        <f t="shared" si="4"/>
        <v>0.83854166666666663</v>
      </c>
      <c r="Y11" s="1502">
        <v>1</v>
      </c>
      <c r="Z11" s="1502">
        <f t="shared" si="5"/>
        <v>0.83854166666666663</v>
      </c>
      <c r="AA11" s="1461"/>
      <c r="AB11" s="1461"/>
      <c r="AC11" s="1446"/>
      <c r="AD11" s="1446"/>
      <c r="AE11" s="1446"/>
      <c r="AF11" s="1503">
        <v>20899</v>
      </c>
      <c r="AG11" s="1503">
        <v>25000</v>
      </c>
      <c r="AH11" s="1504">
        <v>25000</v>
      </c>
      <c r="AI11" s="1504"/>
      <c r="AJ11" s="1504"/>
      <c r="AK11" s="1504"/>
      <c r="AL11" s="1504"/>
      <c r="AM11" s="1504"/>
      <c r="AN11" s="1498"/>
      <c r="AO11" s="1446"/>
      <c r="AP11" s="1446"/>
      <c r="AQ11" s="1446"/>
      <c r="AR11" s="1446"/>
      <c r="AS11" s="1446"/>
      <c r="AT11" s="1446"/>
      <c r="AU11" s="1446"/>
      <c r="AV11" s="1446"/>
      <c r="AW11" s="1446"/>
      <c r="AX11" s="1446"/>
      <c r="AY11" s="1446"/>
      <c r="AZ11" s="1446"/>
      <c r="BA11" s="1463"/>
      <c r="BB11" s="1463"/>
      <c r="BC11" s="1446"/>
      <c r="BD11" s="1446"/>
      <c r="BE11" s="1446"/>
      <c r="BF11" s="1446"/>
      <c r="BG11" s="1446"/>
      <c r="BH11" s="1498"/>
      <c r="BI11" s="1498"/>
      <c r="BJ11" s="1498"/>
      <c r="BK11" s="1504"/>
      <c r="BL11" s="1498"/>
      <c r="BM11" s="1504"/>
      <c r="BN11" s="1504"/>
      <c r="BO11" s="1504"/>
      <c r="CD11" s="1505"/>
      <c r="CE11" s="1506"/>
      <c r="CF11" s="1506"/>
      <c r="CG11" s="1507"/>
      <c r="CH11" s="1508"/>
      <c r="CI11" s="1509"/>
      <c r="CL11" s="1509"/>
      <c r="CM11" s="1509"/>
      <c r="CP11" s="1509"/>
      <c r="CQ11" s="1510">
        <f>AF11</f>
        <v>20899</v>
      </c>
      <c r="CR11" s="1510">
        <f t="shared" si="2"/>
        <v>20899</v>
      </c>
      <c r="CS11" s="1470">
        <f t="shared" si="19"/>
        <v>20899</v>
      </c>
      <c r="CU11" s="1470">
        <f t="shared" si="20"/>
        <v>20899</v>
      </c>
      <c r="CX11" s="1470">
        <f t="shared" si="21"/>
        <v>20899</v>
      </c>
      <c r="CZ11" s="1470">
        <f t="shared" si="22"/>
        <v>20899</v>
      </c>
    </row>
    <row r="12" spans="1:187" s="1516" customFormat="1" ht="14.45" customHeight="1" x14ac:dyDescent="0.2">
      <c r="A12" s="1498">
        <v>1</v>
      </c>
      <c r="B12" s="480" t="s">
        <v>2221</v>
      </c>
      <c r="C12" s="480">
        <v>211003</v>
      </c>
      <c r="D12" s="480" t="s">
        <v>3142</v>
      </c>
      <c r="E12" s="1472" t="s">
        <v>1606</v>
      </c>
      <c r="F12" s="1209">
        <v>418448</v>
      </c>
      <c r="G12" s="1208" t="s">
        <v>3143</v>
      </c>
      <c r="H12" s="1208" t="s">
        <v>2306</v>
      </c>
      <c r="I12" s="1210">
        <v>41916</v>
      </c>
      <c r="J12" s="1044">
        <v>3</v>
      </c>
      <c r="K12" s="1039">
        <f t="shared" ca="1" si="0"/>
        <v>10.967830253251197</v>
      </c>
      <c r="L12" s="963" t="s">
        <v>1885</v>
      </c>
      <c r="M12" s="963" t="s">
        <v>56</v>
      </c>
      <c r="N12" s="1512"/>
      <c r="O12" s="1454"/>
      <c r="P12" s="1455" t="s">
        <v>3144</v>
      </c>
      <c r="Q12" s="1513">
        <v>13156</v>
      </c>
      <c r="R12" s="1514">
        <v>5725.44</v>
      </c>
      <c r="S12" s="1475">
        <v>45017</v>
      </c>
      <c r="T12" s="1475">
        <v>45382</v>
      </c>
      <c r="U12" s="1501">
        <v>1</v>
      </c>
      <c r="V12" s="1501">
        <v>192</v>
      </c>
      <c r="W12" s="1501">
        <f t="shared" si="3"/>
        <v>192</v>
      </c>
      <c r="X12" s="1502">
        <f t="shared" si="4"/>
        <v>1</v>
      </c>
      <c r="Y12" s="1502">
        <v>1</v>
      </c>
      <c r="Z12" s="1502">
        <f t="shared" si="5"/>
        <v>1</v>
      </c>
      <c r="AA12" s="1461" t="s">
        <v>2797</v>
      </c>
      <c r="AB12" s="1461" t="s">
        <v>2797</v>
      </c>
      <c r="AC12" s="1446"/>
      <c r="AD12" s="1446"/>
      <c r="AE12" s="1446"/>
      <c r="AF12" s="1503">
        <f t="shared" si="23"/>
        <v>18881.439999999999</v>
      </c>
      <c r="AG12" s="1503">
        <v>13156</v>
      </c>
      <c r="AH12" s="1515">
        <f>5725.44+13156</f>
        <v>18881.439999999999</v>
      </c>
      <c r="AI12" s="1504">
        <v>13156</v>
      </c>
      <c r="AJ12" s="1504">
        <v>5725.44</v>
      </c>
      <c r="AK12" s="1504" t="s">
        <v>2804</v>
      </c>
      <c r="AL12" s="1504" t="s">
        <v>2805</v>
      </c>
      <c r="AM12" s="1504" t="s">
        <v>2804</v>
      </c>
      <c r="AN12" s="1498" t="s">
        <v>3145</v>
      </c>
      <c r="AO12" s="1446"/>
      <c r="AP12" s="1446"/>
      <c r="AQ12" s="1446"/>
      <c r="AR12" s="1446"/>
      <c r="AS12" s="1446"/>
      <c r="AT12" s="1446"/>
      <c r="AU12" s="1446"/>
      <c r="AV12" s="1446"/>
      <c r="AW12" s="1446"/>
      <c r="AX12" s="1446"/>
      <c r="AY12" s="1446"/>
      <c r="AZ12" s="1446"/>
      <c r="BA12" s="1463"/>
      <c r="BB12" s="1463">
        <v>5725.44</v>
      </c>
      <c r="BC12" s="1446"/>
      <c r="BD12" s="1446"/>
      <c r="BE12" s="1446">
        <v>8076643</v>
      </c>
      <c r="BF12" s="1446"/>
      <c r="BG12" s="1446"/>
      <c r="BH12" s="1498">
        <f t="shared" si="6"/>
        <v>0</v>
      </c>
      <c r="BI12" s="1498">
        <v>0</v>
      </c>
      <c r="BJ12" s="1498"/>
      <c r="BK12" s="1504">
        <f t="shared" si="7"/>
        <v>18881.439999999999</v>
      </c>
      <c r="BL12" s="1498">
        <v>5725.44</v>
      </c>
      <c r="BM12" s="1504">
        <f t="shared" si="8"/>
        <v>13156</v>
      </c>
      <c r="BN12" s="1504">
        <f t="shared" si="9"/>
        <v>0</v>
      </c>
      <c r="BO12" s="1504">
        <f t="shared" si="10"/>
        <v>13156</v>
      </c>
      <c r="BP12" s="1495"/>
      <c r="BQ12" s="1464"/>
      <c r="BR12" s="1464"/>
      <c r="BS12" s="1464"/>
      <c r="BT12" s="1464"/>
      <c r="BU12" s="1495"/>
      <c r="BV12" s="1495"/>
      <c r="BW12" s="1495"/>
      <c r="BX12" s="1495"/>
      <c r="BY12" s="1495"/>
      <c r="BZ12" s="1495"/>
      <c r="CA12" s="1495"/>
      <c r="CB12" s="1495"/>
      <c r="CC12" s="1495"/>
      <c r="CD12" s="1505">
        <f t="shared" si="11"/>
        <v>13156</v>
      </c>
      <c r="CE12" s="1506">
        <f t="shared" si="12"/>
        <v>0</v>
      </c>
      <c r="CF12" s="1506"/>
      <c r="CG12" s="1507"/>
      <c r="CH12" s="1506">
        <f t="shared" si="13"/>
        <v>13156</v>
      </c>
      <c r="CI12" s="1509">
        <f t="shared" si="14"/>
        <v>0</v>
      </c>
      <c r="CJ12" s="1495"/>
      <c r="CK12" s="1495"/>
      <c r="CL12" s="1509">
        <f t="shared" si="15"/>
        <v>13156</v>
      </c>
      <c r="CM12" s="1509">
        <f t="shared" si="16"/>
        <v>0</v>
      </c>
      <c r="CN12" s="1495"/>
      <c r="CO12" s="1510">
        <f t="shared" si="17"/>
        <v>13156</v>
      </c>
      <c r="CP12" s="1509">
        <f t="shared" si="18"/>
        <v>0</v>
      </c>
      <c r="CQ12" s="1510"/>
      <c r="CR12" s="1510">
        <f t="shared" si="2"/>
        <v>13156</v>
      </c>
      <c r="CS12" s="1470">
        <f t="shared" si="19"/>
        <v>0</v>
      </c>
      <c r="CT12" s="1495"/>
      <c r="CU12" s="1470">
        <f t="shared" si="20"/>
        <v>13156</v>
      </c>
      <c r="CV12" s="1495"/>
      <c r="CW12" s="1495"/>
      <c r="CX12" s="1470">
        <f t="shared" si="21"/>
        <v>13156</v>
      </c>
      <c r="CY12" s="1510"/>
      <c r="CZ12" s="1470">
        <f t="shared" si="22"/>
        <v>13156</v>
      </c>
      <c r="DA12" s="1495"/>
      <c r="DB12" s="1495"/>
      <c r="DC12" s="1495"/>
      <c r="DD12" s="1495"/>
      <c r="DE12" s="1495"/>
      <c r="DF12" s="1495"/>
      <c r="DG12" s="1495"/>
      <c r="DH12" s="1495"/>
      <c r="DI12" s="1495"/>
      <c r="DJ12" s="1495"/>
      <c r="DK12" s="1495"/>
      <c r="DL12" s="1495"/>
      <c r="DM12" s="1495"/>
      <c r="DN12" s="1495"/>
      <c r="DO12" s="1495"/>
      <c r="DP12" s="1495"/>
      <c r="DQ12" s="1495"/>
      <c r="DR12" s="1495"/>
      <c r="DS12" s="1495"/>
      <c r="DT12" s="1495"/>
      <c r="DU12" s="1495"/>
      <c r="DV12" s="1495"/>
      <c r="DW12" s="1495"/>
      <c r="DX12" s="1495"/>
      <c r="DY12" s="1495"/>
      <c r="DZ12" s="1495"/>
      <c r="EA12" s="1495"/>
      <c r="EB12" s="1495"/>
      <c r="EC12" s="1495"/>
      <c r="ED12" s="1495"/>
      <c r="EE12" s="1495"/>
      <c r="EF12" s="1495"/>
      <c r="EG12" s="1495"/>
      <c r="EH12" s="1495"/>
      <c r="EI12" s="1495"/>
      <c r="EJ12" s="1495"/>
      <c r="EK12" s="1495"/>
      <c r="EL12" s="1495"/>
      <c r="EM12" s="1495"/>
      <c r="EN12" s="1495"/>
      <c r="EO12" s="1495"/>
      <c r="EP12" s="1495"/>
      <c r="EQ12" s="1495"/>
      <c r="ER12" s="1495"/>
      <c r="ES12" s="1495"/>
      <c r="ET12" s="1495"/>
      <c r="EU12" s="1495"/>
      <c r="EV12" s="1495"/>
      <c r="EW12" s="1495"/>
      <c r="EX12" s="1495"/>
      <c r="EY12" s="1495"/>
      <c r="EZ12" s="1495"/>
      <c r="FA12" s="1495"/>
      <c r="FB12" s="1495"/>
      <c r="FC12" s="1495"/>
      <c r="FD12" s="1495"/>
      <c r="FE12" s="1495"/>
      <c r="FF12" s="1495"/>
      <c r="FG12" s="1495"/>
      <c r="FH12" s="1495"/>
      <c r="FI12" s="1495"/>
      <c r="FJ12" s="1495"/>
      <c r="FK12" s="1495"/>
      <c r="FL12" s="1495"/>
      <c r="FM12" s="1495"/>
      <c r="FN12" s="1495"/>
      <c r="FO12" s="1495"/>
      <c r="FP12" s="1495"/>
      <c r="FQ12" s="1495"/>
      <c r="FR12" s="1495"/>
      <c r="FS12" s="1495"/>
      <c r="FT12" s="1495"/>
      <c r="FU12" s="1495"/>
      <c r="FV12" s="1495"/>
      <c r="FW12" s="1495"/>
      <c r="FX12" s="1495"/>
      <c r="FY12" s="1495"/>
      <c r="FZ12" s="1495"/>
      <c r="GA12" s="1495"/>
      <c r="GB12" s="1495"/>
      <c r="GC12" s="1495"/>
      <c r="GD12" s="1495"/>
      <c r="GE12" s="1495"/>
    </row>
    <row r="13" spans="1:187" s="1516" customFormat="1" ht="14.45" customHeight="1" x14ac:dyDescent="0.2">
      <c r="A13" s="1498">
        <v>1</v>
      </c>
      <c r="B13" s="480" t="s">
        <v>2221</v>
      </c>
      <c r="C13" s="480">
        <v>211003</v>
      </c>
      <c r="D13" s="480" t="s">
        <v>3142</v>
      </c>
      <c r="E13" s="1472" t="s">
        <v>1606</v>
      </c>
      <c r="F13" s="1209">
        <v>429991</v>
      </c>
      <c r="G13" s="1208" t="s">
        <v>682</v>
      </c>
      <c r="H13" s="1208" t="s">
        <v>681</v>
      </c>
      <c r="I13" s="1210">
        <v>42258</v>
      </c>
      <c r="J13" s="1044">
        <v>2</v>
      </c>
      <c r="K13" s="1039">
        <f t="shared" ca="1" si="0"/>
        <v>10.031485284052019</v>
      </c>
      <c r="L13" s="963" t="s">
        <v>1885</v>
      </c>
      <c r="M13" s="963" t="s">
        <v>56</v>
      </c>
      <c r="N13" s="1512"/>
      <c r="O13" s="1454"/>
      <c r="P13" s="1455"/>
      <c r="Q13" s="1513"/>
      <c r="R13" s="1514"/>
      <c r="S13" s="1517">
        <v>45173</v>
      </c>
      <c r="T13" s="1475">
        <v>45382</v>
      </c>
      <c r="U13" s="1501">
        <v>61</v>
      </c>
      <c r="V13" s="1501">
        <v>192</v>
      </c>
      <c r="W13" s="1501">
        <f t="shared" si="3"/>
        <v>132</v>
      </c>
      <c r="X13" s="1502">
        <f t="shared" si="4"/>
        <v>0.6875</v>
      </c>
      <c r="Y13" s="1502">
        <v>1</v>
      </c>
      <c r="Z13" s="1502">
        <f t="shared" si="5"/>
        <v>0.6875</v>
      </c>
      <c r="AA13" s="1461" t="s">
        <v>2797</v>
      </c>
      <c r="AB13" s="1461" t="s">
        <v>2797</v>
      </c>
      <c r="AC13" s="1446"/>
      <c r="AD13" s="1446"/>
      <c r="AE13" s="1446"/>
      <c r="AF13" s="1503">
        <f t="shared" si="23"/>
        <v>5567.2783203124991</v>
      </c>
      <c r="AG13" s="1503">
        <v>10000</v>
      </c>
      <c r="AH13" s="1515">
        <v>8097.8593749999982</v>
      </c>
      <c r="AI13" s="1504"/>
      <c r="AJ13" s="1504">
        <v>8097.8593749999982</v>
      </c>
      <c r="AK13" s="1504" t="s">
        <v>2805</v>
      </c>
      <c r="AL13" s="1504" t="s">
        <v>2804</v>
      </c>
      <c r="AM13" s="1504" t="s">
        <v>2804</v>
      </c>
      <c r="AN13" s="1498"/>
      <c r="AO13" s="1446"/>
      <c r="AP13" s="1446"/>
      <c r="AQ13" s="1446"/>
      <c r="AR13" s="1446"/>
      <c r="AS13" s="1446"/>
      <c r="AT13" s="1446"/>
      <c r="AU13" s="1446"/>
      <c r="AV13" s="1446"/>
      <c r="AW13" s="1446"/>
      <c r="AX13" s="1446"/>
      <c r="AY13" s="1446"/>
      <c r="AZ13" s="1446"/>
      <c r="BA13" s="1463"/>
      <c r="BB13" s="1463"/>
      <c r="BC13" s="1446"/>
      <c r="BD13" s="1446"/>
      <c r="BE13" s="1446"/>
      <c r="BF13" s="1446"/>
      <c r="BG13" s="1446"/>
      <c r="BH13" s="1498">
        <v>0</v>
      </c>
      <c r="BI13" s="1498">
        <v>0</v>
      </c>
      <c r="BJ13" s="1498"/>
      <c r="BK13" s="1504">
        <f t="shared" si="7"/>
        <v>8097.8593749999982</v>
      </c>
      <c r="BL13" s="1498"/>
      <c r="BM13" s="1504"/>
      <c r="BN13" s="1504"/>
      <c r="BO13" s="1504"/>
      <c r="BP13" s="1495"/>
      <c r="BQ13" s="1464"/>
      <c r="BR13" s="1464"/>
      <c r="BS13" s="1464"/>
      <c r="BT13" s="1464"/>
      <c r="BU13" s="1495"/>
      <c r="BV13" s="1495"/>
      <c r="BW13" s="1495"/>
      <c r="BX13" s="1495"/>
      <c r="BY13" s="1495"/>
      <c r="BZ13" s="1495"/>
      <c r="CA13" s="1495"/>
      <c r="CB13" s="1518">
        <v>8097.8593749999982</v>
      </c>
      <c r="CC13" s="1495"/>
      <c r="CD13" s="1505">
        <f t="shared" si="11"/>
        <v>8097.8593749999982</v>
      </c>
      <c r="CE13" s="1506">
        <f t="shared" si="12"/>
        <v>8097.8593749999982</v>
      </c>
      <c r="CF13" s="1507" t="s">
        <v>3146</v>
      </c>
      <c r="CG13" s="1507"/>
      <c r="CH13" s="1506">
        <f t="shared" si="13"/>
        <v>8097.8593749999982</v>
      </c>
      <c r="CI13" s="1509">
        <f t="shared" si="14"/>
        <v>0</v>
      </c>
      <c r="CJ13" s="1495"/>
      <c r="CK13" s="1495"/>
      <c r="CL13" s="1509">
        <f t="shared" si="15"/>
        <v>8097.8593749999982</v>
      </c>
      <c r="CM13" s="1509">
        <f t="shared" si="16"/>
        <v>0</v>
      </c>
      <c r="CN13" s="1519">
        <v>10000</v>
      </c>
      <c r="CO13" s="1510">
        <f t="shared" si="17"/>
        <v>18097.859375</v>
      </c>
      <c r="CP13" s="1509">
        <f t="shared" si="18"/>
        <v>10000.000000000002</v>
      </c>
      <c r="CQ13" s="1510"/>
      <c r="CR13" s="1510">
        <f t="shared" si="2"/>
        <v>18097.859375</v>
      </c>
      <c r="CS13" s="1470">
        <f t="shared" si="19"/>
        <v>0</v>
      </c>
      <c r="CT13" s="1495"/>
      <c r="CU13" s="1470">
        <f t="shared" si="20"/>
        <v>18097.859375</v>
      </c>
      <c r="CV13" s="1495"/>
      <c r="CW13" s="1495"/>
      <c r="CX13" s="1470">
        <f t="shared" si="21"/>
        <v>18097.859375</v>
      </c>
      <c r="CY13" s="1510"/>
      <c r="CZ13" s="1470">
        <f t="shared" si="22"/>
        <v>18097.859375</v>
      </c>
      <c r="DA13" s="1495"/>
      <c r="DB13" s="1495"/>
      <c r="DC13" s="1495"/>
      <c r="DD13" s="1495"/>
      <c r="DE13" s="1495"/>
      <c r="DF13" s="1495"/>
      <c r="DG13" s="1495"/>
      <c r="DH13" s="1495"/>
      <c r="DI13" s="1495"/>
      <c r="DJ13" s="1495"/>
      <c r="DK13" s="1495"/>
      <c r="DL13" s="1495"/>
      <c r="DM13" s="1495"/>
      <c r="DN13" s="1495"/>
      <c r="DO13" s="1495"/>
      <c r="DP13" s="1495"/>
      <c r="DQ13" s="1495"/>
      <c r="DR13" s="1495"/>
      <c r="DS13" s="1495"/>
      <c r="DT13" s="1495"/>
      <c r="DU13" s="1495"/>
      <c r="DV13" s="1495"/>
      <c r="DW13" s="1495"/>
      <c r="DX13" s="1495"/>
      <c r="DY13" s="1495"/>
      <c r="DZ13" s="1495"/>
      <c r="EA13" s="1495"/>
      <c r="EB13" s="1495"/>
      <c r="EC13" s="1495"/>
      <c r="ED13" s="1495"/>
      <c r="EE13" s="1495"/>
      <c r="EF13" s="1495"/>
      <c r="EG13" s="1495"/>
      <c r="EH13" s="1495"/>
      <c r="EI13" s="1495"/>
      <c r="EJ13" s="1495"/>
      <c r="EK13" s="1495"/>
      <c r="EL13" s="1495"/>
      <c r="EM13" s="1495"/>
      <c r="EN13" s="1495"/>
      <c r="EO13" s="1495"/>
      <c r="EP13" s="1495"/>
      <c r="EQ13" s="1495"/>
      <c r="ER13" s="1495"/>
      <c r="ES13" s="1495"/>
      <c r="ET13" s="1495"/>
      <c r="EU13" s="1495"/>
      <c r="EV13" s="1495"/>
      <c r="EW13" s="1495"/>
      <c r="EX13" s="1495"/>
      <c r="EY13" s="1495"/>
      <c r="EZ13" s="1495"/>
      <c r="FA13" s="1495"/>
      <c r="FB13" s="1495"/>
      <c r="FC13" s="1495"/>
      <c r="FD13" s="1495"/>
      <c r="FE13" s="1495"/>
      <c r="FF13" s="1495"/>
      <c r="FG13" s="1495"/>
      <c r="FH13" s="1495"/>
      <c r="FI13" s="1495"/>
      <c r="FJ13" s="1495"/>
      <c r="FK13" s="1495"/>
      <c r="FL13" s="1495"/>
      <c r="FM13" s="1495"/>
      <c r="FN13" s="1495"/>
      <c r="FO13" s="1495"/>
      <c r="FP13" s="1495"/>
      <c r="FQ13" s="1495"/>
      <c r="FR13" s="1495"/>
      <c r="FS13" s="1495"/>
      <c r="FT13" s="1495"/>
      <c r="FU13" s="1495"/>
      <c r="FV13" s="1495"/>
      <c r="FW13" s="1495"/>
      <c r="FX13" s="1495"/>
      <c r="FY13" s="1495"/>
      <c r="FZ13" s="1495"/>
      <c r="GA13" s="1495"/>
      <c r="GB13" s="1495"/>
      <c r="GC13" s="1495"/>
      <c r="GD13" s="1495"/>
      <c r="GE13" s="1495"/>
    </row>
    <row r="14" spans="1:187" s="1464" customFormat="1" ht="15" x14ac:dyDescent="0.25">
      <c r="A14" s="1446">
        <v>1</v>
      </c>
      <c r="B14" s="1447" t="s">
        <v>2221</v>
      </c>
      <c r="C14" s="1447">
        <v>205344</v>
      </c>
      <c r="D14" s="1447" t="s">
        <v>3147</v>
      </c>
      <c r="E14" s="1448" t="s">
        <v>1606</v>
      </c>
      <c r="F14" s="1478">
        <v>367341</v>
      </c>
      <c r="G14" s="1479" t="s">
        <v>3148</v>
      </c>
      <c r="H14" s="1479" t="s">
        <v>40</v>
      </c>
      <c r="I14" s="1480">
        <v>39037</v>
      </c>
      <c r="J14" s="1451">
        <v>9</v>
      </c>
      <c r="K14" s="1452">
        <f t="shared" ca="1" si="0"/>
        <v>18.850102669404517</v>
      </c>
      <c r="L14" s="1453" t="s">
        <v>1886</v>
      </c>
      <c r="M14" s="1453" t="s">
        <v>56</v>
      </c>
      <c r="N14" s="1499" t="s">
        <v>3149</v>
      </c>
      <c r="O14" s="1454">
        <v>15538</v>
      </c>
      <c r="P14" s="1455"/>
      <c r="Q14" s="1513">
        <v>16837</v>
      </c>
      <c r="R14" s="1514">
        <v>0</v>
      </c>
      <c r="S14" s="1458">
        <v>45017</v>
      </c>
      <c r="T14" s="1458">
        <v>45135</v>
      </c>
      <c r="U14" s="1459">
        <v>1</v>
      </c>
      <c r="V14" s="1459">
        <v>192</v>
      </c>
      <c r="W14" s="1459">
        <f t="shared" si="3"/>
        <v>192</v>
      </c>
      <c r="X14" s="1460">
        <f t="shared" si="4"/>
        <v>1</v>
      </c>
      <c r="Y14" s="1460">
        <v>1</v>
      </c>
      <c r="Z14" s="1460">
        <f t="shared" si="5"/>
        <v>1</v>
      </c>
      <c r="AA14" s="1461" t="s">
        <v>2797</v>
      </c>
      <c r="AB14" s="1461" t="s">
        <v>2797</v>
      </c>
      <c r="AC14" s="1446"/>
      <c r="AD14" s="1446"/>
      <c r="AE14" s="1446"/>
      <c r="AF14" s="1462">
        <f t="shared" si="23"/>
        <v>16837</v>
      </c>
      <c r="AG14" s="1462">
        <v>16837</v>
      </c>
      <c r="AH14" s="1463">
        <v>16837</v>
      </c>
      <c r="AI14" s="1463">
        <v>16837</v>
      </c>
      <c r="AJ14" s="1463"/>
      <c r="AK14" s="1463" t="s">
        <v>2804</v>
      </c>
      <c r="AL14" s="1463" t="s">
        <v>2805</v>
      </c>
      <c r="AM14" s="1463" t="s">
        <v>2804</v>
      </c>
      <c r="AN14" s="1446"/>
      <c r="AO14" s="1446"/>
      <c r="AP14" s="1446"/>
      <c r="AQ14" s="1446"/>
      <c r="AR14" s="1446"/>
      <c r="AS14" s="1446"/>
      <c r="AT14" s="1446"/>
      <c r="AU14" s="1446"/>
      <c r="AV14" s="1446"/>
      <c r="AW14" s="1446"/>
      <c r="AX14" s="1446"/>
      <c r="AY14" s="1446"/>
      <c r="AZ14" s="1446"/>
      <c r="BA14" s="1463"/>
      <c r="BB14" s="1463"/>
      <c r="BC14" s="1446"/>
      <c r="BD14" s="1446"/>
      <c r="BE14" s="1446"/>
      <c r="BF14" s="1446"/>
      <c r="BG14" s="1446"/>
      <c r="BH14" s="1446">
        <f t="shared" si="6"/>
        <v>0</v>
      </c>
      <c r="BI14" s="1446">
        <v>0</v>
      </c>
      <c r="BJ14" s="1446"/>
      <c r="BK14" s="1463">
        <f t="shared" si="7"/>
        <v>16837</v>
      </c>
      <c r="BL14" s="1446"/>
      <c r="BM14" s="1463">
        <f t="shared" si="8"/>
        <v>16837</v>
      </c>
      <c r="BN14" s="1463">
        <f t="shared" si="9"/>
        <v>-11220</v>
      </c>
      <c r="BO14" s="1463">
        <f t="shared" si="10"/>
        <v>5617</v>
      </c>
      <c r="BV14" s="1483" t="s">
        <v>2142</v>
      </c>
      <c r="BW14" s="1484">
        <v>44992</v>
      </c>
      <c r="BX14" s="1520">
        <f>16830/3*2*-1</f>
        <v>-11220</v>
      </c>
      <c r="BZ14" s="1521">
        <f>BQ14/3*2*-1</f>
        <v>0</v>
      </c>
      <c r="CD14" s="1465">
        <f t="shared" si="11"/>
        <v>5617</v>
      </c>
      <c r="CE14" s="1466">
        <f t="shared" si="12"/>
        <v>0</v>
      </c>
      <c r="CF14" s="1466"/>
      <c r="CG14" s="1467"/>
      <c r="CH14" s="1466">
        <f t="shared" si="13"/>
        <v>5617</v>
      </c>
      <c r="CI14" s="1469">
        <f t="shared" si="14"/>
        <v>0</v>
      </c>
      <c r="CL14" s="1469">
        <f t="shared" si="15"/>
        <v>5617</v>
      </c>
      <c r="CM14" s="1469">
        <f t="shared" si="16"/>
        <v>0</v>
      </c>
      <c r="CO14" s="1470">
        <f t="shared" si="17"/>
        <v>5617</v>
      </c>
      <c r="CP14" s="1469">
        <f t="shared" si="18"/>
        <v>0</v>
      </c>
      <c r="CQ14" s="1470">
        <v>0</v>
      </c>
      <c r="CR14" s="1470">
        <f t="shared" si="2"/>
        <v>5617</v>
      </c>
      <c r="CS14" s="1470">
        <f t="shared" si="19"/>
        <v>0</v>
      </c>
      <c r="CU14" s="1470">
        <f t="shared" si="20"/>
        <v>5617</v>
      </c>
      <c r="CX14" s="1470">
        <f t="shared" si="21"/>
        <v>5617</v>
      </c>
      <c r="CY14" s="1470"/>
      <c r="CZ14" s="1470">
        <f t="shared" si="22"/>
        <v>5617</v>
      </c>
    </row>
    <row r="15" spans="1:187" s="1464" customFormat="1" ht="15" x14ac:dyDescent="0.25">
      <c r="A15" s="1446">
        <v>0</v>
      </c>
      <c r="B15" s="1447" t="s">
        <v>2221</v>
      </c>
      <c r="C15" s="1447">
        <v>205344</v>
      </c>
      <c r="D15" s="1447" t="s">
        <v>3147</v>
      </c>
      <c r="E15" s="1448" t="s">
        <v>1606</v>
      </c>
      <c r="F15" s="1449">
        <v>378702</v>
      </c>
      <c r="G15" s="1447" t="s">
        <v>955</v>
      </c>
      <c r="H15" s="1447" t="s">
        <v>343</v>
      </c>
      <c r="I15" s="1450">
        <v>39757</v>
      </c>
      <c r="J15" s="1451">
        <v>8</v>
      </c>
      <c r="K15" s="1452">
        <f t="shared" ca="1" si="0"/>
        <v>16.878850102669404</v>
      </c>
      <c r="L15" s="1453" t="s">
        <v>1886</v>
      </c>
      <c r="M15" s="1453" t="s">
        <v>56</v>
      </c>
      <c r="N15" s="1447" t="s">
        <v>3149</v>
      </c>
      <c r="O15" s="1454">
        <v>15538</v>
      </c>
      <c r="P15" s="1455"/>
      <c r="Q15" s="1456">
        <v>16837</v>
      </c>
      <c r="R15" s="1457">
        <v>0</v>
      </c>
      <c r="S15" s="1458">
        <v>45017</v>
      </c>
      <c r="T15" s="1458">
        <v>45382</v>
      </c>
      <c r="U15" s="1459">
        <v>1</v>
      </c>
      <c r="V15" s="1459">
        <v>192</v>
      </c>
      <c r="W15" s="1459">
        <f t="shared" si="3"/>
        <v>192</v>
      </c>
      <c r="X15" s="1460">
        <f t="shared" si="4"/>
        <v>1</v>
      </c>
      <c r="Y15" s="1460">
        <v>1</v>
      </c>
      <c r="Z15" s="1460">
        <f t="shared" si="5"/>
        <v>1</v>
      </c>
      <c r="AA15" s="1461" t="s">
        <v>2797</v>
      </c>
      <c r="AB15" s="1461" t="s">
        <v>2797</v>
      </c>
      <c r="AC15" s="1446"/>
      <c r="AD15" s="1446"/>
      <c r="AE15" s="1446"/>
      <c r="AF15" s="1462">
        <f t="shared" si="23"/>
        <v>16837</v>
      </c>
      <c r="AG15" s="1462">
        <v>16837</v>
      </c>
      <c r="AH15" s="1463">
        <v>16837</v>
      </c>
      <c r="AI15" s="1463">
        <v>16837</v>
      </c>
      <c r="AJ15" s="1463"/>
      <c r="AK15" s="1463" t="s">
        <v>2804</v>
      </c>
      <c r="AL15" s="1463" t="s">
        <v>2805</v>
      </c>
      <c r="AM15" s="1463" t="s">
        <v>2804</v>
      </c>
      <c r="AN15" s="1446"/>
      <c r="AO15" s="1446"/>
      <c r="AP15" s="1446"/>
      <c r="AQ15" s="1446"/>
      <c r="AR15" s="1446"/>
      <c r="AS15" s="1446"/>
      <c r="AT15" s="1446"/>
      <c r="AU15" s="1446"/>
      <c r="AV15" s="1446"/>
      <c r="AW15" s="1446"/>
      <c r="AX15" s="1446"/>
      <c r="AY15" s="1446"/>
      <c r="AZ15" s="1446"/>
      <c r="BA15" s="1463"/>
      <c r="BB15" s="1463"/>
      <c r="BC15" s="1446"/>
      <c r="BD15" s="1446"/>
      <c r="BE15" s="1446"/>
      <c r="BF15" s="1446"/>
      <c r="BG15" s="1446"/>
      <c r="BH15" s="1446">
        <f t="shared" si="6"/>
        <v>0</v>
      </c>
      <c r="BI15" s="1446">
        <v>0</v>
      </c>
      <c r="BJ15" s="1446"/>
      <c r="BK15" s="1463">
        <f t="shared" si="7"/>
        <v>16837</v>
      </c>
      <c r="BL15" s="1446"/>
      <c r="BM15" s="1463">
        <f t="shared" si="8"/>
        <v>16837</v>
      </c>
      <c r="BN15" s="1463">
        <f t="shared" si="9"/>
        <v>0</v>
      </c>
      <c r="BO15" s="1463">
        <f t="shared" si="10"/>
        <v>16837</v>
      </c>
      <c r="BV15" s="1493"/>
      <c r="BW15" s="1493"/>
      <c r="BX15" s="1493"/>
      <c r="CD15" s="1465">
        <f t="shared" si="11"/>
        <v>16837</v>
      </c>
      <c r="CE15" s="1466">
        <f t="shared" si="12"/>
        <v>0</v>
      </c>
      <c r="CF15" s="1466"/>
      <c r="CG15" s="1467"/>
      <c r="CH15" s="1468">
        <f t="shared" si="13"/>
        <v>16837</v>
      </c>
      <c r="CI15" s="1469">
        <f t="shared" si="14"/>
        <v>0</v>
      </c>
      <c r="CL15" s="1469">
        <f t="shared" si="15"/>
        <v>16837</v>
      </c>
      <c r="CM15" s="1469">
        <f t="shared" si="16"/>
        <v>0</v>
      </c>
      <c r="CN15" s="1464">
        <v>-16837</v>
      </c>
      <c r="CO15" s="1470">
        <f t="shared" si="17"/>
        <v>0</v>
      </c>
      <c r="CP15" s="1469">
        <f t="shared" si="18"/>
        <v>-16837</v>
      </c>
      <c r="CQ15" s="1470">
        <v>0</v>
      </c>
      <c r="CR15" s="1470">
        <f t="shared" si="2"/>
        <v>0</v>
      </c>
      <c r="CS15" s="1470">
        <f t="shared" si="19"/>
        <v>0</v>
      </c>
      <c r="CU15" s="1470">
        <f t="shared" si="20"/>
        <v>0</v>
      </c>
      <c r="CX15" s="1470">
        <f t="shared" si="21"/>
        <v>0</v>
      </c>
      <c r="CY15" s="1470"/>
      <c r="CZ15" s="1470">
        <f t="shared" si="22"/>
        <v>0</v>
      </c>
    </row>
    <row r="16" spans="1:187" s="1464" customFormat="1" ht="15" x14ac:dyDescent="0.25">
      <c r="A16" s="1446">
        <v>1</v>
      </c>
      <c r="B16" s="1447" t="s">
        <v>2221</v>
      </c>
      <c r="C16" s="1447">
        <v>205344</v>
      </c>
      <c r="D16" s="1447" t="s">
        <v>3147</v>
      </c>
      <c r="E16" s="1448" t="s">
        <v>1606</v>
      </c>
      <c r="F16" s="1449">
        <v>378702</v>
      </c>
      <c r="G16" s="1447" t="s">
        <v>955</v>
      </c>
      <c r="H16" s="1447" t="s">
        <v>343</v>
      </c>
      <c r="I16" s="1450">
        <v>39757</v>
      </c>
      <c r="J16" s="1451">
        <v>8</v>
      </c>
      <c r="K16" s="1452">
        <f t="shared" ca="1" si="0"/>
        <v>16.878850102669404</v>
      </c>
      <c r="L16" s="1453" t="s">
        <v>1886</v>
      </c>
      <c r="M16" s="1453" t="s">
        <v>56</v>
      </c>
      <c r="N16" s="1447" t="s">
        <v>3149</v>
      </c>
      <c r="O16" s="1454">
        <v>15538</v>
      </c>
      <c r="P16" s="1455"/>
      <c r="Q16" s="1456">
        <v>16837</v>
      </c>
      <c r="R16" s="1457">
        <v>0</v>
      </c>
      <c r="S16" s="1458">
        <v>45017</v>
      </c>
      <c r="T16" s="1458">
        <v>45135</v>
      </c>
      <c r="U16" s="1459">
        <v>1</v>
      </c>
      <c r="V16" s="1459">
        <v>63</v>
      </c>
      <c r="W16" s="1459">
        <f t="shared" si="3"/>
        <v>63</v>
      </c>
      <c r="X16" s="1460">
        <f t="shared" si="4"/>
        <v>0.328125</v>
      </c>
      <c r="Y16" s="1460">
        <v>1</v>
      </c>
      <c r="Z16" s="1460">
        <f t="shared" si="5"/>
        <v>0.328125</v>
      </c>
      <c r="AA16" s="1461" t="s">
        <v>2797</v>
      </c>
      <c r="AB16" s="1461" t="s">
        <v>2797</v>
      </c>
      <c r="AC16" s="1446"/>
      <c r="AD16" s="1446"/>
      <c r="AE16" s="1446"/>
      <c r="AF16" s="1462">
        <f t="shared" si="23"/>
        <v>5524.640625</v>
      </c>
      <c r="AG16" s="1462">
        <v>16837</v>
      </c>
      <c r="AH16" s="1463">
        <v>16837</v>
      </c>
      <c r="AI16" s="1463">
        <v>0</v>
      </c>
      <c r="AJ16" s="1463"/>
      <c r="AK16" s="1463" t="s">
        <v>2804</v>
      </c>
      <c r="AL16" s="1463" t="s">
        <v>2805</v>
      </c>
      <c r="AM16" s="1463" t="s">
        <v>2804</v>
      </c>
      <c r="AN16" s="1446"/>
      <c r="AO16" s="1446"/>
      <c r="AP16" s="1446"/>
      <c r="AQ16" s="1446"/>
      <c r="AR16" s="1446"/>
      <c r="AS16" s="1446"/>
      <c r="AT16" s="1446"/>
      <c r="AU16" s="1446"/>
      <c r="AV16" s="1446"/>
      <c r="AW16" s="1446"/>
      <c r="AX16" s="1446"/>
      <c r="AY16" s="1446"/>
      <c r="AZ16" s="1446"/>
      <c r="BA16" s="1463"/>
      <c r="BB16" s="1463"/>
      <c r="BC16" s="1446"/>
      <c r="BD16" s="1446"/>
      <c r="BE16" s="1446"/>
      <c r="BF16" s="1446"/>
      <c r="BG16" s="1446"/>
      <c r="BH16" s="1446">
        <f t="shared" si="6"/>
        <v>0</v>
      </c>
      <c r="BI16" s="1446">
        <v>0</v>
      </c>
      <c r="BJ16" s="1446"/>
      <c r="BK16" s="1463">
        <v>0</v>
      </c>
      <c r="BL16" s="1446"/>
      <c r="BM16" s="1463">
        <v>0</v>
      </c>
      <c r="BN16" s="1463">
        <f t="shared" si="9"/>
        <v>0</v>
      </c>
      <c r="BO16" s="1463">
        <v>0</v>
      </c>
      <c r="BV16" s="1493"/>
      <c r="BW16" s="1493"/>
      <c r="BX16" s="1493"/>
      <c r="CD16" s="1465">
        <v>0</v>
      </c>
      <c r="CE16" s="1466">
        <f t="shared" si="12"/>
        <v>0</v>
      </c>
      <c r="CF16" s="1466"/>
      <c r="CG16" s="1467"/>
      <c r="CH16" s="1468">
        <v>0</v>
      </c>
      <c r="CI16" s="1469">
        <f t="shared" si="14"/>
        <v>0</v>
      </c>
      <c r="CL16" s="1469">
        <v>0</v>
      </c>
      <c r="CM16" s="1469">
        <f t="shared" si="16"/>
        <v>0</v>
      </c>
      <c r="CN16" s="1470">
        <f>AF16</f>
        <v>5524.640625</v>
      </c>
      <c r="CO16" s="1470">
        <f t="shared" si="17"/>
        <v>5524.640625</v>
      </c>
      <c r="CP16" s="1469">
        <f t="shared" si="18"/>
        <v>5524.640625</v>
      </c>
      <c r="CQ16" s="1470">
        <v>0</v>
      </c>
      <c r="CR16" s="1470">
        <f t="shared" si="2"/>
        <v>5524.640625</v>
      </c>
      <c r="CS16" s="1470">
        <f t="shared" si="19"/>
        <v>0</v>
      </c>
      <c r="CU16" s="1470">
        <f t="shared" si="20"/>
        <v>5524.640625</v>
      </c>
      <c r="CX16" s="1470">
        <f t="shared" si="21"/>
        <v>5524.640625</v>
      </c>
      <c r="CY16" s="1470"/>
      <c r="CZ16" s="1470">
        <f t="shared" si="22"/>
        <v>5524.640625</v>
      </c>
    </row>
    <row r="17" spans="1:106" s="1464" customFormat="1" ht="15" x14ac:dyDescent="0.25">
      <c r="A17" s="1446">
        <v>1</v>
      </c>
      <c r="B17" s="1447" t="s">
        <v>2221</v>
      </c>
      <c r="C17" s="1447">
        <v>205344</v>
      </c>
      <c r="D17" s="1447" t="s">
        <v>3147</v>
      </c>
      <c r="E17" s="1448" t="s">
        <v>1606</v>
      </c>
      <c r="F17" s="1449">
        <v>375028</v>
      </c>
      <c r="G17" s="1447" t="s">
        <v>152</v>
      </c>
      <c r="H17" s="1447" t="s">
        <v>578</v>
      </c>
      <c r="I17" s="1450">
        <v>39478</v>
      </c>
      <c r="J17" s="1451">
        <v>8</v>
      </c>
      <c r="K17" s="1452">
        <f t="shared" ca="1" si="0"/>
        <v>17.642710472279262</v>
      </c>
      <c r="L17" s="1453" t="s">
        <v>1886</v>
      </c>
      <c r="M17" s="1453" t="s">
        <v>56</v>
      </c>
      <c r="N17" s="1447" t="s">
        <v>3149</v>
      </c>
      <c r="O17" s="1454">
        <v>15538</v>
      </c>
      <c r="P17" s="1455" t="s">
        <v>3150</v>
      </c>
      <c r="Q17" s="1456">
        <f>16837+22721</f>
        <v>39558</v>
      </c>
      <c r="R17" s="1457">
        <v>0</v>
      </c>
      <c r="S17" s="1458">
        <v>45017</v>
      </c>
      <c r="T17" s="1458">
        <v>45382</v>
      </c>
      <c r="U17" s="1459">
        <v>1</v>
      </c>
      <c r="V17" s="1459">
        <v>192</v>
      </c>
      <c r="W17" s="1459">
        <f t="shared" si="3"/>
        <v>192</v>
      </c>
      <c r="X17" s="1460">
        <f t="shared" si="4"/>
        <v>1</v>
      </c>
      <c r="Y17" s="1460">
        <v>1</v>
      </c>
      <c r="Z17" s="1460">
        <f t="shared" si="5"/>
        <v>1</v>
      </c>
      <c r="AA17" s="1461" t="s">
        <v>2797</v>
      </c>
      <c r="AB17" s="1461" t="s">
        <v>2797</v>
      </c>
      <c r="AC17" s="1446"/>
      <c r="AD17" s="1446"/>
      <c r="AE17" s="1446"/>
      <c r="AF17" s="1462">
        <f t="shared" si="23"/>
        <v>39558</v>
      </c>
      <c r="AG17" s="1462">
        <v>16837</v>
      </c>
      <c r="AH17" s="1463">
        <f>16837+22721</f>
        <v>39558</v>
      </c>
      <c r="AI17" s="1463">
        <v>16837</v>
      </c>
      <c r="AJ17" s="1463">
        <v>22721</v>
      </c>
      <c r="AK17" s="1463" t="s">
        <v>2804</v>
      </c>
      <c r="AL17" s="1463" t="s">
        <v>2805</v>
      </c>
      <c r="AM17" s="1463" t="s">
        <v>2804</v>
      </c>
      <c r="AN17" s="1446" t="s">
        <v>3150</v>
      </c>
      <c r="AO17" s="1446"/>
      <c r="AP17" s="1446"/>
      <c r="AQ17" s="1446"/>
      <c r="AR17" s="1446"/>
      <c r="AS17" s="1446"/>
      <c r="AT17" s="1446"/>
      <c r="AU17" s="1446"/>
      <c r="AV17" s="1446"/>
      <c r="AW17" s="1446"/>
      <c r="AX17" s="1446"/>
      <c r="AY17" s="1446"/>
      <c r="AZ17" s="1446"/>
      <c r="BA17" s="1463"/>
      <c r="BB17" s="1463">
        <v>15340.57</v>
      </c>
      <c r="BC17" s="1446"/>
      <c r="BD17" s="1446" t="s">
        <v>3151</v>
      </c>
      <c r="BE17" s="1446">
        <v>8071666</v>
      </c>
      <c r="BG17" s="1446" t="s">
        <v>3152</v>
      </c>
      <c r="BH17" s="1446">
        <f t="shared" si="6"/>
        <v>0</v>
      </c>
      <c r="BI17" s="1446">
        <v>15340.57</v>
      </c>
      <c r="BJ17" s="1446"/>
      <c r="BK17" s="1463">
        <f t="shared" si="7"/>
        <v>39558</v>
      </c>
      <c r="BL17" s="1446"/>
      <c r="BM17" s="1463">
        <f t="shared" si="8"/>
        <v>39558</v>
      </c>
      <c r="BN17" s="1463">
        <f t="shared" si="9"/>
        <v>0</v>
      </c>
      <c r="BO17" s="1463">
        <f t="shared" si="10"/>
        <v>39558</v>
      </c>
      <c r="BV17" s="1493"/>
      <c r="BW17" s="1493"/>
      <c r="BX17" s="1493"/>
      <c r="CD17" s="1465">
        <f t="shared" si="11"/>
        <v>39558</v>
      </c>
      <c r="CE17" s="1466">
        <f t="shared" si="12"/>
        <v>0</v>
      </c>
      <c r="CF17" s="1466"/>
      <c r="CG17" s="1467"/>
      <c r="CH17" s="1468">
        <f t="shared" si="13"/>
        <v>39558</v>
      </c>
      <c r="CI17" s="1469">
        <f t="shared" si="14"/>
        <v>0</v>
      </c>
      <c r="CL17" s="1469">
        <f t="shared" si="15"/>
        <v>39558</v>
      </c>
      <c r="CM17" s="1469">
        <f t="shared" si="16"/>
        <v>0</v>
      </c>
      <c r="CO17" s="1470">
        <f t="shared" si="17"/>
        <v>39558</v>
      </c>
      <c r="CP17" s="1469">
        <f t="shared" si="18"/>
        <v>0</v>
      </c>
      <c r="CQ17" s="1470">
        <v>0</v>
      </c>
      <c r="CR17" s="1470">
        <f t="shared" si="2"/>
        <v>39558</v>
      </c>
      <c r="CS17" s="1470">
        <f t="shared" si="19"/>
        <v>0</v>
      </c>
      <c r="CU17" s="1470">
        <f t="shared" si="20"/>
        <v>39558</v>
      </c>
      <c r="CX17" s="1470">
        <f t="shared" si="21"/>
        <v>39558</v>
      </c>
      <c r="CY17" s="1470"/>
      <c r="CZ17" s="1470">
        <f t="shared" si="22"/>
        <v>39558</v>
      </c>
    </row>
    <row r="18" spans="1:106" s="1464" customFormat="1" ht="15" x14ac:dyDescent="0.25">
      <c r="A18" s="1446">
        <v>1</v>
      </c>
      <c r="B18" s="1447" t="s">
        <v>2221</v>
      </c>
      <c r="C18" s="1447">
        <v>205344</v>
      </c>
      <c r="D18" s="1447" t="s">
        <v>3147</v>
      </c>
      <c r="E18" s="1448" t="s">
        <v>1606</v>
      </c>
      <c r="F18" s="1449">
        <v>361510</v>
      </c>
      <c r="G18" s="1447" t="s">
        <v>1296</v>
      </c>
      <c r="H18" s="1453" t="s">
        <v>3153</v>
      </c>
      <c r="I18" s="1453">
        <v>38642</v>
      </c>
      <c r="J18" s="1451">
        <v>11</v>
      </c>
      <c r="K18" s="1452">
        <f t="shared" ca="1" si="0"/>
        <v>19.931553730321699</v>
      </c>
      <c r="L18" s="1453" t="s">
        <v>1886</v>
      </c>
      <c r="M18" s="1453" t="s">
        <v>43</v>
      </c>
      <c r="N18" s="1447" t="s">
        <v>3154</v>
      </c>
      <c r="O18" s="1454">
        <f>19741+5841.41+3200</f>
        <v>28782.41</v>
      </c>
      <c r="P18" s="1455" t="s">
        <v>3155</v>
      </c>
      <c r="Q18" s="1456">
        <f>16837+20683</f>
        <v>37520</v>
      </c>
      <c r="R18" s="1457">
        <v>0</v>
      </c>
      <c r="S18" s="1458">
        <v>45017</v>
      </c>
      <c r="T18" s="1458">
        <v>45135</v>
      </c>
      <c r="U18" s="1459">
        <v>1</v>
      </c>
      <c r="V18" s="1459">
        <v>192</v>
      </c>
      <c r="W18" s="1459">
        <f t="shared" si="3"/>
        <v>192</v>
      </c>
      <c r="X18" s="1460">
        <f t="shared" si="4"/>
        <v>1</v>
      </c>
      <c r="Y18" s="1460">
        <v>1</v>
      </c>
      <c r="Z18" s="1460">
        <f t="shared" si="5"/>
        <v>1</v>
      </c>
      <c r="AA18" s="1461" t="s">
        <v>2797</v>
      </c>
      <c r="AB18" s="1461" t="s">
        <v>2797</v>
      </c>
      <c r="AC18" s="1446"/>
      <c r="AD18" s="1446"/>
      <c r="AE18" s="1446"/>
      <c r="AF18" s="1462">
        <f t="shared" si="23"/>
        <v>37520</v>
      </c>
      <c r="AG18" s="1462">
        <v>16837</v>
      </c>
      <c r="AH18" s="1463">
        <f>16837+20683</f>
        <v>37520</v>
      </c>
      <c r="AI18" s="1463">
        <v>16837</v>
      </c>
      <c r="AJ18" s="1463">
        <v>20683</v>
      </c>
      <c r="AK18" s="1463" t="s">
        <v>2804</v>
      </c>
      <c r="AL18" s="1463" t="s">
        <v>2805</v>
      </c>
      <c r="AM18" s="1463" t="s">
        <v>2804</v>
      </c>
      <c r="AN18" s="1446" t="s">
        <v>3155</v>
      </c>
      <c r="AO18" s="1446"/>
      <c r="AP18" s="1446"/>
      <c r="AQ18" s="1446"/>
      <c r="AR18" s="1446"/>
      <c r="AS18" s="1446"/>
      <c r="AT18" s="1446"/>
      <c r="AU18" s="1446"/>
      <c r="AV18" s="1446"/>
      <c r="AW18" s="1446"/>
      <c r="AX18" s="1446"/>
      <c r="AY18" s="1446"/>
      <c r="AZ18" s="1446"/>
      <c r="BA18" s="1463"/>
      <c r="BB18" s="1463"/>
      <c r="BC18" s="1446"/>
      <c r="BD18" s="1446"/>
      <c r="BE18" s="1446"/>
      <c r="BF18" s="1446"/>
      <c r="BG18" s="1446"/>
      <c r="BH18" s="1446">
        <f t="shared" si="6"/>
        <v>0</v>
      </c>
      <c r="BI18" s="1446">
        <v>0</v>
      </c>
      <c r="BJ18" s="1446"/>
      <c r="BK18" s="1463">
        <f t="shared" si="7"/>
        <v>37520</v>
      </c>
      <c r="BL18" s="1446"/>
      <c r="BM18" s="1463">
        <f t="shared" si="8"/>
        <v>37520</v>
      </c>
      <c r="BN18" s="1463">
        <f t="shared" si="9"/>
        <v>-25013.333333333332</v>
      </c>
      <c r="BO18" s="1463">
        <f t="shared" si="10"/>
        <v>12506.666666666668</v>
      </c>
      <c r="BV18" s="1483" t="s">
        <v>2222</v>
      </c>
      <c r="BW18" s="1484">
        <v>45013</v>
      </c>
      <c r="BX18" s="1485">
        <f>37520/3*2*-1</f>
        <v>-25013.333333333332</v>
      </c>
      <c r="BZ18" s="1486">
        <f>BQ18/3*2*-1</f>
        <v>0</v>
      </c>
      <c r="CD18" s="1465">
        <f t="shared" si="11"/>
        <v>12506.666666666668</v>
      </c>
      <c r="CE18" s="1466">
        <f t="shared" si="12"/>
        <v>0</v>
      </c>
      <c r="CF18" s="1466"/>
      <c r="CG18" s="1467"/>
      <c r="CH18" s="1468">
        <f t="shared" si="13"/>
        <v>12506.666666666668</v>
      </c>
      <c r="CI18" s="1469">
        <f t="shared" si="14"/>
        <v>0</v>
      </c>
      <c r="CL18" s="1469">
        <f t="shared" si="15"/>
        <v>12506.666666666668</v>
      </c>
      <c r="CM18" s="1469">
        <f t="shared" si="16"/>
        <v>0</v>
      </c>
      <c r="CO18" s="1470">
        <f t="shared" si="17"/>
        <v>12506.666666666668</v>
      </c>
      <c r="CP18" s="1469">
        <f t="shared" si="18"/>
        <v>0</v>
      </c>
      <c r="CQ18" s="1470">
        <v>0</v>
      </c>
      <c r="CR18" s="1470">
        <f t="shared" si="2"/>
        <v>12506.666666666668</v>
      </c>
      <c r="CS18" s="1470">
        <f t="shared" si="19"/>
        <v>0</v>
      </c>
      <c r="CU18" s="1470">
        <f t="shared" si="20"/>
        <v>12506.666666666668</v>
      </c>
      <c r="CX18" s="1470">
        <f t="shared" si="21"/>
        <v>12506.666666666668</v>
      </c>
      <c r="CY18" s="1470"/>
      <c r="CZ18" s="1470">
        <f t="shared" si="22"/>
        <v>12506.666666666668</v>
      </c>
    </row>
    <row r="19" spans="1:106" s="1464" customFormat="1" ht="15" x14ac:dyDescent="0.25">
      <c r="A19" s="1446">
        <v>1</v>
      </c>
      <c r="B19" s="1447" t="s">
        <v>2221</v>
      </c>
      <c r="C19" s="1447">
        <v>205344</v>
      </c>
      <c r="D19" s="1447" t="s">
        <v>3147</v>
      </c>
      <c r="E19" s="1448" t="s">
        <v>1606</v>
      </c>
      <c r="F19" s="1478">
        <v>378892</v>
      </c>
      <c r="G19" s="1479" t="s">
        <v>3156</v>
      </c>
      <c r="H19" s="1479" t="s">
        <v>99</v>
      </c>
      <c r="I19" s="1522">
        <v>39745</v>
      </c>
      <c r="J19" s="1451">
        <v>8</v>
      </c>
      <c r="K19" s="1452">
        <f t="shared" ca="1" si="0"/>
        <v>16.911704312114988</v>
      </c>
      <c r="L19" s="1453" t="s">
        <v>1886</v>
      </c>
      <c r="M19" s="1453" t="s">
        <v>43</v>
      </c>
      <c r="N19" s="1447" t="s">
        <v>3149</v>
      </c>
      <c r="O19" s="1454">
        <v>15538</v>
      </c>
      <c r="P19" s="1455" t="s">
        <v>3157</v>
      </c>
      <c r="Q19" s="1456">
        <f>16837+13312</f>
        <v>30149</v>
      </c>
      <c r="R19" s="1457">
        <v>0</v>
      </c>
      <c r="S19" s="1458">
        <v>45017</v>
      </c>
      <c r="T19" s="1458">
        <v>45382</v>
      </c>
      <c r="U19" s="1459">
        <v>1</v>
      </c>
      <c r="V19" s="1459">
        <v>192</v>
      </c>
      <c r="W19" s="1459">
        <f t="shared" si="3"/>
        <v>192</v>
      </c>
      <c r="X19" s="1460">
        <f t="shared" si="4"/>
        <v>1</v>
      </c>
      <c r="Y19" s="1460">
        <v>1</v>
      </c>
      <c r="Z19" s="1460">
        <f t="shared" si="5"/>
        <v>1</v>
      </c>
      <c r="AA19" s="1461" t="s">
        <v>2797</v>
      </c>
      <c r="AB19" s="1461" t="s">
        <v>2797</v>
      </c>
      <c r="AC19" s="1446"/>
      <c r="AD19" s="1446"/>
      <c r="AE19" s="1446"/>
      <c r="AF19" s="1462">
        <f t="shared" si="23"/>
        <v>30149</v>
      </c>
      <c r="AG19" s="1462">
        <v>16837</v>
      </c>
      <c r="AH19" s="1463">
        <f>16837+13312</f>
        <v>30149</v>
      </c>
      <c r="AI19" s="1463">
        <v>16837</v>
      </c>
      <c r="AJ19" s="1463">
        <v>13312</v>
      </c>
      <c r="AK19" s="1463" t="s">
        <v>2804</v>
      </c>
      <c r="AL19" s="1463" t="s">
        <v>2805</v>
      </c>
      <c r="AM19" s="1463" t="s">
        <v>2804</v>
      </c>
      <c r="AN19" s="1455" t="s">
        <v>3158</v>
      </c>
      <c r="AO19" s="1446"/>
      <c r="AP19" s="1446"/>
      <c r="AQ19" s="1446"/>
      <c r="AR19" s="1446"/>
      <c r="AS19" s="1446"/>
      <c r="AT19" s="1446"/>
      <c r="AU19" s="1446"/>
      <c r="AV19" s="1446"/>
      <c r="AW19" s="1446"/>
      <c r="AX19" s="1446"/>
      <c r="AY19" s="1446"/>
      <c r="AZ19" s="1446"/>
      <c r="BA19" s="1523"/>
      <c r="BB19" s="1463"/>
      <c r="BC19" s="1446"/>
      <c r="BD19" s="1446"/>
      <c r="BE19" s="1446"/>
      <c r="BF19" s="1446"/>
      <c r="BG19" s="1446"/>
      <c r="BH19" s="1446">
        <f t="shared" si="6"/>
        <v>0</v>
      </c>
      <c r="BI19" s="1446">
        <v>0</v>
      </c>
      <c r="BJ19" s="1446"/>
      <c r="BK19" s="1463">
        <f t="shared" si="7"/>
        <v>30149</v>
      </c>
      <c r="BL19" s="1446"/>
      <c r="BM19" s="1463">
        <f t="shared" si="8"/>
        <v>30149</v>
      </c>
      <c r="BN19" s="1463">
        <f t="shared" si="9"/>
        <v>0</v>
      </c>
      <c r="BO19" s="1463">
        <f t="shared" si="10"/>
        <v>30149</v>
      </c>
      <c r="CD19" s="1465">
        <f t="shared" si="11"/>
        <v>30149</v>
      </c>
      <c r="CE19" s="1466">
        <f t="shared" si="12"/>
        <v>0</v>
      </c>
      <c r="CF19" s="1466"/>
      <c r="CG19" s="1467"/>
      <c r="CH19" s="1468">
        <f t="shared" si="13"/>
        <v>30149</v>
      </c>
      <c r="CI19" s="1469">
        <f t="shared" si="14"/>
        <v>0</v>
      </c>
      <c r="CL19" s="1469">
        <f t="shared" si="15"/>
        <v>30149</v>
      </c>
      <c r="CM19" s="1469">
        <f t="shared" si="16"/>
        <v>0</v>
      </c>
      <c r="CO19" s="1470">
        <f t="shared" si="17"/>
        <v>30149</v>
      </c>
      <c r="CP19" s="1469">
        <f t="shared" si="18"/>
        <v>0</v>
      </c>
      <c r="CQ19" s="1470">
        <v>0</v>
      </c>
      <c r="CR19" s="1470">
        <f t="shared" si="2"/>
        <v>30149</v>
      </c>
      <c r="CS19" s="1470">
        <f t="shared" si="19"/>
        <v>0</v>
      </c>
      <c r="CU19" s="1470">
        <f t="shared" si="20"/>
        <v>30149</v>
      </c>
      <c r="CX19" s="1470">
        <f t="shared" si="21"/>
        <v>30149</v>
      </c>
      <c r="CY19" s="1470"/>
      <c r="CZ19" s="1470">
        <f t="shared" si="22"/>
        <v>30149</v>
      </c>
    </row>
    <row r="20" spans="1:106" s="1464" customFormat="1" ht="15" x14ac:dyDescent="0.25">
      <c r="A20" s="1446">
        <v>1</v>
      </c>
      <c r="B20" s="1447" t="s">
        <v>2221</v>
      </c>
      <c r="C20" s="1447">
        <v>205344</v>
      </c>
      <c r="D20" s="1447" t="s">
        <v>3147</v>
      </c>
      <c r="E20" s="1449" t="s">
        <v>1606</v>
      </c>
      <c r="F20" s="1449">
        <v>390234</v>
      </c>
      <c r="G20" s="1447" t="s">
        <v>1205</v>
      </c>
      <c r="H20" s="1447" t="s">
        <v>924</v>
      </c>
      <c r="I20" s="1450">
        <v>40371</v>
      </c>
      <c r="J20" s="1451">
        <v>7</v>
      </c>
      <c r="K20" s="1452">
        <f t="shared" ca="1" si="0"/>
        <v>15.197809719370294</v>
      </c>
      <c r="L20" s="1453" t="s">
        <v>1886</v>
      </c>
      <c r="M20" s="1453" t="s">
        <v>43</v>
      </c>
      <c r="N20" s="1447" t="s">
        <v>3159</v>
      </c>
      <c r="O20" s="1454">
        <v>21339</v>
      </c>
      <c r="P20" s="1455" t="s">
        <v>3160</v>
      </c>
      <c r="Q20" s="1456">
        <v>21339</v>
      </c>
      <c r="R20" s="1457">
        <v>0</v>
      </c>
      <c r="S20" s="1458">
        <v>45017</v>
      </c>
      <c r="T20" s="1458">
        <v>45382</v>
      </c>
      <c r="U20" s="1459">
        <v>1</v>
      </c>
      <c r="V20" s="1459">
        <v>192</v>
      </c>
      <c r="W20" s="1459">
        <f t="shared" si="3"/>
        <v>192</v>
      </c>
      <c r="X20" s="1460">
        <f t="shared" si="4"/>
        <v>1</v>
      </c>
      <c r="Y20" s="1460">
        <v>1</v>
      </c>
      <c r="Z20" s="1460">
        <f t="shared" si="5"/>
        <v>1</v>
      </c>
      <c r="AA20" s="1461" t="s">
        <v>2797</v>
      </c>
      <c r="AB20" s="1461" t="s">
        <v>2797</v>
      </c>
      <c r="AC20" s="1446"/>
      <c r="AD20" s="1446"/>
      <c r="AE20" s="1446"/>
      <c r="AF20" s="1462">
        <f t="shared" si="23"/>
        <v>21339</v>
      </c>
      <c r="AG20" s="1462">
        <v>21339</v>
      </c>
      <c r="AH20" s="1463">
        <v>21339</v>
      </c>
      <c r="AI20" s="1463">
        <v>21339</v>
      </c>
      <c r="AJ20" s="1463"/>
      <c r="AK20" s="1463" t="s">
        <v>2804</v>
      </c>
      <c r="AL20" s="1463" t="s">
        <v>2805</v>
      </c>
      <c r="AM20" s="1463" t="s">
        <v>2804</v>
      </c>
      <c r="AN20" s="1446"/>
      <c r="AO20" s="1446"/>
      <c r="AP20" s="1446"/>
      <c r="AQ20" s="1446"/>
      <c r="AR20" s="1446"/>
      <c r="AS20" s="1446"/>
      <c r="AT20" s="1446"/>
      <c r="AU20" s="1446"/>
      <c r="AV20" s="1446"/>
      <c r="AW20" s="1446"/>
      <c r="AX20" s="1446"/>
      <c r="AY20" s="1446"/>
      <c r="AZ20" s="1446"/>
      <c r="BA20" s="1523"/>
      <c r="BB20" s="1463"/>
      <c r="BC20" s="1446"/>
      <c r="BD20" s="1446"/>
      <c r="BE20" s="1446"/>
      <c r="BF20" s="1446"/>
      <c r="BG20" s="1446"/>
      <c r="BH20" s="1446">
        <f t="shared" si="6"/>
        <v>0</v>
      </c>
      <c r="BI20" s="1446">
        <v>0</v>
      </c>
      <c r="BJ20" s="1446"/>
      <c r="BK20" s="1463">
        <f t="shared" si="7"/>
        <v>21339</v>
      </c>
      <c r="BL20" s="1446"/>
      <c r="BM20" s="1463">
        <f t="shared" si="8"/>
        <v>21339</v>
      </c>
      <c r="BN20" s="1463">
        <f t="shared" si="9"/>
        <v>0</v>
      </c>
      <c r="BO20" s="1463">
        <f t="shared" si="10"/>
        <v>21339</v>
      </c>
      <c r="CD20" s="1465">
        <f t="shared" si="11"/>
        <v>21339</v>
      </c>
      <c r="CE20" s="1466">
        <f t="shared" si="12"/>
        <v>0</v>
      </c>
      <c r="CF20" s="1466"/>
      <c r="CG20" s="1467"/>
      <c r="CH20" s="1468">
        <f t="shared" si="13"/>
        <v>21339</v>
      </c>
      <c r="CI20" s="1469">
        <f t="shared" si="14"/>
        <v>0</v>
      </c>
      <c r="CL20" s="1469">
        <f t="shared" si="15"/>
        <v>21339</v>
      </c>
      <c r="CM20" s="1469">
        <f t="shared" si="16"/>
        <v>0</v>
      </c>
      <c r="CO20" s="1470">
        <f t="shared" si="17"/>
        <v>21339</v>
      </c>
      <c r="CP20" s="1469">
        <f t="shared" si="18"/>
        <v>0</v>
      </c>
      <c r="CQ20" s="1470">
        <v>0</v>
      </c>
      <c r="CR20" s="1470">
        <f t="shared" si="2"/>
        <v>21339</v>
      </c>
      <c r="CS20" s="1470">
        <f t="shared" si="19"/>
        <v>0</v>
      </c>
      <c r="CU20" s="1470">
        <f t="shared" si="20"/>
        <v>21339</v>
      </c>
      <c r="CX20" s="1470">
        <f t="shared" si="21"/>
        <v>21339</v>
      </c>
      <c r="CY20" s="1470"/>
      <c r="CZ20" s="1470">
        <f t="shared" si="22"/>
        <v>21339</v>
      </c>
    </row>
    <row r="21" spans="1:106" ht="13.5" thickBot="1" x14ac:dyDescent="0.25">
      <c r="A21" s="1524">
        <f>COUNT(A4:A20)</f>
        <v>17</v>
      </c>
      <c r="B21" s="1525"/>
      <c r="C21" s="1525"/>
      <c r="D21" s="1525"/>
      <c r="E21" s="1526"/>
      <c r="F21" s="1526"/>
      <c r="G21" s="1525"/>
      <c r="H21" s="1525"/>
      <c r="I21" s="1527"/>
      <c r="J21" s="1528"/>
      <c r="K21" s="1529"/>
      <c r="L21" s="1530"/>
      <c r="M21" s="1530"/>
      <c r="N21" s="1525"/>
      <c r="O21" s="1531">
        <f>SUM(O4:O20)</f>
        <v>201038.64</v>
      </c>
      <c r="P21" s="1532"/>
      <c r="Q21" s="1533">
        <f>SUM(Q4:Q20)</f>
        <v>270766.23</v>
      </c>
      <c r="R21" s="1534">
        <f>SUM(R4:R20)</f>
        <v>29147.719999999998</v>
      </c>
      <c r="S21" s="1535"/>
      <c r="T21" s="1535"/>
      <c r="U21" s="1536"/>
      <c r="V21" s="1536"/>
      <c r="W21" s="1536"/>
      <c r="X21" s="1537"/>
      <c r="Y21" s="1537">
        <f>SUM(Y4:Y20)</f>
        <v>17</v>
      </c>
      <c r="Z21" s="1537">
        <f>SUM(Z4:Z20)</f>
        <v>14.59375</v>
      </c>
      <c r="AA21" s="1538"/>
      <c r="AB21" s="1538"/>
      <c r="AC21" s="1524"/>
      <c r="AD21" s="1524"/>
      <c r="AE21" s="1524"/>
      <c r="AF21" s="1539">
        <f>SUM(AF4:AF20)</f>
        <v>300888.8458203125</v>
      </c>
      <c r="AG21" s="1539"/>
      <c r="AH21" s="1540">
        <f>SUM(AH4:AH20)</f>
        <v>326247.01937500003</v>
      </c>
      <c r="AI21" s="1540">
        <f>SUM(AI4:AI20)</f>
        <v>168451.62</v>
      </c>
      <c r="AJ21" s="1540">
        <f>SUM(AJ4:AJ20)</f>
        <v>92711.579375000001</v>
      </c>
      <c r="AK21" s="1540"/>
      <c r="AL21" s="1540"/>
      <c r="AM21" s="1540"/>
      <c r="AN21" s="1540"/>
      <c r="AO21" s="1540"/>
      <c r="AP21" s="1540">
        <f>SUM(AP4:AP20)</f>
        <v>0</v>
      </c>
      <c r="AQ21" s="1540"/>
      <c r="AR21" s="1540"/>
      <c r="AS21" s="1540"/>
      <c r="AT21" s="1540">
        <f>SUM(AT4:AT20)</f>
        <v>0</v>
      </c>
      <c r="AU21" s="1540"/>
      <c r="AV21" s="1540"/>
      <c r="AW21" s="1540"/>
      <c r="AX21" s="1540">
        <f>SUM(AX4:AX20)</f>
        <v>0</v>
      </c>
      <c r="AY21" s="1540"/>
      <c r="AZ21" s="1540"/>
      <c r="BA21" s="1540">
        <f>SUM(BA4:BA20)</f>
        <v>17000</v>
      </c>
      <c r="BB21" s="1540">
        <f>SUM(BB4:BB20)</f>
        <v>21066.01</v>
      </c>
      <c r="BC21" s="1540"/>
      <c r="BD21" s="1540">
        <f>SUM(BD4:BD20)</f>
        <v>9318.65</v>
      </c>
      <c r="BE21" s="1540"/>
      <c r="BF21" s="1540"/>
      <c r="BG21" s="1540">
        <f>SUM(BG4:BG20)</f>
        <v>0</v>
      </c>
      <c r="BH21" s="1540">
        <f>SUM(BH4:BH20)</f>
        <v>0</v>
      </c>
      <c r="BI21" s="1540">
        <f>SUM(BI4:BI20)</f>
        <v>15340.57</v>
      </c>
      <c r="BJ21" s="1540"/>
      <c r="BK21" s="1540">
        <f>SUM(BK4:BK20)</f>
        <v>284410.01937500003</v>
      </c>
      <c r="BL21" s="1540">
        <f>SUM(BL4:BL20)</f>
        <v>22725.439999999999</v>
      </c>
      <c r="BM21" s="1540">
        <f>SUM(BM4:BM20)</f>
        <v>230339.9</v>
      </c>
      <c r="BN21" s="1540">
        <f>SUM(BN4:BN20)</f>
        <v>-42140</v>
      </c>
      <c r="BO21" s="1540">
        <f>SUM(BO4:BO20)</f>
        <v>188199.9</v>
      </c>
      <c r="BP21" s="1541"/>
      <c r="BQ21" s="1542"/>
      <c r="BR21" s="1542"/>
      <c r="BS21" s="1542"/>
      <c r="BT21" s="1542"/>
      <c r="BU21" s="1542"/>
      <c r="BV21" s="1542"/>
      <c r="BW21" s="1542"/>
      <c r="BX21" s="1543">
        <f>SUM(BX4:BX20)</f>
        <v>-42140</v>
      </c>
      <c r="BY21" s="1542"/>
      <c r="BZ21" s="1543">
        <f>SUM(BZ4:BZ20)</f>
        <v>0</v>
      </c>
      <c r="CA21" s="1543">
        <f t="shared" ref="CA21:CI21" si="24">SUM(CA4:CA20)</f>
        <v>0</v>
      </c>
      <c r="CB21" s="1543">
        <f t="shared" si="24"/>
        <v>8097.8593749999982</v>
      </c>
      <c r="CC21" s="1543">
        <f t="shared" si="24"/>
        <v>0</v>
      </c>
      <c r="CD21" s="1544">
        <f>SUM(CD4:CD20)</f>
        <v>196297.75937499999</v>
      </c>
      <c r="CE21" s="1545">
        <f t="shared" si="24"/>
        <v>8097.8593749999982</v>
      </c>
      <c r="CF21" s="1545"/>
      <c r="CG21" s="1545">
        <f t="shared" si="24"/>
        <v>0</v>
      </c>
      <c r="CH21" s="1546">
        <f t="shared" si="24"/>
        <v>196297.75937499999</v>
      </c>
      <c r="CI21" s="1546">
        <f t="shared" si="24"/>
        <v>0</v>
      </c>
      <c r="CL21" s="1547">
        <f>SUM(CL4:CL20)</f>
        <v>196297.75937499999</v>
      </c>
      <c r="CM21" s="1548">
        <f t="shared" si="16"/>
        <v>0</v>
      </c>
      <c r="CN21" s="1549">
        <f t="shared" ref="CN21:CS21" si="25">SUM(CN4:CN20)</f>
        <v>-1312.359375</v>
      </c>
      <c r="CO21" s="1550">
        <f t="shared" si="25"/>
        <v>194985.4</v>
      </c>
      <c r="CP21" s="1551">
        <f t="shared" si="25"/>
        <v>-1312.3593749999982</v>
      </c>
      <c r="CQ21" s="1552">
        <f t="shared" si="25"/>
        <v>34208.630000000005</v>
      </c>
      <c r="CR21" s="1550">
        <f t="shared" si="25"/>
        <v>229194.03</v>
      </c>
      <c r="CS21" s="1553">
        <f t="shared" si="25"/>
        <v>34208.630000000005</v>
      </c>
      <c r="CT21" s="1495">
        <f>SUM(CT4:CT20)</f>
        <v>0</v>
      </c>
      <c r="CU21" s="1550">
        <f>SUM(CU4:CU20)</f>
        <v>229194.03</v>
      </c>
      <c r="CX21" s="1552">
        <f>SUM(CX4:CX20)</f>
        <v>229194.03</v>
      </c>
      <c r="CY21" s="1552">
        <f>SUM(CY4:CY20)</f>
        <v>2783.42921875</v>
      </c>
      <c r="CZ21" s="1552">
        <f>SUM(CZ4:CZ20)</f>
        <v>231977.45921874998</v>
      </c>
    </row>
    <row r="22" spans="1:106" s="1464" customFormat="1" thickTop="1" x14ac:dyDescent="0.2">
      <c r="A22" s="1554"/>
      <c r="B22" s="1555"/>
      <c r="C22" s="1555"/>
      <c r="D22" s="1555"/>
      <c r="E22" s="1556"/>
      <c r="F22" s="1556"/>
      <c r="G22" s="1555"/>
      <c r="H22" s="1555"/>
      <c r="I22" s="1557"/>
      <c r="J22" s="1558"/>
      <c r="K22" s="1559"/>
      <c r="L22" s="1557"/>
      <c r="M22" s="1557"/>
      <c r="N22" s="1555"/>
      <c r="O22" s="1560"/>
      <c r="P22" s="1561"/>
      <c r="Q22" s="1561"/>
      <c r="R22" s="1562">
        <f>Q21+R21-AH21</f>
        <v>-26333.069375000079</v>
      </c>
      <c r="S22" s="1563" t="s">
        <v>3161</v>
      </c>
      <c r="T22" s="1564"/>
      <c r="U22" s="1565"/>
      <c r="V22" s="1565"/>
      <c r="W22" s="1565"/>
      <c r="X22" s="1566"/>
      <c r="Y22" s="1566"/>
      <c r="Z22" s="1566"/>
      <c r="AA22" s="1567"/>
      <c r="AB22" s="1567"/>
      <c r="AC22" s="1554"/>
      <c r="AD22" s="1554"/>
      <c r="AE22" s="1554"/>
      <c r="AF22" s="1568"/>
      <c r="AG22" s="1568"/>
      <c r="AH22" s="1554"/>
      <c r="AI22" s="1554"/>
      <c r="AJ22" s="1554"/>
      <c r="AK22" s="1554"/>
      <c r="AL22" s="1554"/>
      <c r="AM22" s="1554"/>
      <c r="AN22" s="1569"/>
      <c r="AO22" s="1554"/>
      <c r="AP22" s="1554"/>
      <c r="AQ22" s="1554"/>
      <c r="AR22" s="1554"/>
      <c r="AS22" s="1554"/>
      <c r="AT22" s="1554"/>
      <c r="AU22" s="1554"/>
      <c r="AV22" s="1554"/>
      <c r="AW22" s="1554"/>
      <c r="AX22" s="1554"/>
      <c r="AY22" s="1554"/>
      <c r="AZ22" s="1554"/>
      <c r="BA22" s="1570"/>
      <c r="BB22" s="1570"/>
      <c r="BC22" s="1554"/>
      <c r="BD22" s="1554"/>
      <c r="BE22" s="1554"/>
      <c r="BF22" s="1554"/>
      <c r="BG22" s="1554"/>
      <c r="BH22" s="1554"/>
      <c r="BI22" s="1554"/>
      <c r="BJ22" s="1554"/>
      <c r="BK22" s="1554"/>
      <c r="BL22" s="1554"/>
      <c r="BM22" s="1554"/>
      <c r="BN22" s="1554"/>
      <c r="BO22" s="1554"/>
      <c r="BX22" s="1571"/>
      <c r="BZ22" s="1571">
        <f>BQ21+BZ21</f>
        <v>0</v>
      </c>
      <c r="CO22" s="1470"/>
      <c r="CQ22" s="1470"/>
      <c r="CY22" s="1470"/>
    </row>
    <row r="23" spans="1:106" x14ac:dyDescent="0.2">
      <c r="A23" s="1572"/>
      <c r="B23" s="1219"/>
      <c r="C23" s="1219"/>
      <c r="D23" s="1219"/>
      <c r="E23" s="1327"/>
      <c r="F23" s="1327"/>
      <c r="G23" s="1219"/>
      <c r="H23" s="1219"/>
      <c r="I23" s="1221"/>
      <c r="J23" s="1329"/>
      <c r="K23" s="1220"/>
      <c r="L23" s="1221"/>
      <c r="M23" s="1221"/>
      <c r="N23" s="1555"/>
      <c r="O23" s="1560"/>
      <c r="P23" s="1561"/>
      <c r="Q23" s="1561"/>
      <c r="R23" s="1562"/>
      <c r="S23" s="1573"/>
      <c r="T23" s="1574"/>
      <c r="U23" s="1575"/>
      <c r="V23" s="1575"/>
      <c r="W23" s="1575"/>
      <c r="X23" s="1576"/>
      <c r="Y23" s="1576"/>
      <c r="Z23" s="1576"/>
      <c r="AA23" s="1567"/>
      <c r="AB23" s="1567"/>
      <c r="AC23" s="1554"/>
      <c r="AD23" s="1554"/>
      <c r="AE23" s="1554"/>
      <c r="AF23" s="1577"/>
      <c r="AG23" s="1577"/>
      <c r="AH23" s="1572"/>
      <c r="AI23" s="1572"/>
      <c r="AJ23" s="1572"/>
      <c r="AK23" s="1572"/>
      <c r="AL23" s="1572"/>
      <c r="AM23" s="1572"/>
      <c r="AN23" s="1578"/>
      <c r="AO23" s="1554"/>
      <c r="AP23" s="1554"/>
      <c r="AQ23" s="1554"/>
      <c r="AR23" s="1554"/>
      <c r="AS23" s="1554"/>
      <c r="AT23" s="1554"/>
      <c r="AU23" s="1554"/>
      <c r="AV23" s="1554"/>
      <c r="AW23" s="1554"/>
      <c r="AX23" s="1554"/>
      <c r="AY23" s="1554"/>
      <c r="AZ23" s="1554"/>
      <c r="BA23" s="1570"/>
      <c r="BB23" s="1570"/>
      <c r="BC23" s="1554"/>
      <c r="BD23" s="1554"/>
      <c r="BE23" s="1554"/>
      <c r="BF23" s="1554"/>
      <c r="BG23" s="1554"/>
      <c r="BH23" s="1572"/>
      <c r="BI23" s="1572"/>
      <c r="BJ23" s="1572"/>
      <c r="BK23" s="1572"/>
      <c r="BL23" s="1572"/>
      <c r="BM23" s="1572"/>
      <c r="BN23" s="1572"/>
      <c r="BO23" s="1572"/>
      <c r="BX23" s="1579"/>
      <c r="BZ23" s="1579"/>
    </row>
    <row r="24" spans="1:106" x14ac:dyDescent="0.2">
      <c r="A24" s="1498"/>
      <c r="B24" s="480"/>
      <c r="C24" s="480"/>
      <c r="D24" s="480"/>
      <c r="E24" s="1165"/>
      <c r="F24" s="1165"/>
      <c r="G24" s="480"/>
      <c r="H24" s="480"/>
      <c r="I24" s="963"/>
      <c r="J24" s="1044"/>
      <c r="K24" s="1039"/>
      <c r="L24" s="963"/>
      <c r="M24" s="963"/>
      <c r="N24" s="1447"/>
      <c r="O24" s="1454"/>
      <c r="P24" s="1455"/>
      <c r="Q24" s="1455"/>
      <c r="R24" s="1580"/>
      <c r="S24" s="963"/>
      <c r="T24" s="963"/>
      <c r="U24" s="1044"/>
      <c r="V24" s="1044"/>
      <c r="W24" s="1044"/>
      <c r="X24" s="1045"/>
      <c r="Y24" s="1045"/>
      <c r="Z24" s="1045"/>
      <c r="AA24" s="1461"/>
      <c r="AB24" s="1461"/>
      <c r="AC24" s="1446"/>
      <c r="AD24" s="1446"/>
      <c r="AE24" s="1446"/>
      <c r="AF24" s="1503"/>
      <c r="AG24" s="1503"/>
      <c r="AH24" s="1498"/>
      <c r="AI24" s="1498"/>
      <c r="AJ24" s="1498"/>
      <c r="AK24" s="1498"/>
      <c r="AL24" s="1498"/>
      <c r="AM24" s="1498"/>
      <c r="AN24" s="1498"/>
      <c r="AO24" s="1446"/>
      <c r="AP24" s="1446"/>
      <c r="AQ24" s="1446"/>
      <c r="AR24" s="1446"/>
      <c r="AS24" s="1446"/>
      <c r="AT24" s="1446"/>
      <c r="AU24" s="1446"/>
      <c r="AV24" s="1446"/>
      <c r="AW24" s="1446"/>
      <c r="AX24" s="1446"/>
      <c r="AY24" s="1446"/>
      <c r="AZ24" s="1446"/>
      <c r="BA24" s="1463"/>
      <c r="BB24" s="1463"/>
      <c r="BC24" s="1446"/>
      <c r="BD24" s="1446"/>
      <c r="BE24" s="1446"/>
      <c r="BF24" s="1446"/>
      <c r="BG24" s="1446"/>
      <c r="BH24" s="1498"/>
      <c r="BI24" s="1498"/>
      <c r="BJ24" s="1498"/>
      <c r="BK24" s="1498"/>
      <c r="BL24" s="1498"/>
      <c r="BM24" s="1581" t="s">
        <v>3040</v>
      </c>
      <c r="BN24" s="1581"/>
      <c r="BO24" s="1582">
        <v>189000</v>
      </c>
      <c r="CB24" s="1581" t="s">
        <v>3040</v>
      </c>
      <c r="CC24" s="1581"/>
      <c r="CD24" s="1582">
        <v>189000</v>
      </c>
      <c r="CG24" s="1583"/>
      <c r="CH24" s="1583"/>
      <c r="CI24" s="1583"/>
      <c r="CJ24" s="1583"/>
      <c r="CK24" s="1583"/>
      <c r="CL24" s="1583"/>
      <c r="CN24" s="1584" t="s">
        <v>2595</v>
      </c>
      <c r="CO24" s="1553">
        <f>CO21</f>
        <v>194985.4</v>
      </c>
    </row>
    <row r="25" spans="1:106" x14ac:dyDescent="0.2">
      <c r="A25" s="1498"/>
      <c r="B25" s="480"/>
      <c r="C25" s="480"/>
      <c r="D25" s="480"/>
      <c r="E25" s="1165"/>
      <c r="F25" s="1165"/>
      <c r="G25" s="480"/>
      <c r="H25" s="480"/>
      <c r="I25" s="963"/>
      <c r="J25" s="1044"/>
      <c r="K25" s="1039"/>
      <c r="L25" s="963"/>
      <c r="M25" s="963"/>
      <c r="N25" s="1447"/>
      <c r="O25" s="1454"/>
      <c r="P25" s="1455"/>
      <c r="Q25" s="1455"/>
      <c r="R25" s="1455"/>
      <c r="S25" s="1475"/>
      <c r="T25" s="1475"/>
      <c r="U25" s="1501"/>
      <c r="V25" s="1501"/>
      <c r="W25" s="1501"/>
      <c r="X25" s="1502"/>
      <c r="Y25" s="1502"/>
      <c r="Z25" s="1502"/>
      <c r="AA25" s="1461"/>
      <c r="AB25" s="1461"/>
      <c r="AC25" s="1446"/>
      <c r="AD25" s="1446"/>
      <c r="AE25" s="1446"/>
      <c r="AF25" s="1503"/>
      <c r="AG25" s="1503"/>
      <c r="AH25" s="1498"/>
      <c r="AI25" s="1498"/>
      <c r="AJ25" s="1498"/>
      <c r="AK25" s="1498"/>
      <c r="AL25" s="1498"/>
      <c r="AM25" s="1498"/>
      <c r="AN25" s="1498"/>
      <c r="AO25" s="1446"/>
      <c r="AP25" s="1446"/>
      <c r="AQ25" s="1446"/>
      <c r="AR25" s="1446"/>
      <c r="AS25" s="1446"/>
      <c r="AT25" s="1446"/>
      <c r="AU25" s="1446"/>
      <c r="AV25" s="1446"/>
      <c r="AW25" s="1446"/>
      <c r="AX25" s="1446"/>
      <c r="AY25" s="1446"/>
      <c r="AZ25" s="1446"/>
      <c r="BA25" s="1463"/>
      <c r="BB25" s="1463"/>
      <c r="BC25" s="1446"/>
      <c r="BD25" s="1446"/>
      <c r="BE25" s="1446"/>
      <c r="BF25" s="1446"/>
      <c r="BG25" s="1446"/>
      <c r="BH25" s="1498"/>
      <c r="BI25" s="1498"/>
      <c r="BJ25" s="1498"/>
      <c r="BK25" s="1498"/>
      <c r="BL25" s="1498"/>
      <c r="BM25" s="1585" t="s">
        <v>3162</v>
      </c>
      <c r="BN25" s="1585"/>
      <c r="BO25" s="1586">
        <f>BO21-BO24</f>
        <v>-800.10000000000582</v>
      </c>
      <c r="CD25" s="1579">
        <f>CD24-CD21</f>
        <v>-7297.7593749999942</v>
      </c>
    </row>
    <row r="26" spans="1:106" x14ac:dyDescent="0.2">
      <c r="A26" s="1498"/>
      <c r="B26" s="1498"/>
      <c r="C26" s="480"/>
      <c r="D26" s="480"/>
      <c r="E26" s="1165"/>
      <c r="F26" s="1165"/>
      <c r="G26" s="480"/>
      <c r="H26" s="480"/>
      <c r="I26" s="963"/>
      <c r="J26" s="1044"/>
      <c r="K26" s="1039"/>
      <c r="L26" s="963"/>
      <c r="M26" s="963"/>
      <c r="N26" s="1447"/>
      <c r="O26" s="1454"/>
      <c r="P26" s="1455"/>
      <c r="Q26" s="1455"/>
      <c r="R26" s="1455"/>
      <c r="S26" s="963"/>
      <c r="T26" s="963"/>
      <c r="U26" s="1044"/>
      <c r="V26" s="1044"/>
      <c r="W26" s="1044"/>
      <c r="X26" s="1045"/>
      <c r="Y26" s="1045"/>
      <c r="Z26" s="1045"/>
      <c r="AA26" s="1461"/>
      <c r="AB26" s="1461"/>
      <c r="AC26" s="1446"/>
      <c r="AD26" s="1446"/>
      <c r="AE26" s="1446"/>
      <c r="AF26" s="1503"/>
      <c r="AG26" s="1503"/>
      <c r="AH26" s="1498"/>
      <c r="AI26" s="1498"/>
      <c r="AJ26" s="1498"/>
      <c r="AK26" s="1498"/>
      <c r="AL26" s="1498"/>
      <c r="AM26" s="1498"/>
      <c r="AN26" s="1498"/>
      <c r="AO26" s="1446"/>
      <c r="AP26" s="1446"/>
      <c r="AQ26" s="1446"/>
      <c r="AR26" s="1446"/>
      <c r="AS26" s="1446"/>
      <c r="AT26" s="1446"/>
      <c r="AU26" s="1446"/>
      <c r="AV26" s="1446"/>
      <c r="AW26" s="1446"/>
      <c r="AX26" s="1446"/>
      <c r="AY26" s="1446"/>
      <c r="AZ26" s="1446"/>
      <c r="BA26" s="1463"/>
      <c r="BB26" s="1463"/>
      <c r="BC26" s="1446"/>
      <c r="BD26" s="1446"/>
      <c r="BE26" s="1446"/>
      <c r="BF26" s="1446"/>
      <c r="BG26" s="1446"/>
      <c r="BH26" s="1498"/>
      <c r="BI26" s="1498"/>
      <c r="BJ26" s="1498"/>
      <c r="BK26" s="1498"/>
      <c r="BL26" s="1498"/>
      <c r="BM26" s="1498"/>
      <c r="BN26" s="1498"/>
      <c r="BO26" s="1498"/>
      <c r="CL26" s="1583" t="s">
        <v>3163</v>
      </c>
      <c r="CM26" s="1587"/>
      <c r="CN26" s="1587"/>
      <c r="CO26" s="1587"/>
      <c r="CP26" s="1583" t="s">
        <v>3164</v>
      </c>
      <c r="CQ26" s="1587"/>
      <c r="CR26" s="1587"/>
      <c r="CS26" s="1583"/>
      <c r="CT26" s="1583" t="s">
        <v>3165</v>
      </c>
      <c r="CX26" s="1495" t="s">
        <v>3064</v>
      </c>
      <c r="CZ26" s="1495" t="s">
        <v>1071</v>
      </c>
    </row>
    <row r="27" spans="1:106" x14ac:dyDescent="0.2">
      <c r="A27" s="1498"/>
      <c r="B27" s="1498"/>
      <c r="C27" s="480"/>
      <c r="D27" s="480"/>
      <c r="E27" s="1165"/>
      <c r="F27" s="1165"/>
      <c r="G27" s="480"/>
      <c r="H27" s="480"/>
      <c r="I27" s="963"/>
      <c r="J27" s="1044"/>
      <c r="K27" s="1039"/>
      <c r="L27" s="963"/>
      <c r="M27" s="963"/>
      <c r="N27" s="1447"/>
      <c r="O27" s="1454"/>
      <c r="P27" s="1455"/>
      <c r="Q27" s="1455"/>
      <c r="R27" s="1455"/>
      <c r="S27" s="963"/>
      <c r="T27" s="963"/>
      <c r="U27" s="1044"/>
      <c r="V27" s="1044"/>
      <c r="W27" s="1044"/>
      <c r="X27" s="1045"/>
      <c r="Y27" s="1045"/>
      <c r="Z27" s="1045"/>
      <c r="AA27" s="1461"/>
      <c r="AB27" s="1461"/>
      <c r="AC27" s="1446"/>
      <c r="AD27" s="1446"/>
      <c r="AE27" s="1446"/>
      <c r="AF27" s="1503"/>
      <c r="AG27" s="1503"/>
      <c r="AH27" s="1498"/>
      <c r="AI27" s="1498"/>
      <c r="AJ27" s="1498"/>
      <c r="AK27" s="1498"/>
      <c r="AL27" s="1498"/>
      <c r="AM27" s="1498"/>
      <c r="AN27" s="1498"/>
      <c r="AO27" s="1446"/>
      <c r="AP27" s="1446"/>
      <c r="AQ27" s="1446"/>
      <c r="AR27" s="1446"/>
      <c r="AS27" s="1446"/>
      <c r="AT27" s="1446"/>
      <c r="AU27" s="1446"/>
      <c r="AV27" s="1446"/>
      <c r="AW27" s="1446"/>
      <c r="AX27" s="1446"/>
      <c r="AY27" s="1446"/>
      <c r="AZ27" s="1446"/>
      <c r="BA27" s="1463"/>
      <c r="BB27" s="1463"/>
      <c r="BC27" s="1446"/>
      <c r="BD27" s="1446"/>
      <c r="BE27" s="1446"/>
      <c r="BF27" s="1446"/>
      <c r="BG27" s="1446"/>
      <c r="BH27" s="1498"/>
      <c r="BI27" s="1498"/>
      <c r="BJ27" s="1498"/>
      <c r="BK27" s="1498"/>
      <c r="BL27" s="1498"/>
      <c r="BM27" s="1585" t="s">
        <v>3166</v>
      </c>
      <c r="BN27" s="1585"/>
      <c r="BO27" s="1585"/>
      <c r="BP27" s="1584"/>
      <c r="BQ27" s="1588"/>
      <c r="BR27" s="1588"/>
      <c r="BS27" s="1588"/>
      <c r="CL27" s="1510" t="s">
        <v>3050</v>
      </c>
      <c r="CM27" s="1510" t="s">
        <v>1876</v>
      </c>
      <c r="CN27" s="1510">
        <f>SUMIF($E:$E,CM27,CO:CO)</f>
        <v>21446</v>
      </c>
      <c r="CO27" s="1589">
        <v>1</v>
      </c>
      <c r="CP27" s="1510" t="s">
        <v>3050</v>
      </c>
      <c r="CQ27" s="1510" t="s">
        <v>1876</v>
      </c>
      <c r="CR27" s="1510">
        <f>SUMIF($E$4:$E$20,CQ27,CR4:CR20)</f>
        <v>42345</v>
      </c>
      <c r="CS27" s="1495">
        <v>2</v>
      </c>
      <c r="CT27" s="1510" t="s">
        <v>3050</v>
      </c>
      <c r="CU27" s="1510" t="s">
        <v>1876</v>
      </c>
      <c r="CV27" s="1510">
        <f>SUMIF($E:$E,CU27,CU:CU)</f>
        <v>42345</v>
      </c>
      <c r="CW27" s="1495">
        <f>COUNTIF($E:$E,CU27)</f>
        <v>3</v>
      </c>
      <c r="CX27" s="1510">
        <f>SUMIF(E:E,CU27,CX:CX)</f>
        <v>42345</v>
      </c>
      <c r="CY27" s="1495">
        <v>2</v>
      </c>
      <c r="CZ27" s="1510">
        <f>SUMIF(E:E,CU27,CZ:CZ)</f>
        <v>45128.429218749996</v>
      </c>
    </row>
    <row r="28" spans="1:106" x14ac:dyDescent="0.2">
      <c r="A28" s="1498"/>
      <c r="B28" s="1498"/>
      <c r="C28" s="480"/>
      <c r="D28" s="480"/>
      <c r="E28" s="1165"/>
      <c r="F28" s="1165"/>
      <c r="G28" s="480"/>
      <c r="H28" s="480"/>
      <c r="I28" s="963"/>
      <c r="J28" s="1044"/>
      <c r="K28" s="1039"/>
      <c r="L28" s="963"/>
      <c r="M28" s="963"/>
      <c r="N28" s="1447"/>
      <c r="O28" s="1454"/>
      <c r="P28" s="1455"/>
      <c r="Q28" s="1455"/>
      <c r="R28" s="1455"/>
      <c r="S28" s="963"/>
      <c r="T28" s="963"/>
      <c r="U28" s="1044"/>
      <c r="V28" s="1044"/>
      <c r="W28" s="1044"/>
      <c r="X28" s="1045"/>
      <c r="Y28" s="1045"/>
      <c r="Z28" s="1045"/>
      <c r="AA28" s="1461"/>
      <c r="AB28" s="1461"/>
      <c r="AC28" s="1446"/>
      <c r="AD28" s="1446"/>
      <c r="AE28" s="1446"/>
      <c r="AF28" s="1503"/>
      <c r="AG28" s="1503"/>
      <c r="AH28" s="1498"/>
      <c r="AI28" s="1498"/>
      <c r="AJ28" s="1498"/>
      <c r="AK28" s="1498"/>
      <c r="AL28" s="1498"/>
      <c r="AM28" s="1498"/>
      <c r="AN28" s="1498"/>
      <c r="AO28" s="1446"/>
      <c r="AP28" s="1446"/>
      <c r="AQ28" s="1446"/>
      <c r="AR28" s="1446"/>
      <c r="AS28" s="1446"/>
      <c r="AT28" s="1446"/>
      <c r="AU28" s="1446"/>
      <c r="AV28" s="1446"/>
      <c r="AW28" s="1446"/>
      <c r="AX28" s="1446"/>
      <c r="AY28" s="1446"/>
      <c r="AZ28" s="1446"/>
      <c r="BA28" s="1463"/>
      <c r="BB28" s="1463"/>
      <c r="BC28" s="1446"/>
      <c r="BD28" s="1446"/>
      <c r="BE28" s="1446"/>
      <c r="BF28" s="1446"/>
      <c r="BG28" s="1446"/>
      <c r="BH28" s="1498"/>
      <c r="BI28" s="1498"/>
      <c r="BJ28" s="1498"/>
      <c r="BK28" s="1498"/>
      <c r="BL28" s="1498"/>
      <c r="BM28" s="1498"/>
      <c r="BN28" s="1498"/>
      <c r="BO28" s="1498"/>
      <c r="CL28" s="1510" t="s">
        <v>3167</v>
      </c>
      <c r="CM28" s="1510" t="s">
        <v>1606</v>
      </c>
      <c r="CN28" s="1510">
        <f>SUMIF($E:$E,CM28,CO:CO)</f>
        <v>173539.40000000002</v>
      </c>
      <c r="CO28" s="1589">
        <v>11</v>
      </c>
      <c r="CP28" s="1510" t="s">
        <v>3167</v>
      </c>
      <c r="CQ28" s="1510" t="s">
        <v>1606</v>
      </c>
      <c r="CR28" s="1510">
        <f>SUMIF($E$4:$E$20,CQ28,CR4:CR20)</f>
        <v>186849.03</v>
      </c>
      <c r="CS28" s="1495">
        <v>12</v>
      </c>
      <c r="CT28" s="1510" t="s">
        <v>3167</v>
      </c>
      <c r="CU28" s="1510" t="s">
        <v>1606</v>
      </c>
      <c r="CV28" s="1510">
        <f>SUMIF($E:$E,CU28,CU:CU)</f>
        <v>186849.03</v>
      </c>
      <c r="CW28" s="1495">
        <v>12</v>
      </c>
      <c r="CX28" s="1510">
        <f>SUMIF(E:E,CU28,CX:CX)</f>
        <v>186849.03</v>
      </c>
      <c r="CY28" s="1495">
        <v>12</v>
      </c>
      <c r="CZ28" s="1510">
        <f>SUMIF(E:E,CU28,CZ:CZ)</f>
        <v>186849.03</v>
      </c>
    </row>
    <row r="29" spans="1:106" ht="13.5" thickBot="1" x14ac:dyDescent="0.25">
      <c r="A29" s="1498"/>
      <c r="B29" s="1498"/>
      <c r="C29" s="480"/>
      <c r="D29" s="480"/>
      <c r="E29" s="1165"/>
      <c r="F29" s="1165"/>
      <c r="G29" s="480"/>
      <c r="H29" s="480"/>
      <c r="I29" s="963"/>
      <c r="J29" s="1044"/>
      <c r="K29" s="1039"/>
      <c r="L29" s="963"/>
      <c r="M29" s="963"/>
      <c r="N29" s="1447"/>
      <c r="O29" s="1454"/>
      <c r="P29" s="1455"/>
      <c r="Q29" s="1455"/>
      <c r="R29" s="1455"/>
      <c r="S29" s="963"/>
      <c r="T29" s="963"/>
      <c r="U29" s="1044"/>
      <c r="V29" s="1044"/>
      <c r="W29" s="1044"/>
      <c r="X29" s="1045"/>
      <c r="Y29" s="1045"/>
      <c r="Z29" s="1045"/>
      <c r="AA29" s="1461"/>
      <c r="AB29" s="1461"/>
      <c r="AC29" s="1446"/>
      <c r="AD29" s="1446"/>
      <c r="AE29" s="1446"/>
      <c r="AF29" s="1503"/>
      <c r="AG29" s="1503"/>
      <c r="AH29" s="1498"/>
      <c r="AI29" s="1498"/>
      <c r="AJ29" s="1498"/>
      <c r="AK29" s="1498"/>
      <c r="AL29" s="1498"/>
      <c r="AM29" s="1498"/>
      <c r="AN29" s="1498"/>
      <c r="AO29" s="1446"/>
      <c r="AP29" s="1446"/>
      <c r="AQ29" s="1446"/>
      <c r="AR29" s="1446"/>
      <c r="AS29" s="1446"/>
      <c r="AT29" s="1446"/>
      <c r="AU29" s="1446"/>
      <c r="AV29" s="1446"/>
      <c r="AW29" s="1446"/>
      <c r="AX29" s="1446"/>
      <c r="AY29" s="1446"/>
      <c r="AZ29" s="1446"/>
      <c r="BA29" s="1463"/>
      <c r="BB29" s="1463"/>
      <c r="BC29" s="1446"/>
      <c r="BD29" s="1446"/>
      <c r="BE29" s="1446"/>
      <c r="BF29" s="1446"/>
      <c r="BG29" s="1446"/>
      <c r="BH29" s="1498"/>
      <c r="BI29" s="1498"/>
      <c r="BJ29" s="1498"/>
      <c r="BK29" s="1498"/>
      <c r="BL29" s="1498"/>
      <c r="BM29" s="1498"/>
      <c r="BN29" s="1498"/>
      <c r="BO29" s="1498"/>
      <c r="BT29" s="1590"/>
      <c r="CM29" s="1510"/>
      <c r="CN29" s="1510"/>
      <c r="CO29" s="1589">
        <f>SUM(CO27:CO28)</f>
        <v>12</v>
      </c>
      <c r="CR29" s="1552">
        <f>SUBTOTAL(9,CR27:CR28)</f>
        <v>229194.03</v>
      </c>
      <c r="CS29" s="1542">
        <f>SUBTOTAL(9,CS27:CS28)</f>
        <v>14</v>
      </c>
      <c r="CV29" s="1552">
        <f>SUM(CV27:CV28)</f>
        <v>229194.03</v>
      </c>
      <c r="CW29" s="1542">
        <f>SUM(CW27:CW28)</f>
        <v>15</v>
      </c>
      <c r="CX29" s="1552">
        <f>SUM(CX27:CX28)</f>
        <v>229194.03</v>
      </c>
      <c r="CY29" s="1495"/>
      <c r="CZ29" s="1552">
        <f>CZ27+CZ28</f>
        <v>231977.45921875001</v>
      </c>
      <c r="DB29" s="1510"/>
    </row>
    <row r="30" spans="1:106" ht="13.5" thickTop="1" x14ac:dyDescent="0.2">
      <c r="A30" s="1498"/>
      <c r="B30" s="1498"/>
      <c r="C30" s="480"/>
      <c r="D30" s="480"/>
      <c r="E30" s="1165"/>
      <c r="F30" s="1165"/>
      <c r="G30" s="480"/>
      <c r="H30" s="480"/>
      <c r="I30" s="963"/>
      <c r="J30" s="1044"/>
      <c r="K30" s="1039"/>
      <c r="L30" s="963"/>
      <c r="M30" s="963"/>
      <c r="N30" s="1447"/>
      <c r="O30" s="1454"/>
      <c r="P30" s="1455"/>
      <c r="Q30" s="1455"/>
      <c r="R30" s="1455"/>
      <c r="S30" s="963"/>
      <c r="T30" s="1498"/>
      <c r="U30" s="1591"/>
      <c r="V30" s="1591"/>
      <c r="W30" s="1591"/>
      <c r="X30" s="1592"/>
      <c r="Y30" s="1592"/>
      <c r="Z30" s="1592"/>
      <c r="AA30" s="1446"/>
      <c r="AB30" s="1461"/>
      <c r="AC30" s="1446"/>
      <c r="AH30" s="1498"/>
      <c r="AI30" s="1498"/>
      <c r="AJ30" s="1498"/>
      <c r="AK30" s="1498"/>
      <c r="AL30" s="1498"/>
      <c r="AM30" s="1498"/>
      <c r="AN30" s="1498"/>
      <c r="AO30" s="1446"/>
      <c r="AP30" s="1446"/>
      <c r="AQ30" s="1446"/>
      <c r="AR30" s="1446"/>
      <c r="AS30" s="1446"/>
      <c r="AT30" s="1446"/>
      <c r="AU30" s="1446"/>
      <c r="AV30" s="1446"/>
      <c r="AW30" s="1446"/>
      <c r="AX30" s="1446"/>
      <c r="AY30" s="1446"/>
      <c r="AZ30" s="1446"/>
      <c r="BA30" s="1463"/>
      <c r="BB30" s="1463"/>
      <c r="BC30" s="1446"/>
      <c r="BD30" s="1446"/>
      <c r="BE30" s="1446"/>
      <c r="BF30" s="1446"/>
      <c r="BG30" s="1446"/>
      <c r="BH30" s="1498"/>
      <c r="BI30" s="1498"/>
      <c r="BJ30" s="1498"/>
      <c r="BK30" s="1498"/>
      <c r="BL30" s="1498"/>
      <c r="BM30" s="1498"/>
      <c r="BN30" s="1498"/>
      <c r="BO30" s="1498"/>
    </row>
    <row r="31" spans="1:106" x14ac:dyDescent="0.2">
      <c r="A31" s="1498"/>
      <c r="B31" s="1498"/>
      <c r="C31" s="480"/>
      <c r="D31" s="480"/>
      <c r="E31" s="1165"/>
      <c r="F31" s="1165"/>
      <c r="G31" s="480"/>
      <c r="H31" s="480"/>
      <c r="I31" s="963"/>
      <c r="J31" s="1044"/>
      <c r="K31" s="1039"/>
      <c r="L31" s="963"/>
      <c r="M31" s="963"/>
      <c r="N31" s="1447"/>
      <c r="O31" s="1454"/>
      <c r="P31" s="1455"/>
      <c r="Q31" s="1455"/>
      <c r="R31" s="1455"/>
      <c r="S31" s="963"/>
      <c r="T31" s="963"/>
      <c r="U31" s="1044"/>
      <c r="V31" s="1044"/>
      <c r="W31" s="1044"/>
      <c r="X31" s="1045"/>
      <c r="Y31" s="1045"/>
      <c r="Z31" s="1045"/>
      <c r="AA31" s="1461"/>
      <c r="AB31" s="1461"/>
      <c r="AC31" s="1446"/>
      <c r="AD31" s="1446"/>
      <c r="AE31" s="1446"/>
      <c r="AF31" s="1503"/>
      <c r="AG31" s="1503"/>
      <c r="AH31" s="1498"/>
      <c r="AI31" s="1498"/>
      <c r="AJ31" s="1498"/>
      <c r="AK31" s="1498"/>
      <c r="AL31" s="1498"/>
      <c r="AM31" s="1498"/>
      <c r="AN31" s="1498"/>
      <c r="AO31" s="1446"/>
      <c r="AP31" s="1446"/>
      <c r="AQ31" s="1446"/>
      <c r="AR31" s="1446"/>
      <c r="AS31" s="1446"/>
      <c r="AT31" s="1446"/>
      <c r="AU31" s="1446"/>
      <c r="AV31" s="1446"/>
      <c r="AW31" s="1446"/>
      <c r="AX31" s="1446"/>
      <c r="AY31" s="1446"/>
      <c r="AZ31" s="1446"/>
      <c r="BA31" s="1463"/>
      <c r="BB31" s="1463"/>
      <c r="BC31" s="1446"/>
      <c r="BD31" s="1446"/>
      <c r="BE31" s="1446"/>
      <c r="BF31" s="1446"/>
      <c r="BG31" s="1446"/>
      <c r="BH31" s="1498"/>
      <c r="BI31" s="1498"/>
      <c r="BJ31" s="1498"/>
      <c r="BK31" s="1498"/>
      <c r="BL31" s="1498"/>
      <c r="BM31" s="1498"/>
      <c r="BN31" s="1498"/>
      <c r="BO31" s="1498"/>
    </row>
    <row r="32" spans="1:106" x14ac:dyDescent="0.2">
      <c r="A32" s="1498"/>
      <c r="B32" s="480"/>
      <c r="C32" s="480"/>
      <c r="D32" s="480"/>
      <c r="E32" s="1165"/>
      <c r="F32" s="1165"/>
      <c r="G32" s="480"/>
      <c r="H32" s="480"/>
      <c r="I32" s="1038"/>
      <c r="J32" s="1044"/>
      <c r="K32" s="1039"/>
      <c r="L32" s="963"/>
      <c r="M32" s="963"/>
      <c r="N32" s="1593"/>
      <c r="O32" s="1454"/>
      <c r="P32" s="1455"/>
      <c r="Q32" s="1455"/>
      <c r="R32" s="1455"/>
      <c r="S32" s="1475"/>
      <c r="T32" s="1475"/>
      <c r="U32" s="1501"/>
      <c r="V32" s="1501"/>
      <c r="W32" s="1501"/>
      <c r="X32" s="1502"/>
      <c r="Y32" s="1502"/>
      <c r="Z32" s="1502"/>
      <c r="AA32" s="1461"/>
      <c r="AB32" s="1461"/>
      <c r="AC32" s="1446"/>
      <c r="AD32" s="1446"/>
      <c r="AE32" s="1446"/>
      <c r="AF32" s="1503"/>
      <c r="AG32" s="1503"/>
      <c r="AH32" s="1498"/>
      <c r="AI32" s="1498"/>
      <c r="AJ32" s="1498"/>
      <c r="AK32" s="1498"/>
      <c r="AL32" s="1498"/>
      <c r="AM32" s="1498"/>
      <c r="AN32" s="1498"/>
      <c r="AO32" s="1446"/>
      <c r="AP32" s="1446"/>
      <c r="AQ32" s="1446"/>
      <c r="AR32" s="1446"/>
      <c r="AS32" s="1446"/>
      <c r="AT32" s="1446"/>
      <c r="AU32" s="1446"/>
      <c r="AV32" s="1446"/>
      <c r="AW32" s="1446"/>
      <c r="AX32" s="1446"/>
      <c r="AY32" s="1446"/>
      <c r="AZ32" s="1446"/>
      <c r="BA32" s="1463"/>
      <c r="BB32" s="1463"/>
      <c r="BC32" s="1446"/>
      <c r="BD32" s="1446"/>
      <c r="BE32" s="1446"/>
      <c r="BF32" s="1446"/>
      <c r="BG32" s="1446"/>
      <c r="BH32" s="1498"/>
      <c r="BI32" s="1498"/>
      <c r="BJ32" s="1498"/>
      <c r="BK32" s="1498"/>
      <c r="BL32" s="1498"/>
      <c r="BM32" s="1498"/>
      <c r="BN32" s="1498"/>
      <c r="BO32" s="1498"/>
      <c r="CP32" s="1495" t="s">
        <v>3168</v>
      </c>
      <c r="CR32" s="1510">
        <v>-2525.37</v>
      </c>
      <c r="CS32" s="1495">
        <v>2</v>
      </c>
    </row>
    <row r="33" spans="1:97" x14ac:dyDescent="0.2">
      <c r="A33" s="1498"/>
      <c r="B33" s="480"/>
      <c r="C33" s="480"/>
      <c r="D33" s="480"/>
      <c r="E33" s="1165"/>
      <c r="F33" s="1165"/>
      <c r="G33" s="480"/>
      <c r="H33" s="480"/>
      <c r="I33" s="1038"/>
      <c r="J33" s="1044"/>
      <c r="K33" s="1039"/>
      <c r="L33" s="963"/>
      <c r="M33" s="963"/>
      <c r="N33" s="1594"/>
      <c r="O33" s="1454"/>
      <c r="P33" s="1455"/>
      <c r="Q33" s="1455"/>
      <c r="R33" s="1455"/>
      <c r="S33" s="1475"/>
      <c r="T33" s="1475"/>
      <c r="U33" s="1501"/>
      <c r="V33" s="1501"/>
      <c r="W33" s="1501"/>
      <c r="X33" s="1502"/>
      <c r="Y33" s="1502"/>
      <c r="Z33" s="1502"/>
      <c r="AA33" s="1461"/>
      <c r="AB33" s="1461"/>
      <c r="AC33" s="1446"/>
      <c r="AD33" s="1446"/>
      <c r="AE33" s="1446"/>
      <c r="AF33" s="1503"/>
      <c r="AG33" s="1503"/>
      <c r="AH33" s="1498"/>
      <c r="AI33" s="1498"/>
      <c r="AJ33" s="1498"/>
      <c r="AK33" s="1498"/>
      <c r="AL33" s="1498"/>
      <c r="AM33" s="1498"/>
      <c r="AN33" s="1498"/>
      <c r="AO33" s="1446"/>
      <c r="AP33" s="1446"/>
      <c r="AQ33" s="1446"/>
      <c r="AR33" s="1446"/>
      <c r="AS33" s="1446"/>
      <c r="AT33" s="1446"/>
      <c r="AU33" s="1446"/>
      <c r="AV33" s="1446"/>
      <c r="AW33" s="1446"/>
      <c r="AX33" s="1446"/>
      <c r="AY33" s="1446"/>
      <c r="AZ33" s="1446"/>
      <c r="BA33" s="1463"/>
      <c r="BB33" s="1463"/>
      <c r="BC33" s="1446"/>
      <c r="BD33" s="1446"/>
      <c r="BE33" s="1446"/>
      <c r="BF33" s="1446"/>
      <c r="BG33" s="1446"/>
      <c r="BH33" s="1498"/>
      <c r="BI33" s="1498"/>
      <c r="BJ33" s="1498"/>
      <c r="BK33" s="1498"/>
      <c r="BL33" s="1498"/>
      <c r="BM33" s="1498"/>
      <c r="BN33" s="1498"/>
      <c r="BO33" s="1498"/>
      <c r="CP33" s="1495" t="s">
        <v>3169</v>
      </c>
      <c r="CR33" s="1510">
        <v>36734</v>
      </c>
      <c r="CS33" s="1495">
        <v>2</v>
      </c>
    </row>
    <row r="34" spans="1:97" x14ac:dyDescent="0.2">
      <c r="A34" s="1498"/>
      <c r="B34" s="480"/>
      <c r="C34" s="480"/>
      <c r="D34" s="480"/>
      <c r="E34" s="1165"/>
      <c r="F34" s="1165"/>
      <c r="G34" s="480"/>
      <c r="H34" s="480"/>
      <c r="I34" s="1038"/>
      <c r="J34" s="1044"/>
      <c r="K34" s="1039"/>
      <c r="L34" s="963"/>
      <c r="M34" s="963"/>
      <c r="N34" s="1594"/>
      <c r="O34" s="1454"/>
      <c r="P34" s="1455"/>
      <c r="Q34" s="1455"/>
      <c r="R34" s="1455"/>
      <c r="S34" s="1475"/>
      <c r="T34" s="1475"/>
      <c r="U34" s="1501"/>
      <c r="V34" s="1501"/>
      <c r="W34" s="1501"/>
      <c r="X34" s="1502"/>
      <c r="Y34" s="1502"/>
      <c r="Z34" s="1502"/>
      <c r="AA34" s="1461"/>
      <c r="AB34" s="1461"/>
      <c r="AC34" s="1446"/>
      <c r="AD34" s="1446"/>
      <c r="AE34" s="1446"/>
      <c r="AF34" s="1503"/>
      <c r="AG34" s="1503"/>
      <c r="AH34" s="1498"/>
      <c r="AI34" s="1498"/>
      <c r="AJ34" s="1498"/>
      <c r="AK34" s="1498"/>
      <c r="AL34" s="1498"/>
      <c r="AM34" s="1498"/>
      <c r="AN34" s="1498"/>
      <c r="AO34" s="1446"/>
      <c r="AP34" s="1446"/>
      <c r="AQ34" s="1446"/>
      <c r="AR34" s="1446"/>
      <c r="AS34" s="1446"/>
      <c r="AT34" s="1446"/>
      <c r="AU34" s="1446"/>
      <c r="AV34" s="1446"/>
      <c r="AW34" s="1446"/>
      <c r="AX34" s="1446"/>
      <c r="AY34" s="1446"/>
      <c r="AZ34" s="1446"/>
      <c r="BA34" s="1463"/>
      <c r="BB34" s="1463"/>
      <c r="BC34" s="1446"/>
      <c r="BD34" s="1446"/>
      <c r="BE34" s="1446"/>
      <c r="BF34" s="1446"/>
      <c r="BG34" s="1446"/>
      <c r="BH34" s="1498"/>
      <c r="BI34" s="1498"/>
      <c r="BJ34" s="1498"/>
      <c r="BK34" s="1498"/>
      <c r="BL34" s="1498"/>
      <c r="BM34" s="1498"/>
      <c r="BN34" s="1498"/>
      <c r="BO34" s="1498"/>
      <c r="CR34" s="1510">
        <f>SUBTOTAL(9,CR32:CR33)</f>
        <v>34208.629999999997</v>
      </c>
    </row>
    <row r="35" spans="1:97" x14ac:dyDescent="0.2">
      <c r="A35" s="1498"/>
      <c r="B35" s="480"/>
      <c r="C35" s="480"/>
      <c r="D35" s="480"/>
      <c r="E35" s="1165"/>
      <c r="F35" s="1165"/>
      <c r="G35" s="480"/>
      <c r="H35" s="480"/>
      <c r="I35" s="1038"/>
      <c r="J35" s="1044"/>
      <c r="K35" s="1039"/>
      <c r="L35" s="963"/>
      <c r="M35" s="963"/>
      <c r="N35" s="1593"/>
      <c r="O35" s="1454"/>
      <c r="P35" s="1455"/>
      <c r="Q35" s="1455"/>
      <c r="R35" s="1455"/>
      <c r="S35" s="1475"/>
      <c r="T35" s="1475"/>
      <c r="U35" s="1501"/>
      <c r="V35" s="1501"/>
      <c r="W35" s="1501"/>
      <c r="X35" s="1502"/>
      <c r="Y35" s="1502"/>
      <c r="Z35" s="1502"/>
      <c r="AA35" s="1461"/>
      <c r="AB35" s="1461"/>
      <c r="AC35" s="1446"/>
      <c r="AD35" s="1446"/>
      <c r="AE35" s="1446"/>
      <c r="AF35" s="1503"/>
      <c r="AG35" s="1503"/>
      <c r="AH35" s="1498"/>
      <c r="AI35" s="1498"/>
      <c r="AJ35" s="1498"/>
      <c r="AK35" s="1498"/>
      <c r="AL35" s="1498"/>
      <c r="AM35" s="1498"/>
      <c r="AN35" s="1498"/>
      <c r="AO35" s="1446"/>
      <c r="AP35" s="1446"/>
      <c r="AQ35" s="1446"/>
      <c r="AR35" s="1446"/>
      <c r="AS35" s="1446"/>
      <c r="AT35" s="1446"/>
      <c r="AU35" s="1446"/>
      <c r="AV35" s="1446"/>
      <c r="AW35" s="1446"/>
      <c r="AX35" s="1446"/>
      <c r="AY35" s="1446"/>
      <c r="AZ35" s="1446"/>
      <c r="BA35" s="1463"/>
      <c r="BB35" s="1463"/>
      <c r="BC35" s="1446"/>
      <c r="BD35" s="1446"/>
      <c r="BE35" s="1446"/>
      <c r="BF35" s="1446"/>
      <c r="BG35" s="1446"/>
      <c r="BH35" s="1498"/>
      <c r="BI35" s="1498"/>
      <c r="BJ35" s="1498"/>
      <c r="BK35" s="1498"/>
      <c r="BL35" s="1498"/>
      <c r="BM35" s="1498"/>
      <c r="BN35" s="1498"/>
      <c r="BO35" s="1498"/>
    </row>
    <row r="36" spans="1:97" x14ac:dyDescent="0.2">
      <c r="A36" s="1498"/>
      <c r="B36" s="480"/>
      <c r="C36" s="480"/>
      <c r="D36" s="480"/>
      <c r="E36" s="1165"/>
      <c r="F36" s="1165"/>
      <c r="G36" s="480"/>
      <c r="H36" s="480"/>
      <c r="I36" s="1038"/>
      <c r="J36" s="1044"/>
      <c r="K36" s="1039"/>
      <c r="L36" s="963"/>
      <c r="M36" s="963"/>
      <c r="N36" s="1447"/>
      <c r="O36" s="1454"/>
      <c r="P36" s="1455"/>
      <c r="Q36" s="1455"/>
      <c r="R36" s="1455"/>
      <c r="S36" s="1475"/>
      <c r="T36" s="1475"/>
      <c r="U36" s="1501"/>
      <c r="V36" s="1501"/>
      <c r="W36" s="1501"/>
      <c r="X36" s="1502"/>
      <c r="Y36" s="1502"/>
      <c r="Z36" s="1502"/>
      <c r="AA36" s="1461"/>
      <c r="AB36" s="1461"/>
      <c r="AC36" s="1446"/>
      <c r="AD36" s="1446"/>
      <c r="AE36" s="1446"/>
      <c r="AF36" s="1503"/>
      <c r="AG36" s="1503"/>
      <c r="AH36" s="1498"/>
      <c r="AI36" s="1498"/>
      <c r="AJ36" s="1498"/>
      <c r="AK36" s="1498"/>
      <c r="AL36" s="1498"/>
      <c r="AM36" s="1498"/>
      <c r="AN36" s="1498"/>
      <c r="AO36" s="1446"/>
      <c r="AP36" s="1446"/>
      <c r="AQ36" s="1446"/>
      <c r="AR36" s="1446"/>
      <c r="AS36" s="1446"/>
      <c r="AT36" s="1446"/>
      <c r="AU36" s="1446"/>
      <c r="AV36" s="1446"/>
      <c r="AW36" s="1446"/>
      <c r="AX36" s="1446"/>
      <c r="AY36" s="1446"/>
      <c r="AZ36" s="1446"/>
      <c r="BA36" s="1463"/>
      <c r="BB36" s="1463"/>
      <c r="BC36" s="1446"/>
      <c r="BD36" s="1446"/>
      <c r="BE36" s="1446"/>
      <c r="BF36" s="1446"/>
      <c r="BG36" s="1446"/>
      <c r="BH36" s="1498"/>
      <c r="BI36" s="1498"/>
      <c r="BJ36" s="1498"/>
      <c r="BK36" s="1498"/>
      <c r="BL36" s="1498"/>
      <c r="BM36" s="1498"/>
      <c r="BN36" s="1498"/>
      <c r="BO36" s="1498"/>
    </row>
    <row r="37" spans="1:97" x14ac:dyDescent="0.2">
      <c r="A37" s="1498"/>
      <c r="B37" s="480"/>
      <c r="C37" s="480"/>
      <c r="D37" s="480"/>
      <c r="E37" s="1165"/>
      <c r="F37" s="1165"/>
      <c r="G37" s="480"/>
      <c r="H37" s="480"/>
      <c r="I37" s="1038"/>
      <c r="J37" s="1044"/>
      <c r="K37" s="1039"/>
      <c r="L37" s="963"/>
      <c r="M37" s="963"/>
      <c r="N37" s="1449"/>
      <c r="O37" s="1454"/>
      <c r="P37" s="1455"/>
      <c r="Q37" s="1455"/>
      <c r="R37" s="1455"/>
      <c r="S37" s="1475"/>
      <c r="T37" s="1475"/>
      <c r="U37" s="1501"/>
      <c r="V37" s="1501"/>
      <c r="W37" s="1501"/>
      <c r="X37" s="1502"/>
      <c r="Y37" s="1502"/>
      <c r="Z37" s="1502"/>
      <c r="AA37" s="1461"/>
      <c r="AB37" s="1461"/>
      <c r="AC37" s="1446"/>
      <c r="AD37" s="1446"/>
      <c r="AE37" s="1446"/>
      <c r="AF37" s="1503"/>
      <c r="AG37" s="1503"/>
      <c r="AH37" s="1498"/>
      <c r="AI37" s="1498"/>
      <c r="AJ37" s="1498"/>
      <c r="AK37" s="1498"/>
      <c r="AL37" s="1498"/>
      <c r="AM37" s="1498"/>
      <c r="AN37" s="1498"/>
      <c r="AO37" s="1446"/>
      <c r="AP37" s="1446"/>
      <c r="AQ37" s="1446"/>
      <c r="AR37" s="1446"/>
      <c r="AS37" s="1446"/>
      <c r="AT37" s="1446"/>
      <c r="AU37" s="1446"/>
      <c r="AV37" s="1446"/>
      <c r="AW37" s="1446"/>
      <c r="AX37" s="1446"/>
      <c r="AY37" s="1446"/>
      <c r="AZ37" s="1446"/>
      <c r="BA37" s="1463"/>
      <c r="BB37" s="1463"/>
      <c r="BC37" s="1446"/>
      <c r="BD37" s="1446"/>
      <c r="BE37" s="1446"/>
      <c r="BF37" s="1446"/>
      <c r="BG37" s="1446"/>
      <c r="BH37" s="1498"/>
      <c r="BI37" s="1498"/>
      <c r="BJ37" s="1498"/>
      <c r="BK37" s="1498"/>
      <c r="BL37" s="1498"/>
      <c r="BM37" s="1498"/>
      <c r="BN37" s="1498"/>
      <c r="BO37" s="1498"/>
    </row>
    <row r="38" spans="1:97" x14ac:dyDescent="0.2">
      <c r="A38" s="1498"/>
      <c r="B38" s="480"/>
      <c r="C38" s="480"/>
      <c r="D38" s="480"/>
      <c r="E38" s="1165"/>
      <c r="F38" s="1165"/>
      <c r="G38" s="480"/>
      <c r="H38" s="480"/>
      <c r="I38" s="1038"/>
      <c r="J38" s="1044"/>
      <c r="K38" s="1039"/>
      <c r="L38" s="963"/>
      <c r="M38" s="963"/>
      <c r="N38" s="1447"/>
      <c r="O38" s="1454"/>
      <c r="P38" s="1455"/>
      <c r="Q38" s="1455"/>
      <c r="R38" s="1455"/>
      <c r="S38" s="1475"/>
      <c r="T38" s="1475"/>
      <c r="U38" s="1501"/>
      <c r="V38" s="1501"/>
      <c r="W38" s="1501"/>
      <c r="X38" s="1502"/>
      <c r="Y38" s="1502"/>
      <c r="Z38" s="1502"/>
      <c r="AA38" s="1461"/>
      <c r="AB38" s="1461"/>
      <c r="AC38" s="1446"/>
      <c r="AD38" s="1446"/>
      <c r="AE38" s="1446"/>
      <c r="AF38" s="1503"/>
      <c r="AG38" s="1503"/>
      <c r="AH38" s="1498"/>
      <c r="AI38" s="1498"/>
      <c r="AJ38" s="1498"/>
      <c r="AK38" s="1498"/>
      <c r="AL38" s="1498"/>
      <c r="AM38" s="1498"/>
      <c r="AN38" s="1498"/>
      <c r="AO38" s="1446"/>
      <c r="AP38" s="1446"/>
      <c r="AQ38" s="1446"/>
      <c r="AR38" s="1446"/>
      <c r="AS38" s="1446"/>
      <c r="AT38" s="1446"/>
      <c r="AU38" s="1446"/>
      <c r="AV38" s="1446"/>
      <c r="AW38" s="1446"/>
      <c r="AX38" s="1446"/>
      <c r="AY38" s="1446"/>
      <c r="AZ38" s="1446"/>
      <c r="BA38" s="1463"/>
      <c r="BB38" s="1463"/>
      <c r="BC38" s="1446"/>
      <c r="BD38" s="1446"/>
      <c r="BE38" s="1446"/>
      <c r="BF38" s="1446"/>
      <c r="BG38" s="1446"/>
      <c r="BH38" s="1498"/>
      <c r="BI38" s="1498"/>
      <c r="BJ38" s="1498"/>
      <c r="BK38" s="1498"/>
      <c r="BL38" s="1498"/>
      <c r="BM38" s="1498"/>
      <c r="BN38" s="1498"/>
      <c r="BO38" s="1498"/>
    </row>
    <row r="39" spans="1:97" x14ac:dyDescent="0.2">
      <c r="A39" s="1498"/>
      <c r="B39" s="480"/>
      <c r="C39" s="480"/>
      <c r="D39" s="480"/>
      <c r="E39" s="1165"/>
      <c r="F39" s="1165"/>
      <c r="G39" s="480"/>
      <c r="H39" s="480"/>
      <c r="I39" s="963"/>
      <c r="J39" s="1044"/>
      <c r="K39" s="1039"/>
      <c r="L39" s="963"/>
      <c r="M39" s="963"/>
      <c r="N39" s="1447"/>
      <c r="O39" s="1454"/>
      <c r="P39" s="1455"/>
      <c r="Q39" s="1455"/>
      <c r="R39" s="1455"/>
      <c r="S39" s="1475"/>
      <c r="T39" s="1475"/>
      <c r="U39" s="1501"/>
      <c r="V39" s="1501"/>
      <c r="W39" s="1501"/>
      <c r="X39" s="1502"/>
      <c r="Y39" s="1502"/>
      <c r="Z39" s="1502"/>
      <c r="AA39" s="1461"/>
      <c r="AB39" s="1461"/>
      <c r="AC39" s="1446"/>
      <c r="AD39" s="1446"/>
      <c r="AE39" s="1446"/>
      <c r="AF39" s="1503"/>
      <c r="AG39" s="1503"/>
      <c r="AH39" s="1498"/>
      <c r="AI39" s="1498"/>
      <c r="AJ39" s="1498"/>
      <c r="AK39" s="1498"/>
      <c r="AL39" s="1498"/>
      <c r="AM39" s="1498"/>
      <c r="AN39" s="1498"/>
      <c r="AO39" s="1446"/>
      <c r="AP39" s="1446"/>
      <c r="AQ39" s="1446"/>
      <c r="AR39" s="1446"/>
      <c r="AS39" s="1446"/>
      <c r="AT39" s="1446"/>
      <c r="AU39" s="1446"/>
      <c r="AV39" s="1446"/>
      <c r="AW39" s="1446"/>
      <c r="AX39" s="1446"/>
      <c r="AY39" s="1446"/>
      <c r="AZ39" s="1446"/>
      <c r="BA39" s="1463"/>
      <c r="BB39" s="1595"/>
      <c r="BC39" s="1446"/>
      <c r="BD39" s="1446"/>
      <c r="BE39" s="1446"/>
      <c r="BF39" s="1446"/>
      <c r="BG39" s="1446"/>
      <c r="BH39" s="1498"/>
      <c r="BI39" s="1498"/>
      <c r="BJ39" s="1498"/>
      <c r="BK39" s="1498"/>
      <c r="BL39" s="1498"/>
      <c r="BM39" s="1498"/>
      <c r="BN39" s="1498"/>
      <c r="BO39" s="1498"/>
    </row>
    <row r="40" spans="1:97" x14ac:dyDescent="0.2">
      <c r="A40" s="1498"/>
      <c r="B40" s="480"/>
      <c r="C40" s="480"/>
      <c r="D40" s="480"/>
      <c r="E40" s="1165"/>
      <c r="F40" s="1165"/>
      <c r="G40" s="480"/>
      <c r="H40" s="480"/>
      <c r="I40" s="963"/>
      <c r="J40" s="1044"/>
      <c r="K40" s="1039"/>
      <c r="L40" s="963"/>
      <c r="M40" s="963"/>
      <c r="N40" s="1447"/>
      <c r="O40" s="1454"/>
      <c r="P40" s="1455"/>
      <c r="Q40" s="1455"/>
      <c r="R40" s="1455"/>
      <c r="S40" s="963"/>
      <c r="T40" s="963"/>
      <c r="U40" s="1044"/>
      <c r="V40" s="1044"/>
      <c r="W40" s="1044"/>
      <c r="X40" s="1045"/>
      <c r="Y40" s="1045"/>
      <c r="Z40" s="1045"/>
      <c r="AA40" s="1461"/>
      <c r="AB40" s="1461"/>
      <c r="AC40" s="1446"/>
      <c r="AD40" s="1446"/>
      <c r="AE40" s="1446"/>
      <c r="AF40" s="1503"/>
      <c r="AG40" s="1503"/>
      <c r="AH40" s="1498"/>
      <c r="AI40" s="1498"/>
      <c r="AJ40" s="1498"/>
      <c r="AK40" s="1498"/>
      <c r="AL40" s="1498"/>
      <c r="AM40" s="1498"/>
      <c r="AN40" s="1498"/>
      <c r="AO40" s="1446"/>
      <c r="AP40" s="1446"/>
      <c r="AQ40" s="1446"/>
      <c r="AR40" s="1446"/>
      <c r="AS40" s="1446"/>
      <c r="AT40" s="1446"/>
      <c r="AU40" s="1446"/>
      <c r="AV40" s="1446"/>
      <c r="AW40" s="1446"/>
      <c r="AX40" s="1446"/>
      <c r="AY40" s="1446"/>
      <c r="AZ40" s="1446"/>
      <c r="BA40" s="1463"/>
      <c r="BB40" s="1463"/>
      <c r="BC40" s="1446"/>
      <c r="BD40" s="1446"/>
      <c r="BE40" s="1446"/>
      <c r="BF40" s="1446"/>
      <c r="BG40" s="1446"/>
      <c r="BH40" s="1498"/>
      <c r="BI40" s="1498"/>
      <c r="BJ40" s="1498"/>
      <c r="BK40" s="1498"/>
      <c r="BL40" s="1498"/>
      <c r="BM40" s="1498"/>
      <c r="BN40" s="1498"/>
      <c r="BO40" s="1498"/>
    </row>
    <row r="41" spans="1:97" x14ac:dyDescent="0.2">
      <c r="A41" s="1498"/>
      <c r="B41" s="480"/>
      <c r="C41" s="480"/>
      <c r="D41" s="480"/>
      <c r="E41" s="1165"/>
      <c r="F41" s="1165"/>
      <c r="G41" s="1165"/>
      <c r="H41" s="480"/>
      <c r="I41" s="963"/>
      <c r="J41" s="1044"/>
      <c r="K41" s="1039"/>
      <c r="L41" s="963"/>
      <c r="M41" s="963"/>
      <c r="N41" s="1447"/>
      <c r="O41" s="1454"/>
      <c r="P41" s="1455"/>
      <c r="Q41" s="1455"/>
      <c r="R41" s="1455"/>
      <c r="S41" s="963"/>
      <c r="T41" s="963"/>
      <c r="U41" s="1044"/>
      <c r="V41" s="1044"/>
      <c r="W41" s="1044"/>
      <c r="X41" s="1045"/>
      <c r="Y41" s="1045"/>
      <c r="Z41" s="1045"/>
      <c r="AA41" s="1461"/>
      <c r="AB41" s="1461"/>
      <c r="AC41" s="1446"/>
      <c r="AD41" s="1446"/>
      <c r="AE41" s="1446"/>
      <c r="AF41" s="1503"/>
      <c r="AG41" s="1503"/>
      <c r="AH41" s="1498"/>
      <c r="AI41" s="1498"/>
      <c r="AJ41" s="1498"/>
      <c r="AK41" s="1498"/>
      <c r="AL41" s="1498"/>
      <c r="AM41" s="1498"/>
      <c r="AN41" s="1498"/>
      <c r="AO41" s="1446"/>
      <c r="AP41" s="1446"/>
      <c r="AQ41" s="1446"/>
      <c r="AR41" s="1446"/>
      <c r="AS41" s="1446"/>
      <c r="AT41" s="1446"/>
      <c r="AU41" s="1446"/>
      <c r="AV41" s="1446"/>
      <c r="AW41" s="1446"/>
      <c r="AX41" s="1446"/>
      <c r="AY41" s="1446"/>
      <c r="AZ41" s="1446"/>
      <c r="BA41" s="1463"/>
      <c r="BB41" s="1463"/>
      <c r="BC41" s="1446"/>
      <c r="BD41" s="1446"/>
      <c r="BE41" s="1446"/>
      <c r="BF41" s="1446"/>
      <c r="BG41" s="1446"/>
      <c r="BH41" s="1498"/>
      <c r="BI41" s="1498"/>
      <c r="BJ41" s="1498"/>
      <c r="BK41" s="1498"/>
      <c r="BL41" s="1498"/>
      <c r="BM41" s="1498"/>
      <c r="BN41" s="1498"/>
      <c r="BO41" s="1498"/>
    </row>
    <row r="42" spans="1:97" x14ac:dyDescent="0.2">
      <c r="A42" s="1498"/>
      <c r="B42" s="480"/>
      <c r="C42" s="480"/>
      <c r="D42" s="480"/>
      <c r="E42" s="1165"/>
      <c r="F42" s="1165"/>
      <c r="G42" s="480"/>
      <c r="H42" s="480"/>
      <c r="I42" s="963"/>
      <c r="J42" s="1044"/>
      <c r="K42" s="1039"/>
      <c r="L42" s="963"/>
      <c r="M42" s="963"/>
      <c r="N42" s="1447"/>
      <c r="O42" s="1454"/>
      <c r="P42" s="1455"/>
      <c r="Q42" s="1455"/>
      <c r="R42" s="1455"/>
      <c r="S42" s="963"/>
      <c r="T42" s="963"/>
      <c r="U42" s="1044"/>
      <c r="V42" s="1044"/>
      <c r="W42" s="1044"/>
      <c r="X42" s="1045"/>
      <c r="Y42" s="1045"/>
      <c r="Z42" s="1045"/>
      <c r="AA42" s="1461"/>
      <c r="AB42" s="1461"/>
      <c r="AC42" s="1446"/>
      <c r="AD42" s="1446"/>
      <c r="AE42" s="1446"/>
      <c r="AF42" s="1503"/>
      <c r="AG42" s="1503"/>
      <c r="AH42" s="1498"/>
      <c r="AI42" s="1498"/>
      <c r="AJ42" s="1498"/>
      <c r="AK42" s="1498"/>
      <c r="AL42" s="1498"/>
      <c r="AM42" s="1498"/>
      <c r="AN42" s="1498"/>
      <c r="AO42" s="1446"/>
      <c r="AP42" s="1446"/>
      <c r="AQ42" s="1446"/>
      <c r="AR42" s="1446"/>
      <c r="AS42" s="1446"/>
      <c r="AT42" s="1446"/>
      <c r="AU42" s="1446"/>
      <c r="AV42" s="1446"/>
      <c r="AW42" s="1446"/>
      <c r="AX42" s="1446"/>
      <c r="AY42" s="1446"/>
      <c r="AZ42" s="1446"/>
      <c r="BA42" s="1463"/>
      <c r="BB42" s="1463"/>
      <c r="BC42" s="1446"/>
      <c r="BD42" s="1446"/>
      <c r="BE42" s="1446"/>
      <c r="BF42" s="1446"/>
      <c r="BG42" s="1446"/>
      <c r="BH42" s="1498"/>
      <c r="BI42" s="1498"/>
      <c r="BJ42" s="1498"/>
      <c r="BK42" s="1498"/>
      <c r="BL42" s="1498"/>
      <c r="BM42" s="1498"/>
      <c r="BN42" s="1498"/>
      <c r="BO42" s="1498"/>
    </row>
    <row r="43" spans="1:97" x14ac:dyDescent="0.2">
      <c r="A43" s="1498"/>
      <c r="B43" s="480"/>
      <c r="C43" s="480"/>
      <c r="D43" s="480"/>
      <c r="E43" s="1165"/>
      <c r="F43" s="1165"/>
      <c r="G43" s="480"/>
      <c r="H43" s="480"/>
      <c r="I43" s="963"/>
      <c r="J43" s="1044"/>
      <c r="K43" s="1039"/>
      <c r="L43" s="963"/>
      <c r="M43" s="963"/>
      <c r="N43" s="1447"/>
      <c r="O43" s="1454"/>
      <c r="P43" s="1455"/>
      <c r="Q43" s="1455"/>
      <c r="R43" s="1455"/>
      <c r="S43" s="963"/>
      <c r="T43" s="963"/>
      <c r="U43" s="1044"/>
      <c r="V43" s="1044"/>
      <c r="W43" s="1044"/>
      <c r="X43" s="1045"/>
      <c r="Y43" s="1045"/>
      <c r="Z43" s="1045"/>
      <c r="AA43" s="1461"/>
      <c r="AB43" s="1461"/>
      <c r="AC43" s="1446"/>
      <c r="AD43" s="1446"/>
      <c r="AE43" s="1446"/>
      <c r="AF43" s="1503"/>
      <c r="AG43" s="1503"/>
      <c r="AH43" s="1498"/>
      <c r="AI43" s="1498"/>
      <c r="AJ43" s="1498"/>
      <c r="AK43" s="1498"/>
      <c r="AL43" s="1498"/>
      <c r="AM43" s="1498"/>
      <c r="AN43" s="1498"/>
      <c r="AO43" s="1446"/>
      <c r="AP43" s="1446"/>
      <c r="AQ43" s="1446"/>
      <c r="AR43" s="1446"/>
      <c r="AS43" s="1446"/>
      <c r="AT43" s="1446"/>
      <c r="AU43" s="1446"/>
      <c r="AV43" s="1446"/>
      <c r="AW43" s="1446"/>
      <c r="AX43" s="1446"/>
      <c r="AY43" s="1446"/>
      <c r="AZ43" s="1446"/>
      <c r="BA43" s="1463"/>
      <c r="BB43" s="1463"/>
      <c r="BC43" s="1446"/>
      <c r="BD43" s="1446"/>
      <c r="BE43" s="1446"/>
      <c r="BF43" s="1446"/>
      <c r="BG43" s="1446"/>
      <c r="BH43" s="1498"/>
      <c r="BI43" s="1498"/>
      <c r="BJ43" s="1498"/>
      <c r="BK43" s="1498"/>
      <c r="BL43" s="1498"/>
      <c r="BM43" s="1498"/>
      <c r="BN43" s="1498"/>
      <c r="BO43" s="1498"/>
    </row>
    <row r="44" spans="1:97" x14ac:dyDescent="0.2">
      <c r="A44" s="1498"/>
      <c r="B44" s="480"/>
      <c r="C44" s="480"/>
      <c r="D44" s="480"/>
      <c r="E44" s="1165"/>
      <c r="F44" s="1165"/>
      <c r="G44" s="480"/>
      <c r="H44" s="480"/>
      <c r="I44" s="963"/>
      <c r="J44" s="1044"/>
      <c r="K44" s="1039"/>
      <c r="L44" s="963"/>
      <c r="M44" s="963"/>
      <c r="N44" s="1447"/>
      <c r="O44" s="1454"/>
      <c r="P44" s="1455"/>
      <c r="Q44" s="1455"/>
      <c r="R44" s="1455"/>
      <c r="S44" s="963"/>
      <c r="T44" s="963"/>
      <c r="U44" s="1044"/>
      <c r="V44" s="1044"/>
      <c r="W44" s="1044"/>
      <c r="X44" s="1045"/>
      <c r="Y44" s="1045"/>
      <c r="Z44" s="1045"/>
      <c r="AA44" s="1461"/>
      <c r="AB44" s="1461"/>
      <c r="AC44" s="1446"/>
      <c r="AD44" s="1446"/>
      <c r="AE44" s="1446"/>
      <c r="AF44" s="1503"/>
      <c r="AG44" s="1503"/>
      <c r="AH44" s="1498"/>
      <c r="AI44" s="1498"/>
      <c r="AJ44" s="1498"/>
      <c r="AK44" s="1498"/>
      <c r="AL44" s="1498"/>
      <c r="AM44" s="1498"/>
      <c r="AN44" s="1498"/>
      <c r="AO44" s="1446"/>
      <c r="AP44" s="1446"/>
      <c r="AQ44" s="1446"/>
      <c r="AR44" s="1446"/>
      <c r="AS44" s="1446"/>
      <c r="AT44" s="1446"/>
      <c r="AU44" s="1446"/>
      <c r="AV44" s="1446"/>
      <c r="AW44" s="1446"/>
      <c r="AX44" s="1446"/>
      <c r="AY44" s="1446"/>
      <c r="AZ44" s="1446"/>
      <c r="BA44" s="1463"/>
      <c r="BB44" s="1463"/>
      <c r="BC44" s="1446"/>
      <c r="BD44" s="1446"/>
      <c r="BE44" s="1446"/>
      <c r="BF44" s="1446"/>
      <c r="BG44" s="1446"/>
      <c r="BH44" s="1498"/>
      <c r="BI44" s="1498"/>
      <c r="BJ44" s="1498"/>
      <c r="BK44" s="1498"/>
      <c r="BL44" s="1498"/>
      <c r="BM44" s="1498"/>
      <c r="BN44" s="1498"/>
      <c r="BO44" s="1498"/>
    </row>
    <row r="45" spans="1:97" x14ac:dyDescent="0.2">
      <c r="A45" s="1498"/>
      <c r="B45" s="480"/>
      <c r="C45" s="480"/>
      <c r="D45" s="480"/>
      <c r="E45" s="1165"/>
      <c r="F45" s="1165"/>
      <c r="G45" s="480"/>
      <c r="H45" s="480"/>
      <c r="I45" s="963"/>
      <c r="J45" s="1044"/>
      <c r="K45" s="1039"/>
      <c r="L45" s="963"/>
      <c r="M45" s="963"/>
      <c r="N45" s="1447"/>
      <c r="O45" s="1454"/>
      <c r="P45" s="1455"/>
      <c r="Q45" s="1455"/>
      <c r="R45" s="1455"/>
      <c r="S45" s="963"/>
      <c r="T45" s="963"/>
      <c r="U45" s="1044"/>
      <c r="V45" s="1044"/>
      <c r="W45" s="1044"/>
      <c r="X45" s="1045"/>
      <c r="Y45" s="1045"/>
      <c r="Z45" s="1045"/>
      <c r="AA45" s="1461"/>
      <c r="AB45" s="1461"/>
      <c r="AC45" s="1446"/>
      <c r="AD45" s="1446"/>
      <c r="AE45" s="1446"/>
      <c r="AF45" s="1503"/>
      <c r="AG45" s="1503"/>
      <c r="AH45" s="1498"/>
      <c r="AI45" s="1498"/>
      <c r="AJ45" s="1498"/>
      <c r="AK45" s="1498"/>
      <c r="AL45" s="1498"/>
      <c r="AM45" s="1498"/>
      <c r="AN45" s="1498"/>
      <c r="AO45" s="1446"/>
      <c r="AP45" s="1446"/>
      <c r="AQ45" s="1446"/>
      <c r="AR45" s="1446"/>
      <c r="AS45" s="1446"/>
      <c r="AT45" s="1446"/>
      <c r="AU45" s="1446"/>
      <c r="AV45" s="1446"/>
      <c r="AW45" s="1446"/>
      <c r="AX45" s="1446"/>
      <c r="AY45" s="1446"/>
      <c r="AZ45" s="1446"/>
      <c r="BA45" s="1463"/>
      <c r="BB45" s="1463"/>
      <c r="BC45" s="1446"/>
      <c r="BD45" s="1446"/>
      <c r="BE45" s="1446"/>
      <c r="BF45" s="1446"/>
      <c r="BG45" s="1446"/>
      <c r="BH45" s="1498"/>
      <c r="BI45" s="1498"/>
      <c r="BJ45" s="1498"/>
      <c r="BK45" s="1498"/>
      <c r="BL45" s="1498"/>
      <c r="BM45" s="1498"/>
      <c r="BN45" s="1498"/>
      <c r="BO45" s="1498"/>
    </row>
    <row r="46" spans="1:97" x14ac:dyDescent="0.2">
      <c r="A46" s="1498"/>
      <c r="B46" s="480"/>
      <c r="C46" s="480"/>
      <c r="D46" s="480"/>
      <c r="E46" s="1165"/>
      <c r="F46" s="1165"/>
      <c r="G46" s="480"/>
      <c r="H46" s="480"/>
      <c r="I46" s="963"/>
      <c r="J46" s="1044"/>
      <c r="K46" s="1039"/>
      <c r="L46" s="963"/>
      <c r="M46" s="963"/>
      <c r="N46" s="1447"/>
      <c r="O46" s="1454"/>
      <c r="P46" s="1455"/>
      <c r="Q46" s="1455"/>
      <c r="R46" s="1455"/>
      <c r="S46" s="963"/>
      <c r="T46" s="963"/>
      <c r="U46" s="1044"/>
      <c r="V46" s="1044"/>
      <c r="W46" s="1044"/>
      <c r="X46" s="1045"/>
      <c r="Y46" s="1045"/>
      <c r="Z46" s="1045"/>
      <c r="AA46" s="1461"/>
      <c r="AB46" s="1461"/>
      <c r="AC46" s="1446"/>
      <c r="AD46" s="1446"/>
      <c r="AE46" s="1446"/>
      <c r="AF46" s="1503"/>
      <c r="AG46" s="1503"/>
      <c r="AH46" s="1498"/>
      <c r="AI46" s="1498"/>
      <c r="AJ46" s="1498"/>
      <c r="AK46" s="1498"/>
      <c r="AL46" s="1498"/>
      <c r="AM46" s="1498"/>
      <c r="AN46" s="1498"/>
      <c r="AO46" s="1446"/>
      <c r="AP46" s="1446"/>
      <c r="AQ46" s="1446"/>
      <c r="AR46" s="1446"/>
      <c r="AS46" s="1446"/>
      <c r="AT46" s="1446"/>
      <c r="AU46" s="1446"/>
      <c r="AV46" s="1446"/>
      <c r="AW46" s="1446"/>
      <c r="AX46" s="1446"/>
      <c r="AY46" s="1446"/>
      <c r="AZ46" s="1446"/>
      <c r="BA46" s="1463"/>
      <c r="BB46" s="1463"/>
      <c r="BC46" s="1446"/>
      <c r="BD46" s="1446"/>
      <c r="BE46" s="1446"/>
      <c r="BF46" s="1446"/>
      <c r="BG46" s="1446"/>
      <c r="BH46" s="1498"/>
      <c r="BI46" s="1498"/>
      <c r="BJ46" s="1498"/>
      <c r="BK46" s="1498"/>
      <c r="BL46" s="1498"/>
      <c r="BM46" s="1498"/>
      <c r="BN46" s="1498"/>
      <c r="BO46" s="1498"/>
    </row>
    <row r="47" spans="1:97" x14ac:dyDescent="0.2">
      <c r="A47" s="1498"/>
      <c r="B47" s="480"/>
      <c r="C47" s="480"/>
      <c r="D47" s="480"/>
      <c r="E47" s="1165"/>
      <c r="F47" s="1165"/>
      <c r="G47" s="480"/>
      <c r="H47" s="480"/>
      <c r="I47" s="963"/>
      <c r="J47" s="1044"/>
      <c r="K47" s="1039"/>
      <c r="L47" s="963"/>
      <c r="M47" s="963"/>
      <c r="N47" s="1447"/>
      <c r="O47" s="1454"/>
      <c r="P47" s="1455"/>
      <c r="Q47" s="1455"/>
      <c r="R47" s="1455"/>
      <c r="S47" s="963"/>
      <c r="T47" s="963"/>
      <c r="U47" s="1044"/>
      <c r="V47" s="1044"/>
      <c r="W47" s="1044"/>
      <c r="X47" s="1045"/>
      <c r="Y47" s="1045"/>
      <c r="Z47" s="1045"/>
      <c r="AA47" s="1461"/>
      <c r="AB47" s="1461"/>
      <c r="AC47" s="1446"/>
      <c r="AD47" s="1446"/>
      <c r="AE47" s="1446"/>
      <c r="AF47" s="1503"/>
      <c r="AG47" s="1503"/>
      <c r="AH47" s="1498"/>
      <c r="AI47" s="1498"/>
      <c r="AJ47" s="1498"/>
      <c r="AK47" s="1498"/>
      <c r="AL47" s="1498"/>
      <c r="AM47" s="1498"/>
      <c r="AN47" s="1498"/>
      <c r="AO47" s="1446"/>
      <c r="AP47" s="1446"/>
      <c r="AQ47" s="1446"/>
      <c r="AR47" s="1446"/>
      <c r="AS47" s="1446"/>
      <c r="AT47" s="1446"/>
      <c r="AU47" s="1446"/>
      <c r="AV47" s="1446"/>
      <c r="AW47" s="1446"/>
      <c r="AX47" s="1446"/>
      <c r="AY47" s="1446"/>
      <c r="AZ47" s="1446"/>
      <c r="BA47" s="1463"/>
      <c r="BB47" s="1523"/>
      <c r="BC47" s="1446"/>
      <c r="BD47" s="1446"/>
      <c r="BE47" s="1446"/>
      <c r="BF47" s="1446"/>
      <c r="BG47" s="1446"/>
      <c r="BH47" s="1498"/>
      <c r="BI47" s="1498"/>
      <c r="BJ47" s="1498"/>
      <c r="BK47" s="1498"/>
      <c r="BL47" s="1498"/>
      <c r="BM47" s="1498"/>
      <c r="BN47" s="1498"/>
      <c r="BO47" s="1498"/>
    </row>
    <row r="48" spans="1:97" x14ac:dyDescent="0.2">
      <c r="A48" s="1498"/>
      <c r="B48" s="480"/>
      <c r="C48" s="480"/>
      <c r="D48" s="480"/>
      <c r="E48" s="1165"/>
      <c r="F48" s="1165"/>
      <c r="G48" s="480"/>
      <c r="H48" s="480"/>
      <c r="I48" s="963"/>
      <c r="J48" s="1044"/>
      <c r="K48" s="1039"/>
      <c r="L48" s="963"/>
      <c r="M48" s="963"/>
      <c r="N48" s="1447"/>
      <c r="O48" s="1454"/>
      <c r="P48" s="1455"/>
      <c r="Q48" s="1455"/>
      <c r="R48" s="1455"/>
      <c r="S48" s="963"/>
      <c r="T48" s="963"/>
      <c r="U48" s="1044"/>
      <c r="V48" s="1044"/>
      <c r="W48" s="1044"/>
      <c r="X48" s="1045"/>
      <c r="Y48" s="1045"/>
      <c r="Z48" s="1045"/>
      <c r="AA48" s="1461"/>
      <c r="AB48" s="1461"/>
      <c r="AC48" s="1446"/>
      <c r="AD48" s="1446"/>
      <c r="AE48" s="1446"/>
      <c r="AF48" s="1503"/>
      <c r="AG48" s="1503"/>
      <c r="AH48" s="1498"/>
      <c r="AI48" s="1498"/>
      <c r="AJ48" s="1498"/>
      <c r="AK48" s="1498"/>
      <c r="AL48" s="1498"/>
      <c r="AM48" s="1498"/>
      <c r="AN48" s="1498"/>
      <c r="AO48" s="1446"/>
      <c r="AP48" s="1446"/>
      <c r="AQ48" s="1446"/>
      <c r="AR48" s="1446"/>
      <c r="AS48" s="1446"/>
      <c r="AT48" s="1446"/>
      <c r="AU48" s="1446"/>
      <c r="AV48" s="1446"/>
      <c r="AW48" s="1446"/>
      <c r="AX48" s="1446"/>
      <c r="AY48" s="1446"/>
      <c r="AZ48" s="1446"/>
      <c r="BA48" s="1463"/>
      <c r="BB48" s="1523"/>
      <c r="BC48" s="1446"/>
      <c r="BD48" s="1446"/>
      <c r="BE48" s="1446"/>
      <c r="BF48" s="1446"/>
      <c r="BG48" s="1446"/>
      <c r="BH48" s="1498"/>
      <c r="BI48" s="1498"/>
      <c r="BJ48" s="1498"/>
      <c r="BK48" s="1498"/>
      <c r="BL48" s="1498"/>
      <c r="BM48" s="1498"/>
      <c r="BN48" s="1498"/>
      <c r="BO48" s="1498"/>
    </row>
    <row r="49" spans="1:67" x14ac:dyDescent="0.2">
      <c r="A49" s="1498"/>
      <c r="B49" s="480"/>
      <c r="C49" s="480"/>
      <c r="D49" s="480"/>
      <c r="E49" s="1165"/>
      <c r="F49" s="1165"/>
      <c r="G49" s="480"/>
      <c r="H49" s="480"/>
      <c r="I49" s="963"/>
      <c r="J49" s="1044"/>
      <c r="K49" s="1039"/>
      <c r="L49" s="963"/>
      <c r="M49" s="963"/>
      <c r="N49" s="1447"/>
      <c r="O49" s="1454"/>
      <c r="P49" s="1447"/>
      <c r="Q49" s="1455"/>
      <c r="R49" s="1455"/>
      <c r="S49" s="963"/>
      <c r="T49" s="963"/>
      <c r="U49" s="1044"/>
      <c r="V49" s="1044"/>
      <c r="W49" s="1044"/>
      <c r="X49" s="1045"/>
      <c r="Y49" s="1045"/>
      <c r="Z49" s="1045"/>
      <c r="AA49" s="1461"/>
      <c r="AB49" s="1461"/>
      <c r="AC49" s="1446"/>
      <c r="AD49" s="1446"/>
      <c r="AE49" s="1446"/>
      <c r="AF49" s="1503"/>
      <c r="AG49" s="1503"/>
      <c r="AH49" s="1498"/>
      <c r="AI49" s="1498"/>
      <c r="AJ49" s="1498"/>
      <c r="AK49" s="1498"/>
      <c r="AL49" s="1498"/>
      <c r="AM49" s="1498"/>
      <c r="AN49" s="1498"/>
      <c r="AO49" s="1446"/>
      <c r="AP49" s="1446"/>
      <c r="AQ49" s="1446"/>
      <c r="AR49" s="1446"/>
      <c r="AS49" s="1446"/>
      <c r="AT49" s="1446"/>
      <c r="AU49" s="1446"/>
      <c r="AV49" s="1446"/>
      <c r="AW49" s="1446"/>
      <c r="AX49" s="1446"/>
      <c r="AY49" s="1446"/>
      <c r="AZ49" s="1446"/>
      <c r="BA49" s="1463"/>
      <c r="BB49" s="1463"/>
      <c r="BC49" s="1446"/>
      <c r="BD49" s="1446"/>
      <c r="BE49" s="1446"/>
      <c r="BF49" s="1446"/>
      <c r="BG49" s="1446"/>
      <c r="BH49" s="1498"/>
      <c r="BI49" s="1498"/>
      <c r="BJ49" s="1498"/>
      <c r="BK49" s="1498"/>
      <c r="BL49" s="1498"/>
      <c r="BM49" s="1498"/>
      <c r="BN49" s="1498"/>
      <c r="BO49" s="1498"/>
    </row>
    <row r="50" spans="1:67" x14ac:dyDescent="0.2">
      <c r="A50" s="1498"/>
      <c r="B50" s="480"/>
      <c r="C50" s="480"/>
      <c r="D50" s="480"/>
      <c r="E50" s="1165"/>
      <c r="F50" s="1165"/>
      <c r="G50" s="480"/>
      <c r="H50" s="480"/>
      <c r="I50" s="1038"/>
      <c r="J50" s="1044"/>
      <c r="K50" s="1039"/>
      <c r="L50" s="963"/>
      <c r="M50" s="963"/>
      <c r="N50" s="1499"/>
      <c r="O50" s="1454"/>
      <c r="P50" s="1455"/>
      <c r="Q50" s="1455"/>
      <c r="R50" s="1455"/>
      <c r="S50" s="963"/>
      <c r="T50" s="963"/>
      <c r="U50" s="1044"/>
      <c r="V50" s="1044"/>
      <c r="W50" s="1044"/>
      <c r="X50" s="1045"/>
      <c r="Y50" s="1045"/>
      <c r="Z50" s="1045"/>
      <c r="AA50" s="1461"/>
      <c r="AB50" s="1461"/>
      <c r="AC50" s="1446"/>
      <c r="AD50" s="1446"/>
      <c r="AE50" s="1446"/>
      <c r="AF50" s="1503"/>
      <c r="AG50" s="1503"/>
      <c r="AH50" s="1498"/>
      <c r="AI50" s="1498"/>
      <c r="AJ50" s="1498"/>
      <c r="AK50" s="1498"/>
      <c r="AL50" s="1498"/>
      <c r="AM50" s="1498"/>
      <c r="AN50" s="1498"/>
      <c r="AO50" s="1446"/>
      <c r="AP50" s="1446"/>
      <c r="AQ50" s="1446"/>
      <c r="AR50" s="1446"/>
      <c r="AS50" s="1446"/>
      <c r="AT50" s="1446"/>
      <c r="AU50" s="1446"/>
      <c r="AV50" s="1446"/>
      <c r="AW50" s="1446"/>
      <c r="AX50" s="1446"/>
      <c r="AY50" s="1446"/>
      <c r="AZ50" s="1446"/>
      <c r="BA50" s="1463"/>
      <c r="BB50" s="1463"/>
      <c r="BC50" s="1446"/>
      <c r="BD50" s="1446"/>
      <c r="BE50" s="1446"/>
      <c r="BF50" s="1446"/>
      <c r="BG50" s="1446"/>
      <c r="BH50" s="1498"/>
      <c r="BI50" s="1498"/>
      <c r="BJ50" s="1498"/>
      <c r="BK50" s="1498"/>
      <c r="BL50" s="1498"/>
      <c r="BM50" s="1498"/>
      <c r="BN50" s="1498"/>
      <c r="BO50" s="1498"/>
    </row>
    <row r="51" spans="1:67" x14ac:dyDescent="0.2">
      <c r="A51" s="1498"/>
      <c r="B51" s="480"/>
      <c r="C51" s="480"/>
      <c r="D51" s="480"/>
      <c r="E51" s="1165"/>
      <c r="F51" s="1165"/>
      <c r="G51" s="480"/>
      <c r="H51" s="480"/>
      <c r="I51" s="1038"/>
      <c r="J51" s="1044"/>
      <c r="K51" s="1039"/>
      <c r="L51" s="963"/>
      <c r="M51" s="963"/>
      <c r="N51" s="1499"/>
      <c r="O51" s="1454"/>
      <c r="P51" s="1455"/>
      <c r="Q51" s="1455"/>
      <c r="R51" s="1455"/>
      <c r="S51" s="963"/>
      <c r="T51" s="963"/>
      <c r="U51" s="1044"/>
      <c r="V51" s="1044"/>
      <c r="W51" s="1044"/>
      <c r="X51" s="1045"/>
      <c r="Y51" s="1045"/>
      <c r="Z51" s="1045"/>
      <c r="AA51" s="1461"/>
      <c r="AB51" s="1461"/>
      <c r="AC51" s="1446"/>
      <c r="AD51" s="1446"/>
      <c r="AE51" s="1446"/>
      <c r="AF51" s="1503"/>
      <c r="AG51" s="1503"/>
      <c r="AH51" s="1498"/>
      <c r="AI51" s="1498"/>
      <c r="AJ51" s="1498"/>
      <c r="AK51" s="1498"/>
      <c r="AL51" s="1498"/>
      <c r="AM51" s="1498"/>
      <c r="AN51" s="1498"/>
      <c r="AO51" s="1446"/>
      <c r="AP51" s="1446"/>
      <c r="AQ51" s="1446"/>
      <c r="AR51" s="1446"/>
      <c r="AS51" s="1446"/>
      <c r="AT51" s="1446"/>
      <c r="AU51" s="1446"/>
      <c r="AV51" s="1446"/>
      <c r="AW51" s="1446"/>
      <c r="AX51" s="1446"/>
      <c r="AY51" s="1446"/>
      <c r="AZ51" s="1446"/>
      <c r="BA51" s="1463"/>
      <c r="BB51" s="1463"/>
      <c r="BC51" s="1446"/>
      <c r="BD51" s="1446"/>
      <c r="BE51" s="1446"/>
      <c r="BF51" s="1446"/>
      <c r="BG51" s="1446"/>
      <c r="BH51" s="1498"/>
      <c r="BI51" s="1498"/>
      <c r="BJ51" s="1498"/>
      <c r="BK51" s="1498"/>
      <c r="BL51" s="1498"/>
      <c r="BM51" s="1498"/>
      <c r="BN51" s="1498"/>
      <c r="BO51" s="1498"/>
    </row>
    <row r="52" spans="1:67" x14ac:dyDescent="0.2">
      <c r="A52" s="1498"/>
      <c r="B52" s="480"/>
      <c r="C52" s="480"/>
      <c r="D52" s="480"/>
      <c r="E52" s="1165"/>
      <c r="F52" s="1165"/>
      <c r="G52" s="480"/>
      <c r="H52" s="480"/>
      <c r="I52" s="1038"/>
      <c r="J52" s="1044"/>
      <c r="K52" s="1039"/>
      <c r="L52" s="963"/>
      <c r="M52" s="963"/>
      <c r="N52" s="1499"/>
      <c r="O52" s="1454"/>
      <c r="P52" s="1455"/>
      <c r="Q52" s="1455"/>
      <c r="R52" s="1455"/>
      <c r="S52" s="963"/>
      <c r="T52" s="963"/>
      <c r="U52" s="1044"/>
      <c r="V52" s="1044"/>
      <c r="W52" s="1044"/>
      <c r="X52" s="1045"/>
      <c r="Y52" s="1045"/>
      <c r="Z52" s="1045"/>
      <c r="AA52" s="1461"/>
      <c r="AB52" s="1461"/>
      <c r="AC52" s="1446"/>
      <c r="AD52" s="1446"/>
      <c r="AE52" s="1446"/>
      <c r="AF52" s="1503"/>
      <c r="AG52" s="1503"/>
      <c r="AH52" s="1498"/>
      <c r="AI52" s="1498"/>
      <c r="AJ52" s="1498"/>
      <c r="AK52" s="1498"/>
      <c r="AL52" s="1498"/>
      <c r="AM52" s="1498"/>
      <c r="AN52" s="1498"/>
      <c r="AO52" s="1446"/>
      <c r="AP52" s="1446"/>
      <c r="AQ52" s="1446"/>
      <c r="AR52" s="1446"/>
      <c r="AS52" s="1446"/>
      <c r="AT52" s="1446"/>
      <c r="AU52" s="1446"/>
      <c r="AV52" s="1446"/>
      <c r="AW52" s="1446"/>
      <c r="AX52" s="1446"/>
      <c r="AY52" s="1446"/>
      <c r="AZ52" s="1446"/>
      <c r="BA52" s="1463"/>
      <c r="BB52" s="1463"/>
      <c r="BC52" s="1446"/>
      <c r="BD52" s="1446"/>
      <c r="BE52" s="1446"/>
      <c r="BF52" s="1446"/>
      <c r="BG52" s="1446"/>
      <c r="BH52" s="1498"/>
      <c r="BI52" s="1498"/>
      <c r="BJ52" s="1498"/>
      <c r="BK52" s="1498"/>
      <c r="BL52" s="1498"/>
      <c r="BM52" s="1498"/>
      <c r="BN52" s="1498"/>
      <c r="BO52" s="1498"/>
    </row>
    <row r="53" spans="1:67" x14ac:dyDescent="0.2">
      <c r="A53" s="1498"/>
      <c r="B53" s="480"/>
      <c r="C53" s="480"/>
      <c r="D53" s="480"/>
      <c r="E53" s="1165"/>
      <c r="F53" s="1596"/>
      <c r="G53" s="1402"/>
      <c r="H53" s="1402"/>
      <c r="I53" s="1038"/>
      <c r="J53" s="1401"/>
      <c r="K53" s="1039"/>
      <c r="L53" s="963"/>
      <c r="M53" s="963"/>
      <c r="N53" s="1499"/>
      <c r="O53" s="1454"/>
      <c r="P53" s="1455"/>
      <c r="Q53" s="1455"/>
      <c r="R53" s="1455"/>
      <c r="S53" s="963"/>
      <c r="T53" s="963"/>
      <c r="U53" s="1044"/>
      <c r="V53" s="1044"/>
      <c r="W53" s="1044"/>
      <c r="X53" s="1045"/>
      <c r="Y53" s="1045"/>
      <c r="Z53" s="1045"/>
      <c r="AA53" s="1461"/>
      <c r="AB53" s="1461"/>
      <c r="AC53" s="1446"/>
      <c r="AD53" s="1446"/>
      <c r="AE53" s="1446"/>
      <c r="AF53" s="1503"/>
      <c r="AG53" s="1503"/>
      <c r="AH53" s="1498"/>
      <c r="AI53" s="1498"/>
      <c r="AJ53" s="1498"/>
      <c r="AK53" s="1498"/>
      <c r="AL53" s="1498"/>
      <c r="AM53" s="1498"/>
      <c r="AN53" s="1498"/>
      <c r="AO53" s="1446"/>
      <c r="AP53" s="1446"/>
      <c r="AQ53" s="1446"/>
      <c r="AR53" s="1446"/>
      <c r="AS53" s="1446"/>
      <c r="AT53" s="1446"/>
      <c r="AU53" s="1446"/>
      <c r="AV53" s="1446"/>
      <c r="AW53" s="1446"/>
      <c r="AX53" s="1446"/>
      <c r="AY53" s="1446"/>
      <c r="AZ53" s="1446"/>
      <c r="BA53" s="1463"/>
      <c r="BB53" s="1463"/>
      <c r="BC53" s="1446"/>
      <c r="BD53" s="1446"/>
      <c r="BE53" s="1446"/>
      <c r="BF53" s="1446"/>
      <c r="BG53" s="1446"/>
      <c r="BH53" s="1498"/>
      <c r="BI53" s="1498"/>
      <c r="BJ53" s="1498"/>
      <c r="BK53" s="1498"/>
      <c r="BL53" s="1498"/>
      <c r="BM53" s="1498"/>
      <c r="BN53" s="1498"/>
      <c r="BO53" s="1498"/>
    </row>
    <row r="54" spans="1:67" x14ac:dyDescent="0.2">
      <c r="A54" s="1498"/>
      <c r="B54" s="480"/>
      <c r="C54" s="480"/>
      <c r="D54" s="480"/>
      <c r="E54" s="1165"/>
      <c r="F54" s="1165"/>
      <c r="G54" s="480"/>
      <c r="H54" s="480"/>
      <c r="I54" s="1038"/>
      <c r="J54" s="1044"/>
      <c r="K54" s="1039"/>
      <c r="L54" s="963"/>
      <c r="M54" s="963"/>
      <c r="N54" s="1447"/>
      <c r="O54" s="1454"/>
      <c r="P54" s="1455"/>
      <c r="Q54" s="1455"/>
      <c r="R54" s="1455"/>
      <c r="S54" s="963"/>
      <c r="T54" s="963"/>
      <c r="U54" s="1044"/>
      <c r="V54" s="1044"/>
      <c r="W54" s="1044"/>
      <c r="X54" s="1045"/>
      <c r="Y54" s="1045"/>
      <c r="Z54" s="1045"/>
      <c r="AA54" s="1461"/>
      <c r="AB54" s="1461"/>
      <c r="AC54" s="1446"/>
      <c r="AD54" s="1446"/>
      <c r="AE54" s="1446"/>
      <c r="AF54" s="1503"/>
      <c r="AG54" s="1503"/>
      <c r="AH54" s="1498"/>
      <c r="AI54" s="1498"/>
      <c r="AJ54" s="1498"/>
      <c r="AK54" s="1498"/>
      <c r="AL54" s="1498"/>
      <c r="AM54" s="1498"/>
      <c r="AN54" s="1498"/>
      <c r="AO54" s="1446"/>
      <c r="AP54" s="1446"/>
      <c r="AQ54" s="1446"/>
      <c r="AR54" s="1446"/>
      <c r="AS54" s="1446"/>
      <c r="AT54" s="1446"/>
      <c r="AU54" s="1446"/>
      <c r="AV54" s="1446"/>
      <c r="AW54" s="1446"/>
      <c r="AX54" s="1446"/>
      <c r="AY54" s="1446"/>
      <c r="AZ54" s="1446"/>
      <c r="BA54" s="1463"/>
      <c r="BB54" s="1463"/>
      <c r="BC54" s="1446"/>
      <c r="BD54" s="1446"/>
      <c r="BE54" s="1446"/>
      <c r="BF54" s="1446"/>
      <c r="BG54" s="1446"/>
      <c r="BH54" s="1498"/>
      <c r="BI54" s="1498"/>
      <c r="BJ54" s="1498"/>
      <c r="BK54" s="1498"/>
      <c r="BL54" s="1498"/>
      <c r="BM54" s="1498"/>
      <c r="BN54" s="1498"/>
      <c r="BO54" s="1498"/>
    </row>
    <row r="55" spans="1:67" x14ac:dyDescent="0.2">
      <c r="A55" s="1498"/>
      <c r="B55" s="480"/>
      <c r="C55" s="480"/>
      <c r="D55" s="480"/>
      <c r="E55" s="1165"/>
      <c r="F55" s="1165"/>
      <c r="G55" s="480"/>
      <c r="H55" s="480"/>
      <c r="I55" s="1038"/>
      <c r="J55" s="1044"/>
      <c r="K55" s="1039"/>
      <c r="L55" s="963"/>
      <c r="M55" s="963"/>
      <c r="N55" s="1447"/>
      <c r="O55" s="1454"/>
      <c r="P55" s="1455"/>
      <c r="Q55" s="1455"/>
      <c r="R55" s="1455"/>
      <c r="S55" s="963"/>
      <c r="T55" s="963"/>
      <c r="U55" s="1044"/>
      <c r="V55" s="1044"/>
      <c r="W55" s="1044"/>
      <c r="X55" s="1045"/>
      <c r="Y55" s="1045"/>
      <c r="Z55" s="1045"/>
      <c r="AA55" s="1461"/>
      <c r="AB55" s="1461"/>
      <c r="AC55" s="1446"/>
      <c r="AD55" s="1446"/>
      <c r="AE55" s="1446"/>
      <c r="AF55" s="1503"/>
      <c r="AG55" s="1503"/>
      <c r="AH55" s="1498"/>
      <c r="AI55" s="1498"/>
      <c r="AJ55" s="1498"/>
      <c r="AK55" s="1498"/>
      <c r="AL55" s="1498"/>
      <c r="AM55" s="1498"/>
      <c r="AN55" s="1498"/>
      <c r="AO55" s="1446"/>
      <c r="AP55" s="1446"/>
      <c r="AQ55" s="1446"/>
      <c r="AR55" s="1446"/>
      <c r="AS55" s="1446"/>
      <c r="AT55" s="1446"/>
      <c r="AU55" s="1446"/>
      <c r="AV55" s="1446"/>
      <c r="AW55" s="1446"/>
      <c r="AX55" s="1446"/>
      <c r="AY55" s="1446"/>
      <c r="AZ55" s="1446"/>
      <c r="BA55" s="1463"/>
      <c r="BB55" s="1463"/>
      <c r="BC55" s="1446"/>
      <c r="BD55" s="1446"/>
      <c r="BE55" s="1446"/>
      <c r="BF55" s="1446"/>
      <c r="BG55" s="1446"/>
      <c r="BH55" s="1498"/>
      <c r="BI55" s="1498"/>
      <c r="BJ55" s="1498"/>
      <c r="BK55" s="1498"/>
      <c r="BL55" s="1498"/>
      <c r="BM55" s="1498"/>
      <c r="BN55" s="1498"/>
      <c r="BO55" s="1498"/>
    </row>
    <row r="56" spans="1:67" x14ac:dyDescent="0.2">
      <c r="A56" s="1498"/>
      <c r="B56" s="480"/>
      <c r="C56" s="480"/>
      <c r="D56" s="480"/>
      <c r="E56" s="1165"/>
      <c r="F56" s="1209"/>
      <c r="G56" s="1208"/>
      <c r="H56" s="1208"/>
      <c r="I56" s="1597"/>
      <c r="J56" s="1044"/>
      <c r="K56" s="1039"/>
      <c r="L56" s="963"/>
      <c r="M56" s="963"/>
      <c r="N56" s="1447"/>
      <c r="O56" s="1454"/>
      <c r="P56" s="1455"/>
      <c r="Q56" s="1455"/>
      <c r="R56" s="1455"/>
      <c r="S56" s="963"/>
      <c r="T56" s="963"/>
      <c r="U56" s="1044"/>
      <c r="V56" s="1044"/>
      <c r="W56" s="1044"/>
      <c r="X56" s="1045"/>
      <c r="Y56" s="1045"/>
      <c r="Z56" s="1045"/>
      <c r="AA56" s="1461"/>
      <c r="AB56" s="1461"/>
      <c r="AC56" s="1446"/>
      <c r="AD56" s="1446"/>
      <c r="AE56" s="1446"/>
      <c r="AF56" s="1503"/>
      <c r="AG56" s="1503"/>
      <c r="AH56" s="1498"/>
      <c r="AI56" s="1498"/>
      <c r="AJ56" s="1498"/>
      <c r="AK56" s="1498"/>
      <c r="AL56" s="1498"/>
      <c r="AM56" s="1498"/>
      <c r="AN56" s="1498"/>
      <c r="AO56" s="1446"/>
      <c r="AP56" s="1446"/>
      <c r="AQ56" s="1446"/>
      <c r="AR56" s="1446"/>
      <c r="AS56" s="1446"/>
      <c r="AT56" s="1446"/>
      <c r="AU56" s="1446"/>
      <c r="AV56" s="1446"/>
      <c r="AW56" s="1446"/>
      <c r="AX56" s="1446"/>
      <c r="AY56" s="1446"/>
      <c r="AZ56" s="1446"/>
      <c r="BA56" s="1463"/>
      <c r="BB56" s="1463"/>
      <c r="BC56" s="1446"/>
      <c r="BD56" s="1446"/>
      <c r="BE56" s="1446"/>
      <c r="BF56" s="1446"/>
      <c r="BG56" s="1446"/>
      <c r="BH56" s="1498"/>
      <c r="BI56" s="1498"/>
      <c r="BJ56" s="1498"/>
      <c r="BK56" s="1498"/>
      <c r="BL56" s="1498"/>
      <c r="BM56" s="1498"/>
      <c r="BN56" s="1498"/>
      <c r="BO56" s="1498"/>
    </row>
    <row r="57" spans="1:67" x14ac:dyDescent="0.2">
      <c r="A57" s="1498"/>
      <c r="B57" s="480"/>
      <c r="C57" s="480"/>
      <c r="D57" s="480"/>
      <c r="E57" s="1165"/>
      <c r="F57" s="1165"/>
      <c r="G57" s="480"/>
      <c r="H57" s="480"/>
      <c r="I57" s="963"/>
      <c r="J57" s="1044"/>
      <c r="K57" s="1039"/>
      <c r="L57" s="963"/>
      <c r="M57" s="963"/>
      <c r="N57" s="1447"/>
      <c r="O57" s="1454"/>
      <c r="P57" s="1455"/>
      <c r="Q57" s="1455"/>
      <c r="R57" s="1455"/>
      <c r="S57" s="963"/>
      <c r="T57" s="963"/>
      <c r="U57" s="1044"/>
      <c r="V57" s="1044"/>
      <c r="W57" s="1044"/>
      <c r="X57" s="1045"/>
      <c r="Y57" s="1045"/>
      <c r="Z57" s="1045"/>
      <c r="AA57" s="1461"/>
      <c r="AB57" s="1461"/>
      <c r="AC57" s="1446"/>
      <c r="AD57" s="1446"/>
      <c r="AE57" s="1446"/>
      <c r="AF57" s="1503"/>
      <c r="AG57" s="1503"/>
      <c r="AH57" s="1498"/>
      <c r="AI57" s="1498"/>
      <c r="AJ57" s="1498"/>
      <c r="AK57" s="1498"/>
      <c r="AL57" s="1498"/>
      <c r="AM57" s="1498"/>
      <c r="AN57" s="1498"/>
      <c r="AO57" s="1446"/>
      <c r="AP57" s="1446"/>
      <c r="AQ57" s="1446"/>
      <c r="AR57" s="1446"/>
      <c r="AS57" s="1446"/>
      <c r="AT57" s="1446"/>
      <c r="AU57" s="1446"/>
      <c r="AV57" s="1446"/>
      <c r="AW57" s="1446"/>
      <c r="AX57" s="1446"/>
      <c r="AY57" s="1446"/>
      <c r="AZ57" s="1446"/>
      <c r="BA57" s="1463"/>
      <c r="BB57" s="1463"/>
      <c r="BC57" s="1446"/>
      <c r="BD57" s="1446"/>
      <c r="BE57" s="1446"/>
      <c r="BF57" s="1446"/>
      <c r="BG57" s="1446"/>
      <c r="BH57" s="1498"/>
      <c r="BI57" s="1498"/>
      <c r="BJ57" s="1498"/>
      <c r="BK57" s="1498"/>
      <c r="BL57" s="1498"/>
      <c r="BM57" s="1498"/>
      <c r="BN57" s="1498"/>
      <c r="BO57" s="1498"/>
    </row>
    <row r="58" spans="1:67" x14ac:dyDescent="0.2">
      <c r="A58" s="1498"/>
      <c r="B58" s="480"/>
      <c r="C58" s="480"/>
      <c r="D58" s="480"/>
      <c r="E58" s="1165"/>
      <c r="F58" s="1165"/>
      <c r="G58" s="480"/>
      <c r="H58" s="480"/>
      <c r="I58" s="963"/>
      <c r="J58" s="1044"/>
      <c r="K58" s="1039"/>
      <c r="L58" s="963"/>
      <c r="M58" s="963"/>
      <c r="N58" s="1447"/>
      <c r="O58" s="1454"/>
      <c r="P58" s="1455"/>
      <c r="Q58" s="1455"/>
      <c r="R58" s="1455"/>
      <c r="S58" s="963"/>
      <c r="T58" s="963"/>
      <c r="U58" s="1044"/>
      <c r="V58" s="1044"/>
      <c r="W58" s="1044"/>
      <c r="X58" s="1045"/>
      <c r="Y58" s="1045"/>
      <c r="Z58" s="1045"/>
      <c r="AA58" s="1461"/>
      <c r="AB58" s="1461"/>
      <c r="AC58" s="1446"/>
      <c r="AD58" s="1446"/>
      <c r="AE58" s="1446"/>
      <c r="AF58" s="1503"/>
      <c r="AG58" s="1503"/>
      <c r="AH58" s="1498"/>
      <c r="AI58" s="1498"/>
      <c r="AJ58" s="1498"/>
      <c r="AK58" s="1498"/>
      <c r="AL58" s="1498"/>
      <c r="AM58" s="1498"/>
      <c r="AN58" s="1498"/>
      <c r="AO58" s="1446"/>
      <c r="AP58" s="1446"/>
      <c r="AQ58" s="1446"/>
      <c r="AR58" s="1446"/>
      <c r="AS58" s="1446"/>
      <c r="AT58" s="1446"/>
      <c r="AU58" s="1446"/>
      <c r="AV58" s="1446"/>
      <c r="AW58" s="1446"/>
      <c r="AX58" s="1446"/>
      <c r="AY58" s="1446"/>
      <c r="AZ58" s="1446"/>
      <c r="BA58" s="1463"/>
      <c r="BB58" s="1463"/>
      <c r="BC58" s="1446"/>
      <c r="BD58" s="1446"/>
      <c r="BE58" s="1446"/>
      <c r="BF58" s="1446"/>
      <c r="BG58" s="1446"/>
      <c r="BH58" s="1498"/>
      <c r="BI58" s="1498"/>
      <c r="BJ58" s="1498"/>
      <c r="BK58" s="1498"/>
      <c r="BL58" s="1498"/>
      <c r="BM58" s="1498"/>
      <c r="BN58" s="1498"/>
      <c r="BO58" s="1498"/>
    </row>
    <row r="59" spans="1:67" x14ac:dyDescent="0.2">
      <c r="A59" s="1498"/>
      <c r="B59" s="480"/>
      <c r="C59" s="480"/>
      <c r="D59" s="480"/>
      <c r="E59" s="1165"/>
      <c r="F59" s="1165"/>
      <c r="G59" s="480"/>
      <c r="H59" s="480"/>
      <c r="I59" s="963"/>
      <c r="J59" s="1044"/>
      <c r="K59" s="1039"/>
      <c r="L59" s="963"/>
      <c r="M59" s="963"/>
      <c r="N59" s="1447"/>
      <c r="O59" s="1454"/>
      <c r="P59" s="1455"/>
      <c r="Q59" s="1455"/>
      <c r="R59" s="1455"/>
      <c r="S59" s="963"/>
      <c r="T59" s="963"/>
      <c r="U59" s="1044"/>
      <c r="V59" s="1044"/>
      <c r="W59" s="1044"/>
      <c r="X59" s="1045"/>
      <c r="Y59" s="1045"/>
      <c r="Z59" s="1045"/>
      <c r="AA59" s="1461"/>
      <c r="AB59" s="1461"/>
      <c r="AC59" s="1446"/>
      <c r="AD59" s="1446"/>
      <c r="AE59" s="1446"/>
      <c r="AF59" s="1503"/>
      <c r="AG59" s="1503"/>
      <c r="AH59" s="1498"/>
      <c r="AI59" s="1498"/>
      <c r="AJ59" s="1498"/>
      <c r="AK59" s="1498"/>
      <c r="AL59" s="1498"/>
      <c r="AM59" s="1498"/>
      <c r="AN59" s="1498"/>
      <c r="AO59" s="1446"/>
      <c r="AP59" s="1446"/>
      <c r="AQ59" s="1446"/>
      <c r="AR59" s="1446"/>
      <c r="AS59" s="1446"/>
      <c r="AT59" s="1446"/>
      <c r="AU59" s="1446"/>
      <c r="AV59" s="1446"/>
      <c r="AW59" s="1446"/>
      <c r="AX59" s="1446"/>
      <c r="AY59" s="1446"/>
      <c r="AZ59" s="1446"/>
      <c r="BA59" s="1463"/>
      <c r="BB59" s="1463"/>
      <c r="BC59" s="1446"/>
      <c r="BD59" s="1446"/>
      <c r="BE59" s="1446"/>
      <c r="BF59" s="1446"/>
      <c r="BG59" s="1446"/>
      <c r="BH59" s="1498"/>
      <c r="BI59" s="1498"/>
      <c r="BJ59" s="1498"/>
      <c r="BK59" s="1498"/>
      <c r="BL59" s="1498"/>
      <c r="BM59" s="1498"/>
      <c r="BN59" s="1498"/>
      <c r="BO59" s="1498"/>
    </row>
    <row r="60" spans="1:67" x14ac:dyDescent="0.2">
      <c r="A60" s="1498"/>
      <c r="B60" s="480"/>
      <c r="C60" s="480"/>
      <c r="D60" s="480"/>
      <c r="E60" s="1165"/>
      <c r="F60" s="1165"/>
      <c r="G60" s="480"/>
      <c r="H60" s="480"/>
      <c r="I60" s="963"/>
      <c r="J60" s="1044"/>
      <c r="K60" s="1039"/>
      <c r="L60" s="963"/>
      <c r="M60" s="963"/>
      <c r="N60" s="1447"/>
      <c r="O60" s="1454"/>
      <c r="P60" s="1455"/>
      <c r="Q60" s="1455"/>
      <c r="R60" s="1455"/>
      <c r="S60" s="963"/>
      <c r="T60" s="963"/>
      <c r="U60" s="1044"/>
      <c r="V60" s="1044"/>
      <c r="W60" s="1044"/>
      <c r="X60" s="1045"/>
      <c r="Y60" s="1045"/>
      <c r="Z60" s="1045"/>
      <c r="AA60" s="1461"/>
      <c r="AB60" s="1461"/>
      <c r="AC60" s="1446"/>
      <c r="AD60" s="1446"/>
      <c r="AE60" s="1446"/>
      <c r="AF60" s="1503"/>
      <c r="AG60" s="1503"/>
      <c r="AH60" s="1498"/>
      <c r="AI60" s="1498"/>
      <c r="AJ60" s="1498"/>
      <c r="AK60" s="1498"/>
      <c r="AL60" s="1498"/>
      <c r="AM60" s="1498"/>
      <c r="AN60" s="1498"/>
      <c r="AO60" s="1446"/>
      <c r="AP60" s="1446"/>
      <c r="AQ60" s="1446"/>
      <c r="AR60" s="1446"/>
      <c r="AS60" s="1446"/>
      <c r="AT60" s="1446"/>
      <c r="AU60" s="1446"/>
      <c r="AV60" s="1446"/>
      <c r="AW60" s="1446"/>
      <c r="AX60" s="1446"/>
      <c r="AY60" s="1446"/>
      <c r="AZ60" s="1446"/>
      <c r="BA60" s="1463"/>
      <c r="BB60" s="1463"/>
      <c r="BC60" s="1446"/>
      <c r="BD60" s="1446"/>
      <c r="BE60" s="1446"/>
      <c r="BF60" s="1446"/>
      <c r="BG60" s="1446"/>
      <c r="BH60" s="1498"/>
      <c r="BI60" s="1498"/>
      <c r="BJ60" s="1498"/>
      <c r="BK60" s="1498"/>
      <c r="BL60" s="1498"/>
      <c r="BM60" s="1498"/>
      <c r="BN60" s="1498"/>
      <c r="BO60" s="1498"/>
    </row>
    <row r="61" spans="1:67" x14ac:dyDescent="0.2">
      <c r="A61" s="1498"/>
      <c r="B61" s="480"/>
      <c r="C61" s="480"/>
      <c r="D61" s="480"/>
      <c r="E61" s="1165"/>
      <c r="F61" s="1165"/>
      <c r="G61" s="480"/>
      <c r="H61" s="480"/>
      <c r="I61" s="1038"/>
      <c r="J61" s="1044"/>
      <c r="K61" s="1039"/>
      <c r="L61" s="963"/>
      <c r="M61" s="963"/>
      <c r="N61" s="1447"/>
      <c r="O61" s="1454"/>
      <c r="P61" s="1455"/>
      <c r="Q61" s="1455"/>
      <c r="R61" s="1455"/>
      <c r="S61" s="963"/>
      <c r="T61" s="963"/>
      <c r="U61" s="1044"/>
      <c r="V61" s="1044"/>
      <c r="W61" s="1044"/>
      <c r="X61" s="1045"/>
      <c r="Y61" s="1045"/>
      <c r="Z61" s="1045"/>
      <c r="AA61" s="1461"/>
      <c r="AB61" s="1461"/>
      <c r="AC61" s="1446"/>
      <c r="AD61" s="1446"/>
      <c r="AE61" s="1446"/>
      <c r="AF61" s="1503"/>
      <c r="AG61" s="1503"/>
      <c r="AH61" s="1498"/>
      <c r="AI61" s="1498"/>
      <c r="AJ61" s="1498"/>
      <c r="AK61" s="1498"/>
      <c r="AL61" s="1498"/>
      <c r="AM61" s="1498"/>
      <c r="AN61" s="1498"/>
      <c r="AO61" s="1446"/>
      <c r="AP61" s="1446"/>
      <c r="AQ61" s="1446"/>
      <c r="AR61" s="1446"/>
      <c r="AS61" s="1446"/>
      <c r="AT61" s="1446"/>
      <c r="AU61" s="1446"/>
      <c r="AV61" s="1446"/>
      <c r="AW61" s="1446"/>
      <c r="AX61" s="1446"/>
      <c r="AY61" s="1446"/>
      <c r="AZ61" s="1446"/>
      <c r="BA61" s="1463"/>
      <c r="BB61" s="1463"/>
      <c r="BC61" s="1446"/>
      <c r="BD61" s="1446"/>
      <c r="BE61" s="1446"/>
      <c r="BF61" s="1446"/>
      <c r="BG61" s="1446"/>
      <c r="BH61" s="1498"/>
      <c r="BI61" s="1498"/>
      <c r="BJ61" s="1498"/>
      <c r="BK61" s="1498"/>
      <c r="BL61" s="1498"/>
      <c r="BM61" s="1498"/>
      <c r="BN61" s="1498"/>
      <c r="BO61" s="1498"/>
    </row>
    <row r="62" spans="1:67" x14ac:dyDescent="0.2">
      <c r="A62" s="1498"/>
      <c r="B62" s="480"/>
      <c r="C62" s="480"/>
      <c r="D62" s="480"/>
      <c r="E62" s="1165"/>
      <c r="F62" s="1165"/>
      <c r="G62" s="480"/>
      <c r="H62" s="480"/>
      <c r="I62" s="1038"/>
      <c r="J62" s="1044"/>
      <c r="K62" s="1039"/>
      <c r="L62" s="963"/>
      <c r="M62" s="963"/>
      <c r="N62" s="1447"/>
      <c r="O62" s="1454"/>
      <c r="P62" s="1455"/>
      <c r="Q62" s="1455"/>
      <c r="R62" s="1455"/>
      <c r="S62" s="963"/>
      <c r="T62" s="963"/>
      <c r="U62" s="1044"/>
      <c r="V62" s="1044"/>
      <c r="W62" s="1044"/>
      <c r="X62" s="1045"/>
      <c r="Y62" s="1045"/>
      <c r="Z62" s="1045"/>
      <c r="AA62" s="1461"/>
      <c r="AB62" s="1461"/>
      <c r="AC62" s="1446"/>
      <c r="AD62" s="1446"/>
      <c r="AE62" s="1446"/>
      <c r="AF62" s="1503"/>
      <c r="AG62" s="1503"/>
      <c r="AH62" s="1498"/>
      <c r="AI62" s="1498"/>
      <c r="AJ62" s="1498"/>
      <c r="AK62" s="1498"/>
      <c r="AL62" s="1498"/>
      <c r="AM62" s="1498"/>
      <c r="AN62" s="1498"/>
      <c r="AO62" s="1446"/>
      <c r="AP62" s="1446"/>
      <c r="AQ62" s="1446"/>
      <c r="AR62" s="1446"/>
      <c r="AS62" s="1446"/>
      <c r="AT62" s="1446"/>
      <c r="AU62" s="1446"/>
      <c r="AV62" s="1446"/>
      <c r="AW62" s="1446"/>
      <c r="AX62" s="1446"/>
      <c r="AY62" s="1446"/>
      <c r="AZ62" s="1446"/>
      <c r="BA62" s="1463"/>
      <c r="BB62" s="1463"/>
      <c r="BC62" s="1446"/>
      <c r="BD62" s="1446"/>
      <c r="BE62" s="1446"/>
      <c r="BF62" s="1446"/>
      <c r="BG62" s="1446"/>
      <c r="BH62" s="1498"/>
      <c r="BI62" s="1498"/>
      <c r="BJ62" s="1498"/>
      <c r="BK62" s="1498"/>
      <c r="BL62" s="1498"/>
      <c r="BM62" s="1498"/>
      <c r="BN62" s="1498"/>
      <c r="BO62" s="1498"/>
    </row>
    <row r="63" spans="1:67" x14ac:dyDescent="0.2">
      <c r="A63" s="1498"/>
      <c r="B63" s="480"/>
      <c r="C63" s="480"/>
      <c r="D63" s="480"/>
      <c r="E63" s="1165"/>
      <c r="F63" s="1165"/>
      <c r="G63" s="480"/>
      <c r="H63" s="480"/>
      <c r="I63" s="1038"/>
      <c r="J63" s="1044"/>
      <c r="K63" s="1039"/>
      <c r="L63" s="963"/>
      <c r="M63" s="963"/>
      <c r="N63" s="1447"/>
      <c r="O63" s="1454"/>
      <c r="P63" s="1455"/>
      <c r="Q63" s="1455"/>
      <c r="R63" s="1455"/>
      <c r="S63" s="963"/>
      <c r="T63" s="963"/>
      <c r="U63" s="1044"/>
      <c r="V63" s="1044"/>
      <c r="W63" s="1044"/>
      <c r="X63" s="1045"/>
      <c r="Y63" s="1045"/>
      <c r="Z63" s="1045"/>
      <c r="AA63" s="1461"/>
      <c r="AB63" s="1461"/>
      <c r="AC63" s="1446"/>
      <c r="AD63" s="1446"/>
      <c r="AE63" s="1446"/>
      <c r="AF63" s="1503"/>
      <c r="AG63" s="1503"/>
      <c r="AH63" s="1498"/>
      <c r="AI63" s="1498"/>
      <c r="AJ63" s="1498"/>
      <c r="AK63" s="1498"/>
      <c r="AL63" s="1498"/>
      <c r="AM63" s="1498"/>
      <c r="AN63" s="1498"/>
      <c r="AO63" s="1446"/>
      <c r="AP63" s="1446"/>
      <c r="AQ63" s="1446"/>
      <c r="AR63" s="1446"/>
      <c r="AS63" s="1446"/>
      <c r="AT63" s="1446"/>
      <c r="AU63" s="1446"/>
      <c r="AV63" s="1446"/>
      <c r="AW63" s="1446"/>
      <c r="AX63" s="1446"/>
      <c r="AY63" s="1446"/>
      <c r="AZ63" s="1446"/>
      <c r="BA63" s="1463"/>
      <c r="BB63" s="1463"/>
      <c r="BC63" s="1446"/>
      <c r="BD63" s="1446"/>
      <c r="BE63" s="1446"/>
      <c r="BF63" s="1446"/>
      <c r="BG63" s="1446"/>
      <c r="BH63" s="1498"/>
      <c r="BI63" s="1498"/>
      <c r="BJ63" s="1498"/>
      <c r="BK63" s="1498"/>
      <c r="BL63" s="1498"/>
      <c r="BM63" s="1498"/>
      <c r="BN63" s="1498"/>
      <c r="BO63" s="1498"/>
    </row>
    <row r="64" spans="1:67" x14ac:dyDescent="0.2">
      <c r="A64" s="1498"/>
      <c r="B64" s="480"/>
      <c r="C64" s="480"/>
      <c r="D64" s="480"/>
      <c r="E64" s="1165"/>
      <c r="F64" s="1165"/>
      <c r="G64" s="480"/>
      <c r="H64" s="480"/>
      <c r="I64" s="1038"/>
      <c r="J64" s="1044"/>
      <c r="K64" s="1039"/>
      <c r="L64" s="963"/>
      <c r="M64" s="963"/>
      <c r="N64" s="1447"/>
      <c r="O64" s="1454"/>
      <c r="P64" s="1455"/>
      <c r="Q64" s="1455"/>
      <c r="R64" s="1455"/>
      <c r="S64" s="963"/>
      <c r="T64" s="963"/>
      <c r="U64" s="1044"/>
      <c r="V64" s="1044"/>
      <c r="W64" s="1044"/>
      <c r="X64" s="1045"/>
      <c r="Y64" s="1045"/>
      <c r="Z64" s="1045"/>
      <c r="AA64" s="1461"/>
      <c r="AB64" s="1461"/>
      <c r="AC64" s="1446"/>
      <c r="AD64" s="1446"/>
      <c r="AE64" s="1446"/>
      <c r="AF64" s="1503"/>
      <c r="AG64" s="1503"/>
      <c r="AH64" s="1498"/>
      <c r="AI64" s="1498"/>
      <c r="AJ64" s="1498"/>
      <c r="AK64" s="1498"/>
      <c r="AL64" s="1498"/>
      <c r="AM64" s="1498"/>
      <c r="AN64" s="1498"/>
      <c r="AO64" s="1446"/>
      <c r="AP64" s="1446"/>
      <c r="AQ64" s="1446"/>
      <c r="AR64" s="1446"/>
      <c r="AS64" s="1446"/>
      <c r="AT64" s="1446"/>
      <c r="AU64" s="1446"/>
      <c r="AV64" s="1446"/>
      <c r="AW64" s="1446"/>
      <c r="AX64" s="1446"/>
      <c r="AY64" s="1446"/>
      <c r="AZ64" s="1446"/>
      <c r="BA64" s="1463"/>
      <c r="BB64" s="1463"/>
      <c r="BC64" s="1446"/>
      <c r="BD64" s="1446"/>
      <c r="BE64" s="1446"/>
      <c r="BF64" s="1446"/>
      <c r="BG64" s="1446"/>
      <c r="BH64" s="1498"/>
      <c r="BI64" s="1498"/>
      <c r="BJ64" s="1498"/>
      <c r="BK64" s="1498"/>
      <c r="BL64" s="1498"/>
      <c r="BM64" s="1498"/>
      <c r="BN64" s="1498"/>
      <c r="BO64" s="1498"/>
    </row>
    <row r="65" spans="1:67" x14ac:dyDescent="0.2">
      <c r="A65" s="1498"/>
      <c r="B65" s="480"/>
      <c r="C65" s="480"/>
      <c r="D65" s="480"/>
      <c r="E65" s="1165"/>
      <c r="F65" s="1165"/>
      <c r="G65" s="480"/>
      <c r="H65" s="480"/>
      <c r="I65" s="1038"/>
      <c r="J65" s="1044"/>
      <c r="K65" s="1039"/>
      <c r="L65" s="963"/>
      <c r="M65" s="963"/>
      <c r="N65" s="1447"/>
      <c r="O65" s="1454"/>
      <c r="P65" s="1455"/>
      <c r="Q65" s="1455"/>
      <c r="R65" s="1455"/>
      <c r="S65" s="963"/>
      <c r="T65" s="963"/>
      <c r="U65" s="1044"/>
      <c r="V65" s="1044"/>
      <c r="W65" s="1044"/>
      <c r="X65" s="1045"/>
      <c r="Y65" s="1045"/>
      <c r="Z65" s="1045"/>
      <c r="AA65" s="1461"/>
      <c r="AB65" s="1461"/>
      <c r="AC65" s="1446"/>
      <c r="AD65" s="1446"/>
      <c r="AE65" s="1446"/>
      <c r="AF65" s="1503"/>
      <c r="AG65" s="1503"/>
      <c r="AH65" s="1498"/>
      <c r="AI65" s="1498"/>
      <c r="AJ65" s="1498"/>
      <c r="AK65" s="1498"/>
      <c r="AL65" s="1498"/>
      <c r="AM65" s="1498"/>
      <c r="AN65" s="1498"/>
      <c r="AO65" s="1446"/>
      <c r="AP65" s="1446"/>
      <c r="AQ65" s="1446"/>
      <c r="AR65" s="1446"/>
      <c r="AS65" s="1446"/>
      <c r="AT65" s="1446"/>
      <c r="AU65" s="1446"/>
      <c r="AV65" s="1446"/>
      <c r="AW65" s="1446"/>
      <c r="AX65" s="1446"/>
      <c r="AY65" s="1446"/>
      <c r="AZ65" s="1446"/>
      <c r="BA65" s="1463"/>
      <c r="BB65" s="1463"/>
      <c r="BC65" s="1446"/>
      <c r="BD65" s="1446"/>
      <c r="BE65" s="1446"/>
      <c r="BF65" s="1446"/>
      <c r="BG65" s="1446"/>
      <c r="BH65" s="1498"/>
      <c r="BI65" s="1498"/>
      <c r="BJ65" s="1498"/>
      <c r="BK65" s="1498"/>
      <c r="BL65" s="1498"/>
      <c r="BM65" s="1498"/>
      <c r="BN65" s="1498"/>
      <c r="BO65" s="1498"/>
    </row>
    <row r="66" spans="1:67" x14ac:dyDescent="0.2">
      <c r="A66" s="1498"/>
      <c r="B66" s="480"/>
      <c r="C66" s="480"/>
      <c r="D66" s="480"/>
      <c r="E66" s="1165"/>
      <c r="F66" s="1165"/>
      <c r="G66" s="480"/>
      <c r="H66" s="480"/>
      <c r="I66" s="1038"/>
      <c r="J66" s="1044"/>
      <c r="K66" s="1039"/>
      <c r="L66" s="963"/>
      <c r="M66" s="963"/>
      <c r="N66" s="1447"/>
      <c r="O66" s="1454"/>
      <c r="P66" s="1455"/>
      <c r="Q66" s="1455"/>
      <c r="R66" s="1455"/>
      <c r="S66" s="963"/>
      <c r="T66" s="963"/>
      <c r="U66" s="1044"/>
      <c r="V66" s="1044"/>
      <c r="W66" s="1044"/>
      <c r="X66" s="1045"/>
      <c r="Y66" s="1045"/>
      <c r="Z66" s="1045"/>
      <c r="AA66" s="1461"/>
      <c r="AB66" s="1461"/>
      <c r="AC66" s="1446"/>
      <c r="AD66" s="1446"/>
      <c r="AE66" s="1446"/>
      <c r="AF66" s="1503"/>
      <c r="AG66" s="1503"/>
      <c r="AH66" s="1498"/>
      <c r="AI66" s="1498"/>
      <c r="AJ66" s="1498"/>
      <c r="AK66" s="1498"/>
      <c r="AL66" s="1498"/>
      <c r="AM66" s="1498"/>
      <c r="AN66" s="1498"/>
      <c r="AO66" s="1446"/>
      <c r="AP66" s="1446"/>
      <c r="AQ66" s="1446"/>
      <c r="AR66" s="1446"/>
      <c r="AS66" s="1446"/>
      <c r="AT66" s="1446"/>
      <c r="AU66" s="1446"/>
      <c r="AV66" s="1446"/>
      <c r="AW66" s="1446"/>
      <c r="AX66" s="1446"/>
      <c r="AY66" s="1446"/>
      <c r="AZ66" s="1446"/>
      <c r="BA66" s="1463"/>
      <c r="BB66" s="1463"/>
      <c r="BC66" s="1446"/>
      <c r="BD66" s="1446"/>
      <c r="BE66" s="1446"/>
      <c r="BF66" s="1446"/>
      <c r="BG66" s="1446"/>
      <c r="BH66" s="1498"/>
      <c r="BI66" s="1498"/>
      <c r="BJ66" s="1498"/>
      <c r="BK66" s="1498"/>
      <c r="BL66" s="1498"/>
      <c r="BM66" s="1498"/>
      <c r="BN66" s="1498"/>
      <c r="BO66" s="1498"/>
    </row>
    <row r="67" spans="1:67" x14ac:dyDescent="0.2">
      <c r="A67" s="1498"/>
      <c r="B67" s="480"/>
      <c r="C67" s="480"/>
      <c r="D67" s="480"/>
      <c r="E67" s="1165"/>
      <c r="F67" s="1165"/>
      <c r="G67" s="480"/>
      <c r="H67" s="480"/>
      <c r="I67" s="1038"/>
      <c r="J67" s="1044"/>
      <c r="K67" s="1039"/>
      <c r="L67" s="963"/>
      <c r="M67" s="963"/>
      <c r="N67" s="1447"/>
      <c r="O67" s="1454"/>
      <c r="P67" s="1455"/>
      <c r="Q67" s="1455"/>
      <c r="R67" s="1455"/>
      <c r="S67" s="963"/>
      <c r="T67" s="963"/>
      <c r="U67" s="1044"/>
      <c r="V67" s="1044"/>
      <c r="W67" s="1044"/>
      <c r="X67" s="1045"/>
      <c r="Y67" s="1045"/>
      <c r="Z67" s="1045"/>
      <c r="AA67" s="1461"/>
      <c r="AB67" s="1461"/>
      <c r="AC67" s="1446"/>
      <c r="AD67" s="1446"/>
      <c r="AE67" s="1446"/>
      <c r="AF67" s="1503"/>
      <c r="AG67" s="1503"/>
      <c r="AH67" s="1498"/>
      <c r="AI67" s="1498"/>
      <c r="AJ67" s="1498"/>
      <c r="AK67" s="1498"/>
      <c r="AL67" s="1498"/>
      <c r="AM67" s="1498"/>
      <c r="AN67" s="1498"/>
      <c r="AO67" s="1446"/>
      <c r="AP67" s="1446"/>
      <c r="AQ67" s="1446"/>
      <c r="AR67" s="1446"/>
      <c r="AS67" s="1446"/>
      <c r="AT67" s="1446"/>
      <c r="AU67" s="1446"/>
      <c r="AV67" s="1446"/>
      <c r="AW67" s="1446"/>
      <c r="AX67" s="1446"/>
      <c r="AY67" s="1446"/>
      <c r="AZ67" s="1446"/>
      <c r="BA67" s="1463"/>
      <c r="BB67" s="1463"/>
      <c r="BC67" s="1446"/>
      <c r="BD67" s="1446"/>
      <c r="BE67" s="1446"/>
      <c r="BF67" s="1446"/>
      <c r="BG67" s="1446"/>
      <c r="BH67" s="1498"/>
      <c r="BI67" s="1498"/>
      <c r="BJ67" s="1498"/>
      <c r="BK67" s="1498"/>
      <c r="BL67" s="1498"/>
      <c r="BM67" s="1498"/>
      <c r="BN67" s="1498"/>
      <c r="BO67" s="1498"/>
    </row>
    <row r="68" spans="1:67" x14ac:dyDescent="0.2">
      <c r="A68" s="1498"/>
      <c r="B68" s="480"/>
      <c r="C68" s="480"/>
      <c r="D68" s="480"/>
      <c r="E68" s="1165"/>
      <c r="F68" s="1165"/>
      <c r="G68" s="480"/>
      <c r="H68" s="480"/>
      <c r="I68" s="1038"/>
      <c r="J68" s="1044"/>
      <c r="K68" s="1039"/>
      <c r="L68" s="963"/>
      <c r="M68" s="963"/>
      <c r="N68" s="1447"/>
      <c r="O68" s="1454"/>
      <c r="P68" s="1455"/>
      <c r="Q68" s="1455"/>
      <c r="R68" s="1455"/>
      <c r="S68" s="963"/>
      <c r="T68" s="963"/>
      <c r="U68" s="1044"/>
      <c r="V68" s="1044"/>
      <c r="W68" s="1044"/>
      <c r="X68" s="1045"/>
      <c r="Y68" s="1045"/>
      <c r="Z68" s="1045"/>
      <c r="AA68" s="1461"/>
      <c r="AB68" s="1461"/>
      <c r="AC68" s="1446"/>
      <c r="AD68" s="1446"/>
      <c r="AE68" s="1446"/>
      <c r="AF68" s="1503"/>
      <c r="AG68" s="1503"/>
      <c r="AH68" s="1498"/>
      <c r="AI68" s="1498"/>
      <c r="AJ68" s="1498"/>
      <c r="AK68" s="1498"/>
      <c r="AL68" s="1498"/>
      <c r="AM68" s="1498"/>
      <c r="AN68" s="1498"/>
      <c r="AO68" s="1446"/>
      <c r="AP68" s="1446"/>
      <c r="AQ68" s="1446"/>
      <c r="AR68" s="1446"/>
      <c r="AS68" s="1446"/>
      <c r="AT68" s="1446"/>
      <c r="AU68" s="1446"/>
      <c r="AV68" s="1446"/>
      <c r="AW68" s="1446"/>
      <c r="AX68" s="1446"/>
      <c r="AY68" s="1446"/>
      <c r="AZ68" s="1446"/>
      <c r="BA68" s="1463"/>
      <c r="BB68" s="1463"/>
      <c r="BC68" s="1446"/>
      <c r="BD68" s="1446"/>
      <c r="BE68" s="1446"/>
      <c r="BF68" s="1446"/>
      <c r="BG68" s="1446"/>
      <c r="BH68" s="1498"/>
      <c r="BI68" s="1498"/>
      <c r="BJ68" s="1498"/>
      <c r="BK68" s="1498"/>
      <c r="BL68" s="1498"/>
      <c r="BM68" s="1498"/>
      <c r="BN68" s="1498"/>
      <c r="BO68" s="1498"/>
    </row>
    <row r="69" spans="1:67" x14ac:dyDescent="0.2">
      <c r="A69" s="1498"/>
      <c r="B69" s="480"/>
      <c r="C69" s="480"/>
      <c r="D69" s="480"/>
      <c r="E69" s="1165"/>
      <c r="F69" s="1165"/>
      <c r="G69" s="480"/>
      <c r="H69" s="480"/>
      <c r="I69" s="1038"/>
      <c r="J69" s="1044"/>
      <c r="K69" s="1039"/>
      <c r="L69" s="963"/>
      <c r="M69" s="963"/>
      <c r="N69" s="1447"/>
      <c r="O69" s="1454"/>
      <c r="P69" s="1455"/>
      <c r="Q69" s="1455"/>
      <c r="R69" s="1455"/>
      <c r="S69" s="963"/>
      <c r="T69" s="963"/>
      <c r="U69" s="1044"/>
      <c r="V69" s="1044"/>
      <c r="W69" s="1044"/>
      <c r="X69" s="1045"/>
      <c r="Y69" s="1045"/>
      <c r="Z69" s="1045"/>
      <c r="AA69" s="1461"/>
      <c r="AB69" s="1461"/>
      <c r="AC69" s="1446"/>
      <c r="AD69" s="1446"/>
      <c r="AE69" s="1446"/>
      <c r="AF69" s="1503"/>
      <c r="AG69" s="1503"/>
      <c r="AH69" s="1498"/>
      <c r="AI69" s="1498"/>
      <c r="AJ69" s="1498"/>
      <c r="AK69" s="1498"/>
      <c r="AL69" s="1498"/>
      <c r="AM69" s="1498"/>
      <c r="AN69" s="1498"/>
      <c r="AO69" s="1446"/>
      <c r="AP69" s="1446"/>
      <c r="AQ69" s="1446"/>
      <c r="AR69" s="1446"/>
      <c r="AS69" s="1446"/>
      <c r="AT69" s="1446"/>
      <c r="AU69" s="1446"/>
      <c r="AV69" s="1446"/>
      <c r="AW69" s="1446"/>
      <c r="AX69" s="1446"/>
      <c r="AY69" s="1446"/>
      <c r="AZ69" s="1446"/>
      <c r="BA69" s="1463"/>
      <c r="BB69" s="1463"/>
      <c r="BC69" s="1446"/>
      <c r="BD69" s="1446"/>
      <c r="BE69" s="1446"/>
      <c r="BF69" s="1446"/>
      <c r="BG69" s="1446"/>
      <c r="BH69" s="1498"/>
      <c r="BI69" s="1498"/>
      <c r="BJ69" s="1498"/>
      <c r="BK69" s="1498"/>
      <c r="BL69" s="1498"/>
      <c r="BM69" s="1498"/>
      <c r="BN69" s="1498"/>
      <c r="BO69" s="1498"/>
    </row>
    <row r="70" spans="1:67" x14ac:dyDescent="0.2">
      <c r="A70" s="1498"/>
      <c r="B70" s="480"/>
      <c r="C70" s="480"/>
      <c r="D70" s="480"/>
      <c r="E70" s="1165"/>
      <c r="F70" s="1165"/>
      <c r="G70" s="480"/>
      <c r="H70" s="480"/>
      <c r="I70" s="1038"/>
      <c r="J70" s="1044"/>
      <c r="K70" s="1039"/>
      <c r="L70" s="963"/>
      <c r="M70" s="963"/>
      <c r="N70" s="1447"/>
      <c r="O70" s="1454"/>
      <c r="P70" s="1455"/>
      <c r="Q70" s="1455"/>
      <c r="R70" s="1455"/>
      <c r="S70" s="963"/>
      <c r="T70" s="963"/>
      <c r="U70" s="1044"/>
      <c r="V70" s="1044"/>
      <c r="W70" s="1044"/>
      <c r="X70" s="1045"/>
      <c r="Y70" s="1045"/>
      <c r="Z70" s="1045"/>
      <c r="AA70" s="1461"/>
      <c r="AB70" s="1461"/>
      <c r="AC70" s="1446"/>
      <c r="AD70" s="1446"/>
      <c r="AE70" s="1446"/>
      <c r="AF70" s="1503"/>
      <c r="AG70" s="1503"/>
      <c r="AH70" s="1498"/>
      <c r="AI70" s="1498"/>
      <c r="AJ70" s="1498"/>
      <c r="AK70" s="1498"/>
      <c r="AL70" s="1498"/>
      <c r="AM70" s="1498"/>
      <c r="AN70" s="1498"/>
      <c r="AO70" s="1446"/>
      <c r="AP70" s="1446"/>
      <c r="AQ70" s="1446"/>
      <c r="AR70" s="1446"/>
      <c r="AS70" s="1446"/>
      <c r="AT70" s="1446"/>
      <c r="AU70" s="1446"/>
      <c r="AV70" s="1446"/>
      <c r="AW70" s="1446"/>
      <c r="AX70" s="1446"/>
      <c r="AY70" s="1446"/>
      <c r="AZ70" s="1446"/>
      <c r="BA70" s="1463"/>
      <c r="BB70" s="1463"/>
      <c r="BC70" s="1446"/>
      <c r="BD70" s="1446"/>
      <c r="BE70" s="1446"/>
      <c r="BF70" s="1446"/>
      <c r="BG70" s="1446"/>
      <c r="BH70" s="1498"/>
      <c r="BI70" s="1498"/>
      <c r="BJ70" s="1498"/>
      <c r="BK70" s="1498"/>
      <c r="BL70" s="1498"/>
      <c r="BM70" s="1498"/>
      <c r="BN70" s="1498"/>
      <c r="BO70" s="1498"/>
    </row>
    <row r="71" spans="1:67" x14ac:dyDescent="0.2">
      <c r="A71" s="1498"/>
      <c r="B71" s="480"/>
      <c r="C71" s="480"/>
      <c r="D71" s="480"/>
      <c r="E71" s="1598"/>
      <c r="F71" s="1165"/>
      <c r="G71" s="480"/>
      <c r="H71" s="480"/>
      <c r="I71" s="1038"/>
      <c r="J71" s="1044"/>
      <c r="K71" s="1039"/>
      <c r="L71" s="963"/>
      <c r="M71" s="963"/>
      <c r="N71" s="1447"/>
      <c r="O71" s="1454"/>
      <c r="P71" s="1455"/>
      <c r="Q71" s="1599"/>
      <c r="R71" s="1599"/>
      <c r="S71" s="963"/>
      <c r="T71" s="963"/>
      <c r="U71" s="1044"/>
      <c r="V71" s="1044"/>
      <c r="W71" s="1044"/>
      <c r="X71" s="1045"/>
      <c r="Y71" s="1045"/>
      <c r="Z71" s="1045"/>
      <c r="AA71" s="1461"/>
      <c r="AB71" s="1461"/>
      <c r="AC71" s="1446"/>
      <c r="AD71" s="1446"/>
      <c r="AE71" s="1446"/>
      <c r="AF71" s="1503"/>
      <c r="AG71" s="1503"/>
      <c r="AH71" s="1498"/>
      <c r="AI71" s="1498"/>
      <c r="AJ71" s="1498"/>
      <c r="AK71" s="1498"/>
      <c r="AL71" s="1498"/>
      <c r="AM71" s="1498"/>
      <c r="AN71" s="1498"/>
      <c r="AO71" s="1446"/>
      <c r="AP71" s="1446"/>
      <c r="AQ71" s="1446"/>
      <c r="AR71" s="1446"/>
      <c r="AS71" s="1446"/>
      <c r="AT71" s="1446"/>
      <c r="AU71" s="1446"/>
      <c r="AV71" s="1446"/>
      <c r="AW71" s="1446"/>
      <c r="AX71" s="1446"/>
      <c r="AY71" s="1446"/>
      <c r="AZ71" s="1446"/>
      <c r="BA71" s="1463"/>
      <c r="BB71" s="1463"/>
      <c r="BC71" s="1446"/>
      <c r="BD71" s="1446"/>
      <c r="BE71" s="1446"/>
      <c r="BF71" s="1446"/>
      <c r="BG71" s="1446"/>
      <c r="BH71" s="1498"/>
      <c r="BI71" s="1498"/>
      <c r="BJ71" s="1498"/>
      <c r="BK71" s="1498"/>
      <c r="BL71" s="1498"/>
      <c r="BM71" s="1498"/>
      <c r="BN71" s="1498"/>
      <c r="BO71" s="1498"/>
    </row>
    <row r="72" spans="1:67" x14ac:dyDescent="0.2">
      <c r="A72" s="1498"/>
      <c r="B72" s="480"/>
      <c r="C72" s="480"/>
      <c r="D72" s="480"/>
      <c r="E72" s="1165"/>
      <c r="F72" s="1165"/>
      <c r="G72" s="480"/>
      <c r="H72" s="480"/>
      <c r="I72" s="1038"/>
      <c r="J72" s="1044"/>
      <c r="K72" s="1039"/>
      <c r="L72" s="963"/>
      <c r="M72" s="963"/>
      <c r="N72" s="1447"/>
      <c r="O72" s="1454"/>
      <c r="P72" s="1455"/>
      <c r="Q72" s="1455"/>
      <c r="R72" s="1455"/>
      <c r="S72" s="963"/>
      <c r="T72" s="963"/>
      <c r="U72" s="1044"/>
      <c r="V72" s="1044"/>
      <c r="W72" s="1044"/>
      <c r="X72" s="1045"/>
      <c r="Y72" s="1045"/>
      <c r="Z72" s="1045"/>
      <c r="AA72" s="1461"/>
      <c r="AB72" s="1461"/>
      <c r="AC72" s="1446"/>
      <c r="AD72" s="1446"/>
      <c r="AE72" s="1446"/>
      <c r="AF72" s="1503"/>
      <c r="AG72" s="1503"/>
      <c r="AH72" s="1498"/>
      <c r="AI72" s="1498"/>
      <c r="AJ72" s="1498"/>
      <c r="AK72" s="1498"/>
      <c r="AL72" s="1498"/>
      <c r="AM72" s="1498"/>
      <c r="AN72" s="1498"/>
      <c r="AO72" s="1446"/>
      <c r="AP72" s="1446"/>
      <c r="AQ72" s="1446"/>
      <c r="AR72" s="1446"/>
      <c r="AS72" s="1446"/>
      <c r="AT72" s="1446"/>
      <c r="AU72" s="1446"/>
      <c r="AV72" s="1446"/>
      <c r="AW72" s="1446"/>
      <c r="AX72" s="1446"/>
      <c r="AY72" s="1446"/>
      <c r="AZ72" s="1446"/>
      <c r="BA72" s="1523"/>
      <c r="BB72" s="1463"/>
      <c r="BC72" s="1446"/>
      <c r="BD72" s="1446"/>
      <c r="BE72" s="1446"/>
      <c r="BF72" s="1446"/>
      <c r="BG72" s="1446"/>
      <c r="BH72" s="1498"/>
      <c r="BI72" s="1498"/>
      <c r="BJ72" s="1498"/>
      <c r="BK72" s="1498"/>
      <c r="BL72" s="1498"/>
      <c r="BM72" s="1498"/>
      <c r="BN72" s="1498"/>
      <c r="BO72" s="1498"/>
    </row>
    <row r="73" spans="1:67" x14ac:dyDescent="0.2">
      <c r="A73" s="1498"/>
      <c r="B73" s="480"/>
      <c r="C73" s="480"/>
      <c r="D73" s="480"/>
      <c r="E73" s="1165"/>
      <c r="F73" s="1165"/>
      <c r="G73" s="480"/>
      <c r="H73" s="480"/>
      <c r="I73" s="1038"/>
      <c r="J73" s="1044"/>
      <c r="K73" s="1039"/>
      <c r="L73" s="963"/>
      <c r="M73" s="963"/>
      <c r="N73" s="1447"/>
      <c r="O73" s="1454"/>
      <c r="P73" s="1455"/>
      <c r="Q73" s="1455"/>
      <c r="R73" s="1455"/>
      <c r="S73" s="963"/>
      <c r="T73" s="963"/>
      <c r="U73" s="1044"/>
      <c r="V73" s="1044"/>
      <c r="W73" s="1044"/>
      <c r="X73" s="1045"/>
      <c r="Y73" s="1045"/>
      <c r="Z73" s="1045"/>
      <c r="AA73" s="1461"/>
      <c r="AB73" s="1461"/>
      <c r="AC73" s="1446"/>
      <c r="AD73" s="1446"/>
      <c r="AE73" s="1446"/>
      <c r="AF73" s="1503"/>
      <c r="AG73" s="1503"/>
      <c r="AH73" s="1498"/>
      <c r="AI73" s="1498"/>
      <c r="AJ73" s="1498"/>
      <c r="AK73" s="1498"/>
      <c r="AL73" s="1498"/>
      <c r="AM73" s="1498"/>
      <c r="AN73" s="1498"/>
      <c r="AO73" s="1446"/>
      <c r="AP73" s="1446"/>
      <c r="AQ73" s="1446"/>
      <c r="AR73" s="1446"/>
      <c r="AS73" s="1446"/>
      <c r="AT73" s="1446"/>
      <c r="AU73" s="1446"/>
      <c r="AV73" s="1446"/>
      <c r="AW73" s="1446"/>
      <c r="AX73" s="1446"/>
      <c r="AY73" s="1446"/>
      <c r="AZ73" s="1446"/>
      <c r="BA73" s="1463"/>
      <c r="BB73" s="1463"/>
      <c r="BC73" s="1446"/>
      <c r="BD73" s="1446"/>
      <c r="BE73" s="1446"/>
      <c r="BF73" s="1446"/>
      <c r="BG73" s="1446"/>
      <c r="BH73" s="1498"/>
      <c r="BI73" s="1498"/>
      <c r="BJ73" s="1498"/>
      <c r="BK73" s="1498"/>
      <c r="BL73" s="1498"/>
      <c r="BM73" s="1498"/>
      <c r="BN73" s="1498"/>
      <c r="BO73" s="1498"/>
    </row>
    <row r="74" spans="1:67" x14ac:dyDescent="0.2">
      <c r="A74" s="1498"/>
      <c r="B74" s="480"/>
      <c r="C74" s="480"/>
      <c r="D74" s="480"/>
      <c r="E74" s="1165"/>
      <c r="F74" s="1165"/>
      <c r="G74" s="480"/>
      <c r="H74" s="480"/>
      <c r="I74" s="1038"/>
      <c r="J74" s="1044"/>
      <c r="K74" s="1039"/>
      <c r="L74" s="963"/>
      <c r="M74" s="963"/>
      <c r="N74" s="1447"/>
      <c r="O74" s="1454"/>
      <c r="P74" s="1455"/>
      <c r="Q74" s="1455"/>
      <c r="R74" s="1455"/>
      <c r="S74" s="963"/>
      <c r="T74" s="963"/>
      <c r="U74" s="1044"/>
      <c r="V74" s="1044"/>
      <c r="W74" s="1044"/>
      <c r="X74" s="1045"/>
      <c r="Y74" s="1045"/>
      <c r="Z74" s="1045"/>
      <c r="AA74" s="1461"/>
      <c r="AB74" s="1461"/>
      <c r="AC74" s="1446"/>
      <c r="AD74" s="1446"/>
      <c r="AE74" s="1446"/>
      <c r="AF74" s="1503"/>
      <c r="AG74" s="1503"/>
      <c r="AH74" s="1498"/>
      <c r="AI74" s="1498"/>
      <c r="AJ74" s="1498"/>
      <c r="AK74" s="1498"/>
      <c r="AL74" s="1498"/>
      <c r="AM74" s="1498"/>
      <c r="AN74" s="1498"/>
      <c r="AO74" s="1446"/>
      <c r="AP74" s="1446"/>
      <c r="AQ74" s="1446"/>
      <c r="AR74" s="1446"/>
      <c r="AS74" s="1446"/>
      <c r="AT74" s="1446"/>
      <c r="AU74" s="1446"/>
      <c r="AV74" s="1446"/>
      <c r="AW74" s="1446"/>
      <c r="AX74" s="1446"/>
      <c r="AY74" s="1446"/>
      <c r="AZ74" s="1446"/>
      <c r="BA74" s="1463"/>
      <c r="BB74" s="1463"/>
      <c r="BC74" s="1446"/>
      <c r="BD74" s="1446"/>
      <c r="BE74" s="1446"/>
      <c r="BF74" s="1446"/>
      <c r="BG74" s="1446"/>
      <c r="BH74" s="1498"/>
      <c r="BI74" s="1498"/>
      <c r="BJ74" s="1498"/>
      <c r="BK74" s="1498"/>
      <c r="BL74" s="1498"/>
      <c r="BM74" s="1498"/>
      <c r="BN74" s="1498"/>
      <c r="BO74" s="1498"/>
    </row>
    <row r="75" spans="1:67" x14ac:dyDescent="0.2">
      <c r="A75" s="1498"/>
      <c r="B75" s="480"/>
      <c r="C75" s="480"/>
      <c r="D75" s="480"/>
      <c r="E75" s="1165"/>
      <c r="F75" s="1165"/>
      <c r="G75" s="480"/>
      <c r="H75" s="480"/>
      <c r="I75" s="963"/>
      <c r="J75" s="1044"/>
      <c r="K75" s="1039"/>
      <c r="L75" s="963"/>
      <c r="M75" s="963"/>
      <c r="N75" s="1447"/>
      <c r="O75" s="1454"/>
      <c r="P75" s="1455"/>
      <c r="Q75" s="1455"/>
      <c r="R75" s="1455"/>
      <c r="S75" s="963"/>
      <c r="T75" s="963"/>
      <c r="U75" s="1044"/>
      <c r="V75" s="1044"/>
      <c r="W75" s="1044"/>
      <c r="X75" s="1045"/>
      <c r="Y75" s="1045"/>
      <c r="Z75" s="1045"/>
      <c r="AA75" s="1461"/>
      <c r="AB75" s="1461"/>
      <c r="AC75" s="1446"/>
      <c r="AD75" s="1446"/>
      <c r="AE75" s="1446"/>
      <c r="AF75" s="1503"/>
      <c r="AG75" s="1503"/>
      <c r="AH75" s="1498"/>
      <c r="AI75" s="1498"/>
      <c r="AJ75" s="1498"/>
      <c r="AK75" s="1498"/>
      <c r="AL75" s="1498"/>
      <c r="AM75" s="1498"/>
      <c r="AN75" s="1498"/>
      <c r="AO75" s="1446"/>
      <c r="AP75" s="1446"/>
      <c r="AQ75" s="1446"/>
      <c r="AR75" s="1446"/>
      <c r="AS75" s="1446"/>
      <c r="AT75" s="1446"/>
      <c r="AU75" s="1446"/>
      <c r="AV75" s="1446"/>
      <c r="AW75" s="1446"/>
      <c r="AX75" s="1446"/>
      <c r="AY75" s="1446"/>
      <c r="AZ75" s="1446"/>
      <c r="BA75" s="1463"/>
      <c r="BB75" s="1463"/>
      <c r="BC75" s="1446"/>
      <c r="BD75" s="1446"/>
      <c r="BE75" s="1446"/>
      <c r="BF75" s="1446"/>
      <c r="BG75" s="1446"/>
      <c r="BH75" s="1498"/>
      <c r="BI75" s="1498"/>
      <c r="BJ75" s="1498"/>
      <c r="BK75" s="1498"/>
      <c r="BL75" s="1498"/>
      <c r="BM75" s="1498"/>
      <c r="BN75" s="1498"/>
      <c r="BO75" s="1498"/>
    </row>
    <row r="76" spans="1:67" x14ac:dyDescent="0.2">
      <c r="A76" s="1498"/>
      <c r="B76" s="480"/>
      <c r="C76" s="480"/>
      <c r="D76" s="480"/>
      <c r="E76" s="1165"/>
      <c r="F76" s="1165"/>
      <c r="G76" s="480"/>
      <c r="H76" s="480"/>
      <c r="I76" s="1038"/>
      <c r="J76" s="1044"/>
      <c r="K76" s="1039"/>
      <c r="L76" s="963"/>
      <c r="M76" s="963"/>
      <c r="N76" s="1447"/>
      <c r="O76" s="1454"/>
      <c r="P76" s="1455"/>
      <c r="Q76" s="1455"/>
      <c r="R76" s="1455"/>
      <c r="S76" s="963"/>
      <c r="T76" s="963"/>
      <c r="U76" s="1044"/>
      <c r="V76" s="1044"/>
      <c r="W76" s="1044"/>
      <c r="X76" s="1045"/>
      <c r="Y76" s="1045"/>
      <c r="Z76" s="1045"/>
      <c r="AA76" s="1461"/>
      <c r="AB76" s="1461"/>
      <c r="AC76" s="1446"/>
      <c r="AD76" s="1446"/>
      <c r="AE76" s="1446"/>
      <c r="AF76" s="1503"/>
      <c r="AG76" s="1503"/>
      <c r="AH76" s="1498"/>
      <c r="AI76" s="1498"/>
      <c r="AJ76" s="1498"/>
      <c r="AK76" s="1498"/>
      <c r="AL76" s="1498"/>
      <c r="AM76" s="1498"/>
      <c r="AN76" s="1498"/>
      <c r="AO76" s="1446"/>
      <c r="AP76" s="1446"/>
      <c r="AQ76" s="1446"/>
      <c r="AR76" s="1446"/>
      <c r="AS76" s="1446"/>
      <c r="AT76" s="1446"/>
      <c r="AU76" s="1446"/>
      <c r="AV76" s="1446"/>
      <c r="AW76" s="1446"/>
      <c r="AX76" s="1446"/>
      <c r="AY76" s="1446"/>
      <c r="AZ76" s="1446"/>
      <c r="BA76" s="1463"/>
      <c r="BB76" s="1463"/>
      <c r="BC76" s="1446"/>
      <c r="BD76" s="1446"/>
      <c r="BE76" s="1446"/>
      <c r="BF76" s="1446"/>
      <c r="BG76" s="1446"/>
      <c r="BH76" s="1498"/>
      <c r="BI76" s="1498"/>
      <c r="BJ76" s="1498"/>
      <c r="BK76" s="1498"/>
      <c r="BL76" s="1498"/>
      <c r="BM76" s="1498"/>
      <c r="BN76" s="1498"/>
      <c r="BO76" s="1498"/>
    </row>
    <row r="77" spans="1:67" x14ac:dyDescent="0.2">
      <c r="A77" s="1498"/>
      <c r="B77" s="480"/>
      <c r="C77" s="480"/>
      <c r="D77" s="480"/>
      <c r="E77" s="1165"/>
      <c r="F77" s="1165"/>
      <c r="G77" s="480"/>
      <c r="H77" s="480"/>
      <c r="I77" s="1038"/>
      <c r="J77" s="1044"/>
      <c r="K77" s="1039"/>
      <c r="L77" s="963"/>
      <c r="M77" s="963"/>
      <c r="N77" s="1447"/>
      <c r="O77" s="1454"/>
      <c r="P77" s="1455"/>
      <c r="Q77" s="1455"/>
      <c r="R77" s="1455"/>
      <c r="S77" s="963"/>
      <c r="T77" s="963"/>
      <c r="U77" s="1044"/>
      <c r="V77" s="1044"/>
      <c r="W77" s="1044"/>
      <c r="X77" s="1045"/>
      <c r="Y77" s="1045"/>
      <c r="Z77" s="1045"/>
      <c r="AA77" s="1461"/>
      <c r="AB77" s="1461"/>
      <c r="AC77" s="1446"/>
      <c r="AD77" s="1446"/>
      <c r="AE77" s="1446"/>
      <c r="AF77" s="1503"/>
      <c r="AG77" s="1503"/>
      <c r="AH77" s="1498"/>
      <c r="AI77" s="1498"/>
      <c r="AJ77" s="1498"/>
      <c r="AK77" s="1498"/>
      <c r="AL77" s="1498"/>
      <c r="AM77" s="1498"/>
      <c r="AN77" s="1498"/>
      <c r="AO77" s="1446"/>
      <c r="AP77" s="1446"/>
      <c r="AQ77" s="1446"/>
      <c r="AR77" s="1446"/>
      <c r="AS77" s="1446"/>
      <c r="AT77" s="1446"/>
      <c r="AU77" s="1446"/>
      <c r="AV77" s="1446"/>
      <c r="AW77" s="1446"/>
      <c r="AX77" s="1446"/>
      <c r="AY77" s="1446"/>
      <c r="AZ77" s="1446"/>
      <c r="BA77" s="1463"/>
      <c r="BB77" s="1463"/>
      <c r="BC77" s="1446"/>
      <c r="BD77" s="1446"/>
      <c r="BE77" s="1446"/>
      <c r="BF77" s="1446"/>
      <c r="BG77" s="1446"/>
      <c r="BH77" s="1498"/>
      <c r="BI77" s="1498"/>
      <c r="BJ77" s="1498"/>
      <c r="BK77" s="1498"/>
      <c r="BL77" s="1498"/>
      <c r="BM77" s="1498"/>
      <c r="BN77" s="1498"/>
      <c r="BO77" s="1498"/>
    </row>
    <row r="78" spans="1:67" x14ac:dyDescent="0.2">
      <c r="A78" s="1498"/>
      <c r="B78" s="480"/>
      <c r="C78" s="480"/>
      <c r="D78" s="480"/>
      <c r="E78" s="1165"/>
      <c r="F78" s="1596"/>
      <c r="G78" s="1402"/>
      <c r="H78" s="1402"/>
      <c r="I78" s="1600"/>
      <c r="J78" s="1044"/>
      <c r="K78" s="1039"/>
      <c r="L78" s="963"/>
      <c r="M78" s="963"/>
      <c r="N78" s="1601"/>
      <c r="O78" s="1602"/>
      <c r="P78" s="1603"/>
      <c r="Q78" s="1455"/>
      <c r="R78" s="1455"/>
      <c r="S78" s="963"/>
      <c r="T78" s="963"/>
      <c r="U78" s="1044"/>
      <c r="V78" s="1044"/>
      <c r="W78" s="1044"/>
      <c r="X78" s="1045"/>
      <c r="Y78" s="1045"/>
      <c r="Z78" s="1045"/>
      <c r="AA78" s="1604"/>
      <c r="AB78" s="1461"/>
      <c r="AC78" s="1446"/>
      <c r="AD78" s="1446"/>
      <c r="AE78" s="1446"/>
      <c r="AF78" s="1503"/>
      <c r="AG78" s="1503"/>
      <c r="AH78" s="1498"/>
      <c r="AI78" s="1498"/>
      <c r="AJ78" s="1498"/>
      <c r="AK78" s="1498"/>
      <c r="AL78" s="1498"/>
      <c r="AM78" s="1498"/>
      <c r="AN78" s="1498"/>
      <c r="AO78" s="1446"/>
      <c r="AP78" s="1446"/>
      <c r="AQ78" s="1446"/>
      <c r="AR78" s="1446"/>
      <c r="AS78" s="1446"/>
      <c r="AT78" s="1446"/>
      <c r="AU78" s="1446"/>
      <c r="AV78" s="1446"/>
      <c r="AW78" s="1446"/>
      <c r="AX78" s="1446"/>
      <c r="AY78" s="1446"/>
      <c r="AZ78" s="1446"/>
      <c r="BA78" s="1463"/>
      <c r="BB78" s="1463"/>
      <c r="BC78" s="1446"/>
      <c r="BD78" s="1446"/>
      <c r="BE78" s="1446"/>
      <c r="BF78" s="1446"/>
      <c r="BG78" s="1446"/>
      <c r="BH78" s="1498"/>
      <c r="BI78" s="1498"/>
      <c r="BJ78" s="1498"/>
      <c r="BK78" s="1498"/>
      <c r="BL78" s="1498"/>
      <c r="BM78" s="1498"/>
      <c r="BN78" s="1498"/>
      <c r="BO78" s="1498"/>
    </row>
    <row r="79" spans="1:67" x14ac:dyDescent="0.2">
      <c r="A79" s="1498"/>
      <c r="B79" s="480"/>
      <c r="C79" s="480"/>
      <c r="D79" s="480"/>
      <c r="E79" s="1165"/>
      <c r="F79" s="1165"/>
      <c r="G79" s="480"/>
      <c r="H79" s="480"/>
      <c r="I79" s="1038"/>
      <c r="J79" s="1044"/>
      <c r="K79" s="1039"/>
      <c r="L79" s="963"/>
      <c r="M79" s="963"/>
      <c r="N79" s="1447"/>
      <c r="O79" s="1454"/>
      <c r="P79" s="1455"/>
      <c r="Q79" s="1455"/>
      <c r="R79" s="1455"/>
      <c r="S79" s="963"/>
      <c r="T79" s="963"/>
      <c r="U79" s="1044"/>
      <c r="V79" s="1044"/>
      <c r="W79" s="1044"/>
      <c r="X79" s="1045"/>
      <c r="Y79" s="1045"/>
      <c r="Z79" s="1045"/>
      <c r="AA79" s="1461"/>
      <c r="AB79" s="1461"/>
      <c r="AC79" s="1446"/>
      <c r="AD79" s="1446"/>
      <c r="AE79" s="1446"/>
      <c r="AF79" s="1503"/>
      <c r="AG79" s="1503"/>
      <c r="AH79" s="1498"/>
      <c r="AI79" s="1498"/>
      <c r="AJ79" s="1498"/>
      <c r="AK79" s="1498"/>
      <c r="AL79" s="1498"/>
      <c r="AM79" s="1498"/>
      <c r="AN79" s="1498"/>
      <c r="AO79" s="1446"/>
      <c r="AP79" s="1446"/>
      <c r="AQ79" s="1446"/>
      <c r="AR79" s="1446"/>
      <c r="AS79" s="1446"/>
      <c r="AT79" s="1446"/>
      <c r="AU79" s="1446"/>
      <c r="AV79" s="1446"/>
      <c r="AW79" s="1446"/>
      <c r="AX79" s="1446"/>
      <c r="AY79" s="1446"/>
      <c r="AZ79" s="1446"/>
      <c r="BA79" s="1463"/>
      <c r="BB79" s="1463"/>
      <c r="BC79" s="1446"/>
      <c r="BD79" s="1446"/>
      <c r="BE79" s="1446"/>
      <c r="BF79" s="1446"/>
      <c r="BG79" s="1446"/>
      <c r="BH79" s="1498"/>
      <c r="BI79" s="1498"/>
      <c r="BJ79" s="1498"/>
      <c r="BK79" s="1498"/>
      <c r="BL79" s="1498"/>
      <c r="BM79" s="1498"/>
      <c r="BN79" s="1498"/>
      <c r="BO79" s="1498"/>
    </row>
    <row r="80" spans="1:67" x14ac:dyDescent="0.2">
      <c r="A80" s="1498"/>
      <c r="B80" s="480"/>
      <c r="C80" s="480"/>
      <c r="D80" s="480"/>
      <c r="E80" s="1165"/>
      <c r="F80" s="1165"/>
      <c r="G80" s="480"/>
      <c r="H80" s="480"/>
      <c r="I80" s="1038"/>
      <c r="J80" s="1044"/>
      <c r="K80" s="1039"/>
      <c r="L80" s="963"/>
      <c r="M80" s="963"/>
      <c r="N80" s="1447"/>
      <c r="O80" s="1454"/>
      <c r="P80" s="1455"/>
      <c r="Q80" s="1455"/>
      <c r="R80" s="1455"/>
      <c r="S80" s="963"/>
      <c r="T80" s="963"/>
      <c r="U80" s="1044"/>
      <c r="V80" s="1044"/>
      <c r="W80" s="1044"/>
      <c r="X80" s="1045"/>
      <c r="Y80" s="1045"/>
      <c r="Z80" s="1045"/>
      <c r="AA80" s="1461"/>
      <c r="AB80" s="1461"/>
      <c r="AC80" s="1446"/>
      <c r="AD80" s="1446"/>
      <c r="AE80" s="1446"/>
      <c r="AF80" s="1503"/>
      <c r="AG80" s="1503"/>
      <c r="AH80" s="1498"/>
      <c r="AI80" s="1498"/>
      <c r="AJ80" s="1498"/>
      <c r="AK80" s="1498"/>
      <c r="AL80" s="1498"/>
      <c r="AM80" s="1498"/>
      <c r="AN80" s="1498"/>
      <c r="AO80" s="1446"/>
      <c r="AP80" s="1446"/>
      <c r="AQ80" s="1446"/>
      <c r="AR80" s="1446"/>
      <c r="AS80" s="1446"/>
      <c r="AT80" s="1446"/>
      <c r="AU80" s="1446"/>
      <c r="AV80" s="1446"/>
      <c r="AW80" s="1446"/>
      <c r="AX80" s="1446"/>
      <c r="AY80" s="1446"/>
      <c r="AZ80" s="1446"/>
      <c r="BA80" s="1463"/>
      <c r="BB80" s="1463"/>
      <c r="BC80" s="1446"/>
      <c r="BD80" s="1446"/>
      <c r="BE80" s="1446"/>
      <c r="BF80" s="1446"/>
      <c r="BG80" s="1446"/>
      <c r="BH80" s="1498"/>
      <c r="BI80" s="1498"/>
      <c r="BJ80" s="1498"/>
      <c r="BK80" s="1498"/>
      <c r="BL80" s="1498"/>
      <c r="BM80" s="1498"/>
      <c r="BN80" s="1498"/>
      <c r="BO80" s="1498"/>
    </row>
    <row r="81" spans="1:67" x14ac:dyDescent="0.2">
      <c r="A81" s="1498"/>
      <c r="B81" s="480"/>
      <c r="C81" s="480"/>
      <c r="D81" s="480"/>
      <c r="E81" s="1165"/>
      <c r="F81" s="1165"/>
      <c r="G81" s="480"/>
      <c r="H81" s="480"/>
      <c r="I81" s="1038"/>
      <c r="J81" s="1044"/>
      <c r="K81" s="1039"/>
      <c r="L81" s="963"/>
      <c r="M81" s="963"/>
      <c r="N81" s="1447"/>
      <c r="O81" s="1454"/>
      <c r="P81" s="1455"/>
      <c r="Q81" s="1455"/>
      <c r="R81" s="1455"/>
      <c r="S81" s="963"/>
      <c r="T81" s="963"/>
      <c r="U81" s="1044"/>
      <c r="V81" s="1044"/>
      <c r="W81" s="1044"/>
      <c r="X81" s="1045"/>
      <c r="Y81" s="1045"/>
      <c r="Z81" s="1045"/>
      <c r="AA81" s="1461"/>
      <c r="AB81" s="1461"/>
      <c r="AC81" s="1446"/>
      <c r="AD81" s="1446"/>
      <c r="AE81" s="1446"/>
      <c r="AF81" s="1503"/>
      <c r="AG81" s="1503"/>
      <c r="AH81" s="1498"/>
      <c r="AI81" s="1498"/>
      <c r="AJ81" s="1498"/>
      <c r="AK81" s="1498"/>
      <c r="AL81" s="1498"/>
      <c r="AM81" s="1498"/>
      <c r="AN81" s="1498"/>
      <c r="AO81" s="1446"/>
      <c r="AP81" s="1446"/>
      <c r="AQ81" s="1446"/>
      <c r="AR81" s="1446"/>
      <c r="AS81" s="1446"/>
      <c r="AT81" s="1446"/>
      <c r="AU81" s="1446"/>
      <c r="AV81" s="1446"/>
      <c r="AW81" s="1446"/>
      <c r="AX81" s="1446"/>
      <c r="AY81" s="1446"/>
      <c r="AZ81" s="1446"/>
      <c r="BA81" s="1463"/>
      <c r="BB81" s="1463"/>
      <c r="BC81" s="1446"/>
      <c r="BD81" s="1446"/>
      <c r="BE81" s="1446"/>
      <c r="BF81" s="1446"/>
      <c r="BG81" s="1446"/>
      <c r="BH81" s="1498"/>
      <c r="BI81" s="1498"/>
      <c r="BJ81" s="1498"/>
      <c r="BK81" s="1498"/>
      <c r="BL81" s="1498"/>
      <c r="BM81" s="1498"/>
      <c r="BN81" s="1498"/>
      <c r="BO81" s="1498"/>
    </row>
    <row r="82" spans="1:67" x14ac:dyDescent="0.2">
      <c r="A82" s="1498"/>
      <c r="B82" s="480"/>
      <c r="C82" s="480"/>
      <c r="D82" s="480"/>
      <c r="E82" s="1165"/>
      <c r="F82" s="1165"/>
      <c r="G82" s="480"/>
      <c r="H82" s="480"/>
      <c r="I82" s="1038"/>
      <c r="J82" s="1044"/>
      <c r="K82" s="1039"/>
      <c r="L82" s="963"/>
      <c r="M82" s="963"/>
      <c r="N82" s="1447"/>
      <c r="O82" s="1454"/>
      <c r="P82" s="1455"/>
      <c r="Q82" s="1455"/>
      <c r="R82" s="1455"/>
      <c r="S82" s="963"/>
      <c r="T82" s="963"/>
      <c r="U82" s="1044"/>
      <c r="V82" s="1044"/>
      <c r="W82" s="1044"/>
      <c r="X82" s="1045"/>
      <c r="Y82" s="1045"/>
      <c r="Z82" s="1045"/>
      <c r="AA82" s="1461"/>
      <c r="AB82" s="1461"/>
      <c r="AC82" s="1446"/>
      <c r="AD82" s="1446"/>
      <c r="AE82" s="1446"/>
      <c r="AF82" s="1503"/>
      <c r="AG82" s="1503"/>
      <c r="AH82" s="1498"/>
      <c r="AI82" s="1498"/>
      <c r="AJ82" s="1498"/>
      <c r="AK82" s="1498"/>
      <c r="AL82" s="1498"/>
      <c r="AM82" s="1498"/>
      <c r="AN82" s="1498"/>
      <c r="AO82" s="1446"/>
      <c r="AP82" s="1446"/>
      <c r="AQ82" s="1446"/>
      <c r="AR82" s="1446"/>
      <c r="AS82" s="1446"/>
      <c r="AT82" s="1446"/>
      <c r="AU82" s="1446"/>
      <c r="AV82" s="1446"/>
      <c r="AW82" s="1446"/>
      <c r="AX82" s="1446"/>
      <c r="AY82" s="1446"/>
      <c r="AZ82" s="1446"/>
      <c r="BA82" s="1463"/>
      <c r="BB82" s="1463"/>
      <c r="BC82" s="1446"/>
      <c r="BD82" s="1446"/>
      <c r="BE82" s="1446"/>
      <c r="BF82" s="1446"/>
      <c r="BG82" s="1446"/>
      <c r="BH82" s="1498"/>
      <c r="BI82" s="1498"/>
      <c r="BJ82" s="1498"/>
      <c r="BK82" s="1498"/>
      <c r="BL82" s="1498"/>
      <c r="BM82" s="1498"/>
      <c r="BN82" s="1498"/>
      <c r="BO82" s="1498"/>
    </row>
    <row r="83" spans="1:67" x14ac:dyDescent="0.2">
      <c r="A83" s="1498"/>
      <c r="B83" s="480"/>
      <c r="C83" s="480"/>
      <c r="D83" s="480"/>
      <c r="E83" s="1165"/>
      <c r="F83" s="1165"/>
      <c r="G83" s="480"/>
      <c r="H83" s="480"/>
      <c r="I83" s="1038"/>
      <c r="J83" s="1044"/>
      <c r="K83" s="1039"/>
      <c r="L83" s="963"/>
      <c r="M83" s="963"/>
      <c r="N83" s="1447"/>
      <c r="O83" s="1454"/>
      <c r="P83" s="1455"/>
      <c r="Q83" s="1455"/>
      <c r="R83" s="1455"/>
      <c r="S83" s="963"/>
      <c r="T83" s="963"/>
      <c r="U83" s="1044"/>
      <c r="V83" s="1044"/>
      <c r="W83" s="1044"/>
      <c r="X83" s="1045"/>
      <c r="Y83" s="1045"/>
      <c r="Z83" s="1045"/>
      <c r="AA83" s="1461"/>
      <c r="AB83" s="1461"/>
      <c r="AC83" s="1446"/>
      <c r="AD83" s="1446"/>
      <c r="AE83" s="1446"/>
      <c r="AF83" s="1503"/>
      <c r="AG83" s="1503"/>
      <c r="AH83" s="1498"/>
      <c r="AI83" s="1498"/>
      <c r="AJ83" s="1498"/>
      <c r="AK83" s="1498"/>
      <c r="AL83" s="1498"/>
      <c r="AM83" s="1498"/>
      <c r="AN83" s="1498"/>
      <c r="AO83" s="1446"/>
      <c r="AP83" s="1446"/>
      <c r="AQ83" s="1446"/>
      <c r="AR83" s="1446"/>
      <c r="AS83" s="1446"/>
      <c r="AT83" s="1446"/>
      <c r="AU83" s="1446"/>
      <c r="AV83" s="1446"/>
      <c r="AW83" s="1446"/>
      <c r="AX83" s="1446"/>
      <c r="AY83" s="1446"/>
      <c r="AZ83" s="1446"/>
      <c r="BA83" s="1463"/>
      <c r="BB83" s="1523"/>
      <c r="BC83" s="1446"/>
      <c r="BD83" s="1446"/>
      <c r="BE83" s="1446"/>
      <c r="BF83" s="1446"/>
      <c r="BG83" s="1446"/>
      <c r="BH83" s="1498"/>
      <c r="BI83" s="1498"/>
      <c r="BJ83" s="1498"/>
      <c r="BK83" s="1498"/>
      <c r="BL83" s="1498"/>
      <c r="BM83" s="1498"/>
      <c r="BN83" s="1498"/>
      <c r="BO83" s="1498"/>
    </row>
    <row r="84" spans="1:67" x14ac:dyDescent="0.2">
      <c r="A84" s="1498"/>
      <c r="B84" s="480"/>
      <c r="C84" s="480"/>
      <c r="D84" s="480"/>
      <c r="E84" s="1165"/>
      <c r="F84" s="1165"/>
      <c r="G84" s="480"/>
      <c r="H84" s="480"/>
      <c r="I84" s="1038"/>
      <c r="J84" s="1044"/>
      <c r="K84" s="1039"/>
      <c r="L84" s="963"/>
      <c r="M84" s="963"/>
      <c r="N84" s="1447"/>
      <c r="O84" s="1454"/>
      <c r="P84" s="1455"/>
      <c r="Q84" s="1455"/>
      <c r="R84" s="1455"/>
      <c r="S84" s="963"/>
      <c r="T84" s="963"/>
      <c r="U84" s="1044"/>
      <c r="V84" s="1044"/>
      <c r="W84" s="1044"/>
      <c r="X84" s="1045"/>
      <c r="Y84" s="1045"/>
      <c r="Z84" s="1045"/>
      <c r="AA84" s="1604"/>
      <c r="AB84" s="1604"/>
      <c r="AC84" s="1446"/>
      <c r="AD84" s="1446"/>
      <c r="AE84" s="1446"/>
      <c r="AF84" s="1503"/>
      <c r="AG84" s="1503"/>
      <c r="AH84" s="1498"/>
      <c r="AI84" s="1498"/>
      <c r="AJ84" s="1498"/>
      <c r="AK84" s="1498"/>
      <c r="AL84" s="1498"/>
      <c r="AM84" s="1498"/>
      <c r="AN84" s="1498"/>
      <c r="AO84" s="1446"/>
      <c r="AP84" s="1446"/>
      <c r="AQ84" s="1446"/>
      <c r="AR84" s="1446"/>
      <c r="AS84" s="1446"/>
      <c r="AT84" s="1446"/>
      <c r="AU84" s="1446"/>
      <c r="AV84" s="1446"/>
      <c r="AW84" s="1446"/>
      <c r="AX84" s="1446"/>
      <c r="AY84" s="1446"/>
      <c r="AZ84" s="1446"/>
      <c r="BA84" s="1463"/>
      <c r="BB84" s="1523"/>
      <c r="BC84" s="1446"/>
      <c r="BD84" s="1446"/>
      <c r="BE84" s="1446"/>
      <c r="BF84" s="1446"/>
      <c r="BG84" s="1446"/>
      <c r="BH84" s="1498"/>
      <c r="BI84" s="1498"/>
      <c r="BJ84" s="1498"/>
      <c r="BK84" s="1498"/>
      <c r="BL84" s="1498"/>
      <c r="BM84" s="1498"/>
      <c r="BN84" s="1498"/>
      <c r="BO84" s="1498"/>
    </row>
    <row r="85" spans="1:67" x14ac:dyDescent="0.2">
      <c r="A85" s="1498"/>
      <c r="B85" s="480"/>
      <c r="C85" s="480"/>
      <c r="D85" s="480"/>
      <c r="E85" s="1165"/>
      <c r="F85" s="1165"/>
      <c r="G85" s="480"/>
      <c r="H85" s="480"/>
      <c r="I85" s="1038"/>
      <c r="J85" s="1044"/>
      <c r="K85" s="1039"/>
      <c r="L85" s="963"/>
      <c r="M85" s="963"/>
      <c r="N85" s="1447"/>
      <c r="O85" s="1454"/>
      <c r="P85" s="1455"/>
      <c r="Q85" s="1455"/>
      <c r="R85" s="1455"/>
      <c r="S85" s="963"/>
      <c r="T85" s="963"/>
      <c r="U85" s="1044"/>
      <c r="V85" s="1044"/>
      <c r="W85" s="1044"/>
      <c r="X85" s="1045"/>
      <c r="Y85" s="1045"/>
      <c r="Z85" s="1045"/>
      <c r="AA85" s="1604"/>
      <c r="AB85" s="1604"/>
      <c r="AC85" s="1446"/>
      <c r="AD85" s="1446"/>
      <c r="AE85" s="1446"/>
      <c r="AF85" s="1503"/>
      <c r="AG85" s="1503"/>
      <c r="AH85" s="1498"/>
      <c r="AI85" s="1498"/>
      <c r="AJ85" s="1498"/>
      <c r="AK85" s="1498"/>
      <c r="AL85" s="1498"/>
      <c r="AM85" s="1498"/>
      <c r="AN85" s="1498"/>
      <c r="AO85" s="1446"/>
      <c r="AP85" s="1446"/>
      <c r="AQ85" s="1446"/>
      <c r="AR85" s="1446"/>
      <c r="AS85" s="1446"/>
      <c r="AT85" s="1446"/>
      <c r="AU85" s="1446"/>
      <c r="AV85" s="1446"/>
      <c r="AW85" s="1446"/>
      <c r="AX85" s="1446"/>
      <c r="AY85" s="1446"/>
      <c r="AZ85" s="1446"/>
      <c r="BA85" s="1463"/>
      <c r="BB85" s="1523"/>
      <c r="BC85" s="1446"/>
      <c r="BD85" s="1446"/>
      <c r="BE85" s="1446"/>
      <c r="BF85" s="1446"/>
      <c r="BG85" s="1446"/>
      <c r="BH85" s="1498"/>
      <c r="BI85" s="1498"/>
      <c r="BJ85" s="1498"/>
      <c r="BK85" s="1498"/>
      <c r="BL85" s="1498"/>
      <c r="BM85" s="1498"/>
      <c r="BN85" s="1498"/>
      <c r="BO85" s="1498"/>
    </row>
    <row r="86" spans="1:67" x14ac:dyDescent="0.2">
      <c r="A86" s="1498"/>
      <c r="B86" s="480"/>
      <c r="C86" s="480"/>
      <c r="D86" s="480"/>
      <c r="E86" s="1165"/>
      <c r="F86" s="1165"/>
      <c r="G86" s="480"/>
      <c r="H86" s="480"/>
      <c r="I86" s="1038"/>
      <c r="J86" s="1044"/>
      <c r="K86" s="1039"/>
      <c r="L86" s="963"/>
      <c r="M86" s="963"/>
      <c r="N86" s="1447"/>
      <c r="O86" s="1454"/>
      <c r="P86" s="1455"/>
      <c r="Q86" s="1455"/>
      <c r="R86" s="1455"/>
      <c r="S86" s="963"/>
      <c r="T86" s="963"/>
      <c r="U86" s="1044"/>
      <c r="V86" s="1044"/>
      <c r="W86" s="1044"/>
      <c r="X86" s="1045"/>
      <c r="Y86" s="1045"/>
      <c r="Z86" s="1045"/>
      <c r="AA86" s="1461"/>
      <c r="AB86" s="1461"/>
      <c r="AC86" s="1446"/>
      <c r="AD86" s="1446"/>
      <c r="AE86" s="1446"/>
      <c r="AF86" s="1503"/>
      <c r="AG86" s="1503"/>
      <c r="AH86" s="1498"/>
      <c r="AI86" s="1498"/>
      <c r="AJ86" s="1498"/>
      <c r="AK86" s="1498"/>
      <c r="AL86" s="1498"/>
      <c r="AM86" s="1498"/>
      <c r="AN86" s="1498"/>
      <c r="AO86" s="1446"/>
      <c r="AP86" s="1446"/>
      <c r="AQ86" s="1446"/>
      <c r="AR86" s="1446"/>
      <c r="AS86" s="1446"/>
      <c r="AT86" s="1446"/>
      <c r="AU86" s="1446"/>
      <c r="AV86" s="1446"/>
      <c r="AW86" s="1446"/>
      <c r="AX86" s="1446"/>
      <c r="AY86" s="1446"/>
      <c r="AZ86" s="1446"/>
      <c r="BA86" s="1463"/>
      <c r="BB86" s="1523"/>
      <c r="BC86" s="1446"/>
      <c r="BD86" s="1446"/>
      <c r="BE86" s="1446"/>
      <c r="BF86" s="1446"/>
      <c r="BG86" s="1446"/>
      <c r="BH86" s="1498"/>
      <c r="BI86" s="1498"/>
      <c r="BJ86" s="1498"/>
      <c r="BK86" s="1498"/>
      <c r="BL86" s="1498"/>
      <c r="BM86" s="1498"/>
      <c r="BN86" s="1498"/>
      <c r="BO86" s="1498"/>
    </row>
    <row r="87" spans="1:67" x14ac:dyDescent="0.2">
      <c r="A87" s="1498"/>
      <c r="B87" s="480"/>
      <c r="C87" s="480"/>
      <c r="D87" s="480"/>
      <c r="E87" s="1165"/>
      <c r="F87" s="1399"/>
      <c r="G87" s="480"/>
      <c r="H87" s="480"/>
      <c r="I87" s="1400"/>
      <c r="J87" s="1044"/>
      <c r="K87" s="1039"/>
      <c r="L87" s="963"/>
      <c r="M87" s="963"/>
      <c r="N87" s="1447"/>
      <c r="O87" s="1454"/>
      <c r="P87" s="1455"/>
      <c r="Q87" s="1455"/>
      <c r="R87" s="1455"/>
      <c r="S87" s="963"/>
      <c r="T87" s="963"/>
      <c r="U87" s="1044"/>
      <c r="V87" s="1044"/>
      <c r="W87" s="1044"/>
      <c r="X87" s="1045"/>
      <c r="Y87" s="1045"/>
      <c r="Z87" s="1045"/>
      <c r="AA87" s="1461"/>
      <c r="AB87" s="1461"/>
      <c r="AC87" s="1446"/>
      <c r="AD87" s="1446"/>
      <c r="AE87" s="1446"/>
      <c r="AF87" s="1503"/>
      <c r="AG87" s="1503"/>
      <c r="AH87" s="1498"/>
      <c r="AI87" s="1498"/>
      <c r="AJ87" s="1498"/>
      <c r="AK87" s="1498"/>
      <c r="AL87" s="1498"/>
      <c r="AM87" s="1498"/>
      <c r="AN87" s="1498"/>
      <c r="AO87" s="1446"/>
      <c r="AP87" s="1446"/>
      <c r="AQ87" s="1446"/>
      <c r="AR87" s="1446"/>
      <c r="AS87" s="1446"/>
      <c r="AT87" s="1446"/>
      <c r="AU87" s="1446"/>
      <c r="AV87" s="1446"/>
      <c r="AW87" s="1446"/>
      <c r="AX87" s="1446"/>
      <c r="AY87" s="1446"/>
      <c r="AZ87" s="1446"/>
      <c r="BA87" s="1463"/>
      <c r="BB87" s="1463"/>
      <c r="BC87" s="1446"/>
      <c r="BD87" s="1446"/>
      <c r="BE87" s="1446"/>
      <c r="BF87" s="1446"/>
      <c r="BG87" s="1446"/>
      <c r="BH87" s="1498"/>
      <c r="BI87" s="1498"/>
      <c r="BJ87" s="1498"/>
      <c r="BK87" s="1498"/>
      <c r="BL87" s="1498"/>
      <c r="BM87" s="1498"/>
      <c r="BN87" s="1498"/>
      <c r="BO87" s="1498"/>
    </row>
    <row r="88" spans="1:67" x14ac:dyDescent="0.2">
      <c r="A88" s="1498"/>
      <c r="B88" s="480"/>
      <c r="C88" s="480"/>
      <c r="D88" s="480"/>
      <c r="E88" s="1165"/>
      <c r="F88" s="1401"/>
      <c r="G88" s="1402"/>
      <c r="H88" s="1402"/>
      <c r="I88" s="1400"/>
      <c r="J88" s="1044"/>
      <c r="K88" s="1039"/>
      <c r="L88" s="963"/>
      <c r="M88" s="963"/>
      <c r="N88" s="1447"/>
      <c r="O88" s="1454"/>
      <c r="P88" s="1455"/>
      <c r="Q88" s="1455"/>
      <c r="R88" s="1455"/>
      <c r="S88" s="963"/>
      <c r="T88" s="963"/>
      <c r="U88" s="1044"/>
      <c r="V88" s="1044"/>
      <c r="W88" s="1044"/>
      <c r="X88" s="1045"/>
      <c r="Y88" s="1045"/>
      <c r="Z88" s="1045"/>
      <c r="AA88" s="1604"/>
      <c r="AB88" s="1605"/>
      <c r="AC88" s="1446"/>
      <c r="AD88" s="1446"/>
      <c r="AE88" s="1446"/>
      <c r="AF88" s="1503"/>
      <c r="AG88" s="1503"/>
      <c r="AH88" s="1498"/>
      <c r="AI88" s="1498"/>
      <c r="AJ88" s="1498"/>
      <c r="AK88" s="1498"/>
      <c r="AL88" s="1498"/>
      <c r="AM88" s="1498"/>
      <c r="AN88" s="1498"/>
      <c r="AO88" s="1446"/>
      <c r="AP88" s="1446"/>
      <c r="AQ88" s="1446"/>
      <c r="AR88" s="1446"/>
      <c r="AS88" s="1446"/>
      <c r="AT88" s="1446"/>
      <c r="AU88" s="1446"/>
      <c r="AV88" s="1446"/>
      <c r="AW88" s="1446"/>
      <c r="AX88" s="1446"/>
      <c r="AY88" s="1446"/>
      <c r="AZ88" s="1446"/>
      <c r="BA88" s="1463"/>
      <c r="BB88" s="1463"/>
      <c r="BC88" s="1446"/>
      <c r="BD88" s="1446"/>
      <c r="BE88" s="1446"/>
      <c r="BF88" s="1446"/>
      <c r="BG88" s="1446"/>
      <c r="BH88" s="1498"/>
      <c r="BI88" s="1498"/>
      <c r="BJ88" s="1498"/>
      <c r="BK88" s="1498"/>
      <c r="BL88" s="1498"/>
      <c r="BM88" s="1498"/>
      <c r="BN88" s="1498"/>
      <c r="BO88" s="1498"/>
    </row>
    <row r="89" spans="1:67" x14ac:dyDescent="0.2">
      <c r="A89" s="1498"/>
      <c r="B89" s="480"/>
      <c r="C89" s="480"/>
      <c r="D89" s="480"/>
      <c r="E89" s="1165"/>
      <c r="F89" s="1401"/>
      <c r="G89" s="1402"/>
      <c r="H89" s="1402"/>
      <c r="I89" s="1400"/>
      <c r="J89" s="1044"/>
      <c r="K89" s="1039"/>
      <c r="L89" s="963"/>
      <c r="M89" s="480"/>
      <c r="N89" s="1523"/>
      <c r="O89" s="1602"/>
      <c r="P89" s="1606"/>
      <c r="Q89" s="1603"/>
      <c r="R89" s="1603"/>
      <c r="S89" s="963"/>
      <c r="T89" s="963"/>
      <c r="U89" s="1044"/>
      <c r="V89" s="1044"/>
      <c r="W89" s="1044"/>
      <c r="X89" s="1045"/>
      <c r="Y89" s="1045"/>
      <c r="Z89" s="1045"/>
      <c r="AA89" s="1461"/>
      <c r="AB89" s="1461"/>
      <c r="AC89" s="1446"/>
      <c r="AD89" s="1446"/>
      <c r="AE89" s="1446"/>
      <c r="AF89" s="1503"/>
      <c r="AG89" s="1503"/>
      <c r="AH89" s="1498"/>
      <c r="AI89" s="1498"/>
      <c r="AJ89" s="1498"/>
      <c r="AK89" s="1498"/>
      <c r="AL89" s="1498"/>
      <c r="AM89" s="1498"/>
      <c r="AN89" s="1498"/>
      <c r="AO89" s="1446"/>
      <c r="AP89" s="1446"/>
      <c r="AQ89" s="1446"/>
      <c r="AR89" s="1446"/>
      <c r="AS89" s="1446"/>
      <c r="AT89" s="1446"/>
      <c r="AU89" s="1446"/>
      <c r="AV89" s="1446"/>
      <c r="AW89" s="1446"/>
      <c r="AX89" s="1446"/>
      <c r="AY89" s="1446"/>
      <c r="AZ89" s="1446"/>
      <c r="BA89" s="1463"/>
      <c r="BB89" s="1463"/>
      <c r="BC89" s="1446"/>
      <c r="BD89" s="1446"/>
      <c r="BE89" s="1446"/>
      <c r="BF89" s="1446"/>
      <c r="BG89" s="1446"/>
      <c r="BH89" s="1498"/>
      <c r="BI89" s="1498"/>
      <c r="BJ89" s="1498"/>
      <c r="BK89" s="1498"/>
      <c r="BL89" s="1498"/>
      <c r="BM89" s="1498"/>
      <c r="BN89" s="1498"/>
      <c r="BO89" s="1498"/>
    </row>
    <row r="90" spans="1:67" x14ac:dyDescent="0.2">
      <c r="A90" s="1498"/>
      <c r="B90" s="480"/>
      <c r="C90" s="480"/>
      <c r="D90" s="480"/>
      <c r="E90" s="1165"/>
      <c r="F90" s="1401"/>
      <c r="G90" s="1402"/>
      <c r="H90" s="1402"/>
      <c r="I90" s="1400"/>
      <c r="J90" s="1044"/>
      <c r="K90" s="1039"/>
      <c r="L90" s="963"/>
      <c r="M90" s="480"/>
      <c r="N90" s="1523"/>
      <c r="O90" s="1602"/>
      <c r="P90" s="1606"/>
      <c r="Q90" s="1603"/>
      <c r="R90" s="1603"/>
      <c r="S90" s="963"/>
      <c r="T90" s="963"/>
      <c r="U90" s="1044"/>
      <c r="V90" s="1044"/>
      <c r="W90" s="1044"/>
      <c r="X90" s="1045"/>
      <c r="Y90" s="1045"/>
      <c r="Z90" s="1045"/>
      <c r="AA90" s="1461"/>
      <c r="AB90" s="1461"/>
      <c r="AC90" s="1446"/>
      <c r="AD90" s="1446"/>
      <c r="AE90" s="1446"/>
      <c r="AF90" s="1503"/>
      <c r="AG90" s="1503"/>
      <c r="AH90" s="1498"/>
      <c r="AI90" s="1498"/>
      <c r="AJ90" s="1498"/>
      <c r="AK90" s="1498"/>
      <c r="AL90" s="1498"/>
      <c r="AM90" s="1498"/>
      <c r="AN90" s="1498"/>
      <c r="AO90" s="1446"/>
      <c r="AP90" s="1446"/>
      <c r="AQ90" s="1446"/>
      <c r="AR90" s="1446"/>
      <c r="AS90" s="1446"/>
      <c r="AT90" s="1446"/>
      <c r="AU90" s="1446"/>
      <c r="AV90" s="1446"/>
      <c r="AW90" s="1446"/>
      <c r="AX90" s="1446"/>
      <c r="AY90" s="1446"/>
      <c r="AZ90" s="1446"/>
      <c r="BA90" s="1463"/>
      <c r="BB90" s="1463"/>
      <c r="BC90" s="1446"/>
      <c r="BD90" s="1446"/>
      <c r="BE90" s="1446"/>
      <c r="BF90" s="1446"/>
      <c r="BG90" s="1446"/>
      <c r="BH90" s="1498"/>
      <c r="BI90" s="1498"/>
      <c r="BJ90" s="1498"/>
      <c r="BK90" s="1498"/>
      <c r="BL90" s="1498"/>
      <c r="BM90" s="1498"/>
      <c r="BN90" s="1498"/>
      <c r="BO90" s="1498"/>
    </row>
    <row r="91" spans="1:67" x14ac:dyDescent="0.2">
      <c r="A91" s="1498"/>
      <c r="B91" s="480"/>
      <c r="C91" s="480"/>
      <c r="D91" s="480"/>
      <c r="E91" s="1165"/>
      <c r="F91" s="1401"/>
      <c r="G91" s="1402"/>
      <c r="H91" s="1402"/>
      <c r="I91" s="1400"/>
      <c r="J91" s="1044"/>
      <c r="K91" s="1039"/>
      <c r="L91" s="963"/>
      <c r="M91" s="480"/>
      <c r="N91" s="1523"/>
      <c r="O91" s="1602"/>
      <c r="P91" s="1606"/>
      <c r="Q91" s="1603"/>
      <c r="R91" s="1603"/>
      <c r="S91" s="963"/>
      <c r="T91" s="963"/>
      <c r="U91" s="1044"/>
      <c r="V91" s="1044"/>
      <c r="W91" s="1044"/>
      <c r="X91" s="1045"/>
      <c r="Y91" s="1045"/>
      <c r="Z91" s="1045"/>
      <c r="AA91" s="1461"/>
      <c r="AB91" s="1461"/>
      <c r="AC91" s="1446"/>
      <c r="AD91" s="1446"/>
      <c r="AE91" s="1446"/>
      <c r="AF91" s="1503"/>
      <c r="AG91" s="1503"/>
      <c r="AH91" s="1498"/>
      <c r="AI91" s="1498"/>
      <c r="AJ91" s="1498"/>
      <c r="AK91" s="1498"/>
      <c r="AL91" s="1498"/>
      <c r="AM91" s="1498"/>
      <c r="AN91" s="1498"/>
      <c r="AO91" s="1446"/>
      <c r="AP91" s="1446"/>
      <c r="AQ91" s="1446"/>
      <c r="AR91" s="1446"/>
      <c r="AS91" s="1446"/>
      <c r="AT91" s="1446"/>
      <c r="AU91" s="1446"/>
      <c r="AV91" s="1446"/>
      <c r="AW91" s="1446"/>
      <c r="AX91" s="1446"/>
      <c r="AY91" s="1446"/>
      <c r="AZ91" s="1446"/>
      <c r="BA91" s="1463"/>
      <c r="BB91" s="1463"/>
      <c r="BC91" s="1446"/>
      <c r="BD91" s="1446"/>
      <c r="BE91" s="1446"/>
      <c r="BF91" s="1446"/>
      <c r="BG91" s="1446"/>
      <c r="BH91" s="1498"/>
      <c r="BI91" s="1498"/>
      <c r="BJ91" s="1498"/>
      <c r="BK91" s="1498"/>
      <c r="BL91" s="1498"/>
      <c r="BM91" s="1498"/>
      <c r="BN91" s="1498"/>
      <c r="BO91" s="1498"/>
    </row>
    <row r="92" spans="1:67" x14ac:dyDescent="0.2">
      <c r="A92" s="1498"/>
      <c r="B92" s="480"/>
      <c r="C92" s="480"/>
      <c r="D92" s="480"/>
      <c r="E92" s="1165"/>
      <c r="F92" s="1401"/>
      <c r="G92" s="1402"/>
      <c r="H92" s="1402"/>
      <c r="I92" s="1400"/>
      <c r="J92" s="1044"/>
      <c r="K92" s="1039"/>
      <c r="L92" s="963"/>
      <c r="M92" s="480"/>
      <c r="N92" s="1523"/>
      <c r="O92" s="1602"/>
      <c r="P92" s="1606"/>
      <c r="Q92" s="1603"/>
      <c r="R92" s="1603"/>
      <c r="S92" s="963"/>
      <c r="T92" s="963"/>
      <c r="U92" s="1044"/>
      <c r="V92" s="1044"/>
      <c r="W92" s="1044"/>
      <c r="X92" s="1045"/>
      <c r="Y92" s="1045"/>
      <c r="Z92" s="1045"/>
      <c r="AA92" s="1461"/>
      <c r="AB92" s="1461"/>
      <c r="AC92" s="1446"/>
      <c r="AD92" s="1446"/>
      <c r="AE92" s="1446"/>
      <c r="AF92" s="1503"/>
      <c r="AG92" s="1503"/>
      <c r="AH92" s="1498"/>
      <c r="AI92" s="1498"/>
      <c r="AJ92" s="1498"/>
      <c r="AK92" s="1498"/>
      <c r="AL92" s="1498"/>
      <c r="AM92" s="1498"/>
      <c r="AN92" s="1498"/>
      <c r="AO92" s="1446"/>
      <c r="AP92" s="1446"/>
      <c r="AQ92" s="1446"/>
      <c r="AR92" s="1446"/>
      <c r="AS92" s="1446"/>
      <c r="AT92" s="1446"/>
      <c r="AU92" s="1446"/>
      <c r="AV92" s="1446"/>
      <c r="AW92" s="1446"/>
      <c r="AX92" s="1446"/>
      <c r="AY92" s="1446"/>
      <c r="AZ92" s="1446"/>
      <c r="BA92" s="1463"/>
      <c r="BB92" s="1463"/>
      <c r="BC92" s="1446"/>
      <c r="BD92" s="1446"/>
      <c r="BE92" s="1446"/>
      <c r="BF92" s="1446"/>
      <c r="BG92" s="1446"/>
      <c r="BH92" s="1498"/>
      <c r="BI92" s="1498"/>
      <c r="BJ92" s="1498"/>
      <c r="BK92" s="1498"/>
      <c r="BL92" s="1498"/>
      <c r="BM92" s="1498"/>
      <c r="BN92" s="1498"/>
      <c r="BO92" s="1498"/>
    </row>
    <row r="93" spans="1:67" x14ac:dyDescent="0.2">
      <c r="A93" s="1498"/>
      <c r="B93" s="480"/>
      <c r="C93" s="480"/>
      <c r="D93" s="480"/>
      <c r="E93" s="1165"/>
      <c r="F93" s="1401"/>
      <c r="G93" s="1402"/>
      <c r="H93" s="1402"/>
      <c r="I93" s="1400"/>
      <c r="J93" s="1044"/>
      <c r="K93" s="1039"/>
      <c r="L93" s="963"/>
      <c r="M93" s="480"/>
      <c r="N93" s="1523"/>
      <c r="O93" s="1602"/>
      <c r="P93" s="1606"/>
      <c r="Q93" s="1603"/>
      <c r="R93" s="1603"/>
      <c r="S93" s="963"/>
      <c r="T93" s="963"/>
      <c r="U93" s="1044"/>
      <c r="V93" s="1044"/>
      <c r="W93" s="1044"/>
      <c r="X93" s="1045"/>
      <c r="Y93" s="1045"/>
      <c r="Z93" s="1045"/>
      <c r="AA93" s="1461"/>
      <c r="AB93" s="1461"/>
      <c r="AC93" s="1446"/>
      <c r="AD93" s="1446"/>
      <c r="AE93" s="1446"/>
      <c r="AF93" s="1503"/>
      <c r="AG93" s="1503"/>
      <c r="AH93" s="1498"/>
      <c r="AI93" s="1498"/>
      <c r="AJ93" s="1498"/>
      <c r="AK93" s="1498"/>
      <c r="AL93" s="1498"/>
      <c r="AM93" s="1498"/>
      <c r="AN93" s="1498"/>
      <c r="AO93" s="1446"/>
      <c r="AP93" s="1446"/>
      <c r="AQ93" s="1446"/>
      <c r="AR93" s="1446"/>
      <c r="AS93" s="1446"/>
      <c r="AT93" s="1446"/>
      <c r="AU93" s="1446"/>
      <c r="AV93" s="1446"/>
      <c r="AW93" s="1446"/>
      <c r="AX93" s="1446"/>
      <c r="AY93" s="1446"/>
      <c r="AZ93" s="1446"/>
      <c r="BA93" s="1463"/>
      <c r="BB93" s="1463"/>
      <c r="BC93" s="1446"/>
      <c r="BD93" s="1446"/>
      <c r="BE93" s="1446"/>
      <c r="BF93" s="1446"/>
      <c r="BG93" s="1446"/>
      <c r="BH93" s="1498"/>
      <c r="BI93" s="1498"/>
      <c r="BJ93" s="1498"/>
      <c r="BK93" s="1498"/>
      <c r="BL93" s="1498"/>
      <c r="BM93" s="1498"/>
      <c r="BN93" s="1498"/>
      <c r="BO93" s="1498"/>
    </row>
    <row r="94" spans="1:67" x14ac:dyDescent="0.2">
      <c r="A94" s="1498"/>
      <c r="B94" s="480"/>
      <c r="C94" s="480"/>
      <c r="D94" s="480"/>
      <c r="E94" s="1165"/>
      <c r="F94" s="1401"/>
      <c r="G94" s="1402"/>
      <c r="H94" s="1402"/>
      <c r="I94" s="1405"/>
      <c r="J94" s="1044"/>
      <c r="K94" s="1039"/>
      <c r="L94" s="963"/>
      <c r="M94" s="480"/>
      <c r="N94" s="1523"/>
      <c r="O94" s="1602"/>
      <c r="P94" s="1606"/>
      <c r="Q94" s="1603"/>
      <c r="R94" s="1603"/>
      <c r="S94" s="963"/>
      <c r="T94" s="963"/>
      <c r="U94" s="1044"/>
      <c r="V94" s="1044"/>
      <c r="W94" s="1044"/>
      <c r="X94" s="1045"/>
      <c r="Y94" s="1045"/>
      <c r="Z94" s="1045"/>
      <c r="AA94" s="1461"/>
      <c r="AB94" s="1461"/>
      <c r="AC94" s="1446"/>
      <c r="AD94" s="1446"/>
      <c r="AE94" s="1446"/>
      <c r="AF94" s="1503"/>
      <c r="AG94" s="1503"/>
      <c r="AH94" s="1498"/>
      <c r="AI94" s="1498"/>
      <c r="AJ94" s="1498"/>
      <c r="AK94" s="1498"/>
      <c r="AL94" s="1498"/>
      <c r="AM94" s="1498"/>
      <c r="AN94" s="1498"/>
      <c r="AO94" s="1446"/>
      <c r="AP94" s="1446"/>
      <c r="AQ94" s="1446"/>
      <c r="AR94" s="1446"/>
      <c r="AS94" s="1446"/>
      <c r="AT94" s="1446"/>
      <c r="AU94" s="1446"/>
      <c r="AV94" s="1446"/>
      <c r="AW94" s="1446"/>
      <c r="AX94" s="1446"/>
      <c r="AY94" s="1446"/>
      <c r="AZ94" s="1446"/>
      <c r="BA94" s="1463"/>
      <c r="BB94" s="1463"/>
      <c r="BC94" s="1446"/>
      <c r="BD94" s="1446"/>
      <c r="BE94" s="1446"/>
      <c r="BF94" s="1446"/>
      <c r="BG94" s="1446"/>
      <c r="BH94" s="1498"/>
      <c r="BI94" s="1498"/>
      <c r="BJ94" s="1498"/>
      <c r="BK94" s="1498"/>
      <c r="BL94" s="1498"/>
      <c r="BM94" s="1498"/>
      <c r="BN94" s="1498"/>
      <c r="BO94" s="1498"/>
    </row>
    <row r="95" spans="1:67" x14ac:dyDescent="0.2">
      <c r="A95" s="1498"/>
      <c r="B95" s="480"/>
      <c r="C95" s="480"/>
      <c r="D95" s="480"/>
      <c r="E95" s="1165"/>
      <c r="F95" s="1401"/>
      <c r="G95" s="1402"/>
      <c r="H95" s="1402"/>
      <c r="I95" s="1405"/>
      <c r="J95" s="1044"/>
      <c r="K95" s="1039"/>
      <c r="L95" s="963"/>
      <c r="M95" s="480"/>
      <c r="N95" s="1523"/>
      <c r="O95" s="1602"/>
      <c r="P95" s="1606"/>
      <c r="Q95" s="1603"/>
      <c r="R95" s="1603"/>
      <c r="S95" s="963"/>
      <c r="T95" s="963"/>
      <c r="U95" s="1044"/>
      <c r="V95" s="1044"/>
      <c r="W95" s="1044"/>
      <c r="X95" s="1045"/>
      <c r="Y95" s="1045"/>
      <c r="Z95" s="1045"/>
      <c r="AA95" s="1461"/>
      <c r="AB95" s="1461"/>
      <c r="AC95" s="1446"/>
      <c r="AD95" s="1446"/>
      <c r="AE95" s="1446"/>
      <c r="AF95" s="1503"/>
      <c r="AG95" s="1503"/>
      <c r="AH95" s="1498"/>
      <c r="AI95" s="1498"/>
      <c r="AJ95" s="1498"/>
      <c r="AK95" s="1498"/>
      <c r="AL95" s="1498"/>
      <c r="AM95" s="1498"/>
      <c r="AN95" s="1498"/>
      <c r="AO95" s="1446"/>
      <c r="AP95" s="1446"/>
      <c r="AQ95" s="1446"/>
      <c r="AR95" s="1446"/>
      <c r="AS95" s="1446"/>
      <c r="AT95" s="1446"/>
      <c r="AU95" s="1446"/>
      <c r="AV95" s="1446"/>
      <c r="AW95" s="1446"/>
      <c r="AX95" s="1446"/>
      <c r="AY95" s="1446"/>
      <c r="AZ95" s="1446"/>
      <c r="BA95" s="1463"/>
      <c r="BB95" s="1463"/>
      <c r="BC95" s="1446"/>
      <c r="BD95" s="1446"/>
      <c r="BE95" s="1446"/>
      <c r="BF95" s="1446"/>
      <c r="BG95" s="1446"/>
      <c r="BH95" s="1498"/>
      <c r="BI95" s="1498"/>
      <c r="BJ95" s="1498"/>
      <c r="BK95" s="1498"/>
      <c r="BL95" s="1498"/>
      <c r="BM95" s="1498"/>
      <c r="BN95" s="1498"/>
      <c r="BO95" s="1498"/>
    </row>
    <row r="96" spans="1:67" x14ac:dyDescent="0.2">
      <c r="A96" s="1498"/>
      <c r="B96" s="480"/>
      <c r="C96" s="480"/>
      <c r="D96" s="480"/>
      <c r="E96" s="1165"/>
      <c r="F96" s="1401"/>
      <c r="G96" s="1402"/>
      <c r="H96" s="1402"/>
      <c r="I96" s="1405"/>
      <c r="J96" s="1044"/>
      <c r="K96" s="1039"/>
      <c r="L96" s="963"/>
      <c r="M96" s="480"/>
      <c r="N96" s="1523"/>
      <c r="O96" s="1602"/>
      <c r="P96" s="1606"/>
      <c r="Q96" s="1603"/>
      <c r="R96" s="1603"/>
      <c r="S96" s="963"/>
      <c r="T96" s="963"/>
      <c r="U96" s="1044"/>
      <c r="V96" s="1044"/>
      <c r="W96" s="1044"/>
      <c r="X96" s="1045"/>
      <c r="Y96" s="1045"/>
      <c r="Z96" s="1045"/>
      <c r="AA96" s="1461"/>
      <c r="AB96" s="1461"/>
      <c r="AC96" s="1446"/>
      <c r="AD96" s="1446"/>
      <c r="AE96" s="1446"/>
      <c r="AF96" s="1503"/>
      <c r="AG96" s="1503"/>
      <c r="AH96" s="1498"/>
      <c r="AI96" s="1498"/>
      <c r="AJ96" s="1498"/>
      <c r="AK96" s="1498"/>
      <c r="AL96" s="1498"/>
      <c r="AM96" s="1498"/>
      <c r="AN96" s="1498"/>
      <c r="AO96" s="1446"/>
      <c r="AP96" s="1446"/>
      <c r="AQ96" s="1446"/>
      <c r="AR96" s="1446"/>
      <c r="AS96" s="1446"/>
      <c r="AT96" s="1446"/>
      <c r="AU96" s="1446"/>
      <c r="AV96" s="1446"/>
      <c r="AW96" s="1446"/>
      <c r="AX96" s="1446"/>
      <c r="AY96" s="1446"/>
      <c r="AZ96" s="1446"/>
      <c r="BA96" s="1463"/>
      <c r="BB96" s="1463"/>
      <c r="BC96" s="1446"/>
      <c r="BD96" s="1446"/>
      <c r="BE96" s="1446"/>
      <c r="BF96" s="1446"/>
      <c r="BG96" s="1446"/>
      <c r="BH96" s="1498"/>
      <c r="BI96" s="1498"/>
      <c r="BJ96" s="1498"/>
      <c r="BK96" s="1498"/>
      <c r="BL96" s="1498"/>
      <c r="BM96" s="1498"/>
      <c r="BN96" s="1498"/>
      <c r="BO96" s="1498"/>
    </row>
    <row r="97" spans="1:67" x14ac:dyDescent="0.2">
      <c r="A97" s="1498"/>
      <c r="B97" s="480"/>
      <c r="C97" s="480"/>
      <c r="D97" s="480"/>
      <c r="E97" s="1165"/>
      <c r="F97" s="1401"/>
      <c r="G97" s="1402"/>
      <c r="H97" s="1402"/>
      <c r="I97" s="1405"/>
      <c r="J97" s="1044"/>
      <c r="K97" s="1039"/>
      <c r="L97" s="963"/>
      <c r="M97" s="480"/>
      <c r="N97" s="1523"/>
      <c r="O97" s="1602"/>
      <c r="P97" s="1606"/>
      <c r="Q97" s="1603"/>
      <c r="R97" s="1603"/>
      <c r="S97" s="963"/>
      <c r="T97" s="963"/>
      <c r="U97" s="1044"/>
      <c r="V97" s="1044"/>
      <c r="W97" s="1044"/>
      <c r="X97" s="1045"/>
      <c r="Y97" s="1045"/>
      <c r="Z97" s="1045"/>
      <c r="AA97" s="1461"/>
      <c r="AB97" s="1461"/>
      <c r="AC97" s="1446"/>
      <c r="AD97" s="1446"/>
      <c r="AE97" s="1446"/>
      <c r="AF97" s="1503"/>
      <c r="AG97" s="1503"/>
      <c r="AH97" s="1498"/>
      <c r="AI97" s="1498"/>
      <c r="AJ97" s="1498"/>
      <c r="AK97" s="1498"/>
      <c r="AL97" s="1498"/>
      <c r="AM97" s="1498"/>
      <c r="AN97" s="1498"/>
      <c r="AO97" s="1446"/>
      <c r="AP97" s="1446"/>
      <c r="AQ97" s="1446"/>
      <c r="AR97" s="1446"/>
      <c r="AS97" s="1446"/>
      <c r="AT97" s="1446"/>
      <c r="AU97" s="1446"/>
      <c r="AV97" s="1446"/>
      <c r="AW97" s="1446"/>
      <c r="AX97" s="1446"/>
      <c r="AY97" s="1446"/>
      <c r="AZ97" s="1446"/>
      <c r="BA97" s="1463"/>
      <c r="BB97" s="1463"/>
      <c r="BC97" s="1446"/>
      <c r="BD97" s="1446"/>
      <c r="BE97" s="1446"/>
      <c r="BF97" s="1446"/>
      <c r="BG97" s="1446"/>
      <c r="BH97" s="1498"/>
      <c r="BI97" s="1498"/>
      <c r="BJ97" s="1498"/>
      <c r="BK97" s="1498"/>
      <c r="BL97" s="1498"/>
      <c r="BM97" s="1498"/>
      <c r="BN97" s="1498"/>
      <c r="BO97" s="1498"/>
    </row>
    <row r="98" spans="1:67" x14ac:dyDescent="0.2">
      <c r="A98" s="1498"/>
      <c r="B98" s="480"/>
      <c r="C98" s="1135"/>
      <c r="D98" s="1135"/>
      <c r="E98" s="1406"/>
      <c r="F98" s="1165"/>
      <c r="G98" s="480"/>
      <c r="H98" s="480"/>
      <c r="I98" s="1038"/>
      <c r="J98" s="1044"/>
      <c r="K98" s="1039"/>
      <c r="L98" s="963"/>
      <c r="M98" s="963"/>
      <c r="N98" s="1447"/>
      <c r="O98" s="1454"/>
      <c r="P98" s="1455"/>
      <c r="Q98" s="1455"/>
      <c r="R98" s="1455"/>
      <c r="S98" s="963"/>
      <c r="T98" s="963"/>
      <c r="U98" s="1044"/>
      <c r="V98" s="1044"/>
      <c r="W98" s="1044"/>
      <c r="X98" s="1045"/>
      <c r="Y98" s="1045"/>
      <c r="Z98" s="1045"/>
      <c r="AA98" s="1604"/>
      <c r="AB98" s="1604"/>
      <c r="AC98" s="1446"/>
      <c r="AD98" s="1446"/>
      <c r="AE98" s="1446"/>
      <c r="AF98" s="1503"/>
      <c r="AG98" s="1503"/>
      <c r="AH98" s="1498"/>
      <c r="AI98" s="1498"/>
      <c r="AJ98" s="1498"/>
      <c r="AK98" s="1498"/>
      <c r="AL98" s="1498"/>
      <c r="AM98" s="1498"/>
      <c r="AN98" s="1498"/>
      <c r="AO98" s="1446"/>
      <c r="AP98" s="1446"/>
      <c r="AQ98" s="1446"/>
      <c r="AR98" s="1446"/>
      <c r="AS98" s="1446"/>
      <c r="AT98" s="1446"/>
      <c r="AU98" s="1446"/>
      <c r="AV98" s="1446"/>
      <c r="AW98" s="1446"/>
      <c r="AX98" s="1446"/>
      <c r="AY98" s="1446"/>
      <c r="AZ98" s="1446"/>
      <c r="BA98" s="1523"/>
      <c r="BB98" s="1463"/>
      <c r="BC98" s="1446"/>
      <c r="BD98" s="1446"/>
      <c r="BE98" s="1446"/>
      <c r="BF98" s="1446"/>
      <c r="BG98" s="1446"/>
      <c r="BH98" s="1498"/>
      <c r="BI98" s="1498"/>
      <c r="BJ98" s="1498"/>
      <c r="BK98" s="1498"/>
      <c r="BL98" s="1498"/>
      <c r="BM98" s="1498"/>
      <c r="BN98" s="1498"/>
      <c r="BO98" s="1498"/>
    </row>
    <row r="99" spans="1:67" x14ac:dyDescent="0.2">
      <c r="A99" s="1498"/>
      <c r="B99" s="480"/>
      <c r="C99" s="1135"/>
      <c r="D99" s="1135"/>
      <c r="E99" s="1406"/>
      <c r="F99" s="1165"/>
      <c r="G99" s="480"/>
      <c r="H99" s="480"/>
      <c r="I99" s="1038"/>
      <c r="J99" s="1044"/>
      <c r="K99" s="1039"/>
      <c r="L99" s="963"/>
      <c r="M99" s="963"/>
      <c r="N99" s="1447"/>
      <c r="O99" s="1454"/>
      <c r="P99" s="1455"/>
      <c r="Q99" s="1455"/>
      <c r="R99" s="1455"/>
      <c r="S99" s="963"/>
      <c r="T99" s="963"/>
      <c r="U99" s="1044"/>
      <c r="V99" s="1044"/>
      <c r="W99" s="1044"/>
      <c r="X99" s="1045"/>
      <c r="Y99" s="1045"/>
      <c r="Z99" s="1045"/>
      <c r="AA99" s="1461"/>
      <c r="AB99" s="1461"/>
      <c r="AC99" s="1446"/>
      <c r="AD99" s="1446"/>
      <c r="AE99" s="1446"/>
      <c r="AF99" s="1503"/>
      <c r="AG99" s="1503"/>
      <c r="AH99" s="1498"/>
      <c r="AI99" s="1498"/>
      <c r="AJ99" s="1498"/>
      <c r="AK99" s="1498"/>
      <c r="AL99" s="1498"/>
      <c r="AM99" s="1498"/>
      <c r="AN99" s="1498"/>
      <c r="AO99" s="1446"/>
      <c r="AP99" s="1446"/>
      <c r="AQ99" s="1446"/>
      <c r="AR99" s="1446"/>
      <c r="AS99" s="1446"/>
      <c r="AT99" s="1446"/>
      <c r="AU99" s="1446"/>
      <c r="AV99" s="1446"/>
      <c r="AW99" s="1446"/>
      <c r="AX99" s="1446"/>
      <c r="AY99" s="1446"/>
      <c r="AZ99" s="1446"/>
      <c r="BA99" s="1523"/>
      <c r="BB99" s="1463"/>
      <c r="BC99" s="1446"/>
      <c r="BD99" s="1446"/>
      <c r="BE99" s="1446"/>
      <c r="BF99" s="1446"/>
      <c r="BG99" s="1446"/>
      <c r="BH99" s="1498"/>
      <c r="BI99" s="1498"/>
      <c r="BJ99" s="1498"/>
      <c r="BK99" s="1498"/>
      <c r="BL99" s="1498"/>
      <c r="BM99" s="1498"/>
      <c r="BN99" s="1498"/>
      <c r="BO99" s="1498"/>
    </row>
    <row r="100" spans="1:67" x14ac:dyDescent="0.2">
      <c r="B100" s="482"/>
      <c r="AC100" s="1610"/>
      <c r="AD100" s="1413"/>
      <c r="AE100" s="1413"/>
      <c r="AF100" s="973"/>
      <c r="AG100" s="973"/>
      <c r="AH100" s="1611"/>
      <c r="AI100" s="1611"/>
      <c r="AJ100" s="1611"/>
      <c r="AK100" s="1611"/>
      <c r="AL100" s="1611"/>
      <c r="AM100" s="1611"/>
      <c r="AN100" s="1611"/>
      <c r="AO100" s="1413"/>
      <c r="AP100" s="1413"/>
      <c r="AQ100" s="1413"/>
      <c r="AR100" s="1413"/>
      <c r="AS100" s="1413"/>
      <c r="AT100" s="1612"/>
      <c r="AU100" s="1612"/>
    </row>
    <row r="101" spans="1:67" x14ac:dyDescent="0.2">
      <c r="B101" s="251"/>
      <c r="C101" s="251"/>
      <c r="D101" s="1410"/>
      <c r="E101" s="1410"/>
      <c r="F101" s="251"/>
      <c r="G101" s="251"/>
      <c r="H101" s="971"/>
      <c r="AC101" s="1610"/>
      <c r="AD101" s="1413"/>
      <c r="AE101" s="1413"/>
      <c r="AF101" s="973"/>
      <c r="AG101" s="973"/>
      <c r="AH101" s="1611"/>
      <c r="AI101" s="1611"/>
      <c r="AJ101" s="1611"/>
      <c r="AK101" s="1611"/>
      <c r="AL101" s="1611"/>
      <c r="AM101" s="1611"/>
      <c r="AN101" s="1611"/>
      <c r="AO101" s="1413"/>
      <c r="AP101" s="1413"/>
      <c r="AQ101" s="1413"/>
      <c r="AR101" s="1413"/>
      <c r="AS101" s="1413"/>
      <c r="AT101" s="1612"/>
      <c r="AU101" s="1612"/>
      <c r="BA101" s="1613">
        <f>SUM(BA4:BA100)</f>
        <v>34000</v>
      </c>
      <c r="BB101" s="1613">
        <f>SUM(BB4:BB100)</f>
        <v>42132.02</v>
      </c>
    </row>
    <row r="102" spans="1:67" x14ac:dyDescent="0.2">
      <c r="B102" s="251"/>
      <c r="C102" s="251"/>
      <c r="D102" s="1410"/>
      <c r="E102" s="1410"/>
      <c r="F102" s="251"/>
      <c r="G102" s="251"/>
      <c r="H102" s="971"/>
      <c r="AC102" s="1610"/>
      <c r="AD102" s="1413"/>
      <c r="AE102" s="1413"/>
      <c r="AF102" s="973"/>
      <c r="AG102" s="973"/>
      <c r="AH102" s="1611"/>
      <c r="AI102" s="1611"/>
      <c r="AJ102" s="1611"/>
      <c r="AK102" s="1611"/>
      <c r="AL102" s="1611"/>
      <c r="AM102" s="1611"/>
      <c r="AN102" s="1611"/>
      <c r="AO102" s="1413"/>
      <c r="AP102" s="1413"/>
      <c r="AQ102" s="1413"/>
      <c r="AR102" s="1413"/>
      <c r="AS102" s="1413"/>
      <c r="AT102" s="1612"/>
      <c r="AU102" s="1612"/>
    </row>
    <row r="103" spans="1:67" x14ac:dyDescent="0.2">
      <c r="B103" s="251"/>
      <c r="C103" s="251"/>
      <c r="D103" s="1410"/>
      <c r="E103" s="1410"/>
      <c r="F103" s="251"/>
      <c r="G103" s="251"/>
      <c r="H103" s="1412"/>
      <c r="AS103" s="1614"/>
    </row>
    <row r="104" spans="1:67" x14ac:dyDescent="0.2">
      <c r="AS104" s="1614"/>
    </row>
    <row r="105" spans="1:67" x14ac:dyDescent="0.2">
      <c r="AS105" s="1614"/>
    </row>
    <row r="106" spans="1:67" x14ac:dyDescent="0.2">
      <c r="AS106" s="1614"/>
    </row>
    <row r="107" spans="1:67" x14ac:dyDescent="0.2">
      <c r="AS107" s="1614"/>
    </row>
    <row r="108" spans="1:67" x14ac:dyDescent="0.2">
      <c r="AS108" s="1614"/>
    </row>
    <row r="109" spans="1:67" x14ac:dyDescent="0.2">
      <c r="AS109" s="1614"/>
    </row>
    <row r="110" spans="1:67" x14ac:dyDescent="0.2">
      <c r="AS110" s="1614"/>
    </row>
  </sheetData>
  <autoFilter ref="A3:CS22" xr:uid="{2D21EAB2-43E6-42B9-A407-B2C8AFB2C8D5}"/>
  <mergeCells count="9">
    <mergeCell ref="BV2:BX2"/>
    <mergeCell ref="CB2:CC2"/>
    <mergeCell ref="AO1:AZ1"/>
    <mergeCell ref="BA1:BG1"/>
    <mergeCell ref="BH1:BI1"/>
    <mergeCell ref="AO2:AR2"/>
    <mergeCell ref="AS2:AV2"/>
    <mergeCell ref="AW2:AZ2"/>
    <mergeCell ref="BA2:BB2"/>
  </mergeCells>
  <pageMargins left="0.7" right="0.7" top="0.75" bottom="0.75" header="0.3" footer="0.3"/>
  <pageSetup paperSize="9" orientation="portrait" r:id="rId1"/>
  <headerFooter>
    <oddFooter>&amp;L_x000D_&amp;1#&amp;"Calibri"&amp;10&amp;K000000 Confidential: Information that needs to be handled with care to avoid loss, damage or inappropriate access. Information which incorrectly disseminated could cause some distress to a limited number of individuals.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05EDA7-AEC0-42F8-A06E-815A2D59262D}">
  <sheetPr>
    <tabColor rgb="FFFF0000"/>
  </sheetPr>
  <dimension ref="A1:BW94"/>
  <sheetViews>
    <sheetView workbookViewId="0">
      <pane xSplit="8" ySplit="3" topLeftCell="I4" activePane="bottomRight" state="frozen"/>
      <selection pane="topRight" activeCell="I1" sqref="I1"/>
      <selection pane="bottomLeft" activeCell="A5" sqref="A5"/>
      <selection pane="bottomRight" activeCell="G4" sqref="G4"/>
    </sheetView>
  </sheetViews>
  <sheetFormatPr defaultColWidth="8.85546875" defaultRowHeight="15" outlineLevelRow="1" x14ac:dyDescent="0.25"/>
  <cols>
    <col min="1" max="1" width="9.140625" style="1490" customWidth="1"/>
    <col min="2" max="2" width="39.85546875" style="1490" customWidth="1"/>
    <col min="3" max="3" width="12.5703125" style="1490" customWidth="1"/>
    <col min="4" max="4" width="28.85546875" style="1490" customWidth="1"/>
    <col min="5" max="5" width="9.85546875" style="1490" customWidth="1"/>
    <col min="6" max="6" width="12.140625" style="1490" customWidth="1"/>
    <col min="7" max="7" width="14.85546875" style="1490" bestFit="1" customWidth="1"/>
    <col min="8" max="8" width="11.140625" style="1490" customWidth="1"/>
    <col min="9" max="9" width="10.42578125" style="1490" bestFit="1" customWidth="1"/>
    <col min="10" max="11" width="8.85546875" style="1490"/>
    <col min="12" max="12" width="9.5703125" style="1490" customWidth="1"/>
    <col min="13" max="13" width="8.85546875" style="1490"/>
    <col min="14" max="14" width="12.140625" style="1490" customWidth="1"/>
    <col min="15" max="15" width="12.140625" style="1689" customWidth="1"/>
    <col min="16" max="16" width="31.5703125" style="1490" customWidth="1"/>
    <col min="17" max="18" width="12.140625" style="1490" customWidth="1"/>
    <col min="19" max="19" width="10.42578125" style="1490" customWidth="1"/>
    <col min="20" max="20" width="13.140625" style="1690" customWidth="1"/>
    <col min="21" max="21" width="11.85546875" style="1490" customWidth="1"/>
    <col min="22" max="22" width="13.85546875" style="1490" customWidth="1"/>
    <col min="23" max="23" width="8.85546875" style="1490"/>
    <col min="24" max="24" width="10.5703125" style="1490" customWidth="1"/>
    <col min="25" max="27" width="15" style="1490" customWidth="1"/>
    <col min="28" max="28" width="11" style="1490" customWidth="1"/>
    <col min="29" max="29" width="9.140625" style="1490" customWidth="1"/>
    <col min="30" max="31" width="15" style="1490" customWidth="1"/>
    <col min="32" max="32" width="11.140625" style="1490" customWidth="1"/>
    <col min="33" max="33" width="9.85546875" style="1490" customWidth="1"/>
    <col min="34" max="34" width="15" style="1490" customWidth="1"/>
    <col min="35" max="35" width="13.5703125" style="1490" customWidth="1"/>
    <col min="36" max="36" width="13.140625" style="1490" customWidth="1"/>
    <col min="37" max="37" width="9.140625" style="1490" customWidth="1"/>
    <col min="38" max="38" width="10.85546875" style="1652" customWidth="1"/>
    <col min="39" max="39" width="13.5703125" style="1652" customWidth="1"/>
    <col min="40" max="40" width="13.140625" style="1490" customWidth="1"/>
    <col min="41" max="43" width="14" style="1490" customWidth="1"/>
    <col min="44" max="45" width="13.140625" style="1490" customWidth="1"/>
    <col min="46" max="46" width="12.85546875" style="1490" customWidth="1"/>
    <col min="47" max="47" width="14.85546875" style="1490" customWidth="1"/>
    <col min="48" max="48" width="1.5703125" style="1490" customWidth="1"/>
    <col min="49" max="49" width="6.85546875" style="1490" customWidth="1"/>
    <col min="50" max="50" width="6.140625" style="1490" hidden="1" customWidth="1"/>
    <col min="51" max="52" width="0" style="1490" hidden="1" customWidth="1"/>
    <col min="53" max="53" width="1" style="1490" customWidth="1"/>
    <col min="54" max="54" width="8.85546875" style="1490"/>
    <col min="55" max="55" width="5.140625" style="1490" customWidth="1"/>
    <col min="56" max="56" width="1.140625" style="1490" customWidth="1"/>
    <col min="57" max="57" width="6.140625" style="1490" customWidth="1"/>
    <col min="58" max="58" width="0.42578125" style="1490" customWidth="1"/>
    <col min="59" max="59" width="13" style="1490" customWidth="1"/>
    <col min="60" max="61" width="8.85546875" style="1490"/>
    <col min="62" max="62" width="10.140625" style="1490" bestFit="1" customWidth="1"/>
    <col min="63" max="63" width="8.85546875" style="1490"/>
    <col min="64" max="64" width="11.85546875" style="1490" customWidth="1"/>
    <col min="65" max="66" width="8.85546875" style="1490"/>
    <col min="67" max="67" width="10.5703125" style="1490" bestFit="1" customWidth="1"/>
    <col min="68" max="68" width="8.85546875" style="1490"/>
    <col min="69" max="69" width="10.5703125" style="1490" bestFit="1" customWidth="1"/>
    <col min="70" max="70" width="8.85546875" style="1490"/>
    <col min="71" max="71" width="11.140625" style="1490" customWidth="1"/>
    <col min="72" max="72" width="8.85546875" style="1490"/>
    <col min="73" max="75" width="10.42578125" style="1490" bestFit="1" customWidth="1"/>
    <col min="76" max="16384" width="8.85546875" style="1490"/>
  </cols>
  <sheetData>
    <row r="1" spans="1:75" s="251" customFormat="1" ht="12.75" x14ac:dyDescent="0.2">
      <c r="B1" s="967" t="s">
        <v>3170</v>
      </c>
      <c r="O1" s="968"/>
      <c r="Q1" s="969" t="s">
        <v>2679</v>
      </c>
      <c r="T1" s="971"/>
      <c r="Z1" s="2078" t="s">
        <v>2680</v>
      </c>
      <c r="AA1" s="2079"/>
      <c r="AB1" s="2079"/>
      <c r="AC1" s="2079"/>
      <c r="AD1" s="2079"/>
      <c r="AE1" s="2079"/>
      <c r="AF1" s="2079"/>
      <c r="AG1" s="2079"/>
      <c r="AH1" s="2079"/>
      <c r="AI1" s="2079"/>
      <c r="AJ1" s="2079"/>
      <c r="AK1" s="2079"/>
      <c r="AL1" s="2080" t="s">
        <v>2681</v>
      </c>
      <c r="AM1" s="2081"/>
      <c r="AN1" s="2081"/>
      <c r="AO1" s="2081"/>
      <c r="AP1" s="2082"/>
      <c r="AQ1" s="2082"/>
      <c r="AR1" s="2083"/>
      <c r="AT1" s="1615"/>
    </row>
    <row r="2" spans="1:75" s="251" customFormat="1" ht="12.75" x14ac:dyDescent="0.2">
      <c r="B2" s="967" t="s">
        <v>3171</v>
      </c>
      <c r="N2" s="251" t="s">
        <v>2684</v>
      </c>
      <c r="O2" s="968" t="s">
        <v>2685</v>
      </c>
      <c r="P2" s="251" t="s">
        <v>3072</v>
      </c>
      <c r="Q2" s="251" t="s">
        <v>2687</v>
      </c>
      <c r="T2" s="971"/>
      <c r="Z2" s="2086" t="s">
        <v>2688</v>
      </c>
      <c r="AA2" s="2087"/>
      <c r="AB2" s="2087"/>
      <c r="AC2" s="2088"/>
      <c r="AD2" s="2089" t="s">
        <v>2689</v>
      </c>
      <c r="AE2" s="2087"/>
      <c r="AF2" s="2087"/>
      <c r="AG2" s="2088"/>
      <c r="AH2" s="2090" t="s">
        <v>2690</v>
      </c>
      <c r="AI2" s="2091"/>
      <c r="AJ2" s="2091"/>
      <c r="AK2" s="2091"/>
      <c r="AL2" s="2092" t="s">
        <v>2691</v>
      </c>
      <c r="AM2" s="2093"/>
      <c r="AN2" s="981" t="s">
        <v>2692</v>
      </c>
      <c r="AO2" s="981"/>
      <c r="AP2" s="982"/>
      <c r="AQ2" s="982"/>
      <c r="AR2" s="983" t="s">
        <v>2693</v>
      </c>
      <c r="AS2" s="985" t="s">
        <v>2694</v>
      </c>
      <c r="AT2" s="1616" t="s">
        <v>2697</v>
      </c>
      <c r="AU2" s="480" t="s">
        <v>2698</v>
      </c>
      <c r="BG2" s="480" t="s">
        <v>2698</v>
      </c>
      <c r="BH2" s="480"/>
    </row>
    <row r="3" spans="1:75" s="251" customFormat="1" ht="51.75" thickBot="1" x14ac:dyDescent="0.25">
      <c r="A3" s="990" t="s">
        <v>2704</v>
      </c>
      <c r="B3" s="991" t="s">
        <v>2705</v>
      </c>
      <c r="C3" s="992" t="s">
        <v>2706</v>
      </c>
      <c r="D3" s="991" t="s">
        <v>2707</v>
      </c>
      <c r="E3" s="992" t="s">
        <v>2708</v>
      </c>
      <c r="F3" s="992" t="s">
        <v>2709</v>
      </c>
      <c r="G3" s="991" t="s">
        <v>11</v>
      </c>
      <c r="H3" s="991" t="s">
        <v>2140</v>
      </c>
      <c r="I3" s="991" t="s">
        <v>13</v>
      </c>
      <c r="J3" s="993" t="s">
        <v>2710</v>
      </c>
      <c r="K3" s="991" t="s">
        <v>2711</v>
      </c>
      <c r="L3" s="992" t="s">
        <v>2712</v>
      </c>
      <c r="M3" s="992" t="s">
        <v>2713</v>
      </c>
      <c r="N3" s="992" t="s">
        <v>2714</v>
      </c>
      <c r="O3" s="994" t="s">
        <v>3077</v>
      </c>
      <c r="P3" s="992" t="s">
        <v>2716</v>
      </c>
      <c r="Q3" s="992" t="s">
        <v>2717</v>
      </c>
      <c r="R3" s="992" t="s">
        <v>2718</v>
      </c>
      <c r="S3" s="992" t="s">
        <v>2719</v>
      </c>
      <c r="T3" s="996" t="s">
        <v>2721</v>
      </c>
      <c r="U3" s="991" t="s">
        <v>2727</v>
      </c>
      <c r="V3" s="991" t="s">
        <v>2728</v>
      </c>
      <c r="W3" s="992" t="s">
        <v>2729</v>
      </c>
      <c r="X3" s="1000" t="s">
        <v>3079</v>
      </c>
      <c r="Y3" s="1428" t="s">
        <v>3172</v>
      </c>
      <c r="Z3" s="1006" t="s">
        <v>2738</v>
      </c>
      <c r="AA3" s="1008" t="s">
        <v>2739</v>
      </c>
      <c r="AB3" s="1008" t="s">
        <v>2740</v>
      </c>
      <c r="AC3" s="1008" t="s">
        <v>2741</v>
      </c>
      <c r="AD3" s="1008" t="s">
        <v>2738</v>
      </c>
      <c r="AE3" s="1008" t="s">
        <v>2739</v>
      </c>
      <c r="AF3" s="1008" t="s">
        <v>2740</v>
      </c>
      <c r="AG3" s="1008" t="s">
        <v>2741</v>
      </c>
      <c r="AH3" s="1008" t="s">
        <v>2738</v>
      </c>
      <c r="AI3" s="1008" t="s">
        <v>2739</v>
      </c>
      <c r="AJ3" s="1008" t="s">
        <v>2740</v>
      </c>
      <c r="AK3" s="1009" t="s">
        <v>2741</v>
      </c>
      <c r="AL3" s="1010" t="s">
        <v>2742</v>
      </c>
      <c r="AM3" s="1011" t="s">
        <v>2743</v>
      </c>
      <c r="AN3" s="1012" t="s">
        <v>2738</v>
      </c>
      <c r="AO3" s="1012" t="s">
        <v>2739</v>
      </c>
      <c r="AP3" s="1013" t="s">
        <v>2744</v>
      </c>
      <c r="AQ3" s="1013" t="s">
        <v>2745</v>
      </c>
      <c r="AR3" s="1014">
        <v>43009</v>
      </c>
      <c r="AS3" s="985">
        <v>43009</v>
      </c>
      <c r="AT3" s="1617">
        <v>43009</v>
      </c>
      <c r="AU3" s="1037" t="s">
        <v>3089</v>
      </c>
      <c r="AW3" s="1618" t="s">
        <v>2750</v>
      </c>
      <c r="AX3" s="1619" t="s">
        <v>2751</v>
      </c>
      <c r="AY3" s="1619" t="s">
        <v>2752</v>
      </c>
      <c r="AZ3" s="1619" t="s">
        <v>2751</v>
      </c>
      <c r="BA3" s="1619"/>
      <c r="BB3" s="1620" t="s">
        <v>2753</v>
      </c>
      <c r="BC3" s="1621" t="s">
        <v>2754</v>
      </c>
      <c r="BD3" s="480"/>
      <c r="BE3" s="480"/>
      <c r="BF3" s="1622"/>
      <c r="BG3" s="1623" t="s">
        <v>3173</v>
      </c>
      <c r="BH3" s="1623" t="s">
        <v>2761</v>
      </c>
      <c r="BI3" s="1037" t="s">
        <v>3174</v>
      </c>
      <c r="BJ3" s="1037" t="s">
        <v>3175</v>
      </c>
      <c r="BK3" s="1037" t="s">
        <v>3174</v>
      </c>
      <c r="BL3" s="1037" t="s">
        <v>3176</v>
      </c>
      <c r="BM3" s="1026" t="s">
        <v>2579</v>
      </c>
      <c r="BN3" s="1624" t="s">
        <v>3174</v>
      </c>
      <c r="BO3" s="1624" t="s">
        <v>3177</v>
      </c>
      <c r="BP3" s="1026" t="s">
        <v>2588</v>
      </c>
      <c r="BQ3" s="1624" t="s">
        <v>2601</v>
      </c>
      <c r="BR3" s="1026" t="s">
        <v>2602</v>
      </c>
      <c r="BS3" s="1624" t="s">
        <v>3178</v>
      </c>
      <c r="BT3" s="1026" t="s">
        <v>2613</v>
      </c>
      <c r="BU3" s="1624" t="s">
        <v>3179</v>
      </c>
      <c r="BV3" s="1026" t="s">
        <v>3841</v>
      </c>
      <c r="BW3" s="1026" t="s">
        <v>3840</v>
      </c>
    </row>
    <row r="4" spans="1:75" x14ac:dyDescent="0.25">
      <c r="A4" s="1471">
        <v>1</v>
      </c>
      <c r="B4" s="480" t="s">
        <v>3180</v>
      </c>
      <c r="C4" s="480">
        <v>205288</v>
      </c>
      <c r="D4" s="480" t="s">
        <v>3181</v>
      </c>
      <c r="E4" s="1472">
        <v>11</v>
      </c>
      <c r="F4" s="1165">
        <v>417216</v>
      </c>
      <c r="G4" s="480" t="s">
        <v>3182</v>
      </c>
      <c r="H4" s="480" t="s">
        <v>3183</v>
      </c>
      <c r="I4" s="1038">
        <v>39138</v>
      </c>
      <c r="J4" s="1044">
        <v>11</v>
      </c>
      <c r="K4" s="1039">
        <f ca="1">(TODAY()-I4)/365.25</f>
        <v>18.573579739904176</v>
      </c>
      <c r="L4" s="963"/>
      <c r="M4" s="963" t="s">
        <v>56</v>
      </c>
      <c r="N4" s="480"/>
      <c r="O4" s="1138"/>
      <c r="P4" s="1362" t="s">
        <v>3184</v>
      </c>
      <c r="Q4" s="1362">
        <v>57330</v>
      </c>
      <c r="R4" s="1362">
        <v>0</v>
      </c>
      <c r="S4" s="1475">
        <v>45017</v>
      </c>
      <c r="T4" s="1475">
        <v>45382</v>
      </c>
      <c r="U4" s="1037" t="s">
        <v>2797</v>
      </c>
      <c r="V4" s="1037" t="s">
        <v>2797</v>
      </c>
      <c r="W4" s="1471"/>
      <c r="X4" s="1471"/>
      <c r="Y4" s="1625">
        <v>57330</v>
      </c>
      <c r="Z4" s="1471"/>
      <c r="AA4" s="1471"/>
      <c r="AB4" s="1471"/>
      <c r="AC4" s="1471"/>
      <c r="AD4" s="1471"/>
      <c r="AE4" s="1471"/>
      <c r="AF4" s="1471"/>
      <c r="AG4" s="1471"/>
      <c r="AH4" s="1471"/>
      <c r="AI4" s="1471"/>
      <c r="AJ4" s="1471"/>
      <c r="AK4" s="1471"/>
      <c r="AL4" s="1476"/>
      <c r="AM4" s="1476"/>
      <c r="AN4" s="1626">
        <v>6810160949</v>
      </c>
      <c r="AO4" s="1627">
        <v>4830</v>
      </c>
      <c r="AP4" s="1626">
        <v>8071841</v>
      </c>
      <c r="AQ4" s="1471"/>
      <c r="AR4" s="1489">
        <f>AO4</f>
        <v>4830</v>
      </c>
      <c r="AS4" s="1489">
        <f>Y4</f>
        <v>57330</v>
      </c>
      <c r="AT4" s="1489">
        <f>AR4+AS4</f>
        <v>62160</v>
      </c>
      <c r="AU4" s="1489">
        <f>AT4</f>
        <v>62160</v>
      </c>
      <c r="AW4" s="1471"/>
      <c r="AX4" s="1471"/>
      <c r="AY4" s="1471"/>
      <c r="AZ4" s="1471"/>
      <c r="BA4" s="1471"/>
      <c r="BB4" s="1471"/>
      <c r="BC4" s="1471"/>
      <c r="BD4" s="1471"/>
      <c r="BE4" s="1628">
        <v>0</v>
      </c>
      <c r="BF4" s="1471"/>
      <c r="BG4" s="1489">
        <f>AU4+BE4</f>
        <v>62160</v>
      </c>
      <c r="BH4" s="1489">
        <f>BG4-AU4</f>
        <v>0</v>
      </c>
      <c r="BI4" s="1471"/>
      <c r="BJ4" s="1489">
        <f>BG4+BI4</f>
        <v>62160</v>
      </c>
      <c r="BK4" s="1490">
        <v>1890</v>
      </c>
      <c r="BL4" s="1494">
        <f>BJ4+BK4</f>
        <v>64050</v>
      </c>
      <c r="BN4" s="1490" t="s">
        <v>3185</v>
      </c>
      <c r="BO4" s="1494">
        <f>BL4</f>
        <v>64050</v>
      </c>
      <c r="BP4" s="1494">
        <f>SUM(BO4)-BL4</f>
        <v>0</v>
      </c>
      <c r="BQ4" s="1494">
        <f>BO4</f>
        <v>64050</v>
      </c>
      <c r="BR4" s="1490" t="s">
        <v>2603</v>
      </c>
      <c r="BS4" s="1494">
        <f>BQ4</f>
        <v>64050</v>
      </c>
      <c r="BU4" s="1494">
        <f>BS4</f>
        <v>64050</v>
      </c>
      <c r="BV4" s="1494">
        <f>BU4-E35</f>
        <v>13735.68</v>
      </c>
      <c r="BW4" s="1494">
        <f>BU4-BV4</f>
        <v>50314.32</v>
      </c>
    </row>
    <row r="5" spans="1:75" x14ac:dyDescent="0.25">
      <c r="A5" s="1471"/>
      <c r="B5" s="480"/>
      <c r="C5" s="480"/>
      <c r="D5" s="480"/>
      <c r="E5" s="1165"/>
      <c r="F5" s="1165"/>
      <c r="G5" s="480"/>
      <c r="H5" s="480"/>
      <c r="I5" s="1038"/>
      <c r="J5" s="1044"/>
      <c r="K5" s="1039"/>
      <c r="L5" s="963"/>
      <c r="M5" s="963"/>
      <c r="N5" s="480"/>
      <c r="O5" s="1138"/>
      <c r="P5" s="1362"/>
      <c r="Q5" s="1362"/>
      <c r="R5" s="1362"/>
      <c r="S5" s="1475"/>
      <c r="T5" s="1475"/>
      <c r="U5" s="1037"/>
      <c r="V5" s="1037"/>
      <c r="W5" s="1471"/>
      <c r="X5" s="1471"/>
      <c r="Y5" s="1471"/>
      <c r="Z5" s="1471"/>
      <c r="AA5" s="1471"/>
      <c r="AB5" s="1471"/>
      <c r="AC5" s="1471"/>
      <c r="AD5" s="1471"/>
      <c r="AE5" s="1471"/>
      <c r="AF5" s="1471"/>
      <c r="AG5" s="1471"/>
      <c r="AH5" s="1471"/>
      <c r="AI5" s="1471"/>
      <c r="AJ5" s="1471"/>
      <c r="AK5" s="1471"/>
      <c r="AL5" s="1476"/>
      <c r="AM5" s="1476"/>
      <c r="AN5" s="1471"/>
      <c r="AO5" s="1471"/>
      <c r="AP5" s="1471"/>
      <c r="AQ5" s="1471"/>
      <c r="AR5" s="1471"/>
      <c r="AS5" s="1471"/>
      <c r="AT5" s="1471"/>
      <c r="AU5" s="1471"/>
      <c r="AW5" s="1471"/>
      <c r="AX5" s="1471"/>
      <c r="AY5" s="1471"/>
      <c r="AZ5" s="1471"/>
      <c r="BA5" s="1471"/>
      <c r="BB5" s="1471"/>
      <c r="BC5" s="1471"/>
      <c r="BD5" s="1471"/>
      <c r="BE5" s="1471"/>
      <c r="BF5" s="1471"/>
      <c r="BG5" s="1471"/>
      <c r="BH5" s="1471"/>
      <c r="BI5" s="1471"/>
      <c r="BJ5" s="1471"/>
    </row>
    <row r="6" spans="1:75" x14ac:dyDescent="0.25">
      <c r="A6" s="1471"/>
      <c r="B6" s="480"/>
      <c r="C6" s="480"/>
      <c r="D6" s="480"/>
      <c r="E6" s="1165"/>
      <c r="F6" s="1165"/>
      <c r="G6" s="480"/>
      <c r="H6" s="480"/>
      <c r="I6" s="1038"/>
      <c r="J6" s="1044"/>
      <c r="K6" s="1039"/>
      <c r="L6" s="963"/>
      <c r="M6" s="963"/>
      <c r="N6" s="480"/>
      <c r="O6" s="1138"/>
      <c r="P6" s="1362"/>
      <c r="Q6" s="1362"/>
      <c r="R6" s="1362"/>
      <c r="S6" s="1475"/>
      <c r="T6" s="1475"/>
      <c r="U6" s="1037"/>
      <c r="V6" s="1037"/>
      <c r="W6" s="1471"/>
      <c r="X6" s="1471"/>
      <c r="Y6" s="1471"/>
      <c r="Z6" s="1471"/>
      <c r="AA6" s="1471"/>
      <c r="AB6" s="1471"/>
      <c r="AC6" s="1471"/>
      <c r="AD6" s="1471"/>
      <c r="AE6" s="1471"/>
      <c r="AF6" s="1471"/>
      <c r="AG6" s="1471"/>
      <c r="AH6" s="1471"/>
      <c r="AI6" s="1471"/>
      <c r="AJ6" s="1471"/>
      <c r="AK6" s="1471"/>
      <c r="AL6" s="1476"/>
      <c r="AM6" s="1476"/>
      <c r="AN6" s="1471"/>
      <c r="AO6" s="1471"/>
      <c r="AP6" s="1471"/>
      <c r="AQ6" s="1471"/>
      <c r="AR6" s="1471"/>
      <c r="AS6" s="1471"/>
      <c r="AT6" s="1471"/>
      <c r="AU6" s="1471"/>
      <c r="AW6" s="1471"/>
      <c r="AX6" s="1471"/>
      <c r="AY6" s="1471"/>
      <c r="AZ6" s="1471"/>
      <c r="BA6" s="1471"/>
      <c r="BB6" s="1471"/>
      <c r="BC6" s="1471"/>
      <c r="BD6" s="1471"/>
      <c r="BE6" s="1471"/>
      <c r="BF6" s="1471"/>
      <c r="BG6" s="1471"/>
      <c r="BH6" s="1471"/>
      <c r="BI6" s="1471"/>
      <c r="BJ6" s="1471"/>
    </row>
    <row r="7" spans="1:75" ht="15.75" thickBot="1" x14ac:dyDescent="0.3">
      <c r="A7" s="1471"/>
      <c r="B7" s="1525"/>
      <c r="C7" s="1525"/>
      <c r="D7" s="1525"/>
      <c r="E7" s="1526"/>
      <c r="F7" s="1526"/>
      <c r="G7" s="1525"/>
      <c r="H7" s="1525"/>
      <c r="I7" s="1530"/>
      <c r="J7" s="1528"/>
      <c r="K7" s="1529"/>
      <c r="L7" s="1530"/>
      <c r="M7" s="1530"/>
      <c r="N7" s="1525"/>
      <c r="O7" s="1531"/>
      <c r="P7" s="1532"/>
      <c r="Q7" s="1629">
        <f>SUM(Q4:Q6)</f>
        <v>57330</v>
      </c>
      <c r="R7" s="1629">
        <f>SUM(R4:R6)</f>
        <v>0</v>
      </c>
      <c r="S7" s="1535"/>
      <c r="T7" s="1535"/>
      <c r="U7" s="1538"/>
      <c r="V7" s="1538"/>
      <c r="W7" s="1630"/>
      <c r="X7" s="1630"/>
      <c r="Y7" s="1631">
        <f>SUM(Y4:Y6)</f>
        <v>57330</v>
      </c>
      <c r="Z7" s="1631">
        <f t="shared" ref="Z7:BJ7" si="0">SUM(Z4:Z6)</f>
        <v>0</v>
      </c>
      <c r="AA7" s="1631">
        <f t="shared" si="0"/>
        <v>0</v>
      </c>
      <c r="AB7" s="1631">
        <f t="shared" si="0"/>
        <v>0</v>
      </c>
      <c r="AC7" s="1631">
        <f t="shared" si="0"/>
        <v>0</v>
      </c>
      <c r="AD7" s="1631">
        <f t="shared" si="0"/>
        <v>0</v>
      </c>
      <c r="AE7" s="1631">
        <f t="shared" si="0"/>
        <v>0</v>
      </c>
      <c r="AF7" s="1631">
        <f t="shared" si="0"/>
        <v>0</v>
      </c>
      <c r="AG7" s="1631">
        <f t="shared" si="0"/>
        <v>0</v>
      </c>
      <c r="AH7" s="1631">
        <f t="shared" si="0"/>
        <v>0</v>
      </c>
      <c r="AI7" s="1631">
        <f t="shared" si="0"/>
        <v>0</v>
      </c>
      <c r="AJ7" s="1631">
        <f t="shared" si="0"/>
        <v>0</v>
      </c>
      <c r="AK7" s="1631">
        <f t="shared" si="0"/>
        <v>0</v>
      </c>
      <c r="AL7" s="1631">
        <f t="shared" si="0"/>
        <v>0</v>
      </c>
      <c r="AM7" s="1631">
        <f t="shared" si="0"/>
        <v>0</v>
      </c>
      <c r="AN7" s="1631"/>
      <c r="AO7" s="1631">
        <f t="shared" si="0"/>
        <v>4830</v>
      </c>
      <c r="AP7" s="1631">
        <f t="shared" si="0"/>
        <v>8071841</v>
      </c>
      <c r="AQ7" s="1631">
        <f t="shared" si="0"/>
        <v>0</v>
      </c>
      <c r="AR7" s="1631">
        <f t="shared" si="0"/>
        <v>4830</v>
      </c>
      <c r="AS7" s="1631">
        <f t="shared" si="0"/>
        <v>57330</v>
      </c>
      <c r="AT7" s="1631">
        <f t="shared" si="0"/>
        <v>62160</v>
      </c>
      <c r="AU7" s="1632">
        <f t="shared" si="0"/>
        <v>62160</v>
      </c>
      <c r="AV7" s="1631">
        <f t="shared" si="0"/>
        <v>0</v>
      </c>
      <c r="AW7" s="1631">
        <f t="shared" si="0"/>
        <v>0</v>
      </c>
      <c r="AX7" s="1631">
        <f t="shared" si="0"/>
        <v>0</v>
      </c>
      <c r="AY7" s="1631">
        <f t="shared" si="0"/>
        <v>0</v>
      </c>
      <c r="AZ7" s="1631">
        <f t="shared" si="0"/>
        <v>0</v>
      </c>
      <c r="BA7" s="1631">
        <f t="shared" si="0"/>
        <v>0</v>
      </c>
      <c r="BB7" s="1631">
        <f t="shared" si="0"/>
        <v>0</v>
      </c>
      <c r="BC7" s="1631">
        <f t="shared" si="0"/>
        <v>0</v>
      </c>
      <c r="BD7" s="1631">
        <f t="shared" si="0"/>
        <v>0</v>
      </c>
      <c r="BE7" s="1631">
        <f t="shared" si="0"/>
        <v>0</v>
      </c>
      <c r="BF7" s="1631">
        <f t="shared" si="0"/>
        <v>0</v>
      </c>
      <c r="BG7" s="1633">
        <f t="shared" si="0"/>
        <v>62160</v>
      </c>
      <c r="BH7" s="1631">
        <f t="shared" si="0"/>
        <v>0</v>
      </c>
      <c r="BI7" s="1631">
        <f t="shared" si="0"/>
        <v>0</v>
      </c>
      <c r="BJ7" s="1634">
        <f t="shared" si="0"/>
        <v>62160</v>
      </c>
      <c r="BK7" s="1635"/>
      <c r="BL7" s="1636">
        <f>SUM(BL4:BL6)</f>
        <v>64050</v>
      </c>
      <c r="BM7" s="1636">
        <f t="shared" ref="BM7:BS7" si="1">SUM(BM4:BM6)</f>
        <v>0</v>
      </c>
      <c r="BN7" s="1637">
        <f t="shared" si="1"/>
        <v>0</v>
      </c>
      <c r="BO7" s="1637">
        <f t="shared" si="1"/>
        <v>64050</v>
      </c>
      <c r="BP7" s="1637">
        <f t="shared" si="1"/>
        <v>0</v>
      </c>
      <c r="BQ7" s="1637">
        <f t="shared" si="1"/>
        <v>64050</v>
      </c>
      <c r="BR7" s="1637">
        <f t="shared" si="1"/>
        <v>0</v>
      </c>
      <c r="BS7" s="1637">
        <f t="shared" si="1"/>
        <v>64050</v>
      </c>
    </row>
    <row r="8" spans="1:75" ht="15.75" thickTop="1" x14ac:dyDescent="0.25">
      <c r="A8" s="1638"/>
      <c r="B8" s="482"/>
      <c r="C8" s="482"/>
      <c r="D8" s="482"/>
      <c r="E8" s="1639"/>
      <c r="F8" s="1639"/>
      <c r="G8" s="482"/>
      <c r="H8" s="482"/>
      <c r="I8" s="1640"/>
      <c r="J8" s="1641"/>
      <c r="K8" s="1267"/>
      <c r="L8" s="1640"/>
      <c r="M8" s="1640"/>
      <c r="N8" s="482"/>
      <c r="O8" s="1642"/>
      <c r="P8" s="1643"/>
      <c r="Q8" s="1643"/>
      <c r="R8" s="1644">
        <f>Q7+R7-Y7</f>
        <v>0</v>
      </c>
      <c r="S8" s="1645" t="s">
        <v>3033</v>
      </c>
      <c r="T8" s="1640"/>
      <c r="U8" s="1646"/>
      <c r="V8" s="1646"/>
      <c r="W8" s="1647"/>
      <c r="X8" s="1647"/>
      <c r="Y8" s="1647"/>
      <c r="Z8" s="1647"/>
      <c r="AA8" s="1647"/>
      <c r="AB8" s="1647"/>
      <c r="AC8" s="1647"/>
      <c r="AD8" s="1647"/>
      <c r="AE8" s="1647"/>
      <c r="AF8" s="1647"/>
      <c r="AG8" s="1647"/>
      <c r="AH8" s="1647"/>
      <c r="AI8" s="1647"/>
      <c r="AJ8" s="1647"/>
      <c r="AK8" s="1647"/>
      <c r="AL8" s="1648"/>
      <c r="AM8" s="1648"/>
      <c r="AN8" s="1647"/>
      <c r="AO8" s="1647"/>
      <c r="AP8" s="1647"/>
      <c r="AQ8" s="1647"/>
      <c r="AR8" s="1647"/>
      <c r="AS8" s="1647"/>
      <c r="AT8" s="1647"/>
      <c r="AU8" s="1647"/>
      <c r="AW8" s="1647"/>
      <c r="AX8" s="1647"/>
      <c r="AY8" s="1647"/>
      <c r="AZ8" s="1647"/>
      <c r="BA8" s="1647"/>
      <c r="BB8" s="1647"/>
      <c r="BC8" s="1647"/>
      <c r="BD8" s="1647"/>
      <c r="BE8" s="1647"/>
      <c r="BF8" s="1647"/>
      <c r="BG8" s="1647"/>
      <c r="BH8" s="1649"/>
    </row>
    <row r="9" spans="1:75" x14ac:dyDescent="0.25">
      <c r="A9" s="1471"/>
      <c r="B9" s="480"/>
      <c r="C9" s="480"/>
      <c r="D9" s="480"/>
      <c r="E9" s="1165"/>
      <c r="F9" s="1165"/>
      <c r="G9" s="480"/>
      <c r="H9" s="480"/>
      <c r="I9" s="963"/>
      <c r="J9" s="1044"/>
      <c r="K9" s="1039"/>
      <c r="L9" s="963"/>
      <c r="M9" s="963"/>
      <c r="N9" s="480"/>
      <c r="O9" s="1138"/>
      <c r="P9" s="1362"/>
      <c r="Q9" s="1362"/>
      <c r="R9" s="1362"/>
      <c r="S9" s="1475"/>
      <c r="T9" s="1475"/>
      <c r="U9" s="1037"/>
      <c r="V9" s="1037"/>
      <c r="W9" s="1471"/>
      <c r="X9" s="1471"/>
      <c r="Y9" s="1471"/>
      <c r="Z9" s="1471"/>
      <c r="AA9" s="1471"/>
      <c r="AB9" s="1471"/>
      <c r="AC9" s="1471"/>
      <c r="AD9" s="1471"/>
      <c r="AE9" s="1471"/>
      <c r="AF9" s="1471"/>
      <c r="AG9" s="1471"/>
      <c r="AH9" s="1471"/>
      <c r="AI9" s="1471"/>
      <c r="AJ9" s="1471"/>
      <c r="AK9" s="1471"/>
      <c r="AL9" s="1476"/>
      <c r="AM9" s="1476"/>
      <c r="AN9" s="1471"/>
      <c r="AO9" s="1471"/>
      <c r="AP9" s="1471"/>
      <c r="AQ9" s="1471"/>
      <c r="AR9" s="1471"/>
      <c r="AS9" s="1471"/>
      <c r="AT9" s="1471"/>
      <c r="AU9" s="1471"/>
      <c r="AV9" s="1471"/>
      <c r="AW9" s="1471"/>
      <c r="AX9" s="1471"/>
      <c r="AY9" s="1471"/>
      <c r="AZ9" s="1471"/>
      <c r="BA9" s="1471"/>
      <c r="BB9" s="1471"/>
      <c r="BC9" s="1471"/>
      <c r="BD9" s="1471"/>
      <c r="BE9" s="1471"/>
      <c r="BF9" s="1471"/>
      <c r="BG9" s="1471"/>
      <c r="BH9" s="1471"/>
    </row>
    <row r="10" spans="1:75" x14ac:dyDescent="0.25">
      <c r="B10" s="1490" t="s">
        <v>3186</v>
      </c>
      <c r="C10" s="251"/>
      <c r="D10" s="251"/>
      <c r="E10" s="1410"/>
      <c r="F10" s="1410"/>
      <c r="G10" s="251"/>
      <c r="H10" s="251"/>
      <c r="I10" s="1412"/>
      <c r="J10" s="970"/>
      <c r="K10" s="1650"/>
      <c r="L10" s="1412"/>
      <c r="M10" s="1412"/>
      <c r="N10" s="251"/>
      <c r="O10" s="968"/>
      <c r="P10" s="1651"/>
      <c r="Q10" s="1651"/>
      <c r="R10" s="1651"/>
      <c r="S10" s="1412"/>
      <c r="T10" s="1412"/>
      <c r="U10" s="1026"/>
      <c r="V10" s="1026"/>
    </row>
    <row r="11" spans="1:75" x14ac:dyDescent="0.25">
      <c r="A11" s="1653" t="s">
        <v>3187</v>
      </c>
      <c r="B11" s="1653" t="s">
        <v>3188</v>
      </c>
      <c r="C11" s="1653" t="s">
        <v>3189</v>
      </c>
      <c r="D11" s="1653" t="s">
        <v>3190</v>
      </c>
      <c r="E11" s="1653" t="s">
        <v>3191</v>
      </c>
      <c r="F11" s="1654" t="s">
        <v>3192</v>
      </c>
      <c r="G11" s="1653" t="s">
        <v>3193</v>
      </c>
      <c r="H11" s="1654" t="s">
        <v>3194</v>
      </c>
      <c r="I11" s="1653" t="s">
        <v>3195</v>
      </c>
      <c r="J11" s="1653" t="s">
        <v>3196</v>
      </c>
      <c r="K11" s="1653" t="s">
        <v>2</v>
      </c>
      <c r="L11" s="1653" t="s">
        <v>3197</v>
      </c>
      <c r="M11" s="1653" t="s">
        <v>3198</v>
      </c>
      <c r="N11" s="1653" t="s">
        <v>3199</v>
      </c>
      <c r="O11" s="1653" t="s">
        <v>3200</v>
      </c>
      <c r="P11" s="1653" t="s">
        <v>3201</v>
      </c>
      <c r="Q11" s="1653" t="s">
        <v>3202</v>
      </c>
      <c r="R11" s="1653" t="s">
        <v>3203</v>
      </c>
      <c r="S11" s="1653" t="s">
        <v>3204</v>
      </c>
      <c r="T11" s="1653" t="s">
        <v>3205</v>
      </c>
      <c r="U11" s="1653" t="s">
        <v>3206</v>
      </c>
      <c r="V11" s="1653" t="s">
        <v>3207</v>
      </c>
      <c r="W11" s="1653" t="s">
        <v>3208</v>
      </c>
      <c r="X11" s="1653" t="s">
        <v>3209</v>
      </c>
      <c r="Y11" s="1653" t="s">
        <v>3210</v>
      </c>
      <c r="Z11" s="1653" t="s">
        <v>3211</v>
      </c>
      <c r="AA11" s="1653" t="s">
        <v>3212</v>
      </c>
      <c r="AB11" s="1654" t="s">
        <v>3213</v>
      </c>
      <c r="AC11" s="1655"/>
      <c r="AD11" s="1655"/>
      <c r="AL11" s="1490"/>
      <c r="AM11" s="1490"/>
      <c r="BG11" s="1656" t="s">
        <v>3214</v>
      </c>
      <c r="BH11" s="1656"/>
      <c r="BI11" s="1656"/>
      <c r="BJ11" s="1656"/>
    </row>
    <row r="12" spans="1:75" outlineLevel="1" x14ac:dyDescent="0.25">
      <c r="A12" s="1657" t="s">
        <v>3215</v>
      </c>
      <c r="B12" s="1658">
        <v>8071841</v>
      </c>
      <c r="C12" s="1657" t="s">
        <v>3216</v>
      </c>
      <c r="D12" s="1657" t="s">
        <v>3217</v>
      </c>
      <c r="E12" s="1658">
        <v>3806254</v>
      </c>
      <c r="F12" s="1659">
        <v>0</v>
      </c>
      <c r="G12" s="1660">
        <v>45013</v>
      </c>
      <c r="H12" s="1659">
        <v>202301</v>
      </c>
      <c r="I12" s="1657" t="s">
        <v>3218</v>
      </c>
      <c r="J12" s="1657" t="s">
        <v>3219</v>
      </c>
      <c r="K12" s="1657" t="s">
        <v>3220</v>
      </c>
      <c r="L12" s="1657" t="s">
        <v>3221</v>
      </c>
      <c r="M12" s="1657" t="s">
        <v>3222</v>
      </c>
      <c r="N12" s="1657" t="s">
        <v>3223</v>
      </c>
      <c r="O12" s="1657" t="s">
        <v>3223</v>
      </c>
      <c r="P12" s="1657" t="s">
        <v>3224</v>
      </c>
      <c r="Q12" s="1657" t="s">
        <v>3225</v>
      </c>
      <c r="R12" s="1657" t="s">
        <v>3223</v>
      </c>
      <c r="S12" s="1657" t="s">
        <v>3223</v>
      </c>
      <c r="T12" s="1657" t="s">
        <v>3223</v>
      </c>
      <c r="U12" s="1657" t="s">
        <v>3223</v>
      </c>
      <c r="V12" s="1657" t="s">
        <v>3223</v>
      </c>
      <c r="W12" s="1657" t="s">
        <v>3226</v>
      </c>
      <c r="X12" s="1657" t="s">
        <v>3180</v>
      </c>
      <c r="Y12" s="1657" t="s">
        <v>3227</v>
      </c>
      <c r="Z12" s="1657" t="s">
        <v>3228</v>
      </c>
      <c r="AA12" s="1657" t="s">
        <v>3229</v>
      </c>
      <c r="AB12" s="1661">
        <v>4830</v>
      </c>
      <c r="AC12" s="1657"/>
      <c r="AD12" s="1657"/>
      <c r="AL12" s="1490"/>
      <c r="AM12" s="1490"/>
    </row>
    <row r="13" spans="1:75" x14ac:dyDescent="0.25">
      <c r="A13" s="1653"/>
      <c r="B13" s="1662"/>
      <c r="C13" s="1653"/>
      <c r="D13" s="1653"/>
      <c r="E13" s="1662"/>
      <c r="F13" s="1663"/>
      <c r="G13" s="1664"/>
      <c r="H13" s="1663"/>
      <c r="I13" s="1653"/>
      <c r="J13" s="1653"/>
      <c r="K13" s="1653"/>
      <c r="L13" s="1653"/>
      <c r="M13" s="1653"/>
      <c r="N13" s="1653"/>
      <c r="O13" s="1653"/>
      <c r="P13" s="1653"/>
      <c r="Q13" s="1653"/>
      <c r="R13" s="1653"/>
      <c r="S13" s="1653"/>
      <c r="T13" s="1653"/>
      <c r="U13" s="1653"/>
      <c r="V13" s="1653"/>
      <c r="W13" s="1653"/>
      <c r="X13" s="1653"/>
      <c r="Y13" s="1653"/>
      <c r="Z13" s="1653"/>
      <c r="AA13" s="1653"/>
      <c r="AB13" s="1665">
        <f>SUBTOTAL(9,AB12:AB12)</f>
        <v>4830</v>
      </c>
      <c r="AC13" s="1655"/>
      <c r="AD13" s="1655"/>
      <c r="AL13" s="1490"/>
      <c r="AM13" s="1490"/>
    </row>
    <row r="14" spans="1:75" x14ac:dyDescent="0.25">
      <c r="C14" s="251"/>
      <c r="D14" s="251"/>
      <c r="E14" s="1410"/>
      <c r="F14" s="1410"/>
      <c r="G14" s="251"/>
      <c r="H14" s="251"/>
      <c r="I14" s="1412"/>
      <c r="J14" s="970"/>
      <c r="K14" s="1650"/>
      <c r="L14" s="1412"/>
      <c r="M14" s="1412"/>
      <c r="N14" s="251"/>
      <c r="O14" s="968"/>
      <c r="P14" s="1651"/>
      <c r="Q14" s="1651"/>
      <c r="R14" s="1651"/>
      <c r="S14" s="1412"/>
      <c r="T14" s="1412"/>
      <c r="U14" s="1026"/>
      <c r="V14" s="1026"/>
    </row>
    <row r="15" spans="1:75" x14ac:dyDescent="0.25">
      <c r="C15" s="251"/>
      <c r="D15" s="251"/>
      <c r="E15" s="1410"/>
      <c r="F15" s="1410"/>
      <c r="G15" s="251"/>
      <c r="H15" s="251"/>
      <c r="I15" s="1412"/>
      <c r="J15" s="970"/>
      <c r="K15" s="1650"/>
      <c r="L15" s="1412"/>
      <c r="M15" s="1412"/>
      <c r="N15" s="251"/>
      <c r="O15" s="968"/>
      <c r="P15" s="1651"/>
      <c r="Q15" s="1651"/>
      <c r="R15" s="1651"/>
      <c r="S15" s="1412"/>
      <c r="T15" s="1412"/>
      <c r="U15" s="1026"/>
      <c r="V15" s="1026"/>
    </row>
    <row r="16" spans="1:75" x14ac:dyDescent="0.25">
      <c r="B16" s="251" t="s">
        <v>3230</v>
      </c>
      <c r="C16" s="1666">
        <v>2310</v>
      </c>
      <c r="D16" s="251" t="s">
        <v>3821</v>
      </c>
      <c r="E16" s="1974">
        <v>1890</v>
      </c>
      <c r="F16" s="1410" t="s">
        <v>3249</v>
      </c>
      <c r="G16" s="251"/>
      <c r="H16" s="251"/>
      <c r="I16" s="971"/>
      <c r="J16" s="970"/>
      <c r="K16" s="1650"/>
      <c r="L16" s="1412"/>
      <c r="M16" s="1412"/>
      <c r="N16" s="1667"/>
      <c r="O16" s="968"/>
      <c r="P16" s="1651"/>
      <c r="Q16" s="1651"/>
      <c r="R16" s="1651"/>
      <c r="S16" s="1668"/>
      <c r="T16" s="1668"/>
      <c r="U16" s="1026"/>
      <c r="V16" s="1026"/>
    </row>
    <row r="17" spans="1:39" x14ac:dyDescent="0.25">
      <c r="B17" s="251" t="s">
        <v>3231</v>
      </c>
      <c r="C17" s="1666">
        <v>3990</v>
      </c>
      <c r="D17" s="251" t="s">
        <v>3822</v>
      </c>
      <c r="E17" s="1974">
        <v>4283.3999999999996</v>
      </c>
      <c r="F17" s="1410" t="s">
        <v>3249</v>
      </c>
      <c r="G17" s="251"/>
      <c r="H17" s="251"/>
      <c r="I17" s="971"/>
      <c r="J17" s="970"/>
      <c r="K17" s="1650"/>
      <c r="L17" s="1412"/>
      <c r="M17" s="1412"/>
      <c r="N17" s="1669"/>
      <c r="O17" s="968"/>
      <c r="P17" s="1651"/>
      <c r="Q17" s="1651"/>
      <c r="R17" s="1651"/>
      <c r="S17" s="1668"/>
      <c r="T17" s="1668"/>
      <c r="U17" s="1026"/>
      <c r="V17" s="1026"/>
    </row>
    <row r="18" spans="1:39" x14ac:dyDescent="0.25">
      <c r="B18" s="251" t="s">
        <v>3232</v>
      </c>
      <c r="C18" s="1666">
        <v>2730</v>
      </c>
      <c r="D18" s="251" t="s">
        <v>3823</v>
      </c>
      <c r="E18" s="1974">
        <v>4853.2</v>
      </c>
      <c r="F18" s="1410" t="s">
        <v>3824</v>
      </c>
      <c r="G18" s="251"/>
      <c r="H18" s="251"/>
      <c r="I18" s="971"/>
      <c r="J18" s="970"/>
      <c r="K18" s="1650"/>
      <c r="L18" s="1412"/>
      <c r="M18" s="1412"/>
      <c r="N18" s="1669"/>
      <c r="O18" s="968"/>
      <c r="P18" s="1651"/>
      <c r="Q18" s="1651"/>
      <c r="R18" s="1651"/>
      <c r="S18" s="1668"/>
      <c r="T18" s="1668"/>
      <c r="U18" s="1026"/>
      <c r="V18" s="1026"/>
    </row>
    <row r="19" spans="1:39" x14ac:dyDescent="0.25">
      <c r="B19" s="251" t="s">
        <v>3233</v>
      </c>
      <c r="C19" s="1666">
        <v>3780</v>
      </c>
      <c r="D19" s="251" t="s">
        <v>3825</v>
      </c>
      <c r="E19" s="1974">
        <v>2426.6</v>
      </c>
      <c r="F19" s="1410" t="s">
        <v>3824</v>
      </c>
      <c r="G19" s="251"/>
      <c r="H19" s="251"/>
      <c r="I19" s="971"/>
      <c r="J19" s="970"/>
      <c r="K19" s="1650"/>
      <c r="L19" s="1412"/>
      <c r="M19" s="1412"/>
      <c r="N19" s="1667"/>
      <c r="O19" s="968"/>
      <c r="P19" s="1651"/>
      <c r="Q19" s="1651"/>
      <c r="R19" s="1651"/>
      <c r="S19" s="1668"/>
      <c r="T19" s="1668"/>
      <c r="U19" s="1026"/>
      <c r="V19" s="1026"/>
    </row>
    <row r="20" spans="1:39" x14ac:dyDescent="0.25">
      <c r="B20" s="251" t="s">
        <v>3234</v>
      </c>
      <c r="C20" s="1666">
        <v>2940</v>
      </c>
      <c r="D20" s="251" t="s">
        <v>3826</v>
      </c>
      <c r="E20" s="1974">
        <v>2911.92</v>
      </c>
      <c r="F20" s="1410" t="s">
        <v>3824</v>
      </c>
      <c r="G20" s="251"/>
      <c r="H20" s="251"/>
      <c r="I20" s="971"/>
      <c r="J20" s="970"/>
      <c r="K20" s="1650"/>
      <c r="L20" s="1412"/>
      <c r="M20" s="1412"/>
      <c r="N20" s="251"/>
      <c r="O20" s="968"/>
      <c r="P20" s="1651"/>
      <c r="Q20" s="1651"/>
      <c r="R20" s="1651"/>
      <c r="S20" s="1668"/>
      <c r="T20" s="1668"/>
      <c r="U20" s="1026"/>
      <c r="V20" s="1026"/>
    </row>
    <row r="21" spans="1:39" x14ac:dyDescent="0.25">
      <c r="B21" s="251" t="s">
        <v>3235</v>
      </c>
      <c r="C21" s="1666">
        <v>4410</v>
      </c>
      <c r="D21" s="251" t="s">
        <v>3827</v>
      </c>
      <c r="E21" s="1974">
        <v>4610.54</v>
      </c>
      <c r="F21" s="1410" t="s">
        <v>3824</v>
      </c>
      <c r="G21" s="251"/>
      <c r="H21" s="251"/>
      <c r="I21" s="971"/>
      <c r="J21" s="970"/>
      <c r="K21" s="1650"/>
      <c r="L21" s="1412"/>
      <c r="M21" s="1412"/>
      <c r="N21" s="1410"/>
      <c r="O21" s="968"/>
      <c r="P21" s="1651"/>
      <c r="Q21" s="1651"/>
      <c r="R21" s="1651"/>
      <c r="S21" s="1668"/>
      <c r="T21" s="1668"/>
      <c r="U21" s="1026"/>
      <c r="V21" s="1026"/>
    </row>
    <row r="22" spans="1:39" x14ac:dyDescent="0.25">
      <c r="B22" s="251" t="s">
        <v>3236</v>
      </c>
      <c r="C22" s="1666">
        <v>2100</v>
      </c>
      <c r="D22" s="251" t="s">
        <v>3828</v>
      </c>
      <c r="E22" s="1974">
        <v>3639.9</v>
      </c>
      <c r="F22" s="1410" t="s">
        <v>3824</v>
      </c>
      <c r="G22" s="251"/>
      <c r="H22" s="251"/>
      <c r="I22" s="971"/>
      <c r="J22" s="970"/>
      <c r="K22" s="1650"/>
      <c r="L22" s="1412"/>
      <c r="M22" s="1412"/>
      <c r="N22" s="251"/>
      <c r="O22" s="968"/>
      <c r="P22" s="1651"/>
      <c r="Q22" s="1651"/>
      <c r="R22" s="1651"/>
      <c r="S22" s="1668"/>
      <c r="T22" s="1668"/>
      <c r="U22" s="1026"/>
      <c r="V22" s="1026"/>
    </row>
    <row r="23" spans="1:39" x14ac:dyDescent="0.25">
      <c r="B23" s="251" t="s">
        <v>3237</v>
      </c>
      <c r="C23" s="1666">
        <v>3990</v>
      </c>
      <c r="D23" s="251" t="s">
        <v>3829</v>
      </c>
      <c r="E23" s="1974">
        <v>4367.88</v>
      </c>
      <c r="F23" s="1410" t="s">
        <v>3249</v>
      </c>
      <c r="G23" s="251"/>
      <c r="H23" s="251"/>
      <c r="I23" s="1412"/>
      <c r="J23" s="970"/>
      <c r="K23" s="1650"/>
      <c r="L23" s="1412"/>
      <c r="M23" s="1412"/>
      <c r="N23" s="251"/>
      <c r="O23" s="968"/>
      <c r="P23" s="1651"/>
      <c r="Q23" s="1651"/>
      <c r="R23" s="1651"/>
      <c r="S23" s="1668"/>
      <c r="T23" s="1668"/>
      <c r="U23" s="1026"/>
      <c r="V23" s="1026"/>
      <c r="AM23" s="1670"/>
    </row>
    <row r="24" spans="1:39" x14ac:dyDescent="0.25">
      <c r="B24" s="251" t="s">
        <v>3238</v>
      </c>
      <c r="C24" s="1666">
        <v>3990</v>
      </c>
      <c r="D24" s="251"/>
      <c r="E24" s="2038">
        <v>28983.440000000002</v>
      </c>
      <c r="F24" s="1410"/>
      <c r="G24" s="251"/>
      <c r="H24" s="251"/>
      <c r="I24" s="1412"/>
      <c r="J24" s="970"/>
      <c r="K24" s="1650"/>
      <c r="L24" s="1412"/>
      <c r="M24" s="1412"/>
      <c r="N24" s="251"/>
      <c r="O24" s="968"/>
      <c r="P24" s="1651"/>
      <c r="Q24" s="1651"/>
      <c r="R24" s="1651"/>
      <c r="S24" s="1412"/>
      <c r="T24" s="1412"/>
      <c r="U24" s="1026"/>
      <c r="V24" s="1026"/>
    </row>
    <row r="25" spans="1:39" x14ac:dyDescent="0.25">
      <c r="B25" s="251"/>
      <c r="C25" s="1666">
        <f>SUM(C16:C24)</f>
        <v>30240</v>
      </c>
      <c r="D25" s="251" t="s">
        <v>3830</v>
      </c>
      <c r="E25" s="1974"/>
      <c r="F25" s="1410"/>
      <c r="G25" s="1410"/>
      <c r="H25" s="251"/>
      <c r="I25" s="1412"/>
      <c r="J25" s="970"/>
      <c r="K25" s="1650"/>
      <c r="L25" s="1412"/>
      <c r="M25" s="1412"/>
      <c r="N25" s="251"/>
      <c r="O25" s="968"/>
      <c r="P25" s="1651"/>
      <c r="Q25" s="1651"/>
      <c r="R25" s="1651"/>
      <c r="S25" s="1412"/>
      <c r="T25" s="1412"/>
      <c r="U25" s="1026"/>
      <c r="V25" s="1026"/>
    </row>
    <row r="26" spans="1:39" x14ac:dyDescent="0.25">
      <c r="B26" s="251"/>
      <c r="C26" s="1666">
        <f>C25/9</f>
        <v>3360</v>
      </c>
      <c r="D26" s="251"/>
      <c r="E26" s="1974"/>
      <c r="F26" s="1410">
        <v>242.66</v>
      </c>
      <c r="G26" s="251" t="s">
        <v>3838</v>
      </c>
      <c r="H26" s="251"/>
      <c r="I26" s="1412"/>
      <c r="J26" s="970"/>
      <c r="K26" s="1650"/>
      <c r="L26" s="1412"/>
      <c r="M26" s="1412"/>
      <c r="N26" s="251"/>
      <c r="O26" s="968"/>
      <c r="P26" s="1651"/>
      <c r="Q26" s="1651"/>
      <c r="R26" s="1651"/>
      <c r="S26" s="1412"/>
      <c r="T26" s="1412"/>
      <c r="U26" s="1026"/>
      <c r="V26" s="1026"/>
    </row>
    <row r="27" spans="1:39" x14ac:dyDescent="0.25">
      <c r="B27" s="251"/>
      <c r="C27" s="1666">
        <f>C26*12</f>
        <v>40320</v>
      </c>
      <c r="D27" s="251" t="s">
        <v>3831</v>
      </c>
      <c r="E27" s="1974">
        <v>2669.2599999999998</v>
      </c>
      <c r="F27" s="2039" t="s">
        <v>3839</v>
      </c>
      <c r="G27" s="251"/>
      <c r="H27" s="251"/>
      <c r="I27" s="1412"/>
      <c r="J27" s="970"/>
      <c r="K27" s="1650"/>
      <c r="L27" s="1412"/>
      <c r="M27" s="1412"/>
      <c r="N27" s="251"/>
      <c r="O27" s="968"/>
      <c r="P27" s="1651"/>
      <c r="Q27" s="1651"/>
      <c r="R27" s="1651"/>
      <c r="S27" s="1412"/>
      <c r="T27" s="1412"/>
      <c r="U27" s="1026"/>
      <c r="V27" s="1026"/>
    </row>
    <row r="28" spans="1:39" x14ac:dyDescent="0.25">
      <c r="B28" s="251"/>
      <c r="C28" s="251"/>
      <c r="D28" s="251" t="s">
        <v>3832</v>
      </c>
      <c r="E28" s="1974">
        <v>5095.8599999999997</v>
      </c>
      <c r="F28" s="1410" t="s">
        <v>3839</v>
      </c>
      <c r="G28" s="251"/>
      <c r="H28" s="251"/>
      <c r="I28" s="1412"/>
      <c r="J28" s="970"/>
      <c r="K28" s="1650"/>
      <c r="L28" s="1412"/>
      <c r="M28" s="1412"/>
      <c r="N28" s="251"/>
      <c r="O28" s="968"/>
      <c r="P28" s="1651"/>
      <c r="Q28" s="1651"/>
      <c r="R28" s="1651"/>
      <c r="S28" s="1412"/>
      <c r="T28" s="1412"/>
      <c r="U28" s="1026"/>
      <c r="V28" s="1026"/>
    </row>
    <row r="29" spans="1:39" x14ac:dyDescent="0.25">
      <c r="B29" s="251"/>
      <c r="C29" s="251"/>
      <c r="D29" s="251" t="s">
        <v>3833</v>
      </c>
      <c r="E29" s="1974">
        <v>3882.56</v>
      </c>
      <c r="F29" s="1410" t="s">
        <v>3839</v>
      </c>
      <c r="G29" s="251"/>
      <c r="H29" s="251"/>
      <c r="I29" s="1412"/>
      <c r="J29" s="970"/>
      <c r="K29" s="1650"/>
      <c r="L29" s="1412"/>
      <c r="M29" s="1412"/>
      <c r="N29" s="251"/>
      <c r="O29" s="968"/>
      <c r="P29" s="1651"/>
      <c r="Q29" s="1651"/>
      <c r="R29" s="1651"/>
      <c r="S29" s="1412"/>
      <c r="T29" s="1412"/>
      <c r="U29" s="1026"/>
      <c r="V29" s="1026"/>
    </row>
    <row r="30" spans="1:39" x14ac:dyDescent="0.25">
      <c r="B30" s="251"/>
      <c r="C30" s="251"/>
      <c r="D30" s="251" t="s">
        <v>3834</v>
      </c>
      <c r="E30" s="1974">
        <v>4853.2</v>
      </c>
      <c r="F30" s="1410" t="s">
        <v>3839</v>
      </c>
      <c r="G30" s="251"/>
      <c r="H30" s="251"/>
      <c r="I30" s="1412"/>
      <c r="J30" s="970"/>
      <c r="K30" s="1650"/>
      <c r="L30" s="1412"/>
      <c r="M30" s="1412"/>
      <c r="N30" s="251"/>
      <c r="O30" s="968"/>
      <c r="P30" s="1651"/>
      <c r="Q30" s="1651"/>
      <c r="R30" s="1651"/>
      <c r="S30" s="1412"/>
      <c r="T30" s="1412"/>
      <c r="U30" s="1026"/>
      <c r="V30" s="1026"/>
    </row>
    <row r="31" spans="1:39" x14ac:dyDescent="0.25">
      <c r="A31" s="1464">
        <v>6810147551</v>
      </c>
      <c r="B31" s="1671">
        <v>44711</v>
      </c>
      <c r="C31" s="1666">
        <v>4410</v>
      </c>
      <c r="D31" s="251"/>
      <c r="E31" s="2038">
        <v>16500.879999999997</v>
      </c>
      <c r="F31" s="1410"/>
      <c r="G31" s="251"/>
      <c r="H31" s="251"/>
      <c r="I31" s="1412"/>
      <c r="J31" s="970"/>
      <c r="K31" s="1650"/>
      <c r="L31" s="1412"/>
      <c r="M31" s="1412"/>
      <c r="N31" s="251"/>
      <c r="O31" s="968"/>
      <c r="P31" s="1651"/>
      <c r="Q31" s="1651"/>
      <c r="R31" s="1651"/>
      <c r="S31" s="1412"/>
      <c r="T31" s="1412"/>
      <c r="U31" s="1026"/>
      <c r="V31" s="1026"/>
      <c r="AM31" s="1409"/>
    </row>
    <row r="32" spans="1:39" x14ac:dyDescent="0.25">
      <c r="A32" s="1464">
        <v>6810147548</v>
      </c>
      <c r="B32" s="1671">
        <v>44711</v>
      </c>
      <c r="C32" s="1666">
        <v>2940</v>
      </c>
      <c r="D32" s="251"/>
      <c r="E32" s="1974"/>
      <c r="F32" s="1410"/>
      <c r="G32" s="1412"/>
      <c r="H32" s="251"/>
      <c r="I32" s="1412"/>
      <c r="J32" s="970"/>
      <c r="K32" s="1650"/>
      <c r="L32" s="1412"/>
      <c r="M32" s="1412"/>
      <c r="N32" s="251"/>
      <c r="O32" s="968"/>
      <c r="P32" s="1651"/>
      <c r="Q32" s="1651"/>
      <c r="R32" s="1651"/>
      <c r="S32" s="1412"/>
      <c r="T32" s="1412"/>
      <c r="U32" s="1026"/>
      <c r="V32" s="1026"/>
      <c r="AM32" s="1409"/>
    </row>
    <row r="33" spans="1:22" x14ac:dyDescent="0.25">
      <c r="A33" s="1464">
        <v>6810147535</v>
      </c>
      <c r="B33" s="1671">
        <v>44711</v>
      </c>
      <c r="C33" s="1666">
        <v>3780</v>
      </c>
      <c r="D33" s="251"/>
      <c r="E33" s="1974">
        <v>45484.32</v>
      </c>
      <c r="F33" s="1410"/>
      <c r="G33" s="1412"/>
      <c r="H33" s="251"/>
      <c r="I33" s="1412"/>
      <c r="J33" s="970"/>
      <c r="K33" s="1650"/>
      <c r="L33" s="1412"/>
      <c r="M33" s="1412"/>
      <c r="N33" s="251"/>
      <c r="O33" s="968"/>
      <c r="P33" s="251"/>
      <c r="Q33" s="1651"/>
      <c r="R33" s="1651"/>
      <c r="S33" s="1412"/>
      <c r="T33" s="1412"/>
      <c r="U33" s="1026"/>
      <c r="V33" s="1026"/>
    </row>
    <row r="34" spans="1:22" x14ac:dyDescent="0.25">
      <c r="A34" s="1464">
        <v>6810147522</v>
      </c>
      <c r="B34" s="1671">
        <v>44711</v>
      </c>
      <c r="C34" s="1666">
        <v>2730</v>
      </c>
      <c r="D34" s="251" t="s">
        <v>3835</v>
      </c>
      <c r="E34" s="1974">
        <v>4830</v>
      </c>
      <c r="F34" s="1410" t="s">
        <v>3837</v>
      </c>
      <c r="G34" s="1412"/>
      <c r="H34" s="251"/>
      <c r="I34" s="971"/>
      <c r="J34" s="970"/>
      <c r="K34" s="1650"/>
      <c r="L34" s="1412"/>
      <c r="M34" s="1412"/>
      <c r="N34" s="1672"/>
      <c r="O34" s="968"/>
      <c r="P34" s="1651"/>
      <c r="Q34" s="1651"/>
      <c r="R34" s="1651"/>
      <c r="S34" s="1412"/>
      <c r="T34" s="1412"/>
      <c r="U34" s="1026"/>
      <c r="V34" s="1026"/>
    </row>
    <row r="35" spans="1:22" x14ac:dyDescent="0.25">
      <c r="A35" s="1464">
        <v>6810147519</v>
      </c>
      <c r="B35" s="1671">
        <v>44728</v>
      </c>
      <c r="C35" s="1666">
        <v>3990</v>
      </c>
      <c r="D35" s="251" t="s">
        <v>3836</v>
      </c>
      <c r="E35" s="2038">
        <v>50314.32</v>
      </c>
      <c r="F35" s="1410"/>
      <c r="G35" s="1412"/>
      <c r="H35" s="251"/>
      <c r="I35" s="971"/>
      <c r="J35" s="970"/>
      <c r="K35" s="1650"/>
      <c r="L35" s="1412"/>
      <c r="M35" s="1412"/>
      <c r="N35" s="1672"/>
      <c r="O35" s="968"/>
      <c r="P35" s="1651"/>
      <c r="Q35" s="1651"/>
      <c r="R35" s="1651"/>
      <c r="S35" s="1412"/>
      <c r="T35" s="1412"/>
      <c r="U35" s="1026"/>
      <c r="V35" s="1026"/>
    </row>
    <row r="36" spans="1:22" x14ac:dyDescent="0.25">
      <c r="A36" s="1464">
        <v>6810148123</v>
      </c>
      <c r="B36" s="1673">
        <v>44743</v>
      </c>
      <c r="C36" s="1666">
        <v>3990</v>
      </c>
      <c r="D36" s="251"/>
      <c r="E36" s="1410"/>
      <c r="F36" s="1410"/>
      <c r="G36" s="1412"/>
      <c r="H36" s="251"/>
      <c r="I36" s="971"/>
      <c r="J36" s="970"/>
      <c r="K36" s="1650"/>
      <c r="L36" s="1412"/>
      <c r="M36" s="1412"/>
      <c r="N36" s="1672"/>
      <c r="O36" s="968"/>
      <c r="P36" s="1651"/>
      <c r="Q36" s="1651"/>
      <c r="R36" s="1651"/>
      <c r="S36" s="1412"/>
      <c r="T36" s="1412"/>
      <c r="U36" s="1026"/>
      <c r="V36" s="1026"/>
    </row>
    <row r="37" spans="1:22" x14ac:dyDescent="0.25">
      <c r="A37" s="1464">
        <v>6810149423</v>
      </c>
      <c r="B37" s="1671">
        <v>44768</v>
      </c>
      <c r="C37" s="1666">
        <v>3990</v>
      </c>
      <c r="D37" s="251"/>
      <c r="E37" s="1410"/>
      <c r="F37" s="1674"/>
      <c r="G37" s="1675"/>
      <c r="H37" s="1676"/>
      <c r="I37" s="971"/>
      <c r="J37" s="1677"/>
      <c r="K37" s="1650"/>
      <c r="L37" s="1412"/>
      <c r="M37" s="1412"/>
      <c r="N37" s="1672"/>
      <c r="O37" s="968"/>
      <c r="P37" s="1651"/>
      <c r="Q37" s="1651"/>
      <c r="R37" s="1651"/>
      <c r="S37" s="1412"/>
      <c r="T37" s="1412"/>
      <c r="U37" s="1026"/>
      <c r="V37" s="1026"/>
    </row>
    <row r="38" spans="1:22" x14ac:dyDescent="0.25">
      <c r="A38" s="1464">
        <v>6810147506</v>
      </c>
      <c r="B38" s="1671">
        <v>44782</v>
      </c>
      <c r="C38" s="1666">
        <v>2310</v>
      </c>
      <c r="D38" s="251"/>
      <c r="E38" s="1410"/>
      <c r="F38" s="1410"/>
      <c r="G38" s="1412"/>
      <c r="H38" s="251"/>
      <c r="I38" s="971"/>
      <c r="J38" s="970"/>
      <c r="K38" s="1650"/>
      <c r="L38" s="1412"/>
      <c r="M38" s="1412"/>
      <c r="N38" s="251"/>
      <c r="O38" s="968"/>
      <c r="P38" s="1651"/>
      <c r="Q38" s="1651"/>
      <c r="R38" s="1651"/>
      <c r="S38" s="1412"/>
      <c r="T38" s="1412"/>
      <c r="U38" s="1026"/>
      <c r="V38" s="1026"/>
    </row>
    <row r="39" spans="1:22" x14ac:dyDescent="0.25">
      <c r="A39" s="1464">
        <v>6810154049</v>
      </c>
      <c r="B39" s="1671">
        <v>44868</v>
      </c>
      <c r="C39" s="1666">
        <v>3990</v>
      </c>
      <c r="D39" s="251"/>
      <c r="E39" s="1410"/>
      <c r="F39" s="1410"/>
      <c r="G39" s="1412"/>
      <c r="H39" s="251"/>
      <c r="I39" s="971"/>
      <c r="J39" s="970"/>
      <c r="K39" s="1650"/>
      <c r="L39" s="1412"/>
      <c r="M39" s="1412"/>
      <c r="N39" s="251"/>
      <c r="O39" s="968"/>
      <c r="P39" s="1651"/>
      <c r="Q39" s="1651"/>
      <c r="R39" s="1651"/>
      <c r="S39" s="1412"/>
      <c r="T39" s="1412"/>
      <c r="U39" s="1026"/>
      <c r="V39" s="1026"/>
    </row>
    <row r="40" spans="1:22" x14ac:dyDescent="0.25">
      <c r="A40" s="1464">
        <v>6810154641</v>
      </c>
      <c r="B40" s="1671">
        <v>44886</v>
      </c>
      <c r="C40" s="1666">
        <v>2100</v>
      </c>
      <c r="D40" s="251"/>
      <c r="E40" s="1410"/>
      <c r="F40" s="252"/>
      <c r="G40" s="253"/>
      <c r="H40" s="170"/>
      <c r="I40" s="1671"/>
      <c r="J40" s="970"/>
      <c r="K40" s="1650"/>
      <c r="L40" s="1412"/>
      <c r="M40" s="1412"/>
      <c r="N40" s="251"/>
      <c r="O40" s="968"/>
      <c r="P40" s="1651"/>
      <c r="Q40" s="1651"/>
      <c r="R40" s="1651"/>
      <c r="S40" s="1412"/>
      <c r="T40" s="1412"/>
      <c r="U40" s="1026"/>
      <c r="V40" s="1026"/>
    </row>
    <row r="41" spans="1:22" x14ac:dyDescent="0.25">
      <c r="A41" s="1464">
        <v>6810151534</v>
      </c>
      <c r="B41" s="1671">
        <v>44890</v>
      </c>
      <c r="C41" s="1666">
        <v>2100</v>
      </c>
      <c r="D41" s="251"/>
      <c r="E41" s="1410"/>
      <c r="F41" s="1410"/>
      <c r="G41" s="1412"/>
      <c r="H41" s="251"/>
      <c r="I41" s="1412"/>
      <c r="J41" s="970"/>
      <c r="K41" s="1650"/>
      <c r="L41" s="1412"/>
      <c r="M41" s="1412"/>
      <c r="N41" s="251"/>
      <c r="O41" s="968"/>
      <c r="P41" s="1651"/>
      <c r="Q41" s="1651"/>
      <c r="R41" s="1651"/>
      <c r="S41" s="1412"/>
      <c r="T41" s="1412"/>
      <c r="U41" s="1026"/>
      <c r="V41" s="1026"/>
    </row>
    <row r="42" spans="1:22" x14ac:dyDescent="0.25">
      <c r="A42" s="1464">
        <v>18086</v>
      </c>
      <c r="B42" s="1671">
        <v>44890</v>
      </c>
      <c r="C42" s="1666">
        <v>5760</v>
      </c>
      <c r="D42" s="251"/>
      <c r="E42" s="1410"/>
      <c r="F42" s="1410"/>
      <c r="G42" s="1412"/>
      <c r="H42" s="251"/>
      <c r="I42" s="1412"/>
      <c r="J42" s="970"/>
      <c r="K42" s="1650"/>
      <c r="L42" s="1412"/>
      <c r="M42" s="1412"/>
      <c r="N42" s="251"/>
      <c r="O42" s="968"/>
      <c r="P42" s="1651"/>
      <c r="Q42" s="1651"/>
      <c r="R42" s="1651"/>
      <c r="S42" s="1412"/>
      <c r="T42" s="1412"/>
      <c r="U42" s="1026"/>
      <c r="V42" s="1026"/>
    </row>
    <row r="43" spans="1:22" x14ac:dyDescent="0.25">
      <c r="A43" s="1464">
        <v>6810157774</v>
      </c>
      <c r="B43" s="1671">
        <v>44945</v>
      </c>
      <c r="C43" s="1666">
        <v>2520</v>
      </c>
      <c r="D43" s="251"/>
      <c r="E43" s="1410"/>
      <c r="F43" s="1410"/>
      <c r="G43" s="1412"/>
      <c r="H43" s="251"/>
      <c r="I43" s="1412"/>
      <c r="J43" s="970"/>
      <c r="K43" s="1650"/>
      <c r="L43" s="1412"/>
      <c r="M43" s="1412"/>
      <c r="N43" s="251"/>
      <c r="O43" s="968"/>
      <c r="P43" s="1651"/>
      <c r="Q43" s="1651"/>
      <c r="R43" s="1651"/>
      <c r="S43" s="1412"/>
      <c r="T43" s="1412"/>
      <c r="U43" s="1026"/>
      <c r="V43" s="1026"/>
    </row>
    <row r="44" spans="1:22" x14ac:dyDescent="0.25">
      <c r="A44" s="1464">
        <v>6810159002</v>
      </c>
      <c r="B44" s="1671">
        <v>44974</v>
      </c>
      <c r="C44" s="1666">
        <v>4410</v>
      </c>
      <c r="D44" s="251"/>
      <c r="E44" s="1410"/>
      <c r="F44" s="1410"/>
      <c r="G44" s="1412"/>
      <c r="H44" s="251"/>
      <c r="I44" s="1412"/>
      <c r="J44" s="970"/>
      <c r="K44" s="1650"/>
      <c r="L44" s="1412"/>
      <c r="M44" s="1412"/>
      <c r="N44" s="251"/>
      <c r="O44" s="968"/>
      <c r="P44" s="1651"/>
      <c r="Q44" s="1651"/>
      <c r="R44" s="1651"/>
      <c r="S44" s="1412"/>
      <c r="T44" s="1412"/>
      <c r="U44" s="1026"/>
      <c r="V44" s="1026"/>
    </row>
    <row r="45" spans="1:22" x14ac:dyDescent="0.25">
      <c r="A45" s="1464">
        <v>6810157208</v>
      </c>
      <c r="B45" s="1671">
        <v>44974</v>
      </c>
      <c r="C45" s="1666">
        <v>4200</v>
      </c>
      <c r="D45" s="251"/>
      <c r="E45" s="1410"/>
      <c r="F45" s="1410"/>
      <c r="G45" s="1412"/>
      <c r="H45" s="251"/>
      <c r="I45" s="971"/>
      <c r="J45" s="970"/>
      <c r="K45" s="1650"/>
      <c r="L45" s="1412"/>
      <c r="M45" s="1412"/>
      <c r="N45" s="251"/>
      <c r="O45" s="968"/>
      <c r="P45" s="1651"/>
      <c r="Q45" s="1651"/>
      <c r="R45" s="1651"/>
      <c r="S45" s="1412"/>
      <c r="T45" s="1412"/>
      <c r="U45" s="1026"/>
      <c r="V45" s="1026"/>
    </row>
    <row r="46" spans="1:22" x14ac:dyDescent="0.25">
      <c r="A46" s="1464">
        <v>18086</v>
      </c>
      <c r="B46" s="1671">
        <v>44974</v>
      </c>
      <c r="C46" s="1666">
        <v>-5760</v>
      </c>
      <c r="D46" s="251"/>
      <c r="E46" s="1410"/>
      <c r="F46" s="1410"/>
      <c r="G46" s="1412"/>
      <c r="H46" s="251"/>
      <c r="I46" s="971"/>
      <c r="J46" s="970"/>
      <c r="K46" s="1650"/>
      <c r="L46" s="1412"/>
      <c r="M46" s="1412"/>
      <c r="N46" s="251"/>
      <c r="O46" s="968"/>
      <c r="P46" s="1651"/>
      <c r="Q46" s="1651"/>
      <c r="R46" s="1651"/>
      <c r="S46" s="1412"/>
      <c r="T46" s="1412"/>
      <c r="U46" s="1026"/>
      <c r="V46" s="1026"/>
    </row>
    <row r="47" spans="1:22" x14ac:dyDescent="0.25">
      <c r="A47" s="1464">
        <v>6810160509</v>
      </c>
      <c r="B47" s="1671">
        <v>45014</v>
      </c>
      <c r="C47" s="1666">
        <v>2940</v>
      </c>
      <c r="D47" s="251"/>
      <c r="E47" s="1410"/>
      <c r="F47" s="1410"/>
      <c r="G47" s="1412"/>
      <c r="H47" s="251"/>
      <c r="I47" s="971"/>
      <c r="J47" s="970"/>
      <c r="K47" s="1650"/>
      <c r="L47" s="1412"/>
      <c r="M47" s="1412"/>
      <c r="N47" s="251"/>
      <c r="O47" s="968"/>
      <c r="P47" s="1651"/>
      <c r="Q47" s="1651"/>
      <c r="R47" s="1651"/>
      <c r="S47" s="1412"/>
      <c r="T47" s="1412"/>
      <c r="U47" s="1026"/>
      <c r="V47" s="1026"/>
    </row>
    <row r="48" spans="1:22" x14ac:dyDescent="0.25">
      <c r="A48" s="1464">
        <v>6810160949</v>
      </c>
      <c r="B48" s="1671">
        <v>45035</v>
      </c>
      <c r="C48" s="1666">
        <v>4830</v>
      </c>
      <c r="D48" s="251"/>
      <c r="E48" s="1410"/>
      <c r="F48" s="1410"/>
      <c r="G48" s="1412"/>
      <c r="H48" s="251"/>
      <c r="I48" s="971"/>
      <c r="J48" s="970"/>
      <c r="K48" s="1650"/>
      <c r="L48" s="1412"/>
      <c r="M48" s="1412"/>
      <c r="N48" s="251"/>
      <c r="O48" s="968"/>
      <c r="P48" s="1651"/>
      <c r="Q48" s="1651"/>
      <c r="R48" s="1651"/>
      <c r="S48" s="1412"/>
      <c r="T48" s="1412"/>
      <c r="U48" s="1026"/>
      <c r="V48" s="1026"/>
    </row>
    <row r="49" spans="2:38" x14ac:dyDescent="0.25">
      <c r="B49" s="251"/>
      <c r="C49" s="479">
        <f>SUM(C31:C48)</f>
        <v>55230</v>
      </c>
      <c r="D49" s="483" t="s">
        <v>3239</v>
      </c>
      <c r="E49" s="1410"/>
      <c r="F49" s="1410"/>
      <c r="G49" s="1412"/>
      <c r="H49" s="251"/>
      <c r="I49" s="971"/>
      <c r="J49" s="970"/>
      <c r="K49" s="1650"/>
      <c r="L49" s="1412"/>
      <c r="M49" s="1412"/>
      <c r="N49" s="251"/>
      <c r="O49" s="968"/>
      <c r="P49" s="1651"/>
      <c r="Q49" s="1651"/>
      <c r="R49" s="1651"/>
      <c r="S49" s="1412"/>
      <c r="T49" s="1412"/>
      <c r="U49" s="1026"/>
      <c r="V49" s="1026"/>
    </row>
    <row r="50" spans="2:38" x14ac:dyDescent="0.25">
      <c r="B50" s="251"/>
      <c r="C50" s="251"/>
      <c r="D50" s="251"/>
      <c r="E50" s="1410"/>
      <c r="F50" s="1410"/>
      <c r="G50" s="251"/>
      <c r="H50" s="251"/>
      <c r="I50" s="971"/>
      <c r="J50" s="970"/>
      <c r="K50" s="1650"/>
      <c r="L50" s="1412"/>
      <c r="M50" s="1412"/>
      <c r="N50" s="251"/>
      <c r="O50" s="968"/>
      <c r="P50" s="1651"/>
      <c r="Q50" s="1651"/>
      <c r="R50" s="1651"/>
      <c r="S50" s="1412"/>
      <c r="T50" s="1412"/>
      <c r="U50" s="1026"/>
      <c r="V50" s="1026"/>
    </row>
    <row r="51" spans="2:38" x14ac:dyDescent="0.25">
      <c r="B51" s="251"/>
      <c r="C51" s="1678">
        <f>C49/16</f>
        <v>3451.875</v>
      </c>
      <c r="D51" s="251"/>
      <c r="E51" s="1410"/>
      <c r="F51" s="1410"/>
      <c r="G51" s="251"/>
      <c r="H51" s="251"/>
      <c r="I51" s="971"/>
      <c r="J51" s="970"/>
      <c r="K51" s="1650"/>
      <c r="L51" s="1412"/>
      <c r="M51" s="1412"/>
      <c r="N51" s="251"/>
      <c r="O51" s="968"/>
      <c r="P51" s="1651"/>
      <c r="Q51" s="1651"/>
      <c r="R51" s="1651"/>
      <c r="S51" s="1412"/>
      <c r="T51" s="1412"/>
      <c r="U51" s="1026"/>
      <c r="V51" s="1026"/>
    </row>
    <row r="52" spans="2:38" x14ac:dyDescent="0.25">
      <c r="B52" s="251"/>
      <c r="C52" s="1678">
        <f>C51*12</f>
        <v>41422.5</v>
      </c>
      <c r="D52" s="251"/>
      <c r="E52" s="1410"/>
      <c r="F52" s="1410"/>
      <c r="G52" s="251"/>
      <c r="H52" s="251"/>
      <c r="I52" s="971"/>
      <c r="J52" s="970"/>
      <c r="K52" s="1650"/>
      <c r="L52" s="1412"/>
      <c r="M52" s="1412"/>
      <c r="N52" s="251"/>
      <c r="O52" s="968"/>
      <c r="P52" s="1651"/>
      <c r="Q52" s="1651"/>
      <c r="R52" s="1651"/>
      <c r="S52" s="1412"/>
      <c r="T52" s="1412"/>
      <c r="U52" s="1026"/>
      <c r="V52" s="1026"/>
    </row>
    <row r="53" spans="2:38" x14ac:dyDescent="0.25">
      <c r="B53" s="251"/>
      <c r="C53" s="251"/>
      <c r="D53" s="251"/>
      <c r="E53" s="1410"/>
      <c r="F53" s="1410"/>
      <c r="G53" s="251"/>
      <c r="H53" s="251"/>
      <c r="I53" s="971"/>
      <c r="J53" s="970"/>
      <c r="K53" s="1650"/>
      <c r="L53" s="1412"/>
      <c r="M53" s="1412"/>
      <c r="N53" s="251"/>
      <c r="O53" s="968"/>
      <c r="P53" s="1651"/>
      <c r="Q53" s="1651"/>
      <c r="R53" s="1651"/>
      <c r="S53" s="1412"/>
      <c r="T53" s="1412"/>
      <c r="U53" s="1026"/>
      <c r="V53" s="1026"/>
    </row>
    <row r="54" spans="2:38" x14ac:dyDescent="0.25">
      <c r="B54" s="251"/>
      <c r="C54" s="251"/>
      <c r="D54" s="251"/>
      <c r="E54" s="1410"/>
      <c r="F54" s="1410"/>
      <c r="G54" s="251"/>
      <c r="H54" s="251"/>
      <c r="I54" s="971"/>
      <c r="J54" s="970"/>
      <c r="K54" s="1650"/>
      <c r="L54" s="1412"/>
      <c r="M54" s="1412"/>
      <c r="N54" s="251"/>
      <c r="O54" s="968"/>
      <c r="P54" s="1651"/>
      <c r="Q54" s="1651"/>
      <c r="R54" s="1651"/>
      <c r="S54" s="1412"/>
      <c r="T54" s="1412"/>
      <c r="U54" s="1026"/>
      <c r="V54" s="1026"/>
    </row>
    <row r="55" spans="2:38" x14ac:dyDescent="0.25">
      <c r="B55" s="251"/>
      <c r="C55" s="251"/>
      <c r="D55" s="251"/>
      <c r="E55" s="1679"/>
      <c r="F55" s="1410"/>
      <c r="G55" s="251"/>
      <c r="H55" s="251"/>
      <c r="I55" s="971"/>
      <c r="J55" s="970"/>
      <c r="K55" s="1650"/>
      <c r="L55" s="1412"/>
      <c r="M55" s="1412"/>
      <c r="N55" s="251"/>
      <c r="O55" s="968"/>
      <c r="P55" s="1651"/>
      <c r="Q55" s="1680"/>
      <c r="R55" s="1680"/>
      <c r="S55" s="1412"/>
      <c r="T55" s="1412"/>
      <c r="U55" s="1026"/>
      <c r="V55" s="1026"/>
    </row>
    <row r="56" spans="2:38" x14ac:dyDescent="0.25">
      <c r="B56" s="251"/>
      <c r="C56" s="251"/>
      <c r="D56" s="251"/>
      <c r="E56" s="1410"/>
      <c r="F56" s="1410"/>
      <c r="G56" s="251"/>
      <c r="H56" s="251"/>
      <c r="I56" s="971"/>
      <c r="J56" s="970"/>
      <c r="K56" s="1650"/>
      <c r="L56" s="1412"/>
      <c r="M56" s="1412"/>
      <c r="N56" s="251"/>
      <c r="O56" s="968"/>
      <c r="P56" s="1651"/>
      <c r="Q56" s="1651"/>
      <c r="R56" s="1651"/>
      <c r="S56" s="1412"/>
      <c r="T56" s="1412"/>
      <c r="U56" s="1026"/>
      <c r="V56" s="1026"/>
      <c r="AL56" s="1409"/>
    </row>
    <row r="57" spans="2:38" x14ac:dyDescent="0.25">
      <c r="B57" s="251"/>
      <c r="C57" s="251"/>
      <c r="D57" s="251"/>
      <c r="E57" s="1410"/>
      <c r="F57" s="1410"/>
      <c r="G57" s="251"/>
      <c r="H57" s="251"/>
      <c r="I57" s="971"/>
      <c r="J57" s="970"/>
      <c r="K57" s="1650"/>
      <c r="L57" s="1412"/>
      <c r="M57" s="1412"/>
      <c r="N57" s="251"/>
      <c r="O57" s="968"/>
      <c r="P57" s="1651"/>
      <c r="Q57" s="1651"/>
      <c r="R57" s="1651"/>
      <c r="S57" s="1412"/>
      <c r="T57" s="1412"/>
      <c r="U57" s="1026"/>
      <c r="V57" s="1026"/>
    </row>
    <row r="58" spans="2:38" x14ac:dyDescent="0.25">
      <c r="B58" s="251"/>
      <c r="C58" s="251"/>
      <c r="D58" s="251"/>
      <c r="E58" s="1410"/>
      <c r="F58" s="1410"/>
      <c r="G58" s="251"/>
      <c r="H58" s="251"/>
      <c r="I58" s="971"/>
      <c r="J58" s="970"/>
      <c r="K58" s="1650"/>
      <c r="L58" s="1412"/>
      <c r="M58" s="1412"/>
      <c r="N58" s="251"/>
      <c r="O58" s="968"/>
      <c r="P58" s="1651"/>
      <c r="Q58" s="1651"/>
      <c r="R58" s="1651"/>
      <c r="S58" s="1412"/>
      <c r="T58" s="1412"/>
      <c r="U58" s="1026"/>
      <c r="V58" s="1026"/>
    </row>
    <row r="59" spans="2:38" x14ac:dyDescent="0.25">
      <c r="B59" s="251"/>
      <c r="C59" s="251"/>
      <c r="D59" s="251"/>
      <c r="E59" s="1410"/>
      <c r="F59" s="1410"/>
      <c r="G59" s="251"/>
      <c r="H59" s="251"/>
      <c r="I59" s="1412"/>
      <c r="J59" s="970"/>
      <c r="K59" s="1650"/>
      <c r="L59" s="1412"/>
      <c r="M59" s="1412"/>
      <c r="N59" s="251"/>
      <c r="O59" s="968"/>
      <c r="P59" s="1651"/>
      <c r="Q59" s="1651"/>
      <c r="R59" s="1651"/>
      <c r="S59" s="1412"/>
      <c r="T59" s="1412"/>
      <c r="U59" s="1026"/>
      <c r="V59" s="1026"/>
    </row>
    <row r="60" spans="2:38" x14ac:dyDescent="0.25">
      <c r="B60" s="251"/>
      <c r="C60" s="251"/>
      <c r="D60" s="251"/>
      <c r="E60" s="1410"/>
      <c r="F60" s="1410"/>
      <c r="G60" s="251"/>
      <c r="H60" s="251"/>
      <c r="I60" s="971"/>
      <c r="J60" s="970"/>
      <c r="K60" s="1650"/>
      <c r="L60" s="1412"/>
      <c r="M60" s="1412"/>
      <c r="N60" s="251"/>
      <c r="O60" s="968"/>
      <c r="P60" s="1651"/>
      <c r="Q60" s="1651"/>
      <c r="R60" s="1651"/>
      <c r="S60" s="1412"/>
      <c r="T60" s="1412"/>
      <c r="U60" s="1026"/>
      <c r="V60" s="1026"/>
    </row>
    <row r="61" spans="2:38" x14ac:dyDescent="0.25">
      <c r="B61" s="251"/>
      <c r="C61" s="251"/>
      <c r="D61" s="251"/>
      <c r="E61" s="1410"/>
      <c r="F61" s="1410"/>
      <c r="G61" s="251"/>
      <c r="H61" s="251"/>
      <c r="I61" s="971"/>
      <c r="J61" s="970"/>
      <c r="K61" s="1650"/>
      <c r="L61" s="1412"/>
      <c r="M61" s="1412"/>
      <c r="N61" s="251"/>
      <c r="O61" s="968"/>
      <c r="P61" s="1651"/>
      <c r="Q61" s="1651"/>
      <c r="R61" s="1651"/>
      <c r="S61" s="1412"/>
      <c r="T61" s="1412"/>
      <c r="U61" s="1026"/>
      <c r="V61" s="1026"/>
    </row>
    <row r="62" spans="2:38" x14ac:dyDescent="0.25">
      <c r="B62" s="251"/>
      <c r="C62" s="251"/>
      <c r="D62" s="251"/>
      <c r="E62" s="1410"/>
      <c r="F62" s="1674"/>
      <c r="G62" s="1676"/>
      <c r="H62" s="1676"/>
      <c r="I62" s="1673"/>
      <c r="J62" s="970"/>
      <c r="K62" s="1650"/>
      <c r="L62" s="1412"/>
      <c r="M62" s="1412"/>
      <c r="N62" s="1681"/>
      <c r="O62" s="1682"/>
      <c r="P62" s="1683"/>
      <c r="Q62" s="1651"/>
      <c r="R62" s="1651"/>
      <c r="S62" s="1412"/>
      <c r="T62" s="1412"/>
      <c r="U62" s="989"/>
      <c r="V62" s="1026"/>
    </row>
    <row r="63" spans="2:38" x14ac:dyDescent="0.25">
      <c r="B63" s="251"/>
      <c r="C63" s="251"/>
      <c r="D63" s="251"/>
      <c r="E63" s="1410"/>
      <c r="F63" s="1410"/>
      <c r="G63" s="251"/>
      <c r="H63" s="251"/>
      <c r="I63" s="971"/>
      <c r="J63" s="970"/>
      <c r="K63" s="1650"/>
      <c r="L63" s="1412"/>
      <c r="M63" s="1412"/>
      <c r="N63" s="251"/>
      <c r="O63" s="968"/>
      <c r="P63" s="1651"/>
      <c r="Q63" s="1651"/>
      <c r="R63" s="1651"/>
      <c r="S63" s="1412"/>
      <c r="T63" s="1412"/>
      <c r="U63" s="1026"/>
      <c r="V63" s="1026"/>
    </row>
    <row r="64" spans="2:38" x14ac:dyDescent="0.25">
      <c r="B64" s="251"/>
      <c r="C64" s="251"/>
      <c r="D64" s="251"/>
      <c r="E64" s="1410"/>
      <c r="F64" s="1410"/>
      <c r="G64" s="251"/>
      <c r="H64" s="251"/>
      <c r="I64" s="971"/>
      <c r="J64" s="970"/>
      <c r="K64" s="1650"/>
      <c r="L64" s="1412"/>
      <c r="M64" s="1412"/>
      <c r="N64" s="251"/>
      <c r="O64" s="968"/>
      <c r="P64" s="1651"/>
      <c r="Q64" s="1651"/>
      <c r="R64" s="1651"/>
      <c r="S64" s="1412"/>
      <c r="T64" s="1412"/>
      <c r="U64" s="1026"/>
      <c r="V64" s="1026"/>
    </row>
    <row r="65" spans="2:39" x14ac:dyDescent="0.25">
      <c r="B65" s="251"/>
      <c r="C65" s="251"/>
      <c r="D65" s="251"/>
      <c r="E65" s="1410"/>
      <c r="F65" s="1410"/>
      <c r="G65" s="251"/>
      <c r="H65" s="251"/>
      <c r="I65" s="971"/>
      <c r="J65" s="970"/>
      <c r="K65" s="1650"/>
      <c r="L65" s="1412"/>
      <c r="M65" s="1412"/>
      <c r="N65" s="251"/>
      <c r="O65" s="968"/>
      <c r="P65" s="1651"/>
      <c r="Q65" s="1651"/>
      <c r="R65" s="1651"/>
      <c r="S65" s="1412"/>
      <c r="T65" s="1412"/>
      <c r="U65" s="1026"/>
      <c r="V65" s="1026"/>
    </row>
    <row r="66" spans="2:39" x14ac:dyDescent="0.25">
      <c r="B66" s="251"/>
      <c r="C66" s="251"/>
      <c r="D66" s="251"/>
      <c r="E66" s="1410"/>
      <c r="F66" s="1410"/>
      <c r="G66" s="251"/>
      <c r="H66" s="251"/>
      <c r="I66" s="971"/>
      <c r="J66" s="970"/>
      <c r="K66" s="1650"/>
      <c r="L66" s="1412"/>
      <c r="M66" s="1412"/>
      <c r="N66" s="251"/>
      <c r="O66" s="968"/>
      <c r="P66" s="1651"/>
      <c r="Q66" s="1651"/>
      <c r="R66" s="1651"/>
      <c r="S66" s="1412"/>
      <c r="T66" s="1412"/>
      <c r="U66" s="1026"/>
      <c r="V66" s="1026"/>
    </row>
    <row r="67" spans="2:39" x14ac:dyDescent="0.25">
      <c r="B67" s="251"/>
      <c r="C67" s="251"/>
      <c r="D67" s="251"/>
      <c r="E67" s="1410"/>
      <c r="F67" s="1410"/>
      <c r="G67" s="251"/>
      <c r="H67" s="251"/>
      <c r="I67" s="971"/>
      <c r="J67" s="970"/>
      <c r="K67" s="1650"/>
      <c r="L67" s="1412"/>
      <c r="M67" s="1412"/>
      <c r="N67" s="251"/>
      <c r="O67" s="968"/>
      <c r="P67" s="1651"/>
      <c r="Q67" s="1651"/>
      <c r="R67" s="1651"/>
      <c r="S67" s="1412"/>
      <c r="T67" s="1412"/>
      <c r="U67" s="1026"/>
      <c r="V67" s="1026"/>
      <c r="AM67" s="1409"/>
    </row>
    <row r="68" spans="2:39" x14ac:dyDescent="0.25">
      <c r="B68" s="251"/>
      <c r="C68" s="251"/>
      <c r="D68" s="251"/>
      <c r="E68" s="1410"/>
      <c r="F68" s="1410"/>
      <c r="G68" s="251"/>
      <c r="H68" s="251"/>
      <c r="I68" s="971"/>
      <c r="J68" s="970"/>
      <c r="K68" s="1650"/>
      <c r="L68" s="1412"/>
      <c r="M68" s="1412"/>
      <c r="N68" s="251"/>
      <c r="O68" s="968"/>
      <c r="P68" s="1651"/>
      <c r="Q68" s="1651"/>
      <c r="R68" s="1651"/>
      <c r="S68" s="1412"/>
      <c r="T68" s="1412"/>
      <c r="U68" s="989"/>
      <c r="V68" s="989"/>
      <c r="AM68" s="1409"/>
    </row>
    <row r="69" spans="2:39" x14ac:dyDescent="0.25">
      <c r="B69" s="251"/>
      <c r="C69" s="251"/>
      <c r="D69" s="251"/>
      <c r="E69" s="1410"/>
      <c r="F69" s="1410"/>
      <c r="G69" s="251"/>
      <c r="H69" s="251"/>
      <c r="I69" s="971"/>
      <c r="J69" s="970"/>
      <c r="K69" s="1650"/>
      <c r="L69" s="1412"/>
      <c r="M69" s="1412"/>
      <c r="N69" s="251"/>
      <c r="O69" s="968"/>
      <c r="P69" s="1651"/>
      <c r="Q69" s="1651"/>
      <c r="R69" s="1651"/>
      <c r="S69" s="1412"/>
      <c r="T69" s="1412"/>
      <c r="U69" s="989"/>
      <c r="V69" s="989"/>
      <c r="AM69" s="1409"/>
    </row>
    <row r="70" spans="2:39" x14ac:dyDescent="0.25">
      <c r="B70" s="251"/>
      <c r="C70" s="251"/>
      <c r="D70" s="251"/>
      <c r="E70" s="1410"/>
      <c r="F70" s="1410"/>
      <c r="G70" s="251"/>
      <c r="H70" s="251"/>
      <c r="I70" s="971"/>
      <c r="J70" s="970"/>
      <c r="K70" s="1650"/>
      <c r="L70" s="1412"/>
      <c r="M70" s="1412"/>
      <c r="N70" s="251"/>
      <c r="O70" s="968"/>
      <c r="P70" s="1651"/>
      <c r="Q70" s="1651"/>
      <c r="R70" s="1651"/>
      <c r="S70" s="1412"/>
      <c r="T70" s="1412"/>
      <c r="U70" s="1026"/>
      <c r="V70" s="1026"/>
      <c r="AM70" s="1409"/>
    </row>
    <row r="71" spans="2:39" x14ac:dyDescent="0.25">
      <c r="B71" s="251"/>
      <c r="C71" s="251"/>
      <c r="D71" s="251"/>
      <c r="E71" s="1410"/>
      <c r="F71" s="1684"/>
      <c r="G71" s="251"/>
      <c r="H71" s="251"/>
      <c r="I71" s="1685"/>
      <c r="J71" s="970"/>
      <c r="K71" s="1650"/>
      <c r="L71" s="1412"/>
      <c r="M71" s="1412"/>
      <c r="N71" s="251"/>
      <c r="O71" s="968"/>
      <c r="P71" s="1651"/>
      <c r="Q71" s="1651"/>
      <c r="R71" s="1651"/>
      <c r="S71" s="1412"/>
      <c r="T71" s="1412"/>
      <c r="U71" s="1026"/>
      <c r="V71" s="1026"/>
    </row>
    <row r="72" spans="2:39" x14ac:dyDescent="0.25">
      <c r="B72" s="251"/>
      <c r="C72" s="251"/>
      <c r="D72" s="251"/>
      <c r="E72" s="1410"/>
      <c r="F72" s="1677"/>
      <c r="G72" s="1676"/>
      <c r="H72" s="1676"/>
      <c r="I72" s="1685"/>
      <c r="J72" s="970"/>
      <c r="K72" s="1650"/>
      <c r="L72" s="1412"/>
      <c r="M72" s="1412"/>
      <c r="N72" s="251"/>
      <c r="O72" s="968"/>
      <c r="P72" s="1651"/>
      <c r="Q72" s="1651"/>
      <c r="R72" s="1651"/>
      <c r="S72" s="1412"/>
      <c r="T72" s="1412"/>
      <c r="U72" s="989"/>
      <c r="V72" s="989"/>
    </row>
    <row r="73" spans="2:39" x14ac:dyDescent="0.25">
      <c r="B73" s="251"/>
      <c r="C73" s="251"/>
      <c r="D73" s="251"/>
      <c r="E73" s="1410"/>
      <c r="F73" s="1677"/>
      <c r="G73" s="1676"/>
      <c r="H73" s="1676"/>
      <c r="I73" s="1685"/>
      <c r="J73" s="970"/>
      <c r="K73" s="1650"/>
      <c r="L73" s="1412"/>
      <c r="M73" s="251"/>
      <c r="N73" s="1409"/>
      <c r="O73" s="1682"/>
      <c r="P73" s="1686"/>
      <c r="Q73" s="1683"/>
      <c r="R73" s="1683"/>
      <c r="S73" s="1412"/>
      <c r="T73" s="1412"/>
      <c r="U73" s="1026"/>
      <c r="V73" s="1026"/>
    </row>
    <row r="74" spans="2:39" x14ac:dyDescent="0.25">
      <c r="B74" s="251"/>
      <c r="C74" s="251"/>
      <c r="D74" s="251"/>
      <c r="E74" s="1410"/>
      <c r="F74" s="1677"/>
      <c r="G74" s="1676"/>
      <c r="H74" s="1676"/>
      <c r="I74" s="1685"/>
      <c r="J74" s="970"/>
      <c r="K74" s="1650"/>
      <c r="L74" s="1412"/>
      <c r="M74" s="251"/>
      <c r="N74" s="1409"/>
      <c r="O74" s="1682"/>
      <c r="P74" s="1686"/>
      <c r="Q74" s="1683"/>
      <c r="R74" s="1683"/>
      <c r="S74" s="1412"/>
      <c r="T74" s="1412"/>
      <c r="U74" s="1026"/>
      <c r="V74" s="1026"/>
    </row>
    <row r="75" spans="2:39" x14ac:dyDescent="0.25">
      <c r="B75" s="251"/>
      <c r="C75" s="251"/>
      <c r="D75" s="251"/>
      <c r="E75" s="1410"/>
      <c r="F75" s="1677"/>
      <c r="G75" s="1676"/>
      <c r="H75" s="1676"/>
      <c r="I75" s="1685"/>
      <c r="J75" s="970"/>
      <c r="K75" s="1650"/>
      <c r="L75" s="1412"/>
      <c r="M75" s="251"/>
      <c r="N75" s="1409"/>
      <c r="O75" s="1682"/>
      <c r="P75" s="1686"/>
      <c r="Q75" s="1683"/>
      <c r="R75" s="1683"/>
      <c r="S75" s="1412"/>
      <c r="T75" s="1412"/>
      <c r="U75" s="1026"/>
      <c r="V75" s="1026"/>
    </row>
    <row r="76" spans="2:39" x14ac:dyDescent="0.25">
      <c r="B76" s="251"/>
      <c r="C76" s="251"/>
      <c r="D76" s="251"/>
      <c r="E76" s="1410"/>
      <c r="F76" s="1677"/>
      <c r="G76" s="1676"/>
      <c r="H76" s="1676"/>
      <c r="I76" s="1685"/>
      <c r="J76" s="970"/>
      <c r="K76" s="1650"/>
      <c r="L76" s="1412"/>
      <c r="M76" s="251"/>
      <c r="N76" s="1409"/>
      <c r="O76" s="1682"/>
      <c r="P76" s="1686"/>
      <c r="Q76" s="1683"/>
      <c r="R76" s="1683"/>
      <c r="S76" s="1412"/>
      <c r="T76" s="1412"/>
      <c r="U76" s="1026"/>
      <c r="V76" s="1026"/>
    </row>
    <row r="77" spans="2:39" x14ac:dyDescent="0.25">
      <c r="B77" s="251"/>
      <c r="C77" s="251"/>
      <c r="D77" s="251"/>
      <c r="E77" s="1410"/>
      <c r="F77" s="1677"/>
      <c r="G77" s="1676"/>
      <c r="H77" s="1676"/>
      <c r="I77" s="1685"/>
      <c r="J77" s="970"/>
      <c r="K77" s="1650"/>
      <c r="L77" s="1412"/>
      <c r="M77" s="251"/>
      <c r="N77" s="1409"/>
      <c r="O77" s="1682"/>
      <c r="P77" s="1686"/>
      <c r="Q77" s="1683"/>
      <c r="R77" s="1683"/>
      <c r="S77" s="1412"/>
      <c r="T77" s="1412"/>
      <c r="U77" s="1026"/>
      <c r="V77" s="1026"/>
    </row>
    <row r="78" spans="2:39" x14ac:dyDescent="0.25">
      <c r="B78" s="251"/>
      <c r="C78" s="251"/>
      <c r="D78" s="251"/>
      <c r="E78" s="1410"/>
      <c r="F78" s="1677"/>
      <c r="G78" s="1676"/>
      <c r="H78" s="1676"/>
      <c r="I78" s="1687"/>
      <c r="J78" s="970"/>
      <c r="K78" s="1650"/>
      <c r="L78" s="1412"/>
      <c r="M78" s="251"/>
      <c r="N78" s="1409"/>
      <c r="O78" s="1682"/>
      <c r="P78" s="1686"/>
      <c r="Q78" s="1683"/>
      <c r="R78" s="1683"/>
      <c r="S78" s="1412"/>
      <c r="T78" s="1412"/>
      <c r="U78" s="1026"/>
      <c r="V78" s="1026"/>
    </row>
    <row r="79" spans="2:39" x14ac:dyDescent="0.25">
      <c r="B79" s="251"/>
      <c r="C79" s="251"/>
      <c r="D79" s="251"/>
      <c r="E79" s="1410"/>
      <c r="F79" s="1677"/>
      <c r="G79" s="1676"/>
      <c r="H79" s="1676"/>
      <c r="I79" s="1687"/>
      <c r="J79" s="970"/>
      <c r="K79" s="1650"/>
      <c r="L79" s="1412"/>
      <c r="M79" s="251"/>
      <c r="N79" s="1409"/>
      <c r="O79" s="1682"/>
      <c r="P79" s="1686"/>
      <c r="Q79" s="1683"/>
      <c r="R79" s="1683"/>
      <c r="S79" s="1412"/>
      <c r="T79" s="1412"/>
      <c r="U79" s="1026"/>
      <c r="V79" s="1026"/>
    </row>
    <row r="80" spans="2:39" x14ac:dyDescent="0.25">
      <c r="B80" s="251"/>
      <c r="C80" s="251"/>
      <c r="D80" s="251"/>
      <c r="E80" s="1410"/>
      <c r="F80" s="1677"/>
      <c r="G80" s="1676"/>
      <c r="H80" s="1676"/>
      <c r="I80" s="1687"/>
      <c r="J80" s="970"/>
      <c r="K80" s="1650"/>
      <c r="L80" s="1412"/>
      <c r="M80" s="251"/>
      <c r="N80" s="1409"/>
      <c r="O80" s="1682"/>
      <c r="P80" s="1686"/>
      <c r="Q80" s="1683"/>
      <c r="R80" s="1683"/>
      <c r="S80" s="1412"/>
      <c r="T80" s="1412"/>
      <c r="U80" s="1026"/>
      <c r="V80" s="1026"/>
    </row>
    <row r="81" spans="2:39" x14ac:dyDescent="0.25">
      <c r="B81" s="251"/>
      <c r="C81" s="251"/>
      <c r="D81" s="251"/>
      <c r="E81" s="1410"/>
      <c r="F81" s="1677"/>
      <c r="G81" s="1676"/>
      <c r="H81" s="1676"/>
      <c r="I81" s="1687"/>
      <c r="J81" s="970"/>
      <c r="K81" s="1650"/>
      <c r="L81" s="1412"/>
      <c r="M81" s="251"/>
      <c r="N81" s="1409"/>
      <c r="O81" s="1682"/>
      <c r="P81" s="1686"/>
      <c r="Q81" s="1683"/>
      <c r="R81" s="1683"/>
      <c r="S81" s="1412"/>
      <c r="T81" s="1412"/>
      <c r="U81" s="1026"/>
      <c r="V81" s="1026"/>
    </row>
    <row r="82" spans="2:39" x14ac:dyDescent="0.25">
      <c r="B82" s="251"/>
      <c r="C82" s="978"/>
      <c r="D82" s="978"/>
      <c r="E82" s="1688"/>
      <c r="F82" s="1410"/>
      <c r="G82" s="251"/>
      <c r="H82" s="251"/>
      <c r="I82" s="971"/>
      <c r="J82" s="970"/>
      <c r="K82" s="1650"/>
      <c r="L82" s="1412"/>
      <c r="M82" s="1412"/>
      <c r="N82" s="251"/>
      <c r="O82" s="968"/>
      <c r="P82" s="1651"/>
      <c r="Q82" s="1651"/>
      <c r="R82" s="1651"/>
      <c r="S82" s="1412"/>
      <c r="T82" s="1412"/>
      <c r="U82" s="989"/>
      <c r="V82" s="989"/>
      <c r="AL82" s="1409"/>
    </row>
    <row r="83" spans="2:39" x14ac:dyDescent="0.25">
      <c r="B83" s="251"/>
      <c r="C83" s="978"/>
      <c r="D83" s="978"/>
      <c r="E83" s="1688"/>
      <c r="F83" s="1410"/>
      <c r="G83" s="251"/>
      <c r="H83" s="251"/>
      <c r="I83" s="971"/>
      <c r="J83" s="970"/>
      <c r="K83" s="1650"/>
      <c r="L83" s="1412"/>
      <c r="M83" s="1412"/>
      <c r="N83" s="251"/>
      <c r="O83" s="968"/>
      <c r="P83" s="1651"/>
      <c r="Q83" s="1651"/>
      <c r="R83" s="1651"/>
      <c r="S83" s="1412"/>
      <c r="T83" s="1412"/>
      <c r="U83" s="1026"/>
      <c r="V83" s="1026"/>
      <c r="AL83" s="1409"/>
    </row>
    <row r="84" spans="2:39" x14ac:dyDescent="0.25">
      <c r="B84" s="251"/>
      <c r="W84" s="1407"/>
      <c r="X84" s="251"/>
      <c r="Y84" s="1611"/>
      <c r="Z84" s="251"/>
      <c r="AA84" s="251"/>
      <c r="AB84" s="251"/>
      <c r="AC84" s="251"/>
      <c r="AD84" s="251"/>
      <c r="AE84" s="1409"/>
      <c r="AF84" s="1409"/>
    </row>
    <row r="85" spans="2:39" x14ac:dyDescent="0.25">
      <c r="B85" s="251"/>
      <c r="C85" s="251"/>
      <c r="D85" s="1410"/>
      <c r="E85" s="1410"/>
      <c r="F85" s="251"/>
      <c r="G85" s="251"/>
      <c r="H85" s="971"/>
      <c r="W85" s="1407"/>
      <c r="X85" s="251"/>
      <c r="Y85" s="1611"/>
      <c r="Z85" s="251"/>
      <c r="AA85" s="251"/>
      <c r="AB85" s="251"/>
      <c r="AC85" s="251"/>
      <c r="AD85" s="251"/>
      <c r="AE85" s="1409"/>
      <c r="AF85" s="1409"/>
      <c r="AL85" s="1691">
        <f>SUM(AL4:AL84)</f>
        <v>0</v>
      </c>
      <c r="AM85" s="1691">
        <f>SUM(AM4:AM84)</f>
        <v>0</v>
      </c>
    </row>
    <row r="86" spans="2:39" x14ac:dyDescent="0.25">
      <c r="B86" s="251"/>
      <c r="C86" s="251"/>
      <c r="D86" s="1410"/>
      <c r="E86" s="1410"/>
      <c r="F86" s="251"/>
      <c r="G86" s="251"/>
      <c r="H86" s="971"/>
      <c r="W86" s="1407"/>
      <c r="X86" s="251"/>
      <c r="Y86" s="1611"/>
      <c r="Z86" s="251"/>
      <c r="AA86" s="251"/>
      <c r="AB86" s="251"/>
      <c r="AC86" s="251"/>
      <c r="AD86" s="251"/>
      <c r="AE86" s="1409"/>
      <c r="AF86" s="1409"/>
    </row>
    <row r="87" spans="2:39" x14ac:dyDescent="0.25">
      <c r="B87" s="251"/>
      <c r="C87" s="251"/>
      <c r="D87" s="1410"/>
      <c r="E87" s="1410"/>
      <c r="F87" s="251"/>
      <c r="G87" s="251"/>
      <c r="H87" s="1412"/>
      <c r="AD87" s="1690"/>
    </row>
    <row r="88" spans="2:39" x14ac:dyDescent="0.25">
      <c r="AD88" s="1690"/>
    </row>
    <row r="89" spans="2:39" x14ac:dyDescent="0.25">
      <c r="AD89" s="1690"/>
    </row>
    <row r="90" spans="2:39" x14ac:dyDescent="0.25">
      <c r="AD90" s="1690"/>
    </row>
    <row r="91" spans="2:39" x14ac:dyDescent="0.25">
      <c r="AD91" s="1690"/>
    </row>
    <row r="92" spans="2:39" x14ac:dyDescent="0.25">
      <c r="AD92" s="1690"/>
    </row>
    <row r="93" spans="2:39" x14ac:dyDescent="0.25">
      <c r="AD93" s="1690"/>
    </row>
    <row r="94" spans="2:39" x14ac:dyDescent="0.25">
      <c r="AD94" s="1690"/>
    </row>
  </sheetData>
  <autoFilter ref="A3:AU3" xr:uid="{2D21EAB2-43E6-42B9-A407-B2C8AFB2C8D5}"/>
  <mergeCells count="6">
    <mergeCell ref="Z1:AK1"/>
    <mergeCell ref="AL1:AR1"/>
    <mergeCell ref="Z2:AC2"/>
    <mergeCell ref="AD2:AG2"/>
    <mergeCell ref="AH2:AK2"/>
    <mergeCell ref="AL2:AM2"/>
  </mergeCells>
  <pageMargins left="0.7" right="0.7" top="0.75" bottom="0.75" header="0.3" footer="0.3"/>
  <pageSetup paperSize="9" orientation="portrait" r:id="rId1"/>
  <headerFooter>
    <oddFooter>&amp;L_x000D_&amp;1#&amp;"Calibri"&amp;10&amp;K000000 Confidential: Information that needs to be handled with care to avoid loss, damage or inappropriate access. Information which incorrectly disseminated could cause some distress to a limited number of individuals.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627341-2F81-4F97-BB06-29173139B23E}">
  <sheetPr filterMode="1">
    <tabColor rgb="FFFF0000"/>
  </sheetPr>
  <dimension ref="A1:DJ157"/>
  <sheetViews>
    <sheetView zoomScale="86" zoomScaleNormal="86" workbookViewId="0">
      <pane xSplit="8" ySplit="1" topLeftCell="L72" activePane="bottomRight" state="frozen"/>
      <selection pane="topRight" activeCell="I1" sqref="I1"/>
      <selection pane="bottomLeft" activeCell="A5" sqref="A5"/>
      <selection pane="bottomRight" activeCell="N73" sqref="N73"/>
    </sheetView>
  </sheetViews>
  <sheetFormatPr defaultColWidth="8.85546875" defaultRowHeight="15" x14ac:dyDescent="0.25"/>
  <cols>
    <col min="1" max="1" width="6.140625" style="1490" customWidth="1"/>
    <col min="2" max="2" width="14.85546875" style="1490" customWidth="1"/>
    <col min="3" max="3" width="12.5703125" style="1490" customWidth="1"/>
    <col min="4" max="4" width="42.85546875" style="1490" customWidth="1"/>
    <col min="5" max="5" width="9.85546875" style="1496" customWidth="1"/>
    <col min="6" max="6" width="8.85546875" style="1490"/>
    <col min="7" max="7" width="11.140625" style="1490" customWidth="1"/>
    <col min="8" max="8" width="17.85546875" style="1490" customWidth="1"/>
    <col min="9" max="9" width="10.85546875" style="1490" bestFit="1" customWidth="1"/>
    <col min="10" max="10" width="8.85546875" style="1975"/>
    <col min="11" max="11" width="8.85546875" style="1490"/>
    <col min="12" max="12" width="6.85546875" style="1490" customWidth="1"/>
    <col min="13" max="13" width="10.140625" style="1490" bestFit="1" customWidth="1"/>
    <col min="14" max="15" width="12.140625" style="1490" customWidth="1"/>
    <col min="16" max="16" width="26.140625" style="1490" customWidth="1"/>
    <col min="17" max="18" width="12.140625" style="1490" customWidth="1"/>
    <col min="19" max="20" width="10.42578125" style="1490" customWidth="1"/>
    <col min="21" max="21" width="13.140625" style="1690" customWidth="1"/>
    <col min="22" max="22" width="7.85546875" style="1976" customWidth="1"/>
    <col min="23" max="23" width="9.85546875" style="1976" customWidth="1"/>
    <col min="24" max="24" width="7.5703125" style="1977" customWidth="1"/>
    <col min="25" max="25" width="6.42578125" style="1976" customWidth="1"/>
    <col min="26" max="26" width="7.42578125" style="1976" customWidth="1"/>
    <col min="27" max="27" width="13.140625" style="1496" customWidth="1"/>
    <col min="28" max="28" width="11.85546875" style="1490" customWidth="1"/>
    <col min="29" max="29" width="13.85546875" style="1490" customWidth="1"/>
    <col min="30" max="30" width="5.5703125" style="1490" customWidth="1"/>
    <col min="31" max="31" width="12" style="1490" customWidth="1"/>
    <col min="32" max="32" width="6.140625" style="1490" customWidth="1"/>
    <col min="33" max="33" width="17.140625" style="1652" customWidth="1"/>
    <col min="34" max="34" width="27.140625" style="1652" customWidth="1"/>
    <col min="35" max="35" width="20.42578125" style="1652" customWidth="1"/>
    <col min="36" max="36" width="12.140625" style="1652" customWidth="1"/>
    <col min="37" max="37" width="17.140625" style="1652" customWidth="1"/>
    <col min="38" max="38" width="14.140625" style="1652" customWidth="1"/>
    <col min="39" max="39" width="8.85546875" style="1652" customWidth="1"/>
    <col min="40" max="40" width="12.85546875" style="1490" customWidth="1"/>
    <col min="41" max="41" width="12.85546875" style="1652" customWidth="1"/>
    <col min="42" max="42" width="11" style="1490" customWidth="1"/>
    <col min="43" max="43" width="9.140625" style="1490" customWidth="1"/>
    <col min="44" max="45" width="15" style="1490" customWidth="1"/>
    <col min="46" max="46" width="11.140625" style="1490" customWidth="1"/>
    <col min="47" max="47" width="9.85546875" style="1490" customWidth="1"/>
    <col min="48" max="48" width="15" style="1490" customWidth="1"/>
    <col min="49" max="49" width="13.5703125" style="1490" customWidth="1"/>
    <col min="50" max="50" width="13.140625" style="1490" customWidth="1"/>
    <col min="51" max="51" width="13.85546875" style="1490" customWidth="1"/>
    <col min="52" max="52" width="14" style="1652" customWidth="1"/>
    <col min="53" max="53" width="13.5703125" style="1652" customWidth="1"/>
    <col min="54" max="54" width="18.85546875" style="1490" customWidth="1"/>
    <col min="55" max="55" width="10.140625" style="1490" customWidth="1"/>
    <col min="56" max="56" width="9.42578125" style="1490" customWidth="1"/>
    <col min="57" max="57" width="10.42578125" style="1490" customWidth="1"/>
    <col min="58" max="58" width="6.85546875" style="1490" customWidth="1"/>
    <col min="59" max="59" width="6.140625" style="1490" customWidth="1"/>
    <col min="60" max="60" width="13.140625" style="1490" customWidth="1"/>
    <col min="61" max="61" width="13.140625" style="1807" customWidth="1"/>
    <col min="62" max="63" width="13.140625" style="1490" customWidth="1"/>
    <col min="64" max="64" width="13.85546875" style="1490" customWidth="1"/>
    <col min="65" max="69" width="18.85546875" style="1490" customWidth="1"/>
    <col min="70" max="70" width="12.5703125" style="1490" customWidth="1"/>
    <col min="71" max="71" width="7.85546875" style="1490" customWidth="1"/>
    <col min="72" max="72" width="16.85546875" style="1490" customWidth="1"/>
    <col min="73" max="73" width="15.140625" style="1490" customWidth="1"/>
    <col min="74" max="74" width="1.85546875" style="1490" customWidth="1"/>
    <col min="75" max="75" width="17.140625" style="1794" customWidth="1"/>
    <col min="76" max="76" width="11.85546875" style="1794" customWidth="1"/>
    <col min="77" max="77" width="1.85546875" style="1490" customWidth="1"/>
    <col min="78" max="78" width="19.85546875" style="1490" customWidth="1"/>
    <col min="79" max="79" width="1.85546875" style="1490" customWidth="1"/>
    <col min="80" max="80" width="20.85546875" style="1490" customWidth="1"/>
    <col min="81" max="81" width="1.85546875" style="1490" customWidth="1"/>
    <col min="82" max="82" width="19.85546875" style="1490" customWidth="1"/>
    <col min="83" max="83" width="1.85546875" style="1490" customWidth="1"/>
    <col min="84" max="84" width="2.85546875" style="1490" customWidth="1"/>
    <col min="85" max="85" width="28.42578125" style="1490" customWidth="1"/>
    <col min="86" max="86" width="17.85546875" style="1490" customWidth="1"/>
    <col min="87" max="87" width="8.140625" style="1490" customWidth="1"/>
    <col min="88" max="88" width="17.5703125" style="1490" customWidth="1"/>
    <col min="89" max="89" width="20.140625" style="1490" customWidth="1"/>
    <col min="90" max="90" width="17.140625" style="1490" customWidth="1"/>
    <col min="91" max="91" width="16" style="1490" customWidth="1"/>
    <col min="92" max="93" width="15" style="1490" customWidth="1"/>
    <col min="94" max="94" width="18.85546875" style="1490" customWidth="1"/>
    <col min="95" max="95" width="9.140625" style="1490" customWidth="1"/>
    <col min="96" max="96" width="14.85546875" style="1490" customWidth="1"/>
    <col min="97" max="97" width="18.140625" style="1490" customWidth="1"/>
    <col min="98" max="98" width="12.85546875" style="1490" customWidth="1"/>
    <col min="99" max="99" width="15.85546875" style="1490" customWidth="1"/>
    <col min="100" max="100" width="16" style="1490" customWidth="1"/>
    <col min="101" max="101" width="14" style="1490" customWidth="1"/>
    <col min="102" max="102" width="12.140625" style="1496" bestFit="1" customWidth="1"/>
    <col min="103" max="103" width="14.85546875" style="1496" customWidth="1"/>
    <col min="104" max="104" width="12.140625" style="1496" customWidth="1"/>
    <col min="105" max="105" width="8.85546875" style="1490"/>
    <col min="106" max="106" width="14.140625" style="1798" customWidth="1"/>
    <col min="107" max="107" width="16" style="1490" customWidth="1"/>
    <col min="108" max="108" width="16.42578125" style="1490" customWidth="1"/>
    <col min="109" max="109" width="11.140625" style="1496" bestFit="1" customWidth="1"/>
    <col min="110" max="110" width="13.85546875" style="1490" bestFit="1" customWidth="1"/>
    <col min="111" max="111" width="8.85546875" style="1490"/>
    <col min="112" max="112" width="13.85546875" style="1490" bestFit="1" customWidth="1"/>
    <col min="113" max="113" width="12.85546875" style="1490" customWidth="1"/>
    <col min="114" max="16384" width="8.85546875" style="1490"/>
  </cols>
  <sheetData>
    <row r="1" spans="1:113" s="251" customFormat="1" ht="51.75" thickBot="1" x14ac:dyDescent="0.25">
      <c r="A1" s="990" t="s">
        <v>2704</v>
      </c>
      <c r="B1" s="991" t="s">
        <v>2705</v>
      </c>
      <c r="C1" s="992" t="s">
        <v>2706</v>
      </c>
      <c r="D1" s="991" t="s">
        <v>2707</v>
      </c>
      <c r="E1" s="998" t="s">
        <v>2708</v>
      </c>
      <c r="F1" s="992" t="s">
        <v>2709</v>
      </c>
      <c r="G1" s="991" t="s">
        <v>11</v>
      </c>
      <c r="H1" s="991" t="s">
        <v>2140</v>
      </c>
      <c r="I1" s="991" t="s">
        <v>13</v>
      </c>
      <c r="J1" s="1692" t="s">
        <v>2710</v>
      </c>
      <c r="K1" s="991" t="s">
        <v>2711</v>
      </c>
      <c r="L1" s="992" t="s">
        <v>2712</v>
      </c>
      <c r="M1" s="992" t="s">
        <v>2713</v>
      </c>
      <c r="N1" s="992" t="s">
        <v>2714</v>
      </c>
      <c r="O1" s="992" t="s">
        <v>3077</v>
      </c>
      <c r="P1" s="992" t="s">
        <v>2716</v>
      </c>
      <c r="Q1" s="1693" t="s">
        <v>3240</v>
      </c>
      <c r="R1" s="1693" t="s">
        <v>3241</v>
      </c>
      <c r="S1" s="992" t="s">
        <v>2719</v>
      </c>
      <c r="T1" s="992" t="s">
        <v>19</v>
      </c>
      <c r="U1" s="996" t="s">
        <v>2721</v>
      </c>
      <c r="V1" s="995" t="s">
        <v>21</v>
      </c>
      <c r="W1" s="995" t="s">
        <v>2723</v>
      </c>
      <c r="X1" s="997" t="s">
        <v>2724</v>
      </c>
      <c r="Y1" s="995" t="s">
        <v>29</v>
      </c>
      <c r="Z1" s="995" t="s">
        <v>3078</v>
      </c>
      <c r="AA1" s="998" t="s">
        <v>2726</v>
      </c>
      <c r="AB1" s="991" t="s">
        <v>2727</v>
      </c>
      <c r="AC1" s="991" t="s">
        <v>2728</v>
      </c>
      <c r="AD1" s="992" t="s">
        <v>2729</v>
      </c>
      <c r="AE1" s="1000" t="s">
        <v>3079</v>
      </c>
      <c r="AF1" s="1000" t="s">
        <v>3242</v>
      </c>
      <c r="AG1" s="1694" t="s">
        <v>3172</v>
      </c>
      <c r="AH1" s="1003" t="s">
        <v>2549</v>
      </c>
      <c r="AI1" s="1695" t="s">
        <v>3243</v>
      </c>
      <c r="AJ1" s="1003" t="s">
        <v>3244</v>
      </c>
      <c r="AK1" s="1003" t="s">
        <v>3245</v>
      </c>
      <c r="AL1" s="1003" t="s">
        <v>3246</v>
      </c>
      <c r="AM1" s="1003" t="s">
        <v>3247</v>
      </c>
      <c r="AN1" s="1006" t="s">
        <v>2738</v>
      </c>
      <c r="AO1" s="1007" t="s">
        <v>2739</v>
      </c>
      <c r="AP1" s="1008" t="s">
        <v>2740</v>
      </c>
      <c r="AQ1" s="1008" t="s">
        <v>2741</v>
      </c>
      <c r="AR1" s="1008" t="s">
        <v>2738</v>
      </c>
      <c r="AS1" s="1008" t="s">
        <v>2739</v>
      </c>
      <c r="AT1" s="1008" t="s">
        <v>2740</v>
      </c>
      <c r="AU1" s="1008" t="s">
        <v>2741</v>
      </c>
      <c r="AV1" s="1008" t="s">
        <v>2738</v>
      </c>
      <c r="AW1" s="1008" t="s">
        <v>2739</v>
      </c>
      <c r="AX1" s="1008" t="s">
        <v>2740</v>
      </c>
      <c r="AY1" s="1009" t="s">
        <v>2741</v>
      </c>
      <c r="AZ1" s="1010" t="s">
        <v>2742</v>
      </c>
      <c r="BA1" s="1011" t="s">
        <v>2743</v>
      </c>
      <c r="BB1" s="1012" t="s">
        <v>2738</v>
      </c>
      <c r="BC1" s="1012" t="s">
        <v>2739</v>
      </c>
      <c r="BD1" s="1013" t="s">
        <v>2744</v>
      </c>
      <c r="BE1" s="1013" t="s">
        <v>2682</v>
      </c>
      <c r="BF1" s="1013" t="s">
        <v>2745</v>
      </c>
      <c r="BG1" s="1014">
        <v>43009</v>
      </c>
      <c r="BH1" s="1696" t="s">
        <v>3248</v>
      </c>
      <c r="BI1" s="1697" t="s">
        <v>3249</v>
      </c>
      <c r="BJ1" s="985">
        <v>43009</v>
      </c>
      <c r="BK1" s="985" t="s">
        <v>3250</v>
      </c>
      <c r="BL1" s="985" t="s">
        <v>3251</v>
      </c>
      <c r="BM1" s="1617">
        <v>43009</v>
      </c>
      <c r="BN1" s="1617" t="s">
        <v>3252</v>
      </c>
      <c r="BO1" s="1698" t="s">
        <v>3253</v>
      </c>
      <c r="BP1" s="1698" t="s">
        <v>3254</v>
      </c>
      <c r="BQ1" s="1443" t="s">
        <v>3255</v>
      </c>
      <c r="BR1" s="1699" t="s">
        <v>2750</v>
      </c>
      <c r="BS1" s="1699" t="s">
        <v>2751</v>
      </c>
      <c r="BT1" s="1699" t="s">
        <v>2752</v>
      </c>
      <c r="BU1" s="1699" t="s">
        <v>3256</v>
      </c>
      <c r="BV1" s="251" t="s">
        <v>2603</v>
      </c>
      <c r="BW1" s="1022" t="s">
        <v>2753</v>
      </c>
      <c r="BX1" s="1023" t="s">
        <v>2754</v>
      </c>
      <c r="BY1" s="251" t="s">
        <v>2603</v>
      </c>
      <c r="BZ1" s="1025" t="s">
        <v>3090</v>
      </c>
      <c r="CA1" s="251" t="s">
        <v>2603</v>
      </c>
      <c r="CB1" s="1024" t="s">
        <v>3090</v>
      </c>
      <c r="CC1" s="251" t="s">
        <v>2603</v>
      </c>
      <c r="CD1" s="1700" t="s">
        <v>3257</v>
      </c>
      <c r="CE1" s="251" t="s">
        <v>2603</v>
      </c>
      <c r="CF1" s="251" t="s">
        <v>2603</v>
      </c>
      <c r="CG1" s="1701" t="s">
        <v>3258</v>
      </c>
      <c r="CH1" s="1443" t="s">
        <v>3259</v>
      </c>
      <c r="CI1" s="1026" t="s">
        <v>3260</v>
      </c>
      <c r="CK1" s="480" t="s">
        <v>3261</v>
      </c>
      <c r="CL1" s="480" t="s">
        <v>3262</v>
      </c>
      <c r="CM1" s="1622" t="s">
        <v>2989</v>
      </c>
      <c r="CN1" s="1701" t="s">
        <v>3263</v>
      </c>
      <c r="CO1" s="1443" t="s">
        <v>3264</v>
      </c>
      <c r="CP1" s="480" t="s">
        <v>3265</v>
      </c>
      <c r="CQ1" s="1622" t="s">
        <v>2989</v>
      </c>
      <c r="CR1" s="1701" t="s">
        <v>3266</v>
      </c>
      <c r="CS1" s="1443" t="s">
        <v>3267</v>
      </c>
      <c r="CT1" s="1037" t="s">
        <v>3268</v>
      </c>
      <c r="CU1" s="1622" t="s">
        <v>2989</v>
      </c>
      <c r="CV1" s="1443" t="s">
        <v>3269</v>
      </c>
      <c r="CW1" s="1443" t="s">
        <v>3270</v>
      </c>
      <c r="CX1" s="1033" t="s">
        <v>3271</v>
      </c>
      <c r="CY1" s="1702" t="s">
        <v>3272</v>
      </c>
      <c r="CZ1" s="1702" t="s">
        <v>3273</v>
      </c>
      <c r="DB1" s="1703" t="s">
        <v>2781</v>
      </c>
      <c r="DC1" s="1702" t="s">
        <v>3274</v>
      </c>
      <c r="DD1" s="1702" t="s">
        <v>3275</v>
      </c>
      <c r="DE1" s="1033" t="s">
        <v>2783</v>
      </c>
      <c r="DF1" s="1702" t="s">
        <v>3276</v>
      </c>
      <c r="DG1" s="1702" t="s">
        <v>3277</v>
      </c>
      <c r="DH1" s="1033" t="s">
        <v>2785</v>
      </c>
      <c r="DI1" s="1702" t="s">
        <v>3278</v>
      </c>
    </row>
    <row r="2" spans="1:113" s="1729" customFormat="1" hidden="1" x14ac:dyDescent="0.25">
      <c r="A2" s="1704">
        <v>0</v>
      </c>
      <c r="B2" s="1705" t="s">
        <v>3279</v>
      </c>
      <c r="C2" s="1704" t="s">
        <v>3280</v>
      </c>
      <c r="D2" s="1705" t="s">
        <v>3281</v>
      </c>
      <c r="E2" s="1706" t="s">
        <v>1876</v>
      </c>
      <c r="F2" s="1707">
        <v>401515</v>
      </c>
      <c r="G2" s="1708" t="s">
        <v>3282</v>
      </c>
      <c r="H2" s="1708" t="s">
        <v>1159</v>
      </c>
      <c r="I2" s="1709">
        <v>39050</v>
      </c>
      <c r="J2" s="1710">
        <v>12</v>
      </c>
      <c r="K2" s="1711">
        <f t="shared" ref="K2:K3" ca="1" si="0">(TODAY()-I2)/365.25</f>
        <v>18.814510609171801</v>
      </c>
      <c r="L2" s="1704" t="s">
        <v>270</v>
      </c>
      <c r="M2" s="1704" t="s">
        <v>1316</v>
      </c>
      <c r="N2" s="1704"/>
      <c r="O2" s="1704">
        <v>16674</v>
      </c>
      <c r="P2" s="1704"/>
      <c r="Q2" s="1712">
        <v>16674</v>
      </c>
      <c r="R2" s="1712">
        <f>Q2</f>
        <v>16674</v>
      </c>
      <c r="S2" s="1713">
        <v>45017</v>
      </c>
      <c r="T2" s="1714">
        <v>1</v>
      </c>
      <c r="U2" s="1715">
        <v>45138</v>
      </c>
      <c r="V2" s="1716">
        <v>63</v>
      </c>
      <c r="W2" s="1716">
        <f>V2-T2-1</f>
        <v>61</v>
      </c>
      <c r="X2" s="1717">
        <f>W2/192</f>
        <v>0.31770833333333331</v>
      </c>
      <c r="Y2" s="1714"/>
      <c r="Z2" s="1714"/>
      <c r="AA2" s="1706"/>
      <c r="AB2" s="1704" t="s">
        <v>2797</v>
      </c>
      <c r="AC2" s="1704" t="s">
        <v>2797</v>
      </c>
      <c r="AD2" s="1704"/>
      <c r="AE2" s="1718"/>
      <c r="AF2" s="1718"/>
      <c r="AG2" s="1719">
        <f>Q2+R2/3*2.5</f>
        <v>30569</v>
      </c>
      <c r="AH2" s="1720"/>
      <c r="AI2" s="1721">
        <f>Q2</f>
        <v>16674</v>
      </c>
      <c r="AJ2" s="1720"/>
      <c r="AK2" s="1722" t="str">
        <f>IF(AI2&lt;15000,"yes","no")</f>
        <v>no</v>
      </c>
      <c r="AL2" s="1722" t="str">
        <f>IF(AND(AI2&lt;=20000,AI2&gt;=15001),"yes","no")</f>
        <v>yes</v>
      </c>
      <c r="AM2" s="1722" t="str">
        <f>IF(AI2&gt;20001,"yes","no")</f>
        <v>no</v>
      </c>
      <c r="AN2" s="1723"/>
      <c r="AO2" s="1724"/>
      <c r="AP2" s="1725"/>
      <c r="AQ2" s="1725"/>
      <c r="AR2" s="1725"/>
      <c r="AS2" s="1725"/>
      <c r="AT2" s="1725"/>
      <c r="AU2" s="1725"/>
      <c r="AV2" s="1725"/>
      <c r="AW2" s="1725"/>
      <c r="AX2" s="1725"/>
      <c r="AY2" s="1726"/>
      <c r="AZ2" s="1727"/>
      <c r="BA2" s="1724"/>
      <c r="BB2" s="1725"/>
      <c r="BC2" s="1725"/>
      <c r="BD2" s="1726"/>
      <c r="BE2" s="1726"/>
      <c r="BF2" s="1726"/>
      <c r="BG2" s="1728"/>
      <c r="BI2" s="1730"/>
      <c r="BJ2" s="1731">
        <f>AG2</f>
        <v>30569</v>
      </c>
      <c r="BK2" s="1732"/>
      <c r="BL2" s="1732"/>
      <c r="BM2" s="1733">
        <f t="shared" ref="BM2:BM3" si="1">BJ2-BL2</f>
        <v>30569</v>
      </c>
      <c r="BN2" s="1734"/>
      <c r="BO2" s="1735">
        <f>BZ2</f>
        <v>0</v>
      </c>
      <c r="BP2" s="1735">
        <v>0</v>
      </c>
      <c r="BQ2" s="1736">
        <f>BN2+BP2</f>
        <v>0</v>
      </c>
      <c r="BR2" s="1737"/>
      <c r="BS2" s="1738"/>
      <c r="BT2" s="1738"/>
      <c r="BU2" s="1737"/>
      <c r="BW2" s="1739">
        <v>16674</v>
      </c>
      <c r="BX2" s="1740">
        <v>44985</v>
      </c>
      <c r="CB2" s="1741"/>
      <c r="CD2" s="1741">
        <f>BJ2</f>
        <v>30569</v>
      </c>
      <c r="CF2" s="1741">
        <f t="shared" ref="CF2:CF13" si="2">BQ2+CB2+CD2</f>
        <v>30569</v>
      </c>
      <c r="CG2" s="1242">
        <f>CF2</f>
        <v>30569</v>
      </c>
      <c r="CH2" s="1742">
        <f t="shared" ref="CH2:CH13" si="3">CG2-BQ2</f>
        <v>30569</v>
      </c>
      <c r="CI2" s="1729" t="s">
        <v>3283</v>
      </c>
      <c r="CN2" s="1743">
        <f t="shared" ref="CN2:CN65" si="4">CG2+CL2+CM2</f>
        <v>30569</v>
      </c>
      <c r="CO2" s="1743">
        <f t="shared" ref="CO2:CO46" si="5">CN2-CG2</f>
        <v>0</v>
      </c>
      <c r="CR2" s="1744">
        <f t="shared" ref="CR2:CR31" si="6">CN2+CP2+CQ2</f>
        <v>30569</v>
      </c>
      <c r="CS2" s="1743">
        <f t="shared" ref="CS2:CS70" si="7">CR2-CN2</f>
        <v>0</v>
      </c>
      <c r="CV2" s="1741">
        <f>CR2+CT2+CU2</f>
        <v>30569</v>
      </c>
      <c r="CW2" s="1741">
        <f>SUM(CV2)-CR2</f>
        <v>0</v>
      </c>
      <c r="CX2" s="1745">
        <v>0</v>
      </c>
      <c r="CY2" s="1745">
        <f>CV2+CX2</f>
        <v>30569</v>
      </c>
      <c r="CZ2" s="1497">
        <f t="shared" ref="CZ2:CZ68" si="8">CY2-CV2</f>
        <v>0</v>
      </c>
      <c r="DA2" s="1729" t="s">
        <v>3284</v>
      </c>
      <c r="DB2" s="1746">
        <v>0</v>
      </c>
      <c r="DC2" s="1745">
        <f>CY2+DB2</f>
        <v>30569</v>
      </c>
      <c r="DD2" s="1745">
        <f>DC2-CY2</f>
        <v>0</v>
      </c>
      <c r="DE2" s="1747"/>
      <c r="DF2" s="1747">
        <f>DC2+DE2</f>
        <v>30569</v>
      </c>
      <c r="DG2" s="978"/>
      <c r="DH2" s="978"/>
      <c r="DI2" s="1747">
        <f>DH2+DF2</f>
        <v>30569</v>
      </c>
    </row>
    <row r="3" spans="1:113" s="978" customFormat="1" x14ac:dyDescent="0.25">
      <c r="A3" s="1748">
        <v>1</v>
      </c>
      <c r="B3" s="1135" t="s">
        <v>3138</v>
      </c>
      <c r="C3" s="1135">
        <v>210598</v>
      </c>
      <c r="D3" s="1135" t="s">
        <v>3285</v>
      </c>
      <c r="E3" s="1749" t="s">
        <v>1876</v>
      </c>
      <c r="F3" s="1750">
        <v>428353</v>
      </c>
      <c r="G3" s="1751" t="s">
        <v>684</v>
      </c>
      <c r="H3" s="1751" t="s">
        <v>148</v>
      </c>
      <c r="I3" s="1146">
        <v>42361</v>
      </c>
      <c r="J3" s="1752">
        <v>2</v>
      </c>
      <c r="K3" s="1147">
        <f t="shared" ca="1" si="0"/>
        <v>9.7494866529774136</v>
      </c>
      <c r="L3" s="1748" t="s">
        <v>1885</v>
      </c>
      <c r="M3" s="1748" t="s">
        <v>37</v>
      </c>
      <c r="N3" s="1748"/>
      <c r="O3" s="1748">
        <v>15000</v>
      </c>
      <c r="P3" s="1748"/>
      <c r="Q3" s="1753">
        <v>15000</v>
      </c>
      <c r="R3" s="1754"/>
      <c r="S3" s="1755">
        <v>45173</v>
      </c>
      <c r="T3" s="1716">
        <v>66</v>
      </c>
      <c r="U3" s="1756">
        <v>45382</v>
      </c>
      <c r="V3" s="1716">
        <v>192</v>
      </c>
      <c r="W3" s="1716">
        <f>V3-T3+1</f>
        <v>127</v>
      </c>
      <c r="X3" s="1717">
        <f>W3/192</f>
        <v>0.66145833333333337</v>
      </c>
      <c r="Y3" s="1716">
        <v>1</v>
      </c>
      <c r="Z3" s="1716">
        <f>Y3*X3</f>
        <v>0.66145833333333337</v>
      </c>
      <c r="AA3" s="1757">
        <f>Z3*Q3</f>
        <v>9921.875</v>
      </c>
      <c r="AB3" s="1748" t="s">
        <v>2797</v>
      </c>
      <c r="AC3" s="1748" t="s">
        <v>2797</v>
      </c>
      <c r="AD3" s="1748"/>
      <c r="AE3" s="1758">
        <v>15000</v>
      </c>
      <c r="AF3" s="1758"/>
      <c r="AG3" s="1759">
        <f>21955/3*2</f>
        <v>14636.666666666666</v>
      </c>
      <c r="AH3" s="1760"/>
      <c r="AI3" s="1761">
        <v>15000</v>
      </c>
      <c r="AJ3" s="1760"/>
      <c r="AK3" s="1762" t="str">
        <f>IF(AI3&lt;=15000,"yes","no")</f>
        <v>yes</v>
      </c>
      <c r="AL3" s="1762" t="str">
        <f t="shared" ref="AL3:AL83" si="9">IF(AND(AI3&lt;=20000,AI3&gt;=15001),"yes","no")</f>
        <v>no</v>
      </c>
      <c r="AM3" s="1762" t="str">
        <f t="shared" ref="AM3:AM83" si="10">IF(AI3&gt;20001,"yes","no")</f>
        <v>no</v>
      </c>
      <c r="AN3" s="1763"/>
      <c r="AO3" s="1764"/>
      <c r="AP3" s="1765"/>
      <c r="AQ3" s="1765"/>
      <c r="AR3" s="1765"/>
      <c r="AS3" s="1765"/>
      <c r="AT3" s="1765"/>
      <c r="AU3" s="1765"/>
      <c r="AV3" s="1765"/>
      <c r="AW3" s="1765"/>
      <c r="AX3" s="1765"/>
      <c r="AY3" s="1766"/>
      <c r="AZ3" s="1767"/>
      <c r="BA3" s="1764"/>
      <c r="BB3" s="1765"/>
      <c r="BC3" s="1765"/>
      <c r="BD3" s="1766"/>
      <c r="BE3" s="1766"/>
      <c r="BF3" s="1766"/>
      <c r="BG3" s="1768"/>
      <c r="BI3" s="1769"/>
      <c r="BJ3" s="1770">
        <v>21955</v>
      </c>
      <c r="BK3" s="1770"/>
      <c r="BL3" s="1770"/>
      <c r="BM3" s="1771">
        <f t="shared" si="1"/>
        <v>21955</v>
      </c>
      <c r="BN3" s="1772"/>
      <c r="BO3" s="1773">
        <f t="shared" ref="BO3:BO83" si="11">BZ3</f>
        <v>0</v>
      </c>
      <c r="BP3" s="1773">
        <v>0</v>
      </c>
      <c r="BQ3" s="1774">
        <f t="shared" ref="BQ3:BQ83" si="12">BN3+BP3</f>
        <v>0</v>
      </c>
      <c r="BR3" s="1775"/>
      <c r="BS3" s="1776"/>
      <c r="BT3" s="978" t="s">
        <v>3286</v>
      </c>
      <c r="BU3" s="1775"/>
      <c r="BW3" s="1777">
        <f>22500/3*2</f>
        <v>15000</v>
      </c>
      <c r="BX3" s="1778">
        <v>44956</v>
      </c>
      <c r="CD3" s="1779">
        <v>15000</v>
      </c>
      <c r="CF3" s="1492">
        <f t="shared" si="2"/>
        <v>15000</v>
      </c>
      <c r="CG3" s="1098">
        <f t="shared" ref="CG3:CG83" si="13">CF3</f>
        <v>15000</v>
      </c>
      <c r="CH3" s="1098">
        <f t="shared" si="3"/>
        <v>15000</v>
      </c>
      <c r="CI3" s="978" t="s">
        <v>3287</v>
      </c>
      <c r="CL3" s="1780"/>
      <c r="CM3" s="1780"/>
      <c r="CN3" s="1781">
        <f t="shared" si="4"/>
        <v>15000</v>
      </c>
      <c r="CO3" s="1781">
        <f t="shared" si="5"/>
        <v>0</v>
      </c>
      <c r="CR3" s="1782">
        <f t="shared" si="6"/>
        <v>15000</v>
      </c>
      <c r="CS3" s="1781">
        <f t="shared" si="7"/>
        <v>0</v>
      </c>
      <c r="CT3" s="978">
        <v>1666.67</v>
      </c>
      <c r="CV3" s="1492">
        <f t="shared" ref="CV3:CV69" si="14">CR3+CT3+CU3</f>
        <v>16666.669999999998</v>
      </c>
      <c r="CW3" s="1492">
        <f t="shared" ref="CW3:CW70" si="15">SUM(CV3)-CR3</f>
        <v>1666.6699999999983</v>
      </c>
      <c r="CX3" s="1747">
        <v>0</v>
      </c>
      <c r="CY3" s="1747">
        <f>CV3+CX3</f>
        <v>16666.669999999998</v>
      </c>
      <c r="CZ3" s="1496">
        <f t="shared" si="8"/>
        <v>0</v>
      </c>
      <c r="DB3" s="1783">
        <v>566.66</v>
      </c>
      <c r="DC3" s="1747">
        <f>CY3+DB3</f>
        <v>17233.329999999998</v>
      </c>
      <c r="DD3" s="1496">
        <f t="shared" ref="DD3:DD6" si="16">DC3-CY3</f>
        <v>566.65999999999985</v>
      </c>
      <c r="DE3" s="1747"/>
      <c r="DF3" s="1747">
        <f t="shared" ref="DF3:DF67" si="17">DC3+DE3</f>
        <v>17233.329999999998</v>
      </c>
      <c r="DI3" s="1747">
        <f>DH3+DF3</f>
        <v>17233.329999999998</v>
      </c>
    </row>
    <row r="4" spans="1:113" x14ac:dyDescent="0.25">
      <c r="A4" s="1471">
        <v>1</v>
      </c>
      <c r="B4" s="480" t="s">
        <v>3138</v>
      </c>
      <c r="C4" s="480">
        <v>210599</v>
      </c>
      <c r="D4" s="480" t="s">
        <v>3285</v>
      </c>
      <c r="E4" s="1784" t="s">
        <v>1876</v>
      </c>
      <c r="F4" s="1037">
        <v>453033</v>
      </c>
      <c r="G4" s="480" t="s">
        <v>831</v>
      </c>
      <c r="H4" s="480" t="s">
        <v>3288</v>
      </c>
      <c r="I4" s="963">
        <v>39792</v>
      </c>
      <c r="J4" s="1785">
        <v>9</v>
      </c>
      <c r="K4" s="1039">
        <f ca="1">(TODAY()-I4)/365.25</f>
        <v>16.78302532511978</v>
      </c>
      <c r="L4" s="1786" t="s">
        <v>1886</v>
      </c>
      <c r="M4" s="963" t="s">
        <v>1495</v>
      </c>
      <c r="N4" s="1037"/>
      <c r="O4" s="1362">
        <v>10000</v>
      </c>
      <c r="P4" s="1787" t="s">
        <v>3289</v>
      </c>
      <c r="Q4" s="1206">
        <v>10000</v>
      </c>
      <c r="R4" s="1206">
        <v>1666.66</v>
      </c>
      <c r="S4" s="1475">
        <v>45017</v>
      </c>
      <c r="T4" s="1716">
        <v>1</v>
      </c>
      <c r="U4" s="1475">
        <v>45382</v>
      </c>
      <c r="V4" s="1716">
        <v>192</v>
      </c>
      <c r="W4" s="1716">
        <f t="shared" ref="W4:W67" si="18">V4-T4+1</f>
        <v>192</v>
      </c>
      <c r="X4" s="1717">
        <f t="shared" ref="X4:X67" si="19">W4/192</f>
        <v>1</v>
      </c>
      <c r="Y4" s="1716">
        <v>1</v>
      </c>
      <c r="Z4" s="1716">
        <f t="shared" ref="Z4:Z67" si="20">Y4*X4</f>
        <v>1</v>
      </c>
      <c r="AA4" s="1788">
        <f t="shared" ref="AA4:AA67" si="21">Z4*Q4</f>
        <v>10000</v>
      </c>
      <c r="AB4" s="1037" t="s">
        <v>2797</v>
      </c>
      <c r="AC4" s="1037" t="s">
        <v>2797</v>
      </c>
      <c r="AD4" s="1471"/>
      <c r="AE4" s="1471"/>
      <c r="AF4" s="1471"/>
      <c r="AG4" s="1206">
        <f>10000+1666.66</f>
        <v>11666.66</v>
      </c>
      <c r="AH4" s="1476" t="s">
        <v>3290</v>
      </c>
      <c r="AI4" s="1476">
        <v>10000</v>
      </c>
      <c r="AJ4" s="1476">
        <v>1666.66</v>
      </c>
      <c r="AK4" s="1476" t="str">
        <f t="shared" ref="AK4:AK83" si="22">IF(AI4&lt;15000,"yes","no")</f>
        <v>yes</v>
      </c>
      <c r="AL4" s="1476" t="str">
        <f t="shared" si="9"/>
        <v>no</v>
      </c>
      <c r="AM4" s="1476" t="str">
        <f t="shared" si="10"/>
        <v>no</v>
      </c>
      <c r="AN4" s="1471"/>
      <c r="AO4" s="1476"/>
      <c r="AP4" s="1471"/>
      <c r="AQ4" s="1471"/>
      <c r="AR4" s="1471"/>
      <c r="AS4" s="1471"/>
      <c r="AT4" s="1471"/>
      <c r="AU4" s="1471"/>
      <c r="AV4" s="1471"/>
      <c r="AW4" s="1471"/>
      <c r="AX4" s="1471"/>
      <c r="AY4" s="1471"/>
      <c r="AZ4" s="1789">
        <v>3333</v>
      </c>
      <c r="BA4" s="1476"/>
      <c r="BB4" s="1471"/>
      <c r="BC4" s="1471"/>
      <c r="BD4" s="1471">
        <v>8076941</v>
      </c>
      <c r="BE4" s="1471"/>
      <c r="BF4" s="1471"/>
      <c r="BG4" s="1471"/>
      <c r="BH4" s="1790">
        <f t="shared" ref="BH4:BH13" si="23">AO4+AS4+AW4</f>
        <v>0</v>
      </c>
      <c r="BI4" s="1791"/>
      <c r="BJ4" s="1489" cm="1">
        <f t="array" ref="BJ4:BJ131">AG4:AG131</f>
        <v>11666.66</v>
      </c>
      <c r="BK4" s="1489"/>
      <c r="BL4" s="1793">
        <v>3333</v>
      </c>
      <c r="BM4" s="1489">
        <f>BJ4-BL4</f>
        <v>8333.66</v>
      </c>
      <c r="BN4" s="1489">
        <v>8333.66</v>
      </c>
      <c r="BO4" s="1773">
        <f t="shared" si="11"/>
        <v>0</v>
      </c>
      <c r="BP4" s="1773">
        <v>0</v>
      </c>
      <c r="BQ4" s="1774">
        <f t="shared" si="12"/>
        <v>8333.66</v>
      </c>
      <c r="CF4" s="1795">
        <f t="shared" si="2"/>
        <v>8333.66</v>
      </c>
      <c r="CG4" s="1796">
        <f t="shared" si="13"/>
        <v>8333.66</v>
      </c>
      <c r="CH4" s="1796">
        <f t="shared" si="3"/>
        <v>0</v>
      </c>
      <c r="CN4" s="1797">
        <f t="shared" si="4"/>
        <v>8333.66</v>
      </c>
      <c r="CO4" s="1797">
        <f t="shared" si="5"/>
        <v>0</v>
      </c>
      <c r="CR4" s="1494">
        <f t="shared" si="6"/>
        <v>8333.66</v>
      </c>
      <c r="CS4" s="1797">
        <f t="shared" si="7"/>
        <v>0</v>
      </c>
      <c r="CV4" s="1678">
        <f t="shared" si="14"/>
        <v>8333.66</v>
      </c>
      <c r="CW4" s="1795">
        <f t="shared" si="15"/>
        <v>0</v>
      </c>
      <c r="CX4" s="1496">
        <v>0</v>
      </c>
      <c r="CY4" s="1747">
        <f t="shared" ref="CY4:CY6" si="24">CV4+CX4</f>
        <v>8333.66</v>
      </c>
      <c r="CZ4" s="1496">
        <f t="shared" si="8"/>
        <v>0</v>
      </c>
      <c r="DC4" s="1747">
        <f t="shared" ref="DC4:DC69" si="25">CY4+DB4</f>
        <v>8333.66</v>
      </c>
      <c r="DD4" s="1496">
        <f t="shared" si="16"/>
        <v>0</v>
      </c>
      <c r="DF4" s="1747">
        <f t="shared" si="17"/>
        <v>8333.66</v>
      </c>
      <c r="DI4" s="1747">
        <f t="shared" ref="DI4:DI67" si="26">DH4+DF4</f>
        <v>8333.66</v>
      </c>
    </row>
    <row r="5" spans="1:113" x14ac:dyDescent="0.25">
      <c r="A5" s="1471">
        <v>1</v>
      </c>
      <c r="B5" s="480" t="s">
        <v>3138</v>
      </c>
      <c r="C5" s="480">
        <v>210599</v>
      </c>
      <c r="D5" s="480" t="s">
        <v>3285</v>
      </c>
      <c r="E5" s="1784" t="s">
        <v>1876</v>
      </c>
      <c r="F5" s="1165">
        <v>452355</v>
      </c>
      <c r="G5" s="480" t="s">
        <v>831</v>
      </c>
      <c r="H5" s="480" t="s">
        <v>1017</v>
      </c>
      <c r="I5" s="963">
        <v>37972</v>
      </c>
      <c r="J5" s="1799">
        <v>14</v>
      </c>
      <c r="K5" s="1800">
        <f t="shared" ref="K5:K94" ca="1" si="27">(TODAY()-I5)/365.25</f>
        <v>21.765913757700204</v>
      </c>
      <c r="L5" s="1786" t="s">
        <v>270</v>
      </c>
      <c r="M5" s="963" t="s">
        <v>1495</v>
      </c>
      <c r="N5" s="1037"/>
      <c r="O5" s="1362">
        <v>20000</v>
      </c>
      <c r="P5" s="1362" t="s">
        <v>3291</v>
      </c>
      <c r="Q5" s="1476">
        <v>20000</v>
      </c>
      <c r="R5" s="1476">
        <v>3333.33</v>
      </c>
      <c r="S5" s="1475">
        <v>45017</v>
      </c>
      <c r="T5" s="1716">
        <v>1</v>
      </c>
      <c r="U5" s="1801">
        <v>45382</v>
      </c>
      <c r="V5" s="1716">
        <v>192</v>
      </c>
      <c r="W5" s="1716">
        <f t="shared" si="18"/>
        <v>192</v>
      </c>
      <c r="X5" s="1717">
        <f t="shared" si="19"/>
        <v>1</v>
      </c>
      <c r="Y5" s="1716">
        <v>1</v>
      </c>
      <c r="Z5" s="1716">
        <f t="shared" si="20"/>
        <v>1</v>
      </c>
      <c r="AA5" s="1802">
        <f t="shared" si="21"/>
        <v>20000</v>
      </c>
      <c r="AB5" s="1037" t="s">
        <v>2797</v>
      </c>
      <c r="AC5" s="1037" t="s">
        <v>2797</v>
      </c>
      <c r="AD5" s="1471"/>
      <c r="AE5" s="1471"/>
      <c r="AF5" s="1471"/>
      <c r="AG5" s="1476">
        <f>20000+3333.33</f>
        <v>23333.33</v>
      </c>
      <c r="AH5" s="1476" t="s">
        <v>3290</v>
      </c>
      <c r="AI5" s="1476">
        <v>20000</v>
      </c>
      <c r="AJ5" s="1476">
        <v>3333</v>
      </c>
      <c r="AK5" s="1476" t="str">
        <f t="shared" si="22"/>
        <v>no</v>
      </c>
      <c r="AL5" s="1476" t="str">
        <f t="shared" si="9"/>
        <v>yes</v>
      </c>
      <c r="AM5" s="1476" t="str">
        <f t="shared" si="10"/>
        <v>no</v>
      </c>
      <c r="AN5" s="1471"/>
      <c r="AO5" s="1476"/>
      <c r="AP5" s="1471"/>
      <c r="AQ5" s="1471"/>
      <c r="AR5" s="1471"/>
      <c r="AS5" s="1471"/>
      <c r="AT5" s="1471"/>
      <c r="AU5" s="1471"/>
      <c r="AV5" s="1471"/>
      <c r="AW5" s="1471"/>
      <c r="AX5" s="1471"/>
      <c r="AY5" s="1471"/>
      <c r="AZ5" s="1487">
        <v>2564.79</v>
      </c>
      <c r="BA5" s="1476"/>
      <c r="BB5" s="1471"/>
      <c r="BC5" s="1471"/>
      <c r="BD5" s="1471"/>
      <c r="BE5" s="1471"/>
      <c r="BF5" s="1471"/>
      <c r="BG5" s="1471"/>
      <c r="BH5" s="1476">
        <f t="shared" si="23"/>
        <v>0</v>
      </c>
      <c r="BI5" s="1625"/>
      <c r="BJ5" s="1471">
        <v>23333.33</v>
      </c>
      <c r="BK5" s="1471"/>
      <c r="BL5" s="1793">
        <v>2564.79</v>
      </c>
      <c r="BM5" s="1489">
        <f t="shared" ref="BM5:BM39" si="28">BJ5-BL5</f>
        <v>20768.54</v>
      </c>
      <c r="BN5" s="1489">
        <v>20768.54</v>
      </c>
      <c r="BO5" s="1773">
        <f t="shared" si="11"/>
        <v>0</v>
      </c>
      <c r="BP5" s="1773">
        <v>0</v>
      </c>
      <c r="BQ5" s="1774">
        <f t="shared" si="12"/>
        <v>20768.54</v>
      </c>
      <c r="CF5" s="1795">
        <f t="shared" si="2"/>
        <v>20768.54</v>
      </c>
      <c r="CG5" s="1796">
        <f t="shared" si="13"/>
        <v>20768.54</v>
      </c>
      <c r="CH5" s="1796">
        <f t="shared" si="3"/>
        <v>0</v>
      </c>
      <c r="CN5" s="1797">
        <f t="shared" si="4"/>
        <v>20768.54</v>
      </c>
      <c r="CO5" s="1797">
        <f t="shared" si="5"/>
        <v>0</v>
      </c>
      <c r="CR5" s="1494">
        <f t="shared" si="6"/>
        <v>20768.54</v>
      </c>
      <c r="CS5" s="1797">
        <f t="shared" si="7"/>
        <v>0</v>
      </c>
      <c r="CV5" s="1678">
        <f t="shared" si="14"/>
        <v>20768.54</v>
      </c>
      <c r="CW5" s="1795">
        <f t="shared" si="15"/>
        <v>0</v>
      </c>
      <c r="CX5" s="1496">
        <v>0</v>
      </c>
      <c r="CY5" s="1747">
        <f t="shared" si="24"/>
        <v>20768.54</v>
      </c>
      <c r="CZ5" s="1496">
        <f t="shared" si="8"/>
        <v>0</v>
      </c>
      <c r="DC5" s="1747">
        <f t="shared" si="25"/>
        <v>20768.54</v>
      </c>
      <c r="DD5" s="1496">
        <f t="shared" si="16"/>
        <v>0</v>
      </c>
      <c r="DF5" s="1747">
        <f t="shared" si="17"/>
        <v>20768.54</v>
      </c>
      <c r="DI5" s="1747">
        <f t="shared" si="26"/>
        <v>20768.54</v>
      </c>
    </row>
    <row r="6" spans="1:113" x14ac:dyDescent="0.25">
      <c r="A6" s="1471">
        <v>1</v>
      </c>
      <c r="B6" s="480" t="s">
        <v>3138</v>
      </c>
      <c r="C6" s="480">
        <v>210599</v>
      </c>
      <c r="D6" s="480" t="s">
        <v>3285</v>
      </c>
      <c r="E6" s="1784" t="s">
        <v>1876</v>
      </c>
      <c r="F6" s="1165">
        <v>442848</v>
      </c>
      <c r="G6" s="480" t="s">
        <v>3292</v>
      </c>
      <c r="H6" s="480" t="s">
        <v>3293</v>
      </c>
      <c r="I6" s="1038">
        <v>40298</v>
      </c>
      <c r="J6" s="1803">
        <v>8</v>
      </c>
      <c r="K6" s="1039">
        <f t="shared" ca="1" si="27"/>
        <v>15.397672826830938</v>
      </c>
      <c r="L6" s="963" t="s">
        <v>1886</v>
      </c>
      <c r="M6" s="963" t="s">
        <v>56</v>
      </c>
      <c r="N6" s="480"/>
      <c r="O6" s="1362">
        <v>37500</v>
      </c>
      <c r="P6" s="1362" t="s">
        <v>3294</v>
      </c>
      <c r="Q6" s="1476">
        <v>37500</v>
      </c>
      <c r="R6" s="1476">
        <f>2562.79+625</f>
        <v>3187.79</v>
      </c>
      <c r="S6" s="1475">
        <v>45017</v>
      </c>
      <c r="T6" s="1716">
        <v>1</v>
      </c>
      <c r="U6" s="1475">
        <v>45382</v>
      </c>
      <c r="V6" s="1716">
        <v>192</v>
      </c>
      <c r="W6" s="1716">
        <f t="shared" si="18"/>
        <v>192</v>
      </c>
      <c r="X6" s="1717">
        <f t="shared" si="19"/>
        <v>1</v>
      </c>
      <c r="Y6" s="1716">
        <v>1</v>
      </c>
      <c r="Z6" s="1716">
        <f t="shared" si="20"/>
        <v>1</v>
      </c>
      <c r="AA6" s="1788">
        <f t="shared" si="21"/>
        <v>37500</v>
      </c>
      <c r="AB6" s="1037" t="s">
        <v>2797</v>
      </c>
      <c r="AC6" s="1037" t="s">
        <v>2797</v>
      </c>
      <c r="AD6" s="1471"/>
      <c r="AE6" s="1471"/>
      <c r="AF6" s="1471"/>
      <c r="AG6" s="1476">
        <f>37500+2562.79+625</f>
        <v>40687.79</v>
      </c>
      <c r="AH6" s="1476" t="s">
        <v>3295</v>
      </c>
      <c r="AI6" s="1476">
        <v>37500</v>
      </c>
      <c r="AJ6" s="1476">
        <f>2562+625</f>
        <v>3187</v>
      </c>
      <c r="AK6" s="1476" t="str">
        <f t="shared" si="22"/>
        <v>no</v>
      </c>
      <c r="AL6" s="1476" t="str">
        <f t="shared" si="9"/>
        <v>no</v>
      </c>
      <c r="AM6" s="1476" t="str">
        <f t="shared" si="10"/>
        <v>yes</v>
      </c>
      <c r="AN6" s="1471"/>
      <c r="AO6" s="1476"/>
      <c r="AP6" s="1471"/>
      <c r="AQ6" s="1471"/>
      <c r="AR6" s="1471"/>
      <c r="AS6" s="1471"/>
      <c r="AT6" s="1471"/>
      <c r="AU6" s="1471"/>
      <c r="AV6" s="1471"/>
      <c r="AW6" s="1471"/>
      <c r="AX6" s="1471"/>
      <c r="AY6" s="1471"/>
      <c r="AZ6" s="1487">
        <v>1666</v>
      </c>
      <c r="BA6" s="1476"/>
      <c r="BB6" s="1471"/>
      <c r="BC6" s="1471"/>
      <c r="BD6" s="1471"/>
      <c r="BE6" s="1471"/>
      <c r="BF6" s="1471"/>
      <c r="BG6" s="1471"/>
      <c r="BH6" s="1476">
        <f t="shared" si="23"/>
        <v>0</v>
      </c>
      <c r="BI6" s="1625"/>
      <c r="BJ6" s="1471">
        <v>40687.79</v>
      </c>
      <c r="BK6" s="1471"/>
      <c r="BL6" s="1793">
        <v>1666</v>
      </c>
      <c r="BM6" s="1489">
        <f t="shared" si="28"/>
        <v>39021.79</v>
      </c>
      <c r="BN6" s="1489">
        <v>39021.79</v>
      </c>
      <c r="BO6" s="1773">
        <f t="shared" si="11"/>
        <v>0</v>
      </c>
      <c r="BP6" s="1773">
        <v>0</v>
      </c>
      <c r="BQ6" s="1774">
        <f t="shared" si="12"/>
        <v>39021.79</v>
      </c>
      <c r="CF6" s="1795">
        <f t="shared" si="2"/>
        <v>39021.79</v>
      </c>
      <c r="CG6" s="1796">
        <f t="shared" si="13"/>
        <v>39021.79</v>
      </c>
      <c r="CH6" s="1796">
        <f t="shared" si="3"/>
        <v>0</v>
      </c>
      <c r="CN6" s="1797">
        <f t="shared" si="4"/>
        <v>39021.79</v>
      </c>
      <c r="CO6" s="1797">
        <f t="shared" si="5"/>
        <v>0</v>
      </c>
      <c r="CR6" s="1494">
        <f t="shared" si="6"/>
        <v>39021.79</v>
      </c>
      <c r="CS6" s="1797">
        <f t="shared" si="7"/>
        <v>0</v>
      </c>
      <c r="CV6" s="1678">
        <f t="shared" si="14"/>
        <v>39021.79</v>
      </c>
      <c r="CW6" s="1795">
        <f t="shared" si="15"/>
        <v>0</v>
      </c>
      <c r="CX6" s="1496">
        <v>0</v>
      </c>
      <c r="CY6" s="1747">
        <f t="shared" si="24"/>
        <v>39021.79</v>
      </c>
      <c r="CZ6" s="1496">
        <f t="shared" si="8"/>
        <v>0</v>
      </c>
      <c r="DC6" s="1747">
        <f t="shared" si="25"/>
        <v>39021.79</v>
      </c>
      <c r="DD6" s="1496">
        <f t="shared" si="16"/>
        <v>0</v>
      </c>
      <c r="DF6" s="1747">
        <f t="shared" si="17"/>
        <v>39021.79</v>
      </c>
      <c r="DI6" s="1747">
        <f t="shared" si="26"/>
        <v>39021.79</v>
      </c>
    </row>
    <row r="7" spans="1:113" x14ac:dyDescent="0.25">
      <c r="A7" s="1471">
        <v>1</v>
      </c>
      <c r="B7" s="480" t="s">
        <v>2787</v>
      </c>
      <c r="C7" s="480">
        <v>201830</v>
      </c>
      <c r="D7" s="480" t="s">
        <v>3296</v>
      </c>
      <c r="E7" s="1784" t="s">
        <v>1876</v>
      </c>
      <c r="F7" s="1209">
        <v>438136</v>
      </c>
      <c r="G7" s="1208" t="s">
        <v>3297</v>
      </c>
      <c r="H7" s="1208" t="s">
        <v>3298</v>
      </c>
      <c r="I7" s="1210">
        <v>41117</v>
      </c>
      <c r="J7" s="1803">
        <v>5</v>
      </c>
      <c r="K7" s="1039">
        <f ca="1">(TODAY()-I7)/365.25</f>
        <v>13.155373032169747</v>
      </c>
      <c r="L7" s="963" t="s">
        <v>1885</v>
      </c>
      <c r="M7" s="963" t="s">
        <v>1316</v>
      </c>
      <c r="N7" s="1804" t="s">
        <v>3299</v>
      </c>
      <c r="O7" s="1362">
        <v>31190</v>
      </c>
      <c r="P7" s="1362"/>
      <c r="Q7" s="1476">
        <v>32750</v>
      </c>
      <c r="R7" s="1476">
        <v>0</v>
      </c>
      <c r="S7" s="1475">
        <v>45017</v>
      </c>
      <c r="T7" s="1716">
        <v>1</v>
      </c>
      <c r="U7" s="1475">
        <v>45382</v>
      </c>
      <c r="V7" s="1716">
        <v>192</v>
      </c>
      <c r="W7" s="1716">
        <f t="shared" si="18"/>
        <v>192</v>
      </c>
      <c r="X7" s="1717">
        <f t="shared" si="19"/>
        <v>1</v>
      </c>
      <c r="Y7" s="1716">
        <v>1</v>
      </c>
      <c r="Z7" s="1716">
        <f t="shared" si="20"/>
        <v>1</v>
      </c>
      <c r="AA7" s="1788">
        <f t="shared" si="21"/>
        <v>32750</v>
      </c>
      <c r="AB7" s="1037" t="s">
        <v>2797</v>
      </c>
      <c r="AC7" s="1037" t="s">
        <v>2797</v>
      </c>
      <c r="AD7" s="1471"/>
      <c r="AE7" s="1471"/>
      <c r="AF7" s="1471"/>
      <c r="AG7" s="1476">
        <v>32750</v>
      </c>
      <c r="AH7" s="1476"/>
      <c r="AI7" s="1476">
        <v>32750</v>
      </c>
      <c r="AJ7" s="1476"/>
      <c r="AK7" s="1476" t="str">
        <f>IF(AI7&lt;=15000,"yes","no")</f>
        <v>no</v>
      </c>
      <c r="AL7" s="1476" t="str">
        <f t="shared" si="9"/>
        <v>no</v>
      </c>
      <c r="AM7" s="1476" t="str">
        <f t="shared" si="10"/>
        <v>yes</v>
      </c>
      <c r="AN7" s="1471"/>
      <c r="AO7" s="1476"/>
      <c r="AP7" s="1471"/>
      <c r="AQ7" s="1471"/>
      <c r="AR7" s="1471"/>
      <c r="AS7" s="1471"/>
      <c r="AT7" s="1471"/>
      <c r="AU7" s="1471"/>
      <c r="AV7" s="1471"/>
      <c r="AW7" s="1471"/>
      <c r="AX7" s="1471"/>
      <c r="AY7" s="1471"/>
      <c r="AZ7" s="1476"/>
      <c r="BA7" s="1476"/>
      <c r="BB7" s="1471"/>
      <c r="BC7" s="1471"/>
      <c r="BD7" s="1471"/>
      <c r="BE7" s="1471"/>
      <c r="BF7" s="1471"/>
      <c r="BG7" s="1471"/>
      <c r="BH7" s="1476">
        <f t="shared" si="23"/>
        <v>0</v>
      </c>
      <c r="BI7" s="1625"/>
      <c r="BJ7" s="1471">
        <v>32750</v>
      </c>
      <c r="BK7" s="1471"/>
      <c r="BL7" s="1473"/>
      <c r="BM7" s="1489">
        <f>BJ7-BL7</f>
        <v>32750</v>
      </c>
      <c r="BN7" s="1489">
        <v>32750</v>
      </c>
      <c r="BO7" s="1773">
        <f t="shared" si="11"/>
        <v>0</v>
      </c>
      <c r="BP7" s="1773">
        <v>0</v>
      </c>
      <c r="BQ7" s="1774">
        <f t="shared" si="12"/>
        <v>32750</v>
      </c>
      <c r="CF7" s="1795">
        <f t="shared" si="2"/>
        <v>32750</v>
      </c>
      <c r="CG7" s="1796">
        <f t="shared" si="13"/>
        <v>32750</v>
      </c>
      <c r="CH7" s="1796">
        <f t="shared" si="3"/>
        <v>0</v>
      </c>
      <c r="CN7" s="1797">
        <f t="shared" si="4"/>
        <v>32750</v>
      </c>
      <c r="CO7" s="1797">
        <f t="shared" si="5"/>
        <v>0</v>
      </c>
      <c r="CR7" s="1494">
        <f t="shared" si="6"/>
        <v>32750</v>
      </c>
      <c r="CS7" s="1797">
        <f t="shared" si="7"/>
        <v>0</v>
      </c>
      <c r="CV7" s="1678">
        <f t="shared" si="14"/>
        <v>32750</v>
      </c>
      <c r="CW7" s="1795">
        <f t="shared" si="15"/>
        <v>0</v>
      </c>
      <c r="CX7" s="1496">
        <v>-18853</v>
      </c>
      <c r="CY7" s="1496">
        <f>CV7+CX7</f>
        <v>13897</v>
      </c>
      <c r="CZ7" s="1496">
        <f t="shared" si="8"/>
        <v>-18853</v>
      </c>
      <c r="DB7" s="1798">
        <v>0</v>
      </c>
      <c r="DC7" s="1747">
        <f t="shared" si="25"/>
        <v>13897</v>
      </c>
      <c r="DD7" s="1496">
        <f>DC7-CY7</f>
        <v>0</v>
      </c>
      <c r="DF7" s="1747">
        <f t="shared" si="17"/>
        <v>13897</v>
      </c>
      <c r="DI7" s="1747">
        <f t="shared" si="26"/>
        <v>13897</v>
      </c>
    </row>
    <row r="8" spans="1:113" x14ac:dyDescent="0.25">
      <c r="A8" s="1471">
        <v>1</v>
      </c>
      <c r="B8" s="480" t="s">
        <v>2787</v>
      </c>
      <c r="C8" s="480">
        <v>201830</v>
      </c>
      <c r="D8" s="480" t="s">
        <v>3296</v>
      </c>
      <c r="E8" s="1784" t="s">
        <v>1876</v>
      </c>
      <c r="F8" s="1209">
        <v>449999</v>
      </c>
      <c r="G8" s="1208" t="s">
        <v>3300</v>
      </c>
      <c r="H8" s="1208" t="s">
        <v>556</v>
      </c>
      <c r="I8" s="1210">
        <v>40160</v>
      </c>
      <c r="J8" s="1803">
        <v>8</v>
      </c>
      <c r="K8" s="1039">
        <f ca="1">(TODAY()-I8)/365.25</f>
        <v>15.775496235455167</v>
      </c>
      <c r="L8" s="963" t="s">
        <v>1886</v>
      </c>
      <c r="M8" s="963" t="s">
        <v>1495</v>
      </c>
      <c r="N8" s="1805" t="s">
        <v>3301</v>
      </c>
      <c r="O8" s="1362">
        <v>13600</v>
      </c>
      <c r="P8" s="1362"/>
      <c r="Q8" s="1476">
        <v>14280</v>
      </c>
      <c r="R8" s="1476">
        <v>0</v>
      </c>
      <c r="S8" s="1475">
        <v>45017</v>
      </c>
      <c r="T8" s="1716">
        <v>1</v>
      </c>
      <c r="U8" s="1475">
        <v>45382</v>
      </c>
      <c r="V8" s="1716">
        <v>192</v>
      </c>
      <c r="W8" s="1716">
        <f t="shared" si="18"/>
        <v>192</v>
      </c>
      <c r="X8" s="1717">
        <f t="shared" si="19"/>
        <v>1</v>
      </c>
      <c r="Y8" s="1716">
        <v>1</v>
      </c>
      <c r="Z8" s="1716">
        <f t="shared" si="20"/>
        <v>1</v>
      </c>
      <c r="AA8" s="1788">
        <f t="shared" si="21"/>
        <v>14280</v>
      </c>
      <c r="AB8" s="1037" t="s">
        <v>2797</v>
      </c>
      <c r="AC8" s="1037" t="s">
        <v>2797</v>
      </c>
      <c r="AD8" s="1471"/>
      <c r="AE8" s="1471"/>
      <c r="AF8" s="1471"/>
      <c r="AG8" s="1476">
        <v>14280</v>
      </c>
      <c r="AH8" s="1476"/>
      <c r="AI8" s="1476">
        <v>14280</v>
      </c>
      <c r="AJ8" s="1476"/>
      <c r="AK8" s="1476" t="str">
        <f t="shared" si="22"/>
        <v>yes</v>
      </c>
      <c r="AL8" s="1476" t="str">
        <f t="shared" si="9"/>
        <v>no</v>
      </c>
      <c r="AM8" s="1476" t="str">
        <f t="shared" si="10"/>
        <v>no</v>
      </c>
      <c r="AN8" s="1471"/>
      <c r="AO8" s="1476"/>
      <c r="AP8" s="1471"/>
      <c r="AQ8" s="1471"/>
      <c r="AR8" s="1471"/>
      <c r="AS8" s="1471"/>
      <c r="AT8" s="1471"/>
      <c r="AU8" s="1471"/>
      <c r="AV8" s="1471"/>
      <c r="AW8" s="1471"/>
      <c r="AX8" s="1471"/>
      <c r="AY8" s="1471"/>
      <c r="AZ8" s="1476"/>
      <c r="BA8" s="1476"/>
      <c r="BB8" s="1471"/>
      <c r="BC8" s="1471"/>
      <c r="BD8" s="1471"/>
      <c r="BE8" s="1471"/>
      <c r="BF8" s="1471"/>
      <c r="BG8" s="1471"/>
      <c r="BH8" s="1476">
        <f t="shared" si="23"/>
        <v>0</v>
      </c>
      <c r="BI8" s="1625"/>
      <c r="BJ8" s="1471">
        <v>14280</v>
      </c>
      <c r="BK8" s="1471"/>
      <c r="BL8" s="1473"/>
      <c r="BM8" s="1489">
        <f t="shared" si="28"/>
        <v>14280</v>
      </c>
      <c r="BN8" s="1489">
        <v>14280</v>
      </c>
      <c r="BO8" s="1773">
        <f t="shared" si="11"/>
        <v>0</v>
      </c>
      <c r="BP8" s="1773">
        <v>0</v>
      </c>
      <c r="BQ8" s="1774">
        <f t="shared" si="12"/>
        <v>14280</v>
      </c>
      <c r="CF8" s="1795">
        <f t="shared" si="2"/>
        <v>14280</v>
      </c>
      <c r="CG8" s="1796">
        <f t="shared" si="13"/>
        <v>14280</v>
      </c>
      <c r="CH8" s="1796">
        <f t="shared" si="3"/>
        <v>0</v>
      </c>
      <c r="CN8" s="1797">
        <f t="shared" si="4"/>
        <v>14280</v>
      </c>
      <c r="CO8" s="1797">
        <f t="shared" si="5"/>
        <v>0</v>
      </c>
      <c r="CR8" s="1494">
        <f t="shared" si="6"/>
        <v>14280</v>
      </c>
      <c r="CS8" s="1797">
        <f t="shared" si="7"/>
        <v>0</v>
      </c>
      <c r="CV8" s="1678">
        <f t="shared" si="14"/>
        <v>14280</v>
      </c>
      <c r="CW8" s="1795">
        <f t="shared" si="15"/>
        <v>0</v>
      </c>
      <c r="CX8" s="1496">
        <v>-9747</v>
      </c>
      <c r="CY8" s="1496">
        <f>CV8+CX8</f>
        <v>4533</v>
      </c>
      <c r="CZ8" s="1496">
        <f t="shared" si="8"/>
        <v>-9747</v>
      </c>
      <c r="DA8" s="1490" t="s">
        <v>3302</v>
      </c>
      <c r="DC8" s="1747">
        <f t="shared" si="25"/>
        <v>4533</v>
      </c>
      <c r="DD8" s="1496">
        <f t="shared" ref="DD8:DD73" si="29">DC8-CY8</f>
        <v>0</v>
      </c>
      <c r="DF8" s="1747">
        <f t="shared" si="17"/>
        <v>4533</v>
      </c>
      <c r="DI8" s="1747">
        <f t="shared" si="26"/>
        <v>4533</v>
      </c>
    </row>
    <row r="9" spans="1:113" x14ac:dyDescent="0.25">
      <c r="A9" s="1471">
        <v>1</v>
      </c>
      <c r="B9" s="480" t="s">
        <v>2787</v>
      </c>
      <c r="C9" s="480">
        <v>201830</v>
      </c>
      <c r="D9" s="480" t="s">
        <v>3296</v>
      </c>
      <c r="E9" s="1784" t="s">
        <v>1876</v>
      </c>
      <c r="F9" s="1209">
        <v>445915</v>
      </c>
      <c r="G9" s="1208" t="s">
        <v>1102</v>
      </c>
      <c r="H9" s="1208" t="s">
        <v>3303</v>
      </c>
      <c r="I9" s="1210">
        <v>41808</v>
      </c>
      <c r="J9" s="1803">
        <v>4</v>
      </c>
      <c r="K9" s="1039">
        <f ca="1">(TODAY()-I9)/365.25</f>
        <v>11.263518138261464</v>
      </c>
      <c r="L9" s="963" t="s">
        <v>1886</v>
      </c>
      <c r="M9" s="963" t="s">
        <v>37</v>
      </c>
      <c r="N9" s="1511" t="s">
        <v>3304</v>
      </c>
      <c r="O9" s="1362">
        <v>19970</v>
      </c>
      <c r="P9" s="1362"/>
      <c r="Q9" s="1476">
        <v>20970</v>
      </c>
      <c r="R9" s="1476">
        <v>0</v>
      </c>
      <c r="S9" s="1475">
        <v>45017</v>
      </c>
      <c r="T9" s="1716">
        <v>1</v>
      </c>
      <c r="U9" s="1475">
        <v>45382</v>
      </c>
      <c r="V9" s="1716">
        <v>192</v>
      </c>
      <c r="W9" s="1716">
        <f t="shared" si="18"/>
        <v>192</v>
      </c>
      <c r="X9" s="1717">
        <f t="shared" si="19"/>
        <v>1</v>
      </c>
      <c r="Y9" s="1716">
        <v>1</v>
      </c>
      <c r="Z9" s="1716">
        <f t="shared" si="20"/>
        <v>1</v>
      </c>
      <c r="AA9" s="1788">
        <f t="shared" si="21"/>
        <v>20970</v>
      </c>
      <c r="AB9" s="1754" t="s">
        <v>2797</v>
      </c>
      <c r="AC9" s="1754" t="s">
        <v>2797</v>
      </c>
      <c r="AD9" s="1471"/>
      <c r="AE9" s="1471"/>
      <c r="AF9" s="1471"/>
      <c r="AG9" s="1476">
        <v>20970</v>
      </c>
      <c r="AH9" s="1476"/>
      <c r="AI9" s="1476">
        <v>20970</v>
      </c>
      <c r="AJ9" s="1476"/>
      <c r="AK9" s="1476" t="str">
        <f t="shared" si="22"/>
        <v>no</v>
      </c>
      <c r="AL9" s="1476" t="str">
        <f t="shared" si="9"/>
        <v>no</v>
      </c>
      <c r="AM9" s="1476" t="str">
        <f t="shared" si="10"/>
        <v>yes</v>
      </c>
      <c r="AN9" s="1471"/>
      <c r="AO9" s="1476"/>
      <c r="AP9" s="1471"/>
      <c r="AQ9" s="1471"/>
      <c r="AR9" s="1471"/>
      <c r="AS9" s="1471"/>
      <c r="AT9" s="1471"/>
      <c r="AU9" s="1471"/>
      <c r="AV9" s="1471"/>
      <c r="AW9" s="1471"/>
      <c r="AX9" s="1471"/>
      <c r="AY9" s="1471"/>
      <c r="AZ9" s="1476"/>
      <c r="BA9" s="1476"/>
      <c r="BB9" s="1471"/>
      <c r="BC9" s="1471"/>
      <c r="BD9" s="1471"/>
      <c r="BE9" s="1471"/>
      <c r="BF9" s="1471"/>
      <c r="BG9" s="1471"/>
      <c r="BH9" s="1476">
        <f t="shared" si="23"/>
        <v>0</v>
      </c>
      <c r="BI9" s="1625"/>
      <c r="BJ9" s="1471">
        <v>20970</v>
      </c>
      <c r="BK9" s="1471"/>
      <c r="BL9" s="1473"/>
      <c r="BM9" s="1489">
        <f t="shared" si="28"/>
        <v>20970</v>
      </c>
      <c r="BN9" s="1489">
        <v>20970</v>
      </c>
      <c r="BO9" s="1773">
        <f t="shared" si="11"/>
        <v>0</v>
      </c>
      <c r="BP9" s="1773">
        <v>0</v>
      </c>
      <c r="BQ9" s="1774">
        <f t="shared" si="12"/>
        <v>20970</v>
      </c>
      <c r="CF9" s="1795">
        <f t="shared" si="2"/>
        <v>20970</v>
      </c>
      <c r="CG9" s="1796">
        <f t="shared" si="13"/>
        <v>20970</v>
      </c>
      <c r="CH9" s="1796">
        <f t="shared" si="3"/>
        <v>0</v>
      </c>
      <c r="CN9" s="1797">
        <f t="shared" si="4"/>
        <v>20970</v>
      </c>
      <c r="CO9" s="1797">
        <f t="shared" si="5"/>
        <v>0</v>
      </c>
      <c r="CR9" s="1494">
        <f t="shared" si="6"/>
        <v>20970</v>
      </c>
      <c r="CS9" s="1797">
        <f t="shared" si="7"/>
        <v>0</v>
      </c>
      <c r="CV9" s="1678">
        <f t="shared" si="14"/>
        <v>20970</v>
      </c>
      <c r="CW9" s="1795">
        <f t="shared" si="15"/>
        <v>0</v>
      </c>
      <c r="CX9" s="1496">
        <v>0</v>
      </c>
      <c r="CY9" s="1496">
        <f t="shared" ref="CY9:CY13" si="30">CV9+CX9</f>
        <v>20970</v>
      </c>
      <c r="CZ9" s="1496">
        <f t="shared" si="8"/>
        <v>0</v>
      </c>
      <c r="DC9" s="1747">
        <f t="shared" si="25"/>
        <v>20970</v>
      </c>
      <c r="DD9" s="1496">
        <f t="shared" si="29"/>
        <v>0</v>
      </c>
      <c r="DF9" s="1747">
        <f t="shared" si="17"/>
        <v>20970</v>
      </c>
      <c r="DI9" s="1747">
        <f t="shared" si="26"/>
        <v>20970</v>
      </c>
    </row>
    <row r="10" spans="1:113" x14ac:dyDescent="0.25">
      <c r="A10" s="1471">
        <v>1</v>
      </c>
      <c r="B10" s="480" t="s">
        <v>2787</v>
      </c>
      <c r="C10" s="480">
        <v>201830</v>
      </c>
      <c r="D10" s="480" t="s">
        <v>3296</v>
      </c>
      <c r="E10" s="1784" t="s">
        <v>1876</v>
      </c>
      <c r="F10" s="1165">
        <v>390480</v>
      </c>
      <c r="G10" s="480" t="s">
        <v>1721</v>
      </c>
      <c r="H10" s="480" t="s">
        <v>3305</v>
      </c>
      <c r="I10" s="1038">
        <v>39460</v>
      </c>
      <c r="J10" s="1803">
        <v>10</v>
      </c>
      <c r="K10" s="1039">
        <f t="shared" ca="1" si="27"/>
        <v>17.691991786447637</v>
      </c>
      <c r="L10" s="963" t="s">
        <v>1886</v>
      </c>
      <c r="M10" s="963" t="s">
        <v>3306</v>
      </c>
      <c r="N10" s="480"/>
      <c r="O10" s="1362">
        <v>26210</v>
      </c>
      <c r="P10" s="1362"/>
      <c r="Q10" s="1476">
        <v>27520</v>
      </c>
      <c r="R10" s="1476">
        <v>0</v>
      </c>
      <c r="S10" s="1475">
        <v>45017</v>
      </c>
      <c r="T10" s="1716">
        <v>1</v>
      </c>
      <c r="U10" s="1475">
        <v>45382</v>
      </c>
      <c r="V10" s="1716">
        <v>192</v>
      </c>
      <c r="W10" s="1716">
        <f t="shared" si="18"/>
        <v>192</v>
      </c>
      <c r="X10" s="1717">
        <f t="shared" si="19"/>
        <v>1</v>
      </c>
      <c r="Y10" s="1716">
        <v>1</v>
      </c>
      <c r="Z10" s="1716">
        <f t="shared" si="20"/>
        <v>1</v>
      </c>
      <c r="AA10" s="1788">
        <f t="shared" si="21"/>
        <v>27520</v>
      </c>
      <c r="AB10" s="1037" t="s">
        <v>2797</v>
      </c>
      <c r="AC10" s="1037" t="s">
        <v>2797</v>
      </c>
      <c r="AD10" s="1471"/>
      <c r="AE10" s="1471"/>
      <c r="AF10" s="1471"/>
      <c r="AG10" s="1476">
        <v>27520</v>
      </c>
      <c r="AH10" s="1476"/>
      <c r="AI10" s="1476">
        <v>27520</v>
      </c>
      <c r="AJ10" s="1476"/>
      <c r="AK10" s="1476" t="str">
        <f t="shared" si="22"/>
        <v>no</v>
      </c>
      <c r="AL10" s="1476" t="str">
        <f t="shared" si="9"/>
        <v>no</v>
      </c>
      <c r="AM10" s="1476" t="str">
        <f t="shared" si="10"/>
        <v>yes</v>
      </c>
      <c r="AN10" s="1471"/>
      <c r="AO10" s="1476"/>
      <c r="AP10" s="1471"/>
      <c r="AQ10" s="1471"/>
      <c r="AR10" s="1471"/>
      <c r="AS10" s="1471"/>
      <c r="AT10" s="1471"/>
      <c r="AU10" s="1471"/>
      <c r="AV10" s="1471"/>
      <c r="AW10" s="1471"/>
      <c r="AX10" s="1471"/>
      <c r="AY10" s="1471"/>
      <c r="AZ10" s="1476"/>
      <c r="BA10" s="1476"/>
      <c r="BB10" s="1471"/>
      <c r="BC10" s="1471"/>
      <c r="BD10" s="1471">
        <v>8071667</v>
      </c>
      <c r="BE10" s="1471"/>
      <c r="BF10" s="1471"/>
      <c r="BG10" s="1471"/>
      <c r="BH10" s="1476">
        <f t="shared" si="23"/>
        <v>0</v>
      </c>
      <c r="BI10" s="1625"/>
      <c r="BJ10" s="1471">
        <v>27520</v>
      </c>
      <c r="BK10" s="1471"/>
      <c r="BL10" s="1473"/>
      <c r="BM10" s="1489">
        <f t="shared" si="28"/>
        <v>27520</v>
      </c>
      <c r="BN10" s="1489">
        <v>27520</v>
      </c>
      <c r="BO10" s="1773">
        <f t="shared" si="11"/>
        <v>0</v>
      </c>
      <c r="BP10" s="1773">
        <v>0</v>
      </c>
      <c r="BQ10" s="1774">
        <f t="shared" si="12"/>
        <v>27520</v>
      </c>
      <c r="CF10" s="1795">
        <f t="shared" si="2"/>
        <v>27520</v>
      </c>
      <c r="CG10" s="1796">
        <f t="shared" si="13"/>
        <v>27520</v>
      </c>
      <c r="CH10" s="1796">
        <f t="shared" si="3"/>
        <v>0</v>
      </c>
      <c r="CN10" s="1797">
        <f t="shared" si="4"/>
        <v>27520</v>
      </c>
      <c r="CO10" s="1797">
        <f t="shared" si="5"/>
        <v>0</v>
      </c>
      <c r="CR10" s="1494">
        <f t="shared" si="6"/>
        <v>27520</v>
      </c>
      <c r="CS10" s="1797">
        <f t="shared" si="7"/>
        <v>0</v>
      </c>
      <c r="CV10" s="1678">
        <f t="shared" si="14"/>
        <v>27520</v>
      </c>
      <c r="CW10" s="1795">
        <f t="shared" si="15"/>
        <v>0</v>
      </c>
      <c r="CX10" s="1496">
        <v>0</v>
      </c>
      <c r="CY10" s="1496">
        <f t="shared" si="30"/>
        <v>27520</v>
      </c>
      <c r="CZ10" s="1496">
        <f t="shared" si="8"/>
        <v>0</v>
      </c>
      <c r="DC10" s="1747">
        <f t="shared" si="25"/>
        <v>27520</v>
      </c>
      <c r="DD10" s="1496">
        <f t="shared" si="29"/>
        <v>0</v>
      </c>
      <c r="DF10" s="1747">
        <f t="shared" si="17"/>
        <v>27520</v>
      </c>
      <c r="DI10" s="1747">
        <f t="shared" si="26"/>
        <v>27520</v>
      </c>
    </row>
    <row r="11" spans="1:113" hidden="1" x14ac:dyDescent="0.25">
      <c r="A11" s="1471">
        <v>0</v>
      </c>
      <c r="B11" s="480" t="s">
        <v>2787</v>
      </c>
      <c r="C11" s="480">
        <v>201830</v>
      </c>
      <c r="D11" s="480" t="s">
        <v>3296</v>
      </c>
      <c r="E11" s="1784" t="s">
        <v>1876</v>
      </c>
      <c r="F11" s="1165">
        <v>435547</v>
      </c>
      <c r="G11" s="480" t="s">
        <v>3307</v>
      </c>
      <c r="H11" s="480" t="s">
        <v>3308</v>
      </c>
      <c r="I11" s="1038">
        <v>40007</v>
      </c>
      <c r="J11" s="1803"/>
      <c r="K11" s="1039"/>
      <c r="L11" s="963" t="s">
        <v>1886</v>
      </c>
      <c r="M11" s="963" t="s">
        <v>56</v>
      </c>
      <c r="N11" s="480" t="s">
        <v>3304</v>
      </c>
      <c r="O11" s="1362">
        <v>19970</v>
      </c>
      <c r="P11" s="1362"/>
      <c r="Q11" s="1476">
        <v>0</v>
      </c>
      <c r="R11" s="1476">
        <v>0</v>
      </c>
      <c r="S11" s="1475">
        <v>45017</v>
      </c>
      <c r="T11" s="1716">
        <v>1</v>
      </c>
      <c r="U11" s="1475">
        <v>45382</v>
      </c>
      <c r="V11" s="1716">
        <v>192</v>
      </c>
      <c r="W11" s="1716">
        <f t="shared" si="18"/>
        <v>192</v>
      </c>
      <c r="X11" s="1717">
        <f t="shared" si="19"/>
        <v>1</v>
      </c>
      <c r="Y11" s="1716">
        <v>1</v>
      </c>
      <c r="Z11" s="1716">
        <f t="shared" si="20"/>
        <v>1</v>
      </c>
      <c r="AA11" s="1788">
        <f t="shared" si="21"/>
        <v>0</v>
      </c>
      <c r="AB11" s="1806" t="s">
        <v>2787</v>
      </c>
      <c r="AC11" s="1806" t="s">
        <v>2787</v>
      </c>
      <c r="AD11" s="1471"/>
      <c r="AE11" s="1471"/>
      <c r="AF11" s="1471"/>
      <c r="AG11" s="1476">
        <v>20970</v>
      </c>
      <c r="AH11" s="1476">
        <v>20970</v>
      </c>
      <c r="AI11" s="1476">
        <v>20970</v>
      </c>
      <c r="AJ11" s="1476"/>
      <c r="AK11" s="1476" t="str">
        <f t="shared" si="22"/>
        <v>no</v>
      </c>
      <c r="AL11" s="1476" t="str">
        <f t="shared" si="9"/>
        <v>no</v>
      </c>
      <c r="AM11" s="1476" t="str">
        <f t="shared" si="10"/>
        <v>yes</v>
      </c>
      <c r="AN11" s="1471"/>
      <c r="AO11" s="1476"/>
      <c r="AP11" s="1471"/>
      <c r="AQ11" s="1471"/>
      <c r="AR11" s="1471"/>
      <c r="AS11" s="1471"/>
      <c r="AT11" s="1471"/>
      <c r="AU11" s="1471"/>
      <c r="AV11" s="1471"/>
      <c r="AW11" s="1471"/>
      <c r="AX11" s="1471"/>
      <c r="AY11" s="1471"/>
      <c r="AZ11" s="1476"/>
      <c r="BA11" s="1476"/>
      <c r="BB11" s="1471"/>
      <c r="BC11" s="1471"/>
      <c r="BD11" s="1471"/>
      <c r="BE11" s="1471"/>
      <c r="BF11" s="1471"/>
      <c r="BG11" s="1471"/>
      <c r="BH11" s="1476">
        <f t="shared" si="23"/>
        <v>0</v>
      </c>
      <c r="BI11" s="1625"/>
      <c r="BJ11" s="1471">
        <v>20970</v>
      </c>
      <c r="BK11" s="1471"/>
      <c r="BL11" s="1473"/>
      <c r="BM11" s="1489">
        <f t="shared" si="28"/>
        <v>20970</v>
      </c>
      <c r="BN11" s="1489">
        <v>20970</v>
      </c>
      <c r="BO11" s="1773">
        <f t="shared" si="11"/>
        <v>0</v>
      </c>
      <c r="BP11" s="1773">
        <v>0</v>
      </c>
      <c r="BQ11" s="1774">
        <f t="shared" si="12"/>
        <v>20970</v>
      </c>
      <c r="CB11" s="1807">
        <v>-20970</v>
      </c>
      <c r="CF11" s="1795">
        <f t="shared" si="2"/>
        <v>0</v>
      </c>
      <c r="CG11" s="1796">
        <f t="shared" si="13"/>
        <v>0</v>
      </c>
      <c r="CH11" s="1796">
        <f t="shared" si="3"/>
        <v>-20970</v>
      </c>
      <c r="CI11" s="1490" t="s">
        <v>3309</v>
      </c>
      <c r="CN11" s="1797">
        <f t="shared" si="4"/>
        <v>0</v>
      </c>
      <c r="CO11" s="1797">
        <f t="shared" si="5"/>
        <v>0</v>
      </c>
      <c r="CR11" s="1494">
        <f t="shared" si="6"/>
        <v>0</v>
      </c>
      <c r="CS11" s="1797">
        <f t="shared" si="7"/>
        <v>0</v>
      </c>
      <c r="CV11" s="1678">
        <f t="shared" si="14"/>
        <v>0</v>
      </c>
      <c r="CW11" s="1795">
        <f t="shared" si="15"/>
        <v>0</v>
      </c>
      <c r="CX11" s="1496">
        <v>0</v>
      </c>
      <c r="CY11" s="1496">
        <f t="shared" si="30"/>
        <v>0</v>
      </c>
      <c r="CZ11" s="1496">
        <f t="shared" si="8"/>
        <v>0</v>
      </c>
      <c r="DC11" s="1747">
        <f t="shared" si="25"/>
        <v>0</v>
      </c>
      <c r="DD11" s="1496">
        <f t="shared" si="29"/>
        <v>0</v>
      </c>
      <c r="DF11" s="1747">
        <f t="shared" si="17"/>
        <v>0</v>
      </c>
      <c r="DI11" s="1747">
        <f t="shared" si="26"/>
        <v>0</v>
      </c>
    </row>
    <row r="12" spans="1:113" x14ac:dyDescent="0.25">
      <c r="A12" s="1471">
        <v>1</v>
      </c>
      <c r="B12" s="480" t="s">
        <v>2787</v>
      </c>
      <c r="C12" s="480">
        <v>201830</v>
      </c>
      <c r="D12" s="480" t="s">
        <v>3296</v>
      </c>
      <c r="E12" s="1784" t="s">
        <v>1876</v>
      </c>
      <c r="F12" s="1209">
        <v>442528</v>
      </c>
      <c r="G12" s="1208" t="s">
        <v>3310</v>
      </c>
      <c r="H12" s="1208" t="s">
        <v>217</v>
      </c>
      <c r="I12" s="1210">
        <v>41520</v>
      </c>
      <c r="J12" s="1803">
        <v>4</v>
      </c>
      <c r="K12" s="1039">
        <f t="shared" ca="1" si="27"/>
        <v>12.05201916495551</v>
      </c>
      <c r="L12" s="963" t="s">
        <v>1885</v>
      </c>
      <c r="M12" s="963" t="s">
        <v>56</v>
      </c>
      <c r="N12" s="1511" t="s">
        <v>3311</v>
      </c>
      <c r="O12" s="1362">
        <v>25860</v>
      </c>
      <c r="P12" s="1362"/>
      <c r="Q12" s="1476">
        <v>27150</v>
      </c>
      <c r="R12" s="1476">
        <v>0</v>
      </c>
      <c r="S12" s="1475">
        <v>45017</v>
      </c>
      <c r="T12" s="1716">
        <v>1</v>
      </c>
      <c r="U12" s="1475">
        <v>45382</v>
      </c>
      <c r="V12" s="1716">
        <v>192</v>
      </c>
      <c r="W12" s="1716">
        <f t="shared" si="18"/>
        <v>192</v>
      </c>
      <c r="X12" s="1717">
        <f t="shared" si="19"/>
        <v>1</v>
      </c>
      <c r="Y12" s="1716">
        <v>1</v>
      </c>
      <c r="Z12" s="1716">
        <f t="shared" si="20"/>
        <v>1</v>
      </c>
      <c r="AA12" s="1788">
        <f t="shared" si="21"/>
        <v>27150</v>
      </c>
      <c r="AB12" s="1754" t="s">
        <v>2797</v>
      </c>
      <c r="AC12" s="1754" t="s">
        <v>2797</v>
      </c>
      <c r="AD12" s="1471"/>
      <c r="AE12" s="1471"/>
      <c r="AF12" s="1471"/>
      <c r="AG12" s="1476">
        <v>27150</v>
      </c>
      <c r="AH12" s="1476" t="s">
        <v>3312</v>
      </c>
      <c r="AI12" s="1476">
        <v>27150</v>
      </c>
      <c r="AJ12" s="1476"/>
      <c r="AK12" s="1476" t="str">
        <f>IF(AI12&lt;=15000,"yes","no")</f>
        <v>no</v>
      </c>
      <c r="AL12" s="1476" t="str">
        <f t="shared" si="9"/>
        <v>no</v>
      </c>
      <c r="AM12" s="1476" t="str">
        <f t="shared" si="10"/>
        <v>yes</v>
      </c>
      <c r="AN12" s="1471"/>
      <c r="AO12" s="1476"/>
      <c r="AP12" s="1471"/>
      <c r="AQ12" s="1471"/>
      <c r="AR12" s="1471"/>
      <c r="AS12" s="1471"/>
      <c r="AT12" s="1471"/>
      <c r="AU12" s="1471"/>
      <c r="AV12" s="1471"/>
      <c r="AW12" s="1471"/>
      <c r="AX12" s="1471"/>
      <c r="AY12" s="1471"/>
      <c r="AZ12" s="1476"/>
      <c r="BA12" s="1476"/>
      <c r="BB12" s="1471"/>
      <c r="BC12" s="1471"/>
      <c r="BD12" s="1471"/>
      <c r="BE12" s="1471"/>
      <c r="BF12" s="1471"/>
      <c r="BG12" s="1471"/>
      <c r="BH12" s="1476">
        <f t="shared" si="23"/>
        <v>0</v>
      </c>
      <c r="BI12" s="1625"/>
      <c r="BJ12" s="1471">
        <v>27150</v>
      </c>
      <c r="BK12" s="1471"/>
      <c r="BL12" s="1473"/>
      <c r="BM12" s="1489">
        <f t="shared" si="28"/>
        <v>27150</v>
      </c>
      <c r="BN12" s="1489">
        <v>27150</v>
      </c>
      <c r="BO12" s="1773">
        <f t="shared" si="11"/>
        <v>0</v>
      </c>
      <c r="BP12" s="1773">
        <v>0</v>
      </c>
      <c r="BQ12" s="1774">
        <f t="shared" si="12"/>
        <v>27150</v>
      </c>
      <c r="CF12" s="1795">
        <f t="shared" si="2"/>
        <v>27150</v>
      </c>
      <c r="CG12" s="1796">
        <f t="shared" si="13"/>
        <v>27150</v>
      </c>
      <c r="CH12" s="1796">
        <f t="shared" si="3"/>
        <v>0</v>
      </c>
      <c r="CN12" s="1797">
        <f t="shared" si="4"/>
        <v>27150</v>
      </c>
      <c r="CO12" s="1797">
        <f t="shared" si="5"/>
        <v>0</v>
      </c>
      <c r="CR12" s="1494">
        <f t="shared" si="6"/>
        <v>27150</v>
      </c>
      <c r="CS12" s="1797">
        <f t="shared" si="7"/>
        <v>0</v>
      </c>
      <c r="CV12" s="1678">
        <f t="shared" si="14"/>
        <v>27150</v>
      </c>
      <c r="CW12" s="1795">
        <f t="shared" si="15"/>
        <v>0</v>
      </c>
      <c r="CX12" s="1496">
        <v>0</v>
      </c>
      <c r="CY12" s="1496">
        <f t="shared" si="30"/>
        <v>27150</v>
      </c>
      <c r="CZ12" s="1496">
        <f t="shared" si="8"/>
        <v>0</v>
      </c>
      <c r="DC12" s="1747">
        <f t="shared" si="25"/>
        <v>27150</v>
      </c>
      <c r="DD12" s="1496">
        <f t="shared" si="29"/>
        <v>0</v>
      </c>
      <c r="DF12" s="1747">
        <f t="shared" si="17"/>
        <v>27150</v>
      </c>
      <c r="DI12" s="1747">
        <f t="shared" si="26"/>
        <v>27150</v>
      </c>
    </row>
    <row r="13" spans="1:113" x14ac:dyDescent="0.25">
      <c r="A13" s="1471">
        <v>1</v>
      </c>
      <c r="B13" s="480" t="s">
        <v>2787</v>
      </c>
      <c r="C13" s="480">
        <v>201830</v>
      </c>
      <c r="D13" s="480" t="s">
        <v>3296</v>
      </c>
      <c r="E13" s="1784" t="s">
        <v>1876</v>
      </c>
      <c r="F13" s="1209">
        <v>448728</v>
      </c>
      <c r="G13" s="1208" t="s">
        <v>3313</v>
      </c>
      <c r="H13" s="1208" t="s">
        <v>3314</v>
      </c>
      <c r="I13" s="1210">
        <v>40054</v>
      </c>
      <c r="J13" s="1803">
        <v>9</v>
      </c>
      <c r="K13" s="1039">
        <f t="shared" ca="1" si="27"/>
        <v>16.06570841889117</v>
      </c>
      <c r="L13" s="963" t="s">
        <v>1886</v>
      </c>
      <c r="M13" s="963" t="s">
        <v>3315</v>
      </c>
      <c r="N13" s="1511" t="s">
        <v>3316</v>
      </c>
      <c r="O13" s="1362">
        <v>26210</v>
      </c>
      <c r="P13" s="1362"/>
      <c r="Q13" s="1476">
        <v>27150</v>
      </c>
      <c r="R13" s="1476">
        <v>0</v>
      </c>
      <c r="S13" s="1475">
        <v>45017</v>
      </c>
      <c r="T13" s="1716">
        <v>1</v>
      </c>
      <c r="U13" s="1475">
        <v>45382</v>
      </c>
      <c r="V13" s="1716">
        <v>192</v>
      </c>
      <c r="W13" s="1716">
        <f t="shared" si="18"/>
        <v>192</v>
      </c>
      <c r="X13" s="1717">
        <f t="shared" si="19"/>
        <v>1</v>
      </c>
      <c r="Y13" s="1716">
        <v>1</v>
      </c>
      <c r="Z13" s="1716">
        <f t="shared" si="20"/>
        <v>1</v>
      </c>
      <c r="AA13" s="1788">
        <f t="shared" si="21"/>
        <v>27150</v>
      </c>
      <c r="AB13" s="1754" t="s">
        <v>2797</v>
      </c>
      <c r="AC13" s="1754" t="s">
        <v>2797</v>
      </c>
      <c r="AD13" s="1471"/>
      <c r="AE13" s="1471"/>
      <c r="AF13" s="1471"/>
      <c r="AG13" s="1476">
        <v>27520</v>
      </c>
      <c r="AH13" s="1476"/>
      <c r="AI13" s="1476">
        <v>27520</v>
      </c>
      <c r="AJ13" s="1476"/>
      <c r="AK13" s="1476" t="str">
        <f t="shared" si="22"/>
        <v>no</v>
      </c>
      <c r="AL13" s="1476" t="str">
        <f t="shared" si="9"/>
        <v>no</v>
      </c>
      <c r="AM13" s="1476" t="str">
        <f t="shared" si="10"/>
        <v>yes</v>
      </c>
      <c r="AN13" s="1471"/>
      <c r="AO13" s="1476"/>
      <c r="AP13" s="1471"/>
      <c r="AQ13" s="1471"/>
      <c r="AR13" s="1471"/>
      <c r="AS13" s="1471"/>
      <c r="AT13" s="1471"/>
      <c r="AU13" s="1471"/>
      <c r="AV13" s="1471"/>
      <c r="AW13" s="1471"/>
      <c r="AX13" s="1471"/>
      <c r="AY13" s="1471"/>
      <c r="AZ13" s="1487">
        <v>26210</v>
      </c>
      <c r="BA13" s="1476"/>
      <c r="BB13" s="1471"/>
      <c r="BC13" s="1471"/>
      <c r="BD13" s="1471"/>
      <c r="BE13" s="1471"/>
      <c r="BF13" s="1471"/>
      <c r="BG13" s="1471"/>
      <c r="BH13" s="1476">
        <f t="shared" si="23"/>
        <v>0</v>
      </c>
      <c r="BI13" s="1625"/>
      <c r="BJ13" s="1471">
        <v>27520</v>
      </c>
      <c r="BK13" s="1471"/>
      <c r="BL13" s="1793">
        <v>26210</v>
      </c>
      <c r="BM13" s="1489">
        <f t="shared" si="28"/>
        <v>1310</v>
      </c>
      <c r="BN13" s="1489">
        <v>1310</v>
      </c>
      <c r="BO13" s="1773">
        <f t="shared" si="11"/>
        <v>0</v>
      </c>
      <c r="BP13" s="1773">
        <v>0</v>
      </c>
      <c r="BQ13" s="1774">
        <f t="shared" si="12"/>
        <v>1310</v>
      </c>
      <c r="CF13" s="1795">
        <f t="shared" si="2"/>
        <v>1310</v>
      </c>
      <c r="CG13" s="1796">
        <f t="shared" si="13"/>
        <v>1310</v>
      </c>
      <c r="CH13" s="1796">
        <f t="shared" si="3"/>
        <v>0</v>
      </c>
      <c r="CN13" s="1797">
        <f t="shared" si="4"/>
        <v>1310</v>
      </c>
      <c r="CO13" s="1797">
        <f t="shared" si="5"/>
        <v>0</v>
      </c>
      <c r="CR13" s="1494">
        <f t="shared" si="6"/>
        <v>1310</v>
      </c>
      <c r="CS13" s="1797">
        <f t="shared" si="7"/>
        <v>0</v>
      </c>
      <c r="CV13" s="1678">
        <f t="shared" si="14"/>
        <v>1310</v>
      </c>
      <c r="CW13" s="1795">
        <f t="shared" si="15"/>
        <v>0</v>
      </c>
      <c r="CX13" s="1496">
        <v>25840</v>
      </c>
      <c r="CY13" s="1496">
        <f t="shared" si="30"/>
        <v>27150</v>
      </c>
      <c r="CZ13" s="1496">
        <f t="shared" si="8"/>
        <v>25840</v>
      </c>
      <c r="DC13" s="1747">
        <f t="shared" si="25"/>
        <v>27150</v>
      </c>
      <c r="DD13" s="1496">
        <f t="shared" si="29"/>
        <v>0</v>
      </c>
      <c r="DF13" s="1747">
        <f t="shared" si="17"/>
        <v>27150</v>
      </c>
      <c r="DI13" s="1747">
        <f t="shared" si="26"/>
        <v>27150</v>
      </c>
    </row>
    <row r="14" spans="1:113" x14ac:dyDescent="0.25">
      <c r="A14" s="1471">
        <v>1</v>
      </c>
      <c r="B14" s="480" t="s">
        <v>2787</v>
      </c>
      <c r="C14" s="480">
        <v>201830</v>
      </c>
      <c r="D14" s="480" t="s">
        <v>3296</v>
      </c>
      <c r="E14" s="1784" t="s">
        <v>1876</v>
      </c>
      <c r="F14" s="1209">
        <v>455523</v>
      </c>
      <c r="G14" s="1208" t="s">
        <v>2894</v>
      </c>
      <c r="H14" s="1208" t="s">
        <v>2895</v>
      </c>
      <c r="I14" s="1210">
        <v>42823</v>
      </c>
      <c r="J14" s="1803">
        <v>1</v>
      </c>
      <c r="K14" s="1039">
        <f t="shared" ca="1" si="27"/>
        <v>8.4845995893223822</v>
      </c>
      <c r="L14" s="963" t="s">
        <v>1885</v>
      </c>
      <c r="M14" s="963"/>
      <c r="N14" s="1511"/>
      <c r="O14" s="1362">
        <v>18060</v>
      </c>
      <c r="P14" s="1362"/>
      <c r="Q14" s="1476"/>
      <c r="R14" s="1476"/>
      <c r="S14" s="1475">
        <v>45170</v>
      </c>
      <c r="T14" s="1716">
        <v>65</v>
      </c>
      <c r="U14" s="1475">
        <v>45382</v>
      </c>
      <c r="V14" s="1716">
        <v>192</v>
      </c>
      <c r="W14" s="1716">
        <f t="shared" si="18"/>
        <v>128</v>
      </c>
      <c r="X14" s="1717">
        <f t="shared" si="19"/>
        <v>0.66666666666666663</v>
      </c>
      <c r="Y14" s="1716">
        <v>1</v>
      </c>
      <c r="Z14" s="1716">
        <f t="shared" si="20"/>
        <v>0.66666666666666663</v>
      </c>
      <c r="AA14" s="1788">
        <f t="shared" si="21"/>
        <v>0</v>
      </c>
      <c r="AB14" s="1754" t="s">
        <v>2797</v>
      </c>
      <c r="AC14" s="1754" t="s">
        <v>2797</v>
      </c>
      <c r="AD14" s="1471"/>
      <c r="AE14" s="1471"/>
      <c r="AF14" s="1471"/>
      <c r="AG14" s="1476"/>
      <c r="AH14" s="1476"/>
      <c r="AI14" s="1476"/>
      <c r="AJ14" s="1476"/>
      <c r="AK14" s="1476" t="s">
        <v>2804</v>
      </c>
      <c r="AL14" s="1476" t="s">
        <v>2805</v>
      </c>
      <c r="AM14" s="1476" t="s">
        <v>2804</v>
      </c>
      <c r="AN14" s="1471"/>
      <c r="AO14" s="1476"/>
      <c r="AP14" s="1471"/>
      <c r="AQ14" s="1471"/>
      <c r="AR14" s="1471"/>
      <c r="AS14" s="1471"/>
      <c r="AT14" s="1471"/>
      <c r="AU14" s="1471"/>
      <c r="AV14" s="1471"/>
      <c r="AW14" s="1471"/>
      <c r="AX14" s="1471"/>
      <c r="AY14" s="1471"/>
      <c r="AZ14" s="1476"/>
      <c r="BA14" s="1476"/>
      <c r="BB14" s="1471"/>
      <c r="BC14" s="1471"/>
      <c r="BD14" s="1471"/>
      <c r="BE14" s="1471"/>
      <c r="BF14" s="1471"/>
      <c r="BG14" s="1471"/>
      <c r="BH14" s="1476"/>
      <c r="BI14" s="1625"/>
      <c r="BJ14" s="1471">
        <v>0</v>
      </c>
      <c r="BK14" s="1471"/>
      <c r="BL14" s="1793"/>
      <c r="BM14" s="1489"/>
      <c r="BN14" s="1489"/>
      <c r="BO14" s="1773"/>
      <c r="BP14" s="1773"/>
      <c r="BQ14" s="1774"/>
      <c r="CF14" s="1795"/>
      <c r="CG14" s="1796"/>
      <c r="CH14" s="1796"/>
      <c r="CN14" s="1797"/>
      <c r="CO14" s="1797"/>
      <c r="CP14" s="1490">
        <v>18060</v>
      </c>
      <c r="CR14" s="1494">
        <f t="shared" si="6"/>
        <v>18060</v>
      </c>
      <c r="CS14" s="1797">
        <f t="shared" si="7"/>
        <v>18060</v>
      </c>
      <c r="CT14" s="1490">
        <v>-6020</v>
      </c>
      <c r="CV14" s="1678">
        <f t="shared" si="14"/>
        <v>12040</v>
      </c>
      <c r="CW14" s="1795">
        <f t="shared" si="15"/>
        <v>-6020</v>
      </c>
      <c r="CX14" s="1496">
        <v>0</v>
      </c>
      <c r="CY14" s="1496">
        <f>CV14+CX14</f>
        <v>12040</v>
      </c>
      <c r="CZ14" s="1496">
        <f t="shared" si="8"/>
        <v>0</v>
      </c>
      <c r="DB14" s="1798">
        <v>0</v>
      </c>
      <c r="DC14" s="1747">
        <f t="shared" si="25"/>
        <v>12040</v>
      </c>
      <c r="DD14" s="1496">
        <f t="shared" si="29"/>
        <v>0</v>
      </c>
      <c r="DF14" s="1747">
        <f t="shared" si="17"/>
        <v>12040</v>
      </c>
      <c r="DI14" s="1747">
        <f t="shared" si="26"/>
        <v>12040</v>
      </c>
    </row>
    <row r="15" spans="1:113" x14ac:dyDescent="0.25">
      <c r="A15" s="1751">
        <v>1</v>
      </c>
      <c r="B15" s="1135" t="s">
        <v>3317</v>
      </c>
      <c r="C15" s="1135">
        <v>211236</v>
      </c>
      <c r="D15" s="1135" t="s">
        <v>3318</v>
      </c>
      <c r="E15" s="1749" t="s">
        <v>1876</v>
      </c>
      <c r="F15" s="1808">
        <v>428575</v>
      </c>
      <c r="G15" s="1809" t="s">
        <v>1404</v>
      </c>
      <c r="H15" s="1809" t="s">
        <v>1403</v>
      </c>
      <c r="I15" s="1810">
        <v>42377</v>
      </c>
      <c r="J15" s="1811">
        <v>2</v>
      </c>
      <c r="K15" s="1147">
        <f t="shared" ca="1" si="27"/>
        <v>9.7056810403832987</v>
      </c>
      <c r="L15" s="1146" t="s">
        <v>1885</v>
      </c>
      <c r="M15" s="1146"/>
      <c r="N15" s="1812"/>
      <c r="O15" s="1813">
        <v>13500</v>
      </c>
      <c r="P15" s="1813"/>
      <c r="Q15" s="1762">
        <v>13500</v>
      </c>
      <c r="R15" s="1762"/>
      <c r="S15" s="1517">
        <v>45173</v>
      </c>
      <c r="T15" s="1716">
        <v>66</v>
      </c>
      <c r="U15" s="1517">
        <v>45382</v>
      </c>
      <c r="V15" s="1716">
        <v>192</v>
      </c>
      <c r="W15" s="1716">
        <f t="shared" si="18"/>
        <v>127</v>
      </c>
      <c r="X15" s="1717">
        <f>W15/V15</f>
        <v>0.66145833333333337</v>
      </c>
      <c r="Y15" s="1716">
        <v>1</v>
      </c>
      <c r="Z15" s="1716">
        <f t="shared" si="20"/>
        <v>0.66145833333333337</v>
      </c>
      <c r="AA15" s="1814">
        <f t="shared" si="21"/>
        <v>8929.6875</v>
      </c>
      <c r="AB15" s="1748" t="s">
        <v>2797</v>
      </c>
      <c r="AC15" s="1748" t="s">
        <v>2797</v>
      </c>
      <c r="AD15" s="1471"/>
      <c r="AE15" s="1471"/>
      <c r="AF15" s="1471"/>
      <c r="AG15" s="1476"/>
      <c r="AH15" s="1476"/>
      <c r="AI15" s="1476"/>
      <c r="AJ15" s="1476"/>
      <c r="AK15" s="1476"/>
      <c r="AL15" s="1476"/>
      <c r="AM15" s="1476"/>
      <c r="AN15" s="1471"/>
      <c r="AO15" s="1476"/>
      <c r="AP15" s="1471"/>
      <c r="AQ15" s="1471"/>
      <c r="AR15" s="1471"/>
      <c r="AS15" s="1471"/>
      <c r="AT15" s="1471"/>
      <c r="AU15" s="1471"/>
      <c r="AV15" s="1471"/>
      <c r="AW15" s="1471"/>
      <c r="AX15" s="1471"/>
      <c r="AY15" s="1471"/>
      <c r="AZ15" s="1476"/>
      <c r="BA15" s="1476"/>
      <c r="BB15" s="1471"/>
      <c r="BC15" s="1471"/>
      <c r="BD15" s="1471"/>
      <c r="BE15" s="1471"/>
      <c r="BF15" s="1471"/>
      <c r="BG15" s="1471"/>
      <c r="BH15" s="1476"/>
      <c r="BI15" s="1473"/>
      <c r="BJ15" s="1471">
        <v>0</v>
      </c>
      <c r="BK15" s="1471"/>
      <c r="BL15" s="1473"/>
      <c r="BM15" s="1489"/>
      <c r="BN15" s="1489"/>
      <c r="BO15" s="1773"/>
      <c r="BP15" s="1773"/>
      <c r="BQ15" s="1774"/>
      <c r="CF15" s="1795"/>
      <c r="CG15" s="1796"/>
      <c r="CH15" s="1796"/>
      <c r="CN15" s="1797"/>
      <c r="CO15" s="1797"/>
      <c r="CR15" s="1494"/>
      <c r="CS15" s="1797"/>
      <c r="CT15" s="1652">
        <f>+Q15</f>
        <v>13500</v>
      </c>
      <c r="CV15" s="1678">
        <f t="shared" si="14"/>
        <v>13500</v>
      </c>
      <c r="CW15" s="1795">
        <f t="shared" si="15"/>
        <v>13500</v>
      </c>
      <c r="CX15" s="1496">
        <v>0</v>
      </c>
      <c r="CY15" s="1496">
        <f>CV15+CX15</f>
        <v>13500</v>
      </c>
      <c r="CZ15" s="1496">
        <f t="shared" si="8"/>
        <v>0</v>
      </c>
      <c r="DB15" s="1798">
        <v>0</v>
      </c>
      <c r="DC15" s="1747">
        <f t="shared" si="25"/>
        <v>13500</v>
      </c>
      <c r="DD15" s="1496">
        <f t="shared" si="29"/>
        <v>0</v>
      </c>
      <c r="DF15" s="1747">
        <f t="shared" si="17"/>
        <v>13500</v>
      </c>
      <c r="DI15" s="1747">
        <f t="shared" si="26"/>
        <v>13500</v>
      </c>
    </row>
    <row r="16" spans="1:113" x14ac:dyDescent="0.25">
      <c r="A16" s="1471">
        <v>1</v>
      </c>
      <c r="B16" s="480" t="s">
        <v>3319</v>
      </c>
      <c r="C16" s="480">
        <v>202047</v>
      </c>
      <c r="D16" s="480" t="s">
        <v>3320</v>
      </c>
      <c r="E16" s="1784" t="s">
        <v>1606</v>
      </c>
      <c r="F16" s="1165">
        <v>422873</v>
      </c>
      <c r="G16" s="480" t="s">
        <v>3321</v>
      </c>
      <c r="H16" s="480" t="s">
        <v>657</v>
      </c>
      <c r="I16" s="1038">
        <v>40235</v>
      </c>
      <c r="J16" s="1803">
        <v>5</v>
      </c>
      <c r="K16" s="1039">
        <f t="shared" ca="1" si="27"/>
        <v>15.570157426420261</v>
      </c>
      <c r="L16" s="963" t="s">
        <v>1886</v>
      </c>
      <c r="M16" s="963" t="s">
        <v>56</v>
      </c>
      <c r="N16" s="480" t="s">
        <v>3322</v>
      </c>
      <c r="O16" s="1362">
        <v>34192</v>
      </c>
      <c r="P16" s="1362"/>
      <c r="Q16" s="1476">
        <v>34192</v>
      </c>
      <c r="R16" s="1476">
        <v>0</v>
      </c>
      <c r="S16" s="1475">
        <v>45017</v>
      </c>
      <c r="T16" s="1716">
        <v>1</v>
      </c>
      <c r="U16" s="1475">
        <v>45382</v>
      </c>
      <c r="V16" s="1716">
        <v>192</v>
      </c>
      <c r="W16" s="1716">
        <f t="shared" si="18"/>
        <v>192</v>
      </c>
      <c r="X16" s="1717">
        <f t="shared" si="19"/>
        <v>1</v>
      </c>
      <c r="Y16" s="1716">
        <v>1</v>
      </c>
      <c r="Z16" s="1716">
        <f t="shared" si="20"/>
        <v>1</v>
      </c>
      <c r="AA16" s="1788">
        <f t="shared" si="21"/>
        <v>34192</v>
      </c>
      <c r="AB16" s="1037" t="s">
        <v>2797</v>
      </c>
      <c r="AC16" s="1037" t="s">
        <v>2797</v>
      </c>
      <c r="AD16" s="1471"/>
      <c r="AE16" s="1471"/>
      <c r="AF16" s="1471"/>
      <c r="AG16" s="1476">
        <v>34192</v>
      </c>
      <c r="AH16" s="1476"/>
      <c r="AI16" s="1476">
        <v>34192</v>
      </c>
      <c r="AJ16" s="1476"/>
      <c r="AK16" s="1476" t="str">
        <f t="shared" si="22"/>
        <v>no</v>
      </c>
      <c r="AL16" s="1476" t="str">
        <f t="shared" si="9"/>
        <v>no</v>
      </c>
      <c r="AM16" s="1476" t="str">
        <f t="shared" si="10"/>
        <v>yes</v>
      </c>
      <c r="AN16" s="1471"/>
      <c r="AO16" s="1476"/>
      <c r="AP16" s="1471"/>
      <c r="AQ16" s="1471"/>
      <c r="AR16" s="1471"/>
      <c r="AS16" s="1471"/>
      <c r="AT16" s="1471"/>
      <c r="AU16" s="1471"/>
      <c r="AV16" s="1471"/>
      <c r="AW16" s="1471"/>
      <c r="AX16" s="1471"/>
      <c r="AY16" s="1471"/>
      <c r="AZ16" s="1476"/>
      <c r="BA16" s="1476"/>
      <c r="BB16" s="1471"/>
      <c r="BC16" s="1471"/>
      <c r="BD16" s="1471">
        <v>8071635</v>
      </c>
      <c r="BE16" s="1471"/>
      <c r="BF16" s="1471"/>
      <c r="BG16" s="1471"/>
      <c r="BH16" s="1476">
        <f>AO16+AS16+AW16</f>
        <v>0</v>
      </c>
      <c r="BI16" s="1625"/>
      <c r="BJ16" s="1471">
        <v>34192</v>
      </c>
      <c r="BK16" s="1471"/>
      <c r="BL16" s="1473"/>
      <c r="BM16" s="1489">
        <f t="shared" si="28"/>
        <v>34192</v>
      </c>
      <c r="BN16" s="1489">
        <v>34192</v>
      </c>
      <c r="BO16" s="1773">
        <f t="shared" si="11"/>
        <v>0</v>
      </c>
      <c r="BP16" s="1773">
        <v>0</v>
      </c>
      <c r="BQ16" s="1774">
        <f t="shared" si="12"/>
        <v>34192</v>
      </c>
      <c r="CF16" s="1795">
        <f>BQ16+CB16+CD16</f>
        <v>34192</v>
      </c>
      <c r="CG16" s="1796">
        <f t="shared" si="13"/>
        <v>34192</v>
      </c>
      <c r="CH16" s="1796">
        <f>CG16-BQ16</f>
        <v>0</v>
      </c>
      <c r="CN16" s="1797">
        <f t="shared" si="4"/>
        <v>34192</v>
      </c>
      <c r="CO16" s="1797">
        <f t="shared" si="5"/>
        <v>0</v>
      </c>
      <c r="CR16" s="1494">
        <f t="shared" si="6"/>
        <v>34192</v>
      </c>
      <c r="CS16" s="1797">
        <f t="shared" si="7"/>
        <v>0</v>
      </c>
      <c r="CV16" s="1678">
        <f t="shared" si="14"/>
        <v>34192</v>
      </c>
      <c r="CW16" s="1795">
        <f t="shared" si="15"/>
        <v>0</v>
      </c>
      <c r="CX16" s="1496">
        <v>-8836</v>
      </c>
      <c r="CY16" s="1496">
        <f t="shared" ref="CY16:CY27" si="31">CV16+CX16</f>
        <v>25356</v>
      </c>
      <c r="CZ16" s="1496">
        <f t="shared" si="8"/>
        <v>-8836</v>
      </c>
      <c r="DC16" s="1747">
        <f t="shared" si="25"/>
        <v>25356</v>
      </c>
      <c r="DD16" s="1496">
        <f t="shared" si="29"/>
        <v>0</v>
      </c>
      <c r="DF16" s="1747">
        <f t="shared" si="17"/>
        <v>25356</v>
      </c>
      <c r="DI16" s="1747">
        <f t="shared" si="26"/>
        <v>25356</v>
      </c>
    </row>
    <row r="17" spans="1:113" s="1825" customFormat="1" x14ac:dyDescent="0.25">
      <c r="A17" s="1792">
        <v>1</v>
      </c>
      <c r="B17" s="1224" t="s">
        <v>3319</v>
      </c>
      <c r="C17" s="1224">
        <v>202047</v>
      </c>
      <c r="D17" s="1224" t="s">
        <v>3320</v>
      </c>
      <c r="E17" s="1815" t="s">
        <v>1606</v>
      </c>
      <c r="F17" s="1816">
        <v>379264</v>
      </c>
      <c r="G17" s="1224" t="s">
        <v>3323</v>
      </c>
      <c r="H17" s="1224" t="s">
        <v>3324</v>
      </c>
      <c r="I17" s="1225">
        <v>39763</v>
      </c>
      <c r="J17" s="1817">
        <v>7</v>
      </c>
      <c r="K17" s="1226">
        <f t="shared" ca="1" si="27"/>
        <v>16.862422997946613</v>
      </c>
      <c r="L17" s="1229" t="s">
        <v>1886</v>
      </c>
      <c r="M17" s="1229" t="s">
        <v>1316</v>
      </c>
      <c r="N17" s="1224" t="s">
        <v>3325</v>
      </c>
      <c r="O17" s="1818">
        <v>19692</v>
      </c>
      <c r="P17" s="1818"/>
      <c r="Q17" s="1819">
        <v>19692</v>
      </c>
      <c r="R17" s="1819">
        <v>0</v>
      </c>
      <c r="S17" s="1820">
        <v>45017</v>
      </c>
      <c r="T17" s="1714">
        <v>1</v>
      </c>
      <c r="U17" s="1820">
        <v>45382</v>
      </c>
      <c r="V17" s="1716">
        <v>192</v>
      </c>
      <c r="W17" s="1716">
        <f t="shared" si="18"/>
        <v>192</v>
      </c>
      <c r="X17" s="1717">
        <f t="shared" si="19"/>
        <v>1</v>
      </c>
      <c r="Y17" s="1716">
        <v>1</v>
      </c>
      <c r="Z17" s="1716">
        <f t="shared" si="20"/>
        <v>1</v>
      </c>
      <c r="AA17" s="1821">
        <f t="shared" si="21"/>
        <v>19692</v>
      </c>
      <c r="AB17" s="1822" t="s">
        <v>2797</v>
      </c>
      <c r="AC17" s="1822" t="s">
        <v>2797</v>
      </c>
      <c r="AD17" s="1792"/>
      <c r="AE17" s="1792"/>
      <c r="AF17" s="1792"/>
      <c r="AG17" s="1819">
        <v>19692</v>
      </c>
      <c r="AH17" s="1819"/>
      <c r="AI17" s="1819">
        <v>19692</v>
      </c>
      <c r="AJ17" s="1819"/>
      <c r="AK17" s="1819" t="str">
        <f t="shared" si="22"/>
        <v>no</v>
      </c>
      <c r="AL17" s="1819" t="str">
        <f t="shared" si="9"/>
        <v>yes</v>
      </c>
      <c r="AM17" s="1819" t="str">
        <f t="shared" si="10"/>
        <v>no</v>
      </c>
      <c r="AN17" s="1792"/>
      <c r="AO17" s="1819"/>
      <c r="AP17" s="1792"/>
      <c r="AQ17" s="1792"/>
      <c r="AR17" s="1792"/>
      <c r="AS17" s="1792"/>
      <c r="AT17" s="1792"/>
      <c r="AU17" s="1792"/>
      <c r="AV17" s="1792"/>
      <c r="AW17" s="1792"/>
      <c r="AX17" s="1792"/>
      <c r="AY17" s="1792"/>
      <c r="AZ17" s="1819"/>
      <c r="BA17" s="1819"/>
      <c r="BB17" s="1792"/>
      <c r="BC17" s="1792"/>
      <c r="BD17" s="1792">
        <v>8071668</v>
      </c>
      <c r="BE17" s="1792"/>
      <c r="BF17" s="1792"/>
      <c r="BG17" s="1792"/>
      <c r="BH17" s="1819">
        <f>AO17+AS17+AW17</f>
        <v>0</v>
      </c>
      <c r="BI17" s="1823"/>
      <c r="BJ17" s="1792">
        <v>19692</v>
      </c>
      <c r="BK17" s="1792"/>
      <c r="BL17" s="1823"/>
      <c r="BM17" s="1824">
        <f t="shared" si="28"/>
        <v>19692</v>
      </c>
      <c r="BN17" s="1824">
        <v>19692</v>
      </c>
      <c r="BO17" s="1735">
        <f t="shared" si="11"/>
        <v>0</v>
      </c>
      <c r="BP17" s="1735">
        <v>0</v>
      </c>
      <c r="BQ17" s="1736">
        <f t="shared" si="12"/>
        <v>19692</v>
      </c>
      <c r="BW17" s="1826"/>
      <c r="BX17" s="1826"/>
      <c r="CF17" s="1827">
        <f>BQ17+CB17+CD17</f>
        <v>19692</v>
      </c>
      <c r="CG17" s="1828">
        <f t="shared" si="13"/>
        <v>19692</v>
      </c>
      <c r="CH17" s="1828">
        <f>CG17-BQ17</f>
        <v>0</v>
      </c>
      <c r="CL17" s="1490"/>
      <c r="CM17" s="1490"/>
      <c r="CN17" s="1829">
        <f t="shared" si="4"/>
        <v>19692</v>
      </c>
      <c r="CO17" s="1829">
        <f t="shared" si="5"/>
        <v>0</v>
      </c>
      <c r="CR17" s="1830">
        <f t="shared" si="6"/>
        <v>19692</v>
      </c>
      <c r="CS17" s="1829">
        <f t="shared" si="7"/>
        <v>0</v>
      </c>
      <c r="CV17" s="1831">
        <f t="shared" si="14"/>
        <v>19692</v>
      </c>
      <c r="CW17" s="1827">
        <f t="shared" si="15"/>
        <v>0</v>
      </c>
      <c r="CX17" s="1832">
        <v>0</v>
      </c>
      <c r="CY17" s="1832">
        <f t="shared" si="31"/>
        <v>19692</v>
      </c>
      <c r="CZ17" s="1496">
        <f t="shared" si="8"/>
        <v>0</v>
      </c>
      <c r="DA17" s="1825" t="s">
        <v>3326</v>
      </c>
      <c r="DB17" s="1833"/>
      <c r="DC17" s="1747">
        <f t="shared" si="25"/>
        <v>19692</v>
      </c>
      <c r="DD17" s="1496">
        <f t="shared" si="29"/>
        <v>0</v>
      </c>
      <c r="DE17" s="1496"/>
      <c r="DF17" s="1747">
        <f t="shared" si="17"/>
        <v>19692</v>
      </c>
      <c r="DG17" s="1490"/>
      <c r="DH17" s="1490"/>
      <c r="DI17" s="1747">
        <f t="shared" si="26"/>
        <v>19692</v>
      </c>
    </row>
    <row r="18" spans="1:113" x14ac:dyDescent="0.25">
      <c r="A18" s="1471">
        <v>1</v>
      </c>
      <c r="B18" s="480" t="s">
        <v>3319</v>
      </c>
      <c r="C18" s="480">
        <v>202047</v>
      </c>
      <c r="D18" s="480" t="s">
        <v>3320</v>
      </c>
      <c r="E18" s="1784" t="s">
        <v>1606</v>
      </c>
      <c r="F18" s="1165">
        <v>386272</v>
      </c>
      <c r="G18" s="480" t="s">
        <v>556</v>
      </c>
      <c r="H18" s="480" t="s">
        <v>206</v>
      </c>
      <c r="I18" s="1038">
        <v>40026</v>
      </c>
      <c r="J18" s="1803">
        <v>0</v>
      </c>
      <c r="K18" s="1039">
        <f t="shared" ca="1" si="27"/>
        <v>16.142368240930868</v>
      </c>
      <c r="L18" s="963" t="s">
        <v>1886</v>
      </c>
      <c r="M18" s="963" t="s">
        <v>56</v>
      </c>
      <c r="N18" s="480" t="s">
        <v>3304</v>
      </c>
      <c r="O18" s="1362">
        <v>27200</v>
      </c>
      <c r="P18" s="1362"/>
      <c r="Q18" s="1476">
        <v>27200</v>
      </c>
      <c r="R18" s="1476">
        <v>0</v>
      </c>
      <c r="S18" s="1475">
        <v>45017</v>
      </c>
      <c r="T18" s="1716">
        <v>1</v>
      </c>
      <c r="U18" s="1475">
        <v>45382</v>
      </c>
      <c r="V18" s="1716">
        <v>192</v>
      </c>
      <c r="W18" s="1716">
        <f t="shared" si="18"/>
        <v>192</v>
      </c>
      <c r="X18" s="1717">
        <f t="shared" si="19"/>
        <v>1</v>
      </c>
      <c r="Y18" s="1716">
        <v>1</v>
      </c>
      <c r="Z18" s="1716">
        <f t="shared" si="20"/>
        <v>1</v>
      </c>
      <c r="AA18" s="1788">
        <f t="shared" si="21"/>
        <v>27200</v>
      </c>
      <c r="AB18" s="1037" t="s">
        <v>2797</v>
      </c>
      <c r="AC18" s="1037" t="s">
        <v>2797</v>
      </c>
      <c r="AD18" s="1471"/>
      <c r="AE18" s="1471"/>
      <c r="AF18" s="1471"/>
      <c r="AG18" s="1476">
        <v>27200</v>
      </c>
      <c r="AH18" s="1476"/>
      <c r="AI18" s="1476">
        <v>27200</v>
      </c>
      <c r="AJ18" s="1476"/>
      <c r="AK18" s="1476" t="str">
        <f t="shared" si="22"/>
        <v>no</v>
      </c>
      <c r="AL18" s="1476" t="str">
        <f t="shared" si="9"/>
        <v>no</v>
      </c>
      <c r="AM18" s="1476" t="str">
        <f t="shared" si="10"/>
        <v>yes</v>
      </c>
      <c r="AN18" s="1471"/>
      <c r="AO18" s="1476"/>
      <c r="AP18" s="1471"/>
      <c r="AQ18" s="1471"/>
      <c r="AR18" s="1471"/>
      <c r="AS18" s="1471"/>
      <c r="AT18" s="1471"/>
      <c r="AU18" s="1471"/>
      <c r="AV18" s="1471"/>
      <c r="AW18" s="1471"/>
      <c r="AX18" s="1471"/>
      <c r="AY18" s="1471"/>
      <c r="AZ18" s="1476"/>
      <c r="BA18" s="1476"/>
      <c r="BB18" s="1471"/>
      <c r="BC18" s="1471"/>
      <c r="BD18" s="1471"/>
      <c r="BE18" s="1471"/>
      <c r="BF18" s="1471"/>
      <c r="BG18" s="1471"/>
      <c r="BH18" s="1476">
        <f>AO18+AS18+AW18</f>
        <v>0</v>
      </c>
      <c r="BI18" s="1625">
        <f>BC18</f>
        <v>0</v>
      </c>
      <c r="BJ18" s="1471">
        <v>27200</v>
      </c>
      <c r="BK18" s="1471"/>
      <c r="BL18" s="1473"/>
      <c r="BM18" s="1489">
        <f t="shared" si="28"/>
        <v>27200</v>
      </c>
      <c r="BN18" s="1489">
        <v>27200</v>
      </c>
      <c r="BO18" s="1773">
        <f t="shared" si="11"/>
        <v>0</v>
      </c>
      <c r="BP18" s="1773">
        <v>0</v>
      </c>
      <c r="BQ18" s="1774">
        <f t="shared" si="12"/>
        <v>27200</v>
      </c>
      <c r="CF18" s="1795">
        <f>BQ18+CB18+CD18</f>
        <v>27200</v>
      </c>
      <c r="CG18" s="1796">
        <f t="shared" si="13"/>
        <v>27200</v>
      </c>
      <c r="CH18" s="1796">
        <f>CG18-BQ18</f>
        <v>0</v>
      </c>
      <c r="CN18" s="1797">
        <f t="shared" si="4"/>
        <v>27200</v>
      </c>
      <c r="CO18" s="1797">
        <f t="shared" si="5"/>
        <v>0</v>
      </c>
      <c r="CR18" s="1494">
        <f t="shared" si="6"/>
        <v>27200</v>
      </c>
      <c r="CS18" s="1797">
        <f t="shared" si="7"/>
        <v>0</v>
      </c>
      <c r="CV18" s="1678">
        <f t="shared" si="14"/>
        <v>27200</v>
      </c>
      <c r="CW18" s="1795">
        <f t="shared" si="15"/>
        <v>0</v>
      </c>
      <c r="CX18" s="1496">
        <v>0</v>
      </c>
      <c r="CY18" s="1832">
        <f t="shared" si="31"/>
        <v>27200</v>
      </c>
      <c r="CZ18" s="1496">
        <f t="shared" si="8"/>
        <v>0</v>
      </c>
      <c r="DA18" s="1825" t="s">
        <v>3327</v>
      </c>
      <c r="DC18" s="1747">
        <f t="shared" si="25"/>
        <v>27200</v>
      </c>
      <c r="DD18" s="1496">
        <f t="shared" si="29"/>
        <v>0</v>
      </c>
      <c r="DF18" s="1747">
        <f t="shared" si="17"/>
        <v>27200</v>
      </c>
      <c r="DI18" s="1747">
        <f t="shared" si="26"/>
        <v>27200</v>
      </c>
    </row>
    <row r="19" spans="1:113" x14ac:dyDescent="0.25">
      <c r="A19" s="1471">
        <v>1</v>
      </c>
      <c r="B19" s="480" t="s">
        <v>3319</v>
      </c>
      <c r="C19" s="480">
        <v>202047</v>
      </c>
      <c r="D19" s="480" t="s">
        <v>3320</v>
      </c>
      <c r="E19" s="1784" t="s">
        <v>1606</v>
      </c>
      <c r="F19" s="1165">
        <v>438262</v>
      </c>
      <c r="G19" s="480" t="s">
        <v>3328</v>
      </c>
      <c r="H19" s="480" t="s">
        <v>3329</v>
      </c>
      <c r="I19" s="1038">
        <v>41750</v>
      </c>
      <c r="J19" s="1803">
        <v>4</v>
      </c>
      <c r="K19" s="1039">
        <f t="shared" ca="1" si="27"/>
        <v>11.422313483915127</v>
      </c>
      <c r="L19" s="963" t="s">
        <v>1885</v>
      </c>
      <c r="M19" s="963" t="s">
        <v>56</v>
      </c>
      <c r="N19" s="480" t="s">
        <v>3299</v>
      </c>
      <c r="O19" s="1362">
        <v>39294</v>
      </c>
      <c r="P19" s="1362"/>
      <c r="Q19" s="1476">
        <v>39294</v>
      </c>
      <c r="R19" s="1476">
        <v>0</v>
      </c>
      <c r="S19" s="1475">
        <v>45017</v>
      </c>
      <c r="T19" s="1716">
        <v>1</v>
      </c>
      <c r="U19" s="1475">
        <v>45382</v>
      </c>
      <c r="V19" s="1716">
        <v>192</v>
      </c>
      <c r="W19" s="1716">
        <f t="shared" si="18"/>
        <v>192</v>
      </c>
      <c r="X19" s="1717">
        <f t="shared" si="19"/>
        <v>1</v>
      </c>
      <c r="Y19" s="1716">
        <v>1</v>
      </c>
      <c r="Z19" s="1716">
        <f t="shared" si="20"/>
        <v>1</v>
      </c>
      <c r="AA19" s="1788">
        <f t="shared" si="21"/>
        <v>39294</v>
      </c>
      <c r="AB19" s="1037" t="s">
        <v>2797</v>
      </c>
      <c r="AC19" s="1037" t="s">
        <v>2797</v>
      </c>
      <c r="AD19" s="1471"/>
      <c r="AE19" s="1471"/>
      <c r="AF19" s="1471"/>
      <c r="AG19" s="1476">
        <v>39294</v>
      </c>
      <c r="AH19" s="1476"/>
      <c r="AI19" s="1476">
        <v>39294</v>
      </c>
      <c r="AJ19" s="1476"/>
      <c r="AK19" s="1476" t="str">
        <f>IF(AI19&lt;=15000,"yes","no")</f>
        <v>no</v>
      </c>
      <c r="AL19" s="1476" t="str">
        <f t="shared" si="9"/>
        <v>no</v>
      </c>
      <c r="AM19" s="1476" t="str">
        <f t="shared" si="10"/>
        <v>yes</v>
      </c>
      <c r="AN19" s="1471"/>
      <c r="AO19" s="1476"/>
      <c r="AP19" s="1471"/>
      <c r="AQ19" s="1471"/>
      <c r="AR19" s="1471"/>
      <c r="AS19" s="1471"/>
      <c r="AT19" s="1471"/>
      <c r="AU19" s="1471"/>
      <c r="AV19" s="1471"/>
      <c r="AW19" s="1471"/>
      <c r="AX19" s="1471"/>
      <c r="AY19" s="1471"/>
      <c r="AZ19" s="1476"/>
      <c r="BA19" s="1476"/>
      <c r="BB19" s="1471"/>
      <c r="BC19" s="1471"/>
      <c r="BD19" s="1471"/>
      <c r="BE19" s="1471"/>
      <c r="BF19" s="1471"/>
      <c r="BG19" s="1471"/>
      <c r="BH19" s="1476">
        <f>AO19+AS19+AW19</f>
        <v>0</v>
      </c>
      <c r="BI19" s="1625">
        <f>BC19</f>
        <v>0</v>
      </c>
      <c r="BJ19" s="1471">
        <v>39294</v>
      </c>
      <c r="BK19" s="1471"/>
      <c r="BL19" s="1473"/>
      <c r="BM19" s="1489">
        <f t="shared" si="28"/>
        <v>39294</v>
      </c>
      <c r="BN19" s="1489">
        <v>39294</v>
      </c>
      <c r="BO19" s="1773">
        <f t="shared" si="11"/>
        <v>0</v>
      </c>
      <c r="BP19" s="1773">
        <v>0</v>
      </c>
      <c r="BQ19" s="1774">
        <f t="shared" si="12"/>
        <v>39294</v>
      </c>
      <c r="CF19" s="1795">
        <f>BQ19+CB19+CD19</f>
        <v>39294</v>
      </c>
      <c r="CG19" s="1796">
        <f t="shared" si="13"/>
        <v>39294</v>
      </c>
      <c r="CH19" s="1796">
        <f>CG19-BQ19</f>
        <v>0</v>
      </c>
      <c r="CN19" s="1797">
        <f t="shared" si="4"/>
        <v>39294</v>
      </c>
      <c r="CO19" s="1797">
        <f t="shared" si="5"/>
        <v>0</v>
      </c>
      <c r="CR19" s="1494">
        <f t="shared" si="6"/>
        <v>39294</v>
      </c>
      <c r="CS19" s="1797">
        <f t="shared" si="7"/>
        <v>0</v>
      </c>
      <c r="CV19" s="1678">
        <f t="shared" si="14"/>
        <v>39294</v>
      </c>
      <c r="CW19" s="1795">
        <f t="shared" si="15"/>
        <v>0</v>
      </c>
      <c r="CX19" s="1496">
        <v>0</v>
      </c>
      <c r="CY19" s="1832">
        <f t="shared" si="31"/>
        <v>39294</v>
      </c>
      <c r="CZ19" s="1496">
        <f t="shared" si="8"/>
        <v>0</v>
      </c>
      <c r="DA19" s="1825" t="s">
        <v>3330</v>
      </c>
      <c r="DC19" s="1747">
        <f t="shared" si="25"/>
        <v>39294</v>
      </c>
      <c r="DD19" s="1496">
        <f t="shared" si="29"/>
        <v>0</v>
      </c>
      <c r="DF19" s="1747">
        <f t="shared" si="17"/>
        <v>39294</v>
      </c>
      <c r="DI19" s="1747">
        <f t="shared" si="26"/>
        <v>39294</v>
      </c>
    </row>
    <row r="20" spans="1:113" x14ac:dyDescent="0.25">
      <c r="A20" s="1471">
        <v>1</v>
      </c>
      <c r="B20" s="480" t="s">
        <v>3319</v>
      </c>
      <c r="C20" s="480">
        <v>202047</v>
      </c>
      <c r="D20" s="480" t="s">
        <v>3320</v>
      </c>
      <c r="E20" s="1784" t="s">
        <v>1606</v>
      </c>
      <c r="F20" s="1165">
        <v>454368</v>
      </c>
      <c r="G20" s="480" t="s">
        <v>3331</v>
      </c>
      <c r="H20" s="480" t="s">
        <v>742</v>
      </c>
      <c r="I20" s="1834">
        <v>38333</v>
      </c>
      <c r="J20" s="1835">
        <v>13</v>
      </c>
      <c r="K20" s="1039">
        <f t="shared" ca="1" si="27"/>
        <v>20.777549623545518</v>
      </c>
      <c r="L20" s="963" t="s">
        <v>270</v>
      </c>
      <c r="M20" s="963"/>
      <c r="N20" s="480" t="s">
        <v>91</v>
      </c>
      <c r="O20" s="1362">
        <v>16105</v>
      </c>
      <c r="P20" s="1362"/>
      <c r="Q20" s="1476">
        <v>16105</v>
      </c>
      <c r="R20" s="1476">
        <v>0</v>
      </c>
      <c r="S20" s="1836">
        <v>45030</v>
      </c>
      <c r="T20" s="1716">
        <v>1</v>
      </c>
      <c r="U20" s="1475">
        <v>45382</v>
      </c>
      <c r="V20" s="1716">
        <v>192</v>
      </c>
      <c r="W20" s="1716">
        <f t="shared" si="18"/>
        <v>192</v>
      </c>
      <c r="X20" s="1717">
        <f t="shared" si="19"/>
        <v>1</v>
      </c>
      <c r="Y20" s="1716">
        <v>1</v>
      </c>
      <c r="Z20" s="1716">
        <f t="shared" si="20"/>
        <v>1</v>
      </c>
      <c r="AA20" s="1788">
        <f t="shared" si="21"/>
        <v>16105</v>
      </c>
      <c r="AB20" s="1037" t="s">
        <v>2797</v>
      </c>
      <c r="AC20" s="1037" t="s">
        <v>2797</v>
      </c>
      <c r="AD20" s="1471"/>
      <c r="AE20" s="1471"/>
      <c r="AF20" s="1471"/>
      <c r="AG20" s="1762">
        <v>20970</v>
      </c>
      <c r="AH20" s="1476"/>
      <c r="AI20" s="1476">
        <v>20970</v>
      </c>
      <c r="AJ20" s="1476"/>
      <c r="AK20" s="1476" t="str">
        <f t="shared" si="22"/>
        <v>no</v>
      </c>
      <c r="AL20" s="1476" t="str">
        <f t="shared" si="9"/>
        <v>no</v>
      </c>
      <c r="AM20" s="1476" t="str">
        <f t="shared" si="10"/>
        <v>yes</v>
      </c>
      <c r="AN20" s="1471"/>
      <c r="AO20" s="1476"/>
      <c r="AP20" s="1471"/>
      <c r="AQ20" s="1471"/>
      <c r="AR20" s="1471"/>
      <c r="AS20" s="1471"/>
      <c r="AT20" s="1471"/>
      <c r="AU20" s="1471"/>
      <c r="AV20" s="1471"/>
      <c r="AW20" s="1471"/>
      <c r="AX20" s="1471"/>
      <c r="AY20" s="1471"/>
      <c r="AZ20" s="1476"/>
      <c r="BA20" s="1476"/>
      <c r="BB20" s="1471"/>
      <c r="BC20" s="1471"/>
      <c r="BD20" s="1471"/>
      <c r="BE20" s="1471"/>
      <c r="BF20" s="1471"/>
      <c r="BG20" s="1471"/>
      <c r="BH20" s="1476">
        <f>AO20+AS20+AW20</f>
        <v>0</v>
      </c>
      <c r="BI20" s="1625">
        <f>BC20</f>
        <v>0</v>
      </c>
      <c r="BJ20" s="1471">
        <v>20970</v>
      </c>
      <c r="BK20" s="1471"/>
      <c r="BL20" s="1473"/>
      <c r="BM20" s="1489">
        <f t="shared" si="28"/>
        <v>20970</v>
      </c>
      <c r="BN20" s="1489">
        <v>20970</v>
      </c>
      <c r="BO20" s="1773">
        <f t="shared" si="11"/>
        <v>0</v>
      </c>
      <c r="BP20" s="1773">
        <v>0</v>
      </c>
      <c r="BQ20" s="1774">
        <f t="shared" si="12"/>
        <v>20970</v>
      </c>
      <c r="CF20" s="1795">
        <f>BQ20+CB20+CD20</f>
        <v>20970</v>
      </c>
      <c r="CG20" s="1796">
        <f t="shared" si="13"/>
        <v>20970</v>
      </c>
      <c r="CH20" s="1796">
        <f>CG20-BQ20</f>
        <v>0</v>
      </c>
      <c r="CN20" s="1797">
        <f t="shared" si="4"/>
        <v>20970</v>
      </c>
      <c r="CO20" s="1797">
        <f t="shared" si="5"/>
        <v>0</v>
      </c>
      <c r="CR20" s="1494">
        <f t="shared" si="6"/>
        <v>20970</v>
      </c>
      <c r="CS20" s="1797">
        <f t="shared" si="7"/>
        <v>0</v>
      </c>
      <c r="CV20" s="1678">
        <f t="shared" si="14"/>
        <v>20970</v>
      </c>
      <c r="CW20" s="1795">
        <f t="shared" si="15"/>
        <v>0</v>
      </c>
      <c r="CX20" s="1496">
        <v>-3977</v>
      </c>
      <c r="CY20" s="1496">
        <f t="shared" si="31"/>
        <v>16993</v>
      </c>
      <c r="CZ20" s="1496">
        <f t="shared" si="8"/>
        <v>-3977</v>
      </c>
      <c r="DB20" s="1798">
        <v>0</v>
      </c>
      <c r="DC20" s="1747">
        <f t="shared" si="25"/>
        <v>16993</v>
      </c>
      <c r="DD20" s="1496">
        <f t="shared" si="29"/>
        <v>0</v>
      </c>
      <c r="DF20" s="1747">
        <f t="shared" si="17"/>
        <v>16993</v>
      </c>
      <c r="DI20" s="1747">
        <f t="shared" si="26"/>
        <v>16993</v>
      </c>
    </row>
    <row r="21" spans="1:113" x14ac:dyDescent="0.25">
      <c r="A21" s="1471">
        <v>1</v>
      </c>
      <c r="B21" s="480" t="s">
        <v>3319</v>
      </c>
      <c r="C21" s="480">
        <v>202047</v>
      </c>
      <c r="D21" s="480" t="s">
        <v>3320</v>
      </c>
      <c r="E21" s="1784" t="s">
        <v>1606</v>
      </c>
      <c r="F21" s="1165">
        <v>410729</v>
      </c>
      <c r="G21" s="480" t="s">
        <v>3332</v>
      </c>
      <c r="H21" s="480" t="s">
        <v>924</v>
      </c>
      <c r="I21" s="1038">
        <v>39820</v>
      </c>
      <c r="J21" s="1803"/>
      <c r="K21" s="1039">
        <v>14.6</v>
      </c>
      <c r="L21" s="963" t="s">
        <v>1886</v>
      </c>
      <c r="M21" s="963"/>
      <c r="N21" s="480" t="s">
        <v>3333</v>
      </c>
      <c r="O21" s="1362">
        <v>38827</v>
      </c>
      <c r="P21" s="1362"/>
      <c r="Q21" s="1837">
        <v>38827</v>
      </c>
      <c r="R21" s="1476">
        <v>0</v>
      </c>
      <c r="S21" s="1475">
        <v>45017</v>
      </c>
      <c r="T21" s="1716">
        <v>1</v>
      </c>
      <c r="U21" s="1475">
        <v>45382</v>
      </c>
      <c r="V21" s="1716">
        <v>192</v>
      </c>
      <c r="W21" s="1716">
        <f t="shared" si="18"/>
        <v>192</v>
      </c>
      <c r="X21" s="1717">
        <f t="shared" si="19"/>
        <v>1</v>
      </c>
      <c r="Y21" s="1716">
        <v>1</v>
      </c>
      <c r="Z21" s="1716">
        <f t="shared" si="20"/>
        <v>1</v>
      </c>
      <c r="AA21" s="1788">
        <f t="shared" si="21"/>
        <v>38827</v>
      </c>
      <c r="AB21" s="1037" t="s">
        <v>2797</v>
      </c>
      <c r="AC21" s="1037" t="s">
        <v>2797</v>
      </c>
      <c r="AD21" s="1471"/>
      <c r="AE21" s="1471"/>
      <c r="AF21" s="1471"/>
      <c r="AG21" s="1762">
        <v>38827</v>
      </c>
      <c r="AH21" s="1476"/>
      <c r="AI21" s="1476">
        <v>38827</v>
      </c>
      <c r="AJ21" s="1476"/>
      <c r="AK21" s="1476" t="str">
        <f t="shared" si="22"/>
        <v>no</v>
      </c>
      <c r="AL21" s="1476" t="str">
        <f t="shared" si="9"/>
        <v>no</v>
      </c>
      <c r="AM21" s="1476" t="str">
        <f t="shared" si="10"/>
        <v>yes</v>
      </c>
      <c r="AN21" s="1471"/>
      <c r="AO21" s="1476"/>
      <c r="AP21" s="1471"/>
      <c r="AQ21" s="1471"/>
      <c r="AR21" s="1471"/>
      <c r="AS21" s="1471"/>
      <c r="AT21" s="1471"/>
      <c r="AU21" s="1471"/>
      <c r="AV21" s="1471"/>
      <c r="AW21" s="1471"/>
      <c r="AX21" s="1471"/>
      <c r="AY21" s="1471"/>
      <c r="AZ21" s="1476"/>
      <c r="BA21" s="1476"/>
      <c r="BB21" s="1471"/>
      <c r="BC21" s="1471"/>
      <c r="BD21" s="1471"/>
      <c r="BE21" s="1471"/>
      <c r="BF21" s="1471"/>
      <c r="BG21" s="1471"/>
      <c r="BH21" s="1476"/>
      <c r="BI21" s="1625"/>
      <c r="BJ21" s="1471">
        <v>38827</v>
      </c>
      <c r="BK21" s="1471"/>
      <c r="BL21" s="1473"/>
      <c r="BM21" s="1489">
        <f t="shared" si="28"/>
        <v>38827</v>
      </c>
      <c r="BN21" s="1489"/>
      <c r="BO21" s="1773"/>
      <c r="BP21" s="1773"/>
      <c r="BQ21" s="1774">
        <f t="shared" si="12"/>
        <v>0</v>
      </c>
      <c r="CF21" s="1795"/>
      <c r="CG21" s="1796"/>
      <c r="CH21" s="1796"/>
      <c r="CN21" s="1797"/>
      <c r="CO21" s="1797"/>
      <c r="CP21" s="1652">
        <f>Q21</f>
        <v>38827</v>
      </c>
      <c r="CR21" s="1494">
        <f t="shared" si="6"/>
        <v>38827</v>
      </c>
      <c r="CS21" s="1797">
        <f t="shared" si="7"/>
        <v>38827</v>
      </c>
      <c r="CV21" s="1678">
        <f t="shared" si="14"/>
        <v>38827</v>
      </c>
      <c r="CW21" s="1795">
        <f t="shared" si="15"/>
        <v>0</v>
      </c>
      <c r="CX21" s="1496">
        <v>0</v>
      </c>
      <c r="CY21" s="1496">
        <f t="shared" si="31"/>
        <v>38827</v>
      </c>
      <c r="CZ21" s="1496">
        <f t="shared" si="8"/>
        <v>0</v>
      </c>
      <c r="DB21" s="1798">
        <v>14848.67</v>
      </c>
      <c r="DC21" s="1747">
        <f t="shared" si="25"/>
        <v>53675.67</v>
      </c>
      <c r="DD21" s="1496">
        <f t="shared" si="29"/>
        <v>14848.669999999998</v>
      </c>
      <c r="DF21" s="1747">
        <f t="shared" si="17"/>
        <v>53675.67</v>
      </c>
      <c r="DI21" s="1747">
        <f t="shared" si="26"/>
        <v>53675.67</v>
      </c>
    </row>
    <row r="22" spans="1:113" x14ac:dyDescent="0.25">
      <c r="A22" s="1471">
        <v>1</v>
      </c>
      <c r="B22" s="480" t="s">
        <v>3319</v>
      </c>
      <c r="C22" s="480">
        <v>202047</v>
      </c>
      <c r="D22" s="480" t="s">
        <v>3320</v>
      </c>
      <c r="E22" s="1784" t="s">
        <v>1606</v>
      </c>
      <c r="F22" s="1165">
        <v>447957</v>
      </c>
      <c r="G22" s="480" t="s">
        <v>590</v>
      </c>
      <c r="H22" s="963" t="s">
        <v>3334</v>
      </c>
      <c r="I22" s="963">
        <v>40483</v>
      </c>
      <c r="J22" s="1803">
        <v>7</v>
      </c>
      <c r="K22" s="1039">
        <v>12.8</v>
      </c>
      <c r="L22" s="963" t="s">
        <v>1886</v>
      </c>
      <c r="M22" s="963" t="s">
        <v>3315</v>
      </c>
      <c r="N22" s="480"/>
      <c r="O22" s="1362">
        <v>13139</v>
      </c>
      <c r="P22" s="1362"/>
      <c r="Q22" s="1837">
        <v>13139</v>
      </c>
      <c r="R22" s="1476">
        <v>0</v>
      </c>
      <c r="S22" s="1475">
        <v>45017</v>
      </c>
      <c r="T22" s="1716">
        <v>1</v>
      </c>
      <c r="U22" s="1475">
        <v>45382</v>
      </c>
      <c r="V22" s="1716">
        <v>192</v>
      </c>
      <c r="W22" s="1716">
        <f t="shared" si="18"/>
        <v>192</v>
      </c>
      <c r="X22" s="1717">
        <f t="shared" si="19"/>
        <v>1</v>
      </c>
      <c r="Y22" s="1716">
        <v>1</v>
      </c>
      <c r="Z22" s="1716">
        <f t="shared" si="20"/>
        <v>1</v>
      </c>
      <c r="AA22" s="1788">
        <f t="shared" si="21"/>
        <v>13139</v>
      </c>
      <c r="AB22" s="1037" t="s">
        <v>2797</v>
      </c>
      <c r="AC22" s="1037" t="s">
        <v>2797</v>
      </c>
      <c r="AD22" s="1471"/>
      <c r="AE22" s="1471"/>
      <c r="AF22" s="1471"/>
      <c r="AG22" s="1762">
        <v>13139</v>
      </c>
      <c r="AH22" s="1476"/>
      <c r="AI22" s="1476">
        <v>13139</v>
      </c>
      <c r="AJ22" s="1476"/>
      <c r="AK22" s="1476" t="str">
        <f t="shared" si="22"/>
        <v>yes</v>
      </c>
      <c r="AL22" s="1476" t="str">
        <f t="shared" si="9"/>
        <v>no</v>
      </c>
      <c r="AM22" s="1476" t="str">
        <f t="shared" si="10"/>
        <v>no</v>
      </c>
      <c r="AN22" s="1471"/>
      <c r="AO22" s="1476"/>
      <c r="AP22" s="1471"/>
      <c r="AQ22" s="1471"/>
      <c r="AR22" s="1471"/>
      <c r="AS22" s="1471"/>
      <c r="AT22" s="1471"/>
      <c r="AU22" s="1471"/>
      <c r="AV22" s="1471"/>
      <c r="AW22" s="1471"/>
      <c r="AX22" s="1471"/>
      <c r="AY22" s="1471"/>
      <c r="AZ22" s="1476"/>
      <c r="BA22" s="1476"/>
      <c r="BB22" s="1471"/>
      <c r="BC22" s="1471"/>
      <c r="BD22" s="1471"/>
      <c r="BE22" s="1471"/>
      <c r="BF22" s="1471"/>
      <c r="BG22" s="1471"/>
      <c r="BH22" s="1476"/>
      <c r="BI22" s="1625"/>
      <c r="BJ22" s="1471">
        <v>13139</v>
      </c>
      <c r="BK22" s="1471"/>
      <c r="BL22" s="1473"/>
      <c r="BM22" s="1489"/>
      <c r="BN22" s="1489"/>
      <c r="BO22" s="1773"/>
      <c r="BP22" s="1773"/>
      <c r="BQ22" s="1774"/>
      <c r="CF22" s="1795"/>
      <c r="CG22" s="1796"/>
      <c r="CH22" s="1796"/>
      <c r="CN22" s="1797"/>
      <c r="CO22" s="1797"/>
      <c r="CP22" s="1652">
        <f>Q22</f>
        <v>13139</v>
      </c>
      <c r="CR22" s="1494">
        <f t="shared" si="6"/>
        <v>13139</v>
      </c>
      <c r="CS22" s="1797">
        <f t="shared" si="7"/>
        <v>13139</v>
      </c>
      <c r="CV22" s="1678">
        <f t="shared" si="14"/>
        <v>13139</v>
      </c>
      <c r="CW22" s="1795">
        <f t="shared" si="15"/>
        <v>0</v>
      </c>
      <c r="CX22" s="1496">
        <v>0</v>
      </c>
      <c r="CY22" s="1496">
        <f t="shared" si="31"/>
        <v>13139</v>
      </c>
      <c r="CZ22" s="1496">
        <f t="shared" si="8"/>
        <v>0</v>
      </c>
      <c r="DC22" s="1747">
        <f t="shared" si="25"/>
        <v>13139</v>
      </c>
      <c r="DD22" s="1496">
        <f t="shared" si="29"/>
        <v>0</v>
      </c>
      <c r="DF22" s="1747">
        <f t="shared" si="17"/>
        <v>13139</v>
      </c>
      <c r="DI22" s="1747">
        <f t="shared" si="26"/>
        <v>13139</v>
      </c>
    </row>
    <row r="23" spans="1:113" x14ac:dyDescent="0.25">
      <c r="A23" s="1471">
        <v>1</v>
      </c>
      <c r="B23" s="480" t="s">
        <v>3319</v>
      </c>
      <c r="C23" s="480">
        <v>202047</v>
      </c>
      <c r="D23" s="480" t="s">
        <v>3320</v>
      </c>
      <c r="E23" s="1784" t="s">
        <v>1606</v>
      </c>
      <c r="F23" s="1165">
        <v>452034</v>
      </c>
      <c r="G23" s="480" t="s">
        <v>3335</v>
      </c>
      <c r="H23" s="963" t="s">
        <v>3298</v>
      </c>
      <c r="I23" s="963">
        <v>41933</v>
      </c>
      <c r="J23" s="1803"/>
      <c r="K23" s="1039">
        <v>8.8000000000000007</v>
      </c>
      <c r="L23" s="963" t="s">
        <v>1885</v>
      </c>
      <c r="M23" s="963"/>
      <c r="N23" s="480"/>
      <c r="O23" s="1362">
        <v>25860</v>
      </c>
      <c r="P23" s="1362"/>
      <c r="Q23" s="1837">
        <v>25860</v>
      </c>
      <c r="R23" s="1476">
        <v>0</v>
      </c>
      <c r="S23" s="1475">
        <v>45017</v>
      </c>
      <c r="T23" s="1716">
        <v>1</v>
      </c>
      <c r="U23" s="1475">
        <v>45382</v>
      </c>
      <c r="V23" s="1716">
        <v>192</v>
      </c>
      <c r="W23" s="1716">
        <f t="shared" si="18"/>
        <v>192</v>
      </c>
      <c r="X23" s="1717">
        <f t="shared" si="19"/>
        <v>1</v>
      </c>
      <c r="Y23" s="1716">
        <v>1</v>
      </c>
      <c r="Z23" s="1716">
        <f t="shared" si="20"/>
        <v>1</v>
      </c>
      <c r="AA23" s="1788">
        <f t="shared" si="21"/>
        <v>25860</v>
      </c>
      <c r="AB23" s="1037"/>
      <c r="AC23" s="1037"/>
      <c r="AD23" s="1471"/>
      <c r="AE23" s="1471"/>
      <c r="AF23" s="1471"/>
      <c r="AG23" s="1762">
        <v>25860</v>
      </c>
      <c r="AH23" s="1476"/>
      <c r="AI23" s="1476">
        <v>25860</v>
      </c>
      <c r="AJ23" s="1476"/>
      <c r="AK23" s="1476" t="str">
        <f t="shared" si="22"/>
        <v>no</v>
      </c>
      <c r="AL23" s="1476" t="str">
        <f t="shared" si="9"/>
        <v>no</v>
      </c>
      <c r="AM23" s="1476" t="str">
        <f t="shared" si="10"/>
        <v>yes</v>
      </c>
      <c r="AN23" s="1471"/>
      <c r="AO23" s="1476"/>
      <c r="AP23" s="1471"/>
      <c r="AQ23" s="1471"/>
      <c r="AR23" s="1471"/>
      <c r="AS23" s="1471"/>
      <c r="AT23" s="1471"/>
      <c r="AU23" s="1471"/>
      <c r="AV23" s="1471"/>
      <c r="AW23" s="1471"/>
      <c r="AX23" s="1471"/>
      <c r="AY23" s="1471"/>
      <c r="AZ23" s="1476"/>
      <c r="BA23" s="1476"/>
      <c r="BB23" s="1471"/>
      <c r="BC23" s="1471"/>
      <c r="BD23" s="1471"/>
      <c r="BE23" s="1471"/>
      <c r="BF23" s="1471"/>
      <c r="BG23" s="1471"/>
      <c r="BH23" s="1476"/>
      <c r="BI23" s="1625"/>
      <c r="BJ23" s="1471">
        <v>25860</v>
      </c>
      <c r="BK23" s="1471"/>
      <c r="BL23" s="1473"/>
      <c r="BM23" s="1489"/>
      <c r="BN23" s="1489"/>
      <c r="BO23" s="1773"/>
      <c r="BP23" s="1773"/>
      <c r="BQ23" s="1774"/>
      <c r="CF23" s="1795"/>
      <c r="CG23" s="1796"/>
      <c r="CH23" s="1796"/>
      <c r="CN23" s="1797"/>
      <c r="CO23" s="1797"/>
      <c r="CP23" s="1652">
        <f>Q23</f>
        <v>25860</v>
      </c>
      <c r="CR23" s="1494">
        <f t="shared" si="6"/>
        <v>25860</v>
      </c>
      <c r="CS23" s="1797">
        <f t="shared" si="7"/>
        <v>25860</v>
      </c>
      <c r="CV23" s="1678">
        <f t="shared" si="14"/>
        <v>25860</v>
      </c>
      <c r="CW23" s="1795">
        <f t="shared" si="15"/>
        <v>0</v>
      </c>
      <c r="CX23" s="1496">
        <v>0</v>
      </c>
      <c r="CY23" s="1496">
        <f t="shared" si="31"/>
        <v>25860</v>
      </c>
      <c r="CZ23" s="1496">
        <f t="shared" si="8"/>
        <v>0</v>
      </c>
      <c r="DB23" s="1798">
        <v>0</v>
      </c>
      <c r="DC23" s="1747">
        <f t="shared" si="25"/>
        <v>25860</v>
      </c>
      <c r="DD23" s="1496">
        <f t="shared" si="29"/>
        <v>0</v>
      </c>
      <c r="DF23" s="1747">
        <f t="shared" si="17"/>
        <v>25860</v>
      </c>
      <c r="DI23" s="1747">
        <f t="shared" si="26"/>
        <v>25860</v>
      </c>
    </row>
    <row r="24" spans="1:113" x14ac:dyDescent="0.25">
      <c r="A24" s="1471">
        <v>1</v>
      </c>
      <c r="B24" s="480" t="s">
        <v>3319</v>
      </c>
      <c r="C24" s="480">
        <v>202047</v>
      </c>
      <c r="D24" s="480" t="s">
        <v>3320</v>
      </c>
      <c r="E24" s="1784" t="s">
        <v>1606</v>
      </c>
      <c r="F24" s="1165">
        <v>407008</v>
      </c>
      <c r="G24" s="480" t="s">
        <v>3336</v>
      </c>
      <c r="H24" s="963" t="s">
        <v>285</v>
      </c>
      <c r="I24" s="963">
        <v>39122</v>
      </c>
      <c r="J24" s="1803">
        <v>8</v>
      </c>
      <c r="K24" s="1039">
        <f t="shared" ca="1" si="27"/>
        <v>18.617385352498289</v>
      </c>
      <c r="L24" s="963" t="s">
        <v>1886</v>
      </c>
      <c r="M24" s="963"/>
      <c r="N24" s="480" t="s">
        <v>3337</v>
      </c>
      <c r="O24" s="1362">
        <v>6245</v>
      </c>
      <c r="P24" s="1362"/>
      <c r="Q24" s="1476">
        <v>6245</v>
      </c>
      <c r="R24" s="1476">
        <v>0</v>
      </c>
      <c r="S24" s="1475">
        <v>45017</v>
      </c>
      <c r="T24" s="1716">
        <v>1</v>
      </c>
      <c r="U24" s="1475">
        <v>45382</v>
      </c>
      <c r="V24" s="1716">
        <v>192</v>
      </c>
      <c r="W24" s="1716">
        <f t="shared" si="18"/>
        <v>192</v>
      </c>
      <c r="X24" s="1717">
        <f t="shared" si="19"/>
        <v>1</v>
      </c>
      <c r="Y24" s="1716">
        <v>1</v>
      </c>
      <c r="Z24" s="1716">
        <f t="shared" si="20"/>
        <v>1</v>
      </c>
      <c r="AA24" s="1788">
        <f t="shared" si="21"/>
        <v>6245</v>
      </c>
      <c r="AB24" s="1037" t="s">
        <v>2797</v>
      </c>
      <c r="AC24" s="1037" t="s">
        <v>2797</v>
      </c>
      <c r="AD24" s="1471"/>
      <c r="AE24" s="1471"/>
      <c r="AF24" s="1471"/>
      <c r="AG24" s="1476">
        <v>6245</v>
      </c>
      <c r="AH24" s="1476"/>
      <c r="AI24" s="1476">
        <v>6245</v>
      </c>
      <c r="AJ24" s="1476"/>
      <c r="AK24" s="1476" t="str">
        <f t="shared" si="22"/>
        <v>yes</v>
      </c>
      <c r="AL24" s="1476" t="str">
        <f t="shared" si="9"/>
        <v>no</v>
      </c>
      <c r="AM24" s="1476" t="str">
        <f t="shared" si="10"/>
        <v>no</v>
      </c>
      <c r="AN24" s="1471"/>
      <c r="AO24" s="1476"/>
      <c r="AP24" s="1471"/>
      <c r="AQ24" s="1471"/>
      <c r="AR24" s="1471"/>
      <c r="AS24" s="1471"/>
      <c r="AT24" s="1471"/>
      <c r="AU24" s="1471"/>
      <c r="AV24" s="1471"/>
      <c r="AW24" s="1471"/>
      <c r="AX24" s="1471"/>
      <c r="AY24" s="1471"/>
      <c r="AZ24" s="1476"/>
      <c r="BA24" s="1476"/>
      <c r="BB24" s="1471"/>
      <c r="BC24" s="1471"/>
      <c r="BD24" s="1471"/>
      <c r="BE24" s="1471"/>
      <c r="BF24" s="1471"/>
      <c r="BG24" s="1471"/>
      <c r="BH24" s="1476">
        <f>AO24+AS24+AW24</f>
        <v>0</v>
      </c>
      <c r="BI24" s="1625">
        <f>BC24</f>
        <v>0</v>
      </c>
      <c r="BJ24" s="1471">
        <v>6245</v>
      </c>
      <c r="BK24" s="1471"/>
      <c r="BL24" s="1473"/>
      <c r="BM24" s="1489">
        <f t="shared" si="28"/>
        <v>6245</v>
      </c>
      <c r="BN24" s="1489">
        <v>6245</v>
      </c>
      <c r="BO24" s="1773">
        <f t="shared" si="11"/>
        <v>0</v>
      </c>
      <c r="BP24" s="1773">
        <v>0</v>
      </c>
      <c r="BQ24" s="1774">
        <f t="shared" si="12"/>
        <v>6245</v>
      </c>
      <c r="BW24" s="1838" t="s">
        <v>3338</v>
      </c>
      <c r="BX24" s="1839">
        <v>45008</v>
      </c>
      <c r="CF24" s="1795">
        <f>BQ24+CB24+CD24</f>
        <v>6245</v>
      </c>
      <c r="CG24" s="1796">
        <f t="shared" si="13"/>
        <v>6245</v>
      </c>
      <c r="CH24" s="1796">
        <f>CG24-BQ24</f>
        <v>0</v>
      </c>
      <c r="CN24" s="1797">
        <f t="shared" si="4"/>
        <v>6245</v>
      </c>
      <c r="CO24" s="1797">
        <f t="shared" si="5"/>
        <v>0</v>
      </c>
      <c r="CP24" s="1652">
        <v>16690</v>
      </c>
      <c r="CR24" s="1494">
        <f t="shared" si="6"/>
        <v>22935</v>
      </c>
      <c r="CS24" s="1797">
        <f t="shared" si="7"/>
        <v>16690</v>
      </c>
      <c r="CV24" s="1678">
        <f t="shared" si="14"/>
        <v>22935</v>
      </c>
      <c r="CW24" s="1795">
        <f t="shared" si="15"/>
        <v>0</v>
      </c>
      <c r="CX24" s="1496">
        <v>0</v>
      </c>
      <c r="CY24" s="1496">
        <f t="shared" si="31"/>
        <v>22935</v>
      </c>
      <c r="CZ24" s="1496">
        <f t="shared" si="8"/>
        <v>0</v>
      </c>
      <c r="DC24" s="1747">
        <f t="shared" si="25"/>
        <v>22935</v>
      </c>
      <c r="DD24" s="1496">
        <f t="shared" si="29"/>
        <v>0</v>
      </c>
      <c r="DF24" s="1747">
        <f t="shared" si="17"/>
        <v>22935</v>
      </c>
      <c r="DI24" s="1747">
        <f t="shared" si="26"/>
        <v>22935</v>
      </c>
    </row>
    <row r="25" spans="1:113" x14ac:dyDescent="0.25">
      <c r="A25" s="1471">
        <v>1</v>
      </c>
      <c r="B25" s="480" t="s">
        <v>3319</v>
      </c>
      <c r="C25" s="480">
        <v>202047</v>
      </c>
      <c r="D25" s="480" t="s">
        <v>3320</v>
      </c>
      <c r="E25" s="1784" t="s">
        <v>1606</v>
      </c>
      <c r="F25" s="1165">
        <v>428474</v>
      </c>
      <c r="G25" s="480" t="s">
        <v>3339</v>
      </c>
      <c r="H25" s="963" t="s">
        <v>3340</v>
      </c>
      <c r="I25" s="963">
        <v>41604</v>
      </c>
      <c r="J25" s="1803">
        <v>4</v>
      </c>
      <c r="K25" s="1039">
        <f t="shared" ca="1" si="27"/>
        <v>11.822039698836413</v>
      </c>
      <c r="L25" s="963" t="s">
        <v>1885</v>
      </c>
      <c r="M25" s="963" t="s">
        <v>56</v>
      </c>
      <c r="N25" s="480" t="s">
        <v>3299</v>
      </c>
      <c r="O25" s="1362">
        <v>39294</v>
      </c>
      <c r="P25" s="1362"/>
      <c r="Q25" s="1476">
        <v>39294</v>
      </c>
      <c r="R25" s="1476">
        <v>0</v>
      </c>
      <c r="S25" s="1475">
        <v>45017</v>
      </c>
      <c r="T25" s="1716">
        <v>1</v>
      </c>
      <c r="U25" s="1475">
        <v>45382</v>
      </c>
      <c r="V25" s="1716">
        <v>192</v>
      </c>
      <c r="W25" s="1716">
        <f t="shared" si="18"/>
        <v>192</v>
      </c>
      <c r="X25" s="1717">
        <f t="shared" si="19"/>
        <v>1</v>
      </c>
      <c r="Y25" s="1716">
        <v>1</v>
      </c>
      <c r="Z25" s="1716">
        <f t="shared" si="20"/>
        <v>1</v>
      </c>
      <c r="AA25" s="1788">
        <f t="shared" si="21"/>
        <v>39294</v>
      </c>
      <c r="AB25" s="1037" t="s">
        <v>2797</v>
      </c>
      <c r="AC25" s="1037" t="s">
        <v>2797</v>
      </c>
      <c r="AD25" s="1471"/>
      <c r="AE25" s="1471"/>
      <c r="AF25" s="1471"/>
      <c r="AG25" s="1476">
        <v>39294</v>
      </c>
      <c r="AH25" s="1476"/>
      <c r="AI25" s="1476">
        <v>39294</v>
      </c>
      <c r="AJ25" s="1476"/>
      <c r="AK25" s="1476" t="str">
        <f>IF(AI25&lt;=15000,"yes","no")</f>
        <v>no</v>
      </c>
      <c r="AL25" s="1476" t="str">
        <f t="shared" si="9"/>
        <v>no</v>
      </c>
      <c r="AM25" s="1476" t="str">
        <f t="shared" si="10"/>
        <v>yes</v>
      </c>
      <c r="AN25" s="1471"/>
      <c r="AO25" s="1476"/>
      <c r="AP25" s="1471"/>
      <c r="AQ25" s="1471"/>
      <c r="AR25" s="1471"/>
      <c r="AS25" s="1471"/>
      <c r="AT25" s="1471"/>
      <c r="AU25" s="1471"/>
      <c r="AV25" s="1471"/>
      <c r="AW25" s="1471"/>
      <c r="AX25" s="1471"/>
      <c r="AY25" s="1471"/>
      <c r="AZ25" s="1476"/>
      <c r="BA25" s="1476"/>
      <c r="BB25" s="1471"/>
      <c r="BC25" s="1471"/>
      <c r="BD25" s="1471"/>
      <c r="BE25" s="1471"/>
      <c r="BF25" s="1471"/>
      <c r="BG25" s="1471"/>
      <c r="BH25" s="1476">
        <f>AO25+AS25+AW25</f>
        <v>0</v>
      </c>
      <c r="BI25" s="1625">
        <f>BC25</f>
        <v>0</v>
      </c>
      <c r="BJ25" s="1471">
        <v>39294</v>
      </c>
      <c r="BK25" s="1471"/>
      <c r="BL25" s="1473"/>
      <c r="BM25" s="1489">
        <f t="shared" si="28"/>
        <v>39294</v>
      </c>
      <c r="BN25" s="1489">
        <v>39294</v>
      </c>
      <c r="BO25" s="1773">
        <f t="shared" si="11"/>
        <v>0</v>
      </c>
      <c r="BP25" s="1773">
        <v>0</v>
      </c>
      <c r="BQ25" s="1774">
        <f t="shared" si="12"/>
        <v>39294</v>
      </c>
      <c r="CF25" s="1795">
        <f>BQ25+CB25+CD25</f>
        <v>39294</v>
      </c>
      <c r="CG25" s="1796">
        <f t="shared" si="13"/>
        <v>39294</v>
      </c>
      <c r="CH25" s="1796">
        <f>CG25-BQ25</f>
        <v>0</v>
      </c>
      <c r="CN25" s="1797">
        <f t="shared" si="4"/>
        <v>39294</v>
      </c>
      <c r="CO25" s="1797">
        <f t="shared" si="5"/>
        <v>0</v>
      </c>
      <c r="CR25" s="1494">
        <f t="shared" si="6"/>
        <v>39294</v>
      </c>
      <c r="CS25" s="1797">
        <f t="shared" si="7"/>
        <v>0</v>
      </c>
      <c r="CV25" s="1678">
        <f t="shared" si="14"/>
        <v>39294</v>
      </c>
      <c r="CW25" s="1795">
        <f t="shared" si="15"/>
        <v>0</v>
      </c>
      <c r="CX25" s="1496">
        <v>0</v>
      </c>
      <c r="CY25" s="1496">
        <f t="shared" si="31"/>
        <v>39294</v>
      </c>
      <c r="CZ25" s="1496">
        <f t="shared" si="8"/>
        <v>0</v>
      </c>
      <c r="DA25" s="1490" t="s">
        <v>3341</v>
      </c>
      <c r="DC25" s="1747">
        <f t="shared" si="25"/>
        <v>39294</v>
      </c>
      <c r="DD25" s="1496">
        <f t="shared" si="29"/>
        <v>0</v>
      </c>
      <c r="DF25" s="1747">
        <f t="shared" si="17"/>
        <v>39294</v>
      </c>
      <c r="DI25" s="1747">
        <f t="shared" si="26"/>
        <v>39294</v>
      </c>
    </row>
    <row r="26" spans="1:113" x14ac:dyDescent="0.25">
      <c r="A26" s="1471">
        <v>1</v>
      </c>
      <c r="B26" s="480" t="s">
        <v>3319</v>
      </c>
      <c r="C26" s="480">
        <v>202047</v>
      </c>
      <c r="D26" s="480" t="s">
        <v>3320</v>
      </c>
      <c r="E26" s="1784" t="s">
        <v>1606</v>
      </c>
      <c r="F26" s="1165">
        <v>456081</v>
      </c>
      <c r="G26" s="480" t="s">
        <v>3342</v>
      </c>
      <c r="H26" s="963" t="s">
        <v>211</v>
      </c>
      <c r="I26" s="963"/>
      <c r="J26" s="1803"/>
      <c r="K26" s="1039"/>
      <c r="L26" s="963"/>
      <c r="M26" s="963"/>
      <c r="N26" s="480"/>
      <c r="O26" s="1362">
        <v>25355</v>
      </c>
      <c r="P26" s="1362"/>
      <c r="Q26" s="1476">
        <v>25355</v>
      </c>
      <c r="R26" s="1476">
        <v>0</v>
      </c>
      <c r="S26" s="1475">
        <v>45174</v>
      </c>
      <c r="T26" s="1716">
        <v>67</v>
      </c>
      <c r="U26" s="1475">
        <v>45382</v>
      </c>
      <c r="V26" s="1716">
        <v>192</v>
      </c>
      <c r="W26" s="1716">
        <f t="shared" si="18"/>
        <v>126</v>
      </c>
      <c r="X26" s="1717">
        <f t="shared" si="19"/>
        <v>0.65625</v>
      </c>
      <c r="Y26" s="1716">
        <v>1</v>
      </c>
      <c r="Z26" s="1716">
        <f t="shared" si="20"/>
        <v>0.65625</v>
      </c>
      <c r="AA26" s="1788">
        <f t="shared" si="21"/>
        <v>16639.21875</v>
      </c>
      <c r="AB26" s="1037"/>
      <c r="AC26" s="1037"/>
      <c r="AD26" s="1471"/>
      <c r="AE26" s="1471"/>
      <c r="AF26" s="1471"/>
      <c r="AG26" s="1476">
        <v>25355</v>
      </c>
      <c r="AH26" s="1476"/>
      <c r="AI26" s="1476">
        <v>25355</v>
      </c>
      <c r="AJ26" s="1476"/>
      <c r="AK26" s="1476" t="str">
        <f>IF(AI26&lt;=15000,"yes","no")</f>
        <v>no</v>
      </c>
      <c r="AL26" s="1476" t="str">
        <f t="shared" si="9"/>
        <v>no</v>
      </c>
      <c r="AM26" s="1476" t="str">
        <f t="shared" si="10"/>
        <v>yes</v>
      </c>
      <c r="AN26" s="1471"/>
      <c r="AO26" s="1476"/>
      <c r="AP26" s="1471"/>
      <c r="AQ26" s="1471"/>
      <c r="AR26" s="1471"/>
      <c r="AS26" s="1471"/>
      <c r="AT26" s="1471"/>
      <c r="AU26" s="1471"/>
      <c r="AV26" s="1471"/>
      <c r="AW26" s="1471"/>
      <c r="AX26" s="1471"/>
      <c r="AY26" s="1471"/>
      <c r="AZ26" s="1476"/>
      <c r="BA26" s="1476"/>
      <c r="BB26" s="1471"/>
      <c r="BC26" s="1471"/>
      <c r="BD26" s="1471"/>
      <c r="BE26" s="1471"/>
      <c r="BF26" s="1471"/>
      <c r="BG26" s="1471"/>
      <c r="BH26" s="1476"/>
      <c r="BI26" s="1473"/>
      <c r="BJ26" s="1471">
        <v>25355</v>
      </c>
      <c r="BK26" s="1471"/>
      <c r="BL26" s="1473"/>
      <c r="BM26" s="1489"/>
      <c r="BN26" s="1489"/>
      <c r="BO26" s="1773"/>
      <c r="BP26" s="1773"/>
      <c r="BQ26" s="1774"/>
      <c r="CF26" s="1795"/>
      <c r="CG26" s="1796"/>
      <c r="CH26" s="1796"/>
      <c r="CL26" s="1840"/>
      <c r="CM26" s="1840"/>
      <c r="CN26" s="1797"/>
      <c r="CO26" s="1797"/>
      <c r="CP26" s="1490">
        <v>25355</v>
      </c>
      <c r="CR26" s="1494">
        <f t="shared" si="6"/>
        <v>25355</v>
      </c>
      <c r="CS26" s="1797">
        <f t="shared" si="7"/>
        <v>25355</v>
      </c>
      <c r="CV26" s="1678">
        <f t="shared" si="14"/>
        <v>25355</v>
      </c>
      <c r="CW26" s="1795">
        <f t="shared" si="15"/>
        <v>0</v>
      </c>
      <c r="CX26" s="1496">
        <v>-22152</v>
      </c>
      <c r="CY26" s="1496">
        <f t="shared" si="31"/>
        <v>3203</v>
      </c>
      <c r="CZ26" s="1496">
        <f t="shared" si="8"/>
        <v>-22152</v>
      </c>
      <c r="DB26" s="1798">
        <v>0</v>
      </c>
      <c r="DC26" s="1747">
        <f t="shared" si="25"/>
        <v>3203</v>
      </c>
      <c r="DD26" s="1496">
        <f t="shared" si="29"/>
        <v>0</v>
      </c>
      <c r="DF26" s="1747">
        <f t="shared" si="17"/>
        <v>3203</v>
      </c>
      <c r="DI26" s="1747">
        <f t="shared" si="26"/>
        <v>3203</v>
      </c>
    </row>
    <row r="27" spans="1:113" x14ac:dyDescent="0.25">
      <c r="A27" s="1471">
        <v>1</v>
      </c>
      <c r="B27" s="480" t="s">
        <v>3319</v>
      </c>
      <c r="C27" s="480">
        <v>202047</v>
      </c>
      <c r="D27" s="480" t="s">
        <v>3320</v>
      </c>
      <c r="E27" s="1784" t="s">
        <v>1606</v>
      </c>
      <c r="F27" s="1165">
        <v>447957</v>
      </c>
      <c r="G27" s="480" t="s">
        <v>590</v>
      </c>
      <c r="H27" s="963" t="s">
        <v>3334</v>
      </c>
      <c r="I27" s="963">
        <v>40483</v>
      </c>
      <c r="J27" s="1803">
        <v>7</v>
      </c>
      <c r="K27" s="1039">
        <f t="shared" ca="1" si="27"/>
        <v>14.891170431211499</v>
      </c>
      <c r="L27" s="963" t="s">
        <v>1886</v>
      </c>
      <c r="M27" s="963" t="s">
        <v>3343</v>
      </c>
      <c r="N27" s="480" t="s">
        <v>3344</v>
      </c>
      <c r="O27" s="1291">
        <v>13139</v>
      </c>
      <c r="P27" s="1362"/>
      <c r="Q27" s="1476">
        <v>13139</v>
      </c>
      <c r="R27" s="1476">
        <v>0</v>
      </c>
      <c r="S27" s="1475">
        <v>45017</v>
      </c>
      <c r="T27" s="1716">
        <v>1</v>
      </c>
      <c r="U27" s="1475">
        <v>45382</v>
      </c>
      <c r="V27" s="1716">
        <v>192</v>
      </c>
      <c r="W27" s="1716">
        <f t="shared" si="18"/>
        <v>192</v>
      </c>
      <c r="X27" s="1717">
        <f t="shared" si="19"/>
        <v>1</v>
      </c>
      <c r="Y27" s="1716">
        <v>1</v>
      </c>
      <c r="Z27" s="1716">
        <f t="shared" si="20"/>
        <v>1</v>
      </c>
      <c r="AA27" s="1788">
        <f t="shared" si="21"/>
        <v>13139</v>
      </c>
      <c r="AB27" s="1037" t="s">
        <v>2797</v>
      </c>
      <c r="AC27" s="1037" t="s">
        <v>2797</v>
      </c>
      <c r="AD27" s="1471"/>
      <c r="AE27" s="1471"/>
      <c r="AF27" s="1471"/>
      <c r="AG27" s="1476">
        <v>13139</v>
      </c>
      <c r="AH27" s="1476"/>
      <c r="AI27" s="1476">
        <v>13139</v>
      </c>
      <c r="AJ27" s="1476"/>
      <c r="AK27" s="1476" t="str">
        <f t="shared" si="22"/>
        <v>yes</v>
      </c>
      <c r="AL27" s="1476" t="str">
        <f t="shared" si="9"/>
        <v>no</v>
      </c>
      <c r="AM27" s="1476" t="str">
        <f t="shared" si="10"/>
        <v>no</v>
      </c>
      <c r="AN27" s="1471"/>
      <c r="AO27" s="1476"/>
      <c r="AP27" s="1471"/>
      <c r="AQ27" s="1471"/>
      <c r="AR27" s="1471"/>
      <c r="AS27" s="1471"/>
      <c r="AT27" s="1471"/>
      <c r="AU27" s="1471"/>
      <c r="AV27" s="1471"/>
      <c r="AW27" s="1471"/>
      <c r="AX27" s="1471"/>
      <c r="AY27" s="1471"/>
      <c r="AZ27" s="1476"/>
      <c r="BA27" s="1476"/>
      <c r="BB27" s="1471"/>
      <c r="BC27" s="1471"/>
      <c r="BD27" s="1471"/>
      <c r="BE27" s="1471"/>
      <c r="BF27" s="1471"/>
      <c r="BG27" s="1471"/>
      <c r="BH27" s="1476">
        <f t="shared" ref="BH27:BH42" si="32">AO27+AS27+AW27</f>
        <v>0</v>
      </c>
      <c r="BI27" s="1625">
        <f t="shared" ref="BI27:BI45" si="33">BC27</f>
        <v>0</v>
      </c>
      <c r="BJ27" s="1471">
        <v>13139</v>
      </c>
      <c r="BK27" s="1471"/>
      <c r="BL27" s="1473"/>
      <c r="BM27" s="1489">
        <f t="shared" si="28"/>
        <v>13139</v>
      </c>
      <c r="BN27" s="1489">
        <v>13139</v>
      </c>
      <c r="BO27" s="1773">
        <f t="shared" si="11"/>
        <v>0</v>
      </c>
      <c r="BP27" s="1773">
        <v>0</v>
      </c>
      <c r="BQ27" s="1774">
        <f t="shared" si="12"/>
        <v>13139</v>
      </c>
      <c r="CF27" s="1795">
        <f t="shared" ref="CF27:CF45" si="34">BQ27+CB27+CD27</f>
        <v>13139</v>
      </c>
      <c r="CG27" s="1796">
        <f t="shared" si="13"/>
        <v>13139</v>
      </c>
      <c r="CH27" s="1796">
        <f t="shared" ref="CH27:CH45" si="35">CG27-BQ27</f>
        <v>0</v>
      </c>
      <c r="CN27" s="1797">
        <f t="shared" si="4"/>
        <v>13139</v>
      </c>
      <c r="CO27" s="1797">
        <f t="shared" si="5"/>
        <v>0</v>
      </c>
      <c r="CR27" s="1494">
        <f t="shared" si="6"/>
        <v>13139</v>
      </c>
      <c r="CS27" s="1797">
        <f t="shared" si="7"/>
        <v>0</v>
      </c>
      <c r="CV27" s="1678">
        <f t="shared" si="14"/>
        <v>13139</v>
      </c>
      <c r="CW27" s="1795">
        <f t="shared" si="15"/>
        <v>0</v>
      </c>
      <c r="CX27" s="1496">
        <v>0</v>
      </c>
      <c r="CY27" s="1496">
        <f t="shared" si="31"/>
        <v>13139</v>
      </c>
      <c r="CZ27" s="1496">
        <f t="shared" si="8"/>
        <v>0</v>
      </c>
      <c r="DC27" s="1747">
        <f t="shared" si="25"/>
        <v>13139</v>
      </c>
      <c r="DD27" s="1496">
        <f t="shared" si="29"/>
        <v>0</v>
      </c>
      <c r="DF27" s="1747">
        <f t="shared" si="17"/>
        <v>13139</v>
      </c>
      <c r="DH27" s="1496">
        <v>-13139</v>
      </c>
      <c r="DI27" s="1747">
        <f t="shared" si="26"/>
        <v>0</v>
      </c>
    </row>
    <row r="28" spans="1:113" x14ac:dyDescent="0.25">
      <c r="A28" s="1471">
        <v>1</v>
      </c>
      <c r="B28" s="480" t="s">
        <v>3345</v>
      </c>
      <c r="C28" s="480">
        <v>203005</v>
      </c>
      <c r="D28" s="480" t="s">
        <v>3346</v>
      </c>
      <c r="E28" s="1784" t="s">
        <v>1876</v>
      </c>
      <c r="F28" s="1209">
        <v>385347</v>
      </c>
      <c r="G28" s="1208" t="s">
        <v>692</v>
      </c>
      <c r="H28" s="1208" t="s">
        <v>335</v>
      </c>
      <c r="I28" s="1597">
        <v>40132</v>
      </c>
      <c r="J28" s="1803">
        <v>7</v>
      </c>
      <c r="K28" s="1039">
        <f t="shared" ca="1" si="27"/>
        <v>15.852156057494867</v>
      </c>
      <c r="L28" s="963" t="s">
        <v>1886</v>
      </c>
      <c r="M28" s="963" t="s">
        <v>1316</v>
      </c>
      <c r="N28" s="480"/>
      <c r="O28" s="1362">
        <v>1994</v>
      </c>
      <c r="P28" s="1362"/>
      <c r="Q28" s="1476">
        <f>1994</f>
        <v>1994</v>
      </c>
      <c r="R28" s="1476">
        <v>3884.75</v>
      </c>
      <c r="S28" s="1475">
        <v>45017</v>
      </c>
      <c r="T28" s="1716">
        <v>1</v>
      </c>
      <c r="U28" s="1475">
        <v>45382</v>
      </c>
      <c r="V28" s="1716">
        <v>192</v>
      </c>
      <c r="W28" s="1716">
        <f t="shared" si="18"/>
        <v>192</v>
      </c>
      <c r="X28" s="1717">
        <f t="shared" si="19"/>
        <v>1</v>
      </c>
      <c r="Y28" s="1716">
        <v>1</v>
      </c>
      <c r="Z28" s="1716">
        <f t="shared" si="20"/>
        <v>1</v>
      </c>
      <c r="AA28" s="1788">
        <f t="shared" si="21"/>
        <v>1994</v>
      </c>
      <c r="AB28" s="1037" t="s">
        <v>2797</v>
      </c>
      <c r="AC28" s="1037" t="s">
        <v>2797</v>
      </c>
      <c r="AD28" s="1471"/>
      <c r="AE28" s="1471"/>
      <c r="AF28" s="1471"/>
      <c r="AG28" s="1476">
        <f>1994+3884.75</f>
        <v>5878.75</v>
      </c>
      <c r="AH28" s="1206">
        <v>3884.75</v>
      </c>
      <c r="AI28" s="1206">
        <v>5878.75</v>
      </c>
      <c r="AJ28" s="1206">
        <v>3884.75</v>
      </c>
      <c r="AK28" s="1476" t="str">
        <f t="shared" si="22"/>
        <v>yes</v>
      </c>
      <c r="AL28" s="1476" t="str">
        <f t="shared" si="9"/>
        <v>no</v>
      </c>
      <c r="AM28" s="1476" t="str">
        <f t="shared" si="10"/>
        <v>no</v>
      </c>
      <c r="AN28" s="1471"/>
      <c r="AO28" s="1476"/>
      <c r="AP28" s="1471"/>
      <c r="AQ28" s="1471"/>
      <c r="AR28" s="1471"/>
      <c r="AS28" s="1471"/>
      <c r="AT28" s="1471"/>
      <c r="AU28" s="1471"/>
      <c r="AV28" s="1471"/>
      <c r="AW28" s="1471"/>
      <c r="AX28" s="1471"/>
      <c r="AY28" s="1471"/>
      <c r="AZ28" s="1789">
        <v>3884.75</v>
      </c>
      <c r="BA28" s="1476"/>
      <c r="BB28" s="1471"/>
      <c r="BC28" s="1471"/>
      <c r="BD28" s="1471">
        <v>8071636</v>
      </c>
      <c r="BE28" s="1471"/>
      <c r="BF28" s="1471"/>
      <c r="BG28" s="1471"/>
      <c r="BH28" s="1476">
        <f t="shared" si="32"/>
        <v>0</v>
      </c>
      <c r="BI28" s="1625">
        <f t="shared" si="33"/>
        <v>0</v>
      </c>
      <c r="BJ28" s="1471">
        <v>5878.75</v>
      </c>
      <c r="BK28" s="1471"/>
      <c r="BL28" s="1473">
        <v>3884.75</v>
      </c>
      <c r="BM28" s="1489">
        <f t="shared" si="28"/>
        <v>1994</v>
      </c>
      <c r="BN28" s="1489">
        <v>1994</v>
      </c>
      <c r="BO28" s="1773">
        <f t="shared" si="11"/>
        <v>0</v>
      </c>
      <c r="BP28" s="1773">
        <v>0</v>
      </c>
      <c r="BQ28" s="1774">
        <f t="shared" si="12"/>
        <v>1994</v>
      </c>
      <c r="CF28" s="1795">
        <f t="shared" si="34"/>
        <v>1994</v>
      </c>
      <c r="CG28" s="1796">
        <f t="shared" si="13"/>
        <v>1994</v>
      </c>
      <c r="CH28" s="1796">
        <f t="shared" si="35"/>
        <v>0</v>
      </c>
      <c r="CN28" s="1797">
        <f t="shared" si="4"/>
        <v>1994</v>
      </c>
      <c r="CO28" s="1797">
        <f t="shared" si="5"/>
        <v>0</v>
      </c>
      <c r="CR28" s="1494">
        <f t="shared" si="6"/>
        <v>1994</v>
      </c>
      <c r="CS28" s="1797">
        <f t="shared" si="7"/>
        <v>0</v>
      </c>
      <c r="CV28" s="1678">
        <f t="shared" si="14"/>
        <v>1994</v>
      </c>
      <c r="CW28" s="1795">
        <f t="shared" si="15"/>
        <v>0</v>
      </c>
      <c r="CX28" s="1496">
        <v>0</v>
      </c>
      <c r="CY28" s="1496">
        <f>CV28+CX28</f>
        <v>1994</v>
      </c>
      <c r="CZ28" s="1496">
        <f t="shared" si="8"/>
        <v>0</v>
      </c>
      <c r="DC28" s="1747">
        <f t="shared" si="25"/>
        <v>1994</v>
      </c>
      <c r="DD28" s="1496">
        <f t="shared" si="29"/>
        <v>0</v>
      </c>
      <c r="DF28" s="1747">
        <f t="shared" si="17"/>
        <v>1994</v>
      </c>
      <c r="DI28" s="1747">
        <f t="shared" si="26"/>
        <v>1994</v>
      </c>
    </row>
    <row r="29" spans="1:113" x14ac:dyDescent="0.25">
      <c r="A29" s="1471">
        <v>1</v>
      </c>
      <c r="B29" s="480" t="s">
        <v>3345</v>
      </c>
      <c r="C29" s="480">
        <v>203005</v>
      </c>
      <c r="D29" s="480" t="s">
        <v>3346</v>
      </c>
      <c r="E29" s="1784" t="s">
        <v>1876</v>
      </c>
      <c r="F29" s="1165">
        <v>367730</v>
      </c>
      <c r="G29" s="480" t="s">
        <v>2605</v>
      </c>
      <c r="H29" s="480" t="s">
        <v>316</v>
      </c>
      <c r="I29" s="1038">
        <v>38980</v>
      </c>
      <c r="J29" s="1803">
        <v>8</v>
      </c>
      <c r="K29" s="1039">
        <f t="shared" ca="1" si="27"/>
        <v>19.006160164271048</v>
      </c>
      <c r="L29" s="963" t="s">
        <v>1886</v>
      </c>
      <c r="M29" s="963" t="s">
        <v>1316</v>
      </c>
      <c r="N29" s="480"/>
      <c r="O29" s="1362">
        <v>3956</v>
      </c>
      <c r="P29" s="1362"/>
      <c r="Q29" s="1476">
        <v>3956</v>
      </c>
      <c r="R29" s="1476">
        <v>7143.81</v>
      </c>
      <c r="S29" s="1475">
        <v>45017</v>
      </c>
      <c r="T29" s="1716">
        <v>1</v>
      </c>
      <c r="U29" s="1475">
        <v>45382</v>
      </c>
      <c r="V29" s="1716">
        <v>192</v>
      </c>
      <c r="W29" s="1716">
        <f t="shared" si="18"/>
        <v>192</v>
      </c>
      <c r="X29" s="1717">
        <f t="shared" si="19"/>
        <v>1</v>
      </c>
      <c r="Y29" s="1716">
        <v>1</v>
      </c>
      <c r="Z29" s="1716">
        <f t="shared" si="20"/>
        <v>1</v>
      </c>
      <c r="AA29" s="1788">
        <f t="shared" si="21"/>
        <v>3956</v>
      </c>
      <c r="AB29" s="1037" t="s">
        <v>2797</v>
      </c>
      <c r="AC29" s="1037" t="s">
        <v>2797</v>
      </c>
      <c r="AD29" s="1471"/>
      <c r="AE29" s="1471"/>
      <c r="AF29" s="1471"/>
      <c r="AG29" s="1476">
        <f>3956+7143.81</f>
        <v>11099.810000000001</v>
      </c>
      <c r="AH29" s="1206">
        <v>7143.81</v>
      </c>
      <c r="AI29" s="1206">
        <v>11099.810000000001</v>
      </c>
      <c r="AJ29" s="1206">
        <v>7143.81</v>
      </c>
      <c r="AK29" s="1476" t="str">
        <f t="shared" si="22"/>
        <v>yes</v>
      </c>
      <c r="AL29" s="1476" t="str">
        <f t="shared" si="9"/>
        <v>no</v>
      </c>
      <c r="AM29" s="1476" t="str">
        <f t="shared" si="10"/>
        <v>no</v>
      </c>
      <c r="AN29" s="1471"/>
      <c r="AO29" s="1476"/>
      <c r="AP29" s="1471"/>
      <c r="AQ29" s="1471"/>
      <c r="AR29" s="1471"/>
      <c r="AS29" s="1471"/>
      <c r="AT29" s="1471"/>
      <c r="AU29" s="1471"/>
      <c r="AV29" s="1471"/>
      <c r="AW29" s="1471"/>
      <c r="AX29" s="1471"/>
      <c r="AY29" s="1471"/>
      <c r="AZ29" s="1789">
        <v>7143.81</v>
      </c>
      <c r="BA29" s="1476"/>
      <c r="BB29" s="1471"/>
      <c r="BC29" s="1471"/>
      <c r="BD29" s="1471"/>
      <c r="BE29" s="1471"/>
      <c r="BF29" s="1471"/>
      <c r="BG29" s="1471"/>
      <c r="BH29" s="1476">
        <f t="shared" si="32"/>
        <v>0</v>
      </c>
      <c r="BI29" s="1473">
        <f t="shared" si="33"/>
        <v>0</v>
      </c>
      <c r="BJ29" s="1471">
        <v>11099.810000000001</v>
      </c>
      <c r="BK29" s="1471"/>
      <c r="BL29" s="1473">
        <v>7143.81</v>
      </c>
      <c r="BM29" s="1489">
        <f t="shared" si="28"/>
        <v>3956.0000000000009</v>
      </c>
      <c r="BN29" s="1489">
        <v>3956.0000000000009</v>
      </c>
      <c r="BO29" s="1773">
        <f t="shared" si="11"/>
        <v>-2637.3333333333339</v>
      </c>
      <c r="BP29" s="1773">
        <v>-2637.3333333333339</v>
      </c>
      <c r="BQ29" s="1774">
        <f t="shared" si="12"/>
        <v>1318.666666666667</v>
      </c>
      <c r="BW29" s="1794" t="s">
        <v>3347</v>
      </c>
      <c r="BX29" s="1839">
        <v>44987</v>
      </c>
      <c r="BZ29" s="1494">
        <f>BN29/3*2*-1</f>
        <v>-2637.3333333333339</v>
      </c>
      <c r="CF29" s="1795">
        <f t="shared" si="34"/>
        <v>1318.666666666667</v>
      </c>
      <c r="CG29" s="1796">
        <f t="shared" si="13"/>
        <v>1318.666666666667</v>
      </c>
      <c r="CH29" s="1796">
        <f t="shared" si="35"/>
        <v>0</v>
      </c>
      <c r="CN29" s="1797">
        <f t="shared" si="4"/>
        <v>1318.666666666667</v>
      </c>
      <c r="CO29" s="1797">
        <f t="shared" si="5"/>
        <v>0</v>
      </c>
      <c r="CR29" s="1494">
        <f t="shared" si="6"/>
        <v>1318.666666666667</v>
      </c>
      <c r="CS29" s="1797">
        <f t="shared" si="7"/>
        <v>0</v>
      </c>
      <c r="CV29" s="1678">
        <f t="shared" si="14"/>
        <v>1318.666666666667</v>
      </c>
      <c r="CW29" s="1795">
        <f t="shared" si="15"/>
        <v>0</v>
      </c>
      <c r="CX29" s="1496">
        <v>0</v>
      </c>
      <c r="CY29" s="1496">
        <f t="shared" ref="CY29:CY42" si="36">CV29+CX29</f>
        <v>1318.666666666667</v>
      </c>
      <c r="CZ29" s="1496">
        <f t="shared" si="8"/>
        <v>0</v>
      </c>
      <c r="DC29" s="1747">
        <f t="shared" si="25"/>
        <v>1318.666666666667</v>
      </c>
      <c r="DD29" s="1496">
        <f t="shared" si="29"/>
        <v>0</v>
      </c>
      <c r="DF29" s="1747">
        <f t="shared" si="17"/>
        <v>1318.666666666667</v>
      </c>
      <c r="DI29" s="1747">
        <f t="shared" si="26"/>
        <v>1318.666666666667</v>
      </c>
    </row>
    <row r="30" spans="1:113" hidden="1" x14ac:dyDescent="0.25">
      <c r="A30" s="1471">
        <v>0</v>
      </c>
      <c r="B30" s="1471" t="s">
        <v>3345</v>
      </c>
      <c r="C30" s="480">
        <v>203005</v>
      </c>
      <c r="D30" s="480" t="s">
        <v>3346</v>
      </c>
      <c r="E30" s="1784"/>
      <c r="F30" s="1841">
        <v>368592</v>
      </c>
      <c r="G30" s="1842" t="s">
        <v>146</v>
      </c>
      <c r="H30" s="1842" t="s">
        <v>177</v>
      </c>
      <c r="I30" s="963">
        <v>38528</v>
      </c>
      <c r="J30" s="1803"/>
      <c r="K30" s="1039">
        <f ca="1">(TODAY()-I30)/365.25</f>
        <v>20.243668720054757</v>
      </c>
      <c r="L30" s="963" t="s">
        <v>1886</v>
      </c>
      <c r="M30" s="963" t="s">
        <v>487</v>
      </c>
      <c r="N30" s="480"/>
      <c r="O30" s="1362">
        <v>0</v>
      </c>
      <c r="P30" s="1362"/>
      <c r="Q30" s="1843">
        <v>0</v>
      </c>
      <c r="R30" s="1843">
        <v>1076</v>
      </c>
      <c r="S30" s="963"/>
      <c r="T30" s="1716" t="e">
        <v>#N/A</v>
      </c>
      <c r="U30" s="1844">
        <v>44408</v>
      </c>
      <c r="V30" s="1716" t="e">
        <v>#N/A</v>
      </c>
      <c r="W30" s="1716" t="e">
        <f t="shared" si="18"/>
        <v>#N/A</v>
      </c>
      <c r="X30" s="1717" t="e">
        <f t="shared" si="19"/>
        <v>#N/A</v>
      </c>
      <c r="Y30" s="1716">
        <v>1</v>
      </c>
      <c r="Z30" s="1716" t="e">
        <f t="shared" si="20"/>
        <v>#N/A</v>
      </c>
      <c r="AA30" s="1845" t="e">
        <f t="shared" si="21"/>
        <v>#N/A</v>
      </c>
      <c r="AB30" s="1037" t="s">
        <v>2797</v>
      </c>
      <c r="AC30" s="1037" t="s">
        <v>2797</v>
      </c>
      <c r="AD30" s="1471"/>
      <c r="AE30" s="1471"/>
      <c r="AF30" s="1471"/>
      <c r="AG30" s="1476">
        <v>1076</v>
      </c>
      <c r="AH30" s="1476">
        <v>1076</v>
      </c>
      <c r="AI30" s="1476">
        <v>1076</v>
      </c>
      <c r="AJ30" s="1476">
        <v>1076</v>
      </c>
      <c r="AK30" s="1476" t="str">
        <f t="shared" si="22"/>
        <v>yes</v>
      </c>
      <c r="AL30" s="1476" t="str">
        <f t="shared" si="9"/>
        <v>no</v>
      </c>
      <c r="AM30" s="1476" t="str">
        <f t="shared" si="10"/>
        <v>no</v>
      </c>
      <c r="AN30" s="1471"/>
      <c r="AO30" s="1476"/>
      <c r="AP30" s="1471"/>
      <c r="AQ30" s="1471"/>
      <c r="AR30" s="1471"/>
      <c r="AS30" s="1471"/>
      <c r="AT30" s="1471"/>
      <c r="AU30" s="1471"/>
      <c r="AV30" s="1471"/>
      <c r="AW30" s="1471"/>
      <c r="AX30" s="1471"/>
      <c r="AY30" s="1471"/>
      <c r="AZ30" s="1487">
        <v>1076</v>
      </c>
      <c r="BA30" s="1476"/>
      <c r="BB30" s="1471"/>
      <c r="BC30" s="1471"/>
      <c r="BD30" s="1471"/>
      <c r="BE30" s="1471"/>
      <c r="BF30" s="1471"/>
      <c r="BG30" s="1471"/>
      <c r="BH30" s="1476">
        <f t="shared" si="32"/>
        <v>0</v>
      </c>
      <c r="BI30" s="1625">
        <f t="shared" si="33"/>
        <v>0</v>
      </c>
      <c r="BJ30" s="1471">
        <v>1076</v>
      </c>
      <c r="BK30" s="1471"/>
      <c r="BL30" s="1473">
        <v>1076</v>
      </c>
      <c r="BM30" s="1489">
        <f t="shared" si="28"/>
        <v>0</v>
      </c>
      <c r="BN30" s="1489">
        <v>0</v>
      </c>
      <c r="BO30" s="1773">
        <f t="shared" si="11"/>
        <v>0</v>
      </c>
      <c r="BP30" s="1773">
        <v>0</v>
      </c>
      <c r="BQ30" s="1774">
        <f t="shared" si="12"/>
        <v>0</v>
      </c>
      <c r="CF30" s="1795">
        <f t="shared" si="34"/>
        <v>0</v>
      </c>
      <c r="CG30" s="1796">
        <f t="shared" si="13"/>
        <v>0</v>
      </c>
      <c r="CH30" s="1796">
        <f t="shared" si="35"/>
        <v>0</v>
      </c>
      <c r="CN30" s="1797">
        <f t="shared" si="4"/>
        <v>0</v>
      </c>
      <c r="CO30" s="1797">
        <f t="shared" si="5"/>
        <v>0</v>
      </c>
      <c r="CR30" s="1494">
        <f t="shared" ref="CR30:CR66" si="37">CN30+CP30</f>
        <v>0</v>
      </c>
      <c r="CS30" s="1797">
        <f t="shared" si="7"/>
        <v>0</v>
      </c>
      <c r="CV30" s="1678">
        <f t="shared" si="14"/>
        <v>0</v>
      </c>
      <c r="CW30" s="1795">
        <f t="shared" si="15"/>
        <v>0</v>
      </c>
      <c r="CX30" s="1496">
        <v>0</v>
      </c>
      <c r="CY30" s="1496">
        <f t="shared" si="36"/>
        <v>0</v>
      </c>
      <c r="CZ30" s="1496">
        <f t="shared" si="8"/>
        <v>0</v>
      </c>
      <c r="DC30" s="1747">
        <f t="shared" si="25"/>
        <v>0</v>
      </c>
      <c r="DD30" s="1496">
        <f t="shared" si="29"/>
        <v>0</v>
      </c>
      <c r="DF30" s="1747">
        <f t="shared" si="17"/>
        <v>0</v>
      </c>
      <c r="DI30" s="1747">
        <f t="shared" si="26"/>
        <v>0</v>
      </c>
    </row>
    <row r="31" spans="1:113" x14ac:dyDescent="0.25">
      <c r="A31" s="1471">
        <v>1</v>
      </c>
      <c r="B31" s="480" t="s">
        <v>3345</v>
      </c>
      <c r="C31" s="480">
        <v>203005</v>
      </c>
      <c r="D31" s="480" t="s">
        <v>3346</v>
      </c>
      <c r="E31" s="1784" t="s">
        <v>1876</v>
      </c>
      <c r="F31" s="1165">
        <v>374777</v>
      </c>
      <c r="G31" s="480" t="s">
        <v>2611</v>
      </c>
      <c r="H31" s="480" t="s">
        <v>3348</v>
      </c>
      <c r="I31" s="1038">
        <v>39460</v>
      </c>
      <c r="J31" s="1803">
        <v>10</v>
      </c>
      <c r="K31" s="1039">
        <f t="shared" ca="1" si="27"/>
        <v>17.691991786447637</v>
      </c>
      <c r="L31" s="963" t="s">
        <v>1886</v>
      </c>
      <c r="M31" s="963" t="s">
        <v>43</v>
      </c>
      <c r="N31" s="480"/>
      <c r="O31" s="1362">
        <v>18035</v>
      </c>
      <c r="P31" s="1362"/>
      <c r="Q31" s="1476">
        <v>18035</v>
      </c>
      <c r="R31" s="1476">
        <v>6011.67</v>
      </c>
      <c r="S31" s="1475">
        <v>45017</v>
      </c>
      <c r="T31" s="1716">
        <v>1</v>
      </c>
      <c r="U31" s="1475">
        <v>45382</v>
      </c>
      <c r="V31" s="1716">
        <v>192</v>
      </c>
      <c r="W31" s="1716">
        <f t="shared" si="18"/>
        <v>192</v>
      </c>
      <c r="X31" s="1717">
        <f t="shared" si="19"/>
        <v>1</v>
      </c>
      <c r="Y31" s="1716">
        <v>1</v>
      </c>
      <c r="Z31" s="1716">
        <f t="shared" si="20"/>
        <v>1</v>
      </c>
      <c r="AA31" s="1788">
        <f t="shared" si="21"/>
        <v>18035</v>
      </c>
      <c r="AB31" s="1037" t="s">
        <v>2797</v>
      </c>
      <c r="AC31" s="1037" t="s">
        <v>2797</v>
      </c>
      <c r="AD31" s="1471"/>
      <c r="AE31" s="1471"/>
      <c r="AF31" s="1471"/>
      <c r="AG31" s="1476">
        <f>18035+6011.67</f>
        <v>24046.67</v>
      </c>
      <c r="AH31" s="1476">
        <v>6011.67</v>
      </c>
      <c r="AI31" s="1476">
        <v>18035</v>
      </c>
      <c r="AJ31" s="1476">
        <v>6011.67</v>
      </c>
      <c r="AK31" s="1476" t="str">
        <f t="shared" si="22"/>
        <v>no</v>
      </c>
      <c r="AL31" s="1476" t="str">
        <f t="shared" si="9"/>
        <v>yes</v>
      </c>
      <c r="AM31" s="1476" t="str">
        <f t="shared" si="10"/>
        <v>no</v>
      </c>
      <c r="AN31" s="1471"/>
      <c r="AO31" s="1476"/>
      <c r="AP31" s="1471"/>
      <c r="AQ31" s="1471"/>
      <c r="AR31" s="1471"/>
      <c r="AS31" s="1471"/>
      <c r="AT31" s="1471"/>
      <c r="AU31" s="1471"/>
      <c r="AV31" s="1471"/>
      <c r="AW31" s="1471"/>
      <c r="AX31" s="1471"/>
      <c r="AY31" s="1471"/>
      <c r="AZ31" s="1487">
        <v>6011.67</v>
      </c>
      <c r="BA31" s="1476"/>
      <c r="BB31" s="1471"/>
      <c r="BC31" s="1471"/>
      <c r="BD31" s="1471"/>
      <c r="BE31" s="1471"/>
      <c r="BF31" s="1471"/>
      <c r="BG31" s="1471"/>
      <c r="BH31" s="1476">
        <f t="shared" si="32"/>
        <v>0</v>
      </c>
      <c r="BI31" s="1625">
        <f t="shared" si="33"/>
        <v>0</v>
      </c>
      <c r="BJ31" s="1471">
        <v>24046.67</v>
      </c>
      <c r="BK31" s="1471"/>
      <c r="BL31" s="1473">
        <v>6011.67</v>
      </c>
      <c r="BM31" s="1489">
        <f t="shared" si="28"/>
        <v>18035</v>
      </c>
      <c r="BN31" s="1489">
        <v>18035</v>
      </c>
      <c r="BO31" s="1773">
        <f t="shared" si="11"/>
        <v>0</v>
      </c>
      <c r="BP31" s="1773">
        <v>0</v>
      </c>
      <c r="BQ31" s="1774">
        <f t="shared" si="12"/>
        <v>18035</v>
      </c>
      <c r="CF31" s="1795">
        <f t="shared" si="34"/>
        <v>18035</v>
      </c>
      <c r="CG31" s="1796">
        <f t="shared" si="13"/>
        <v>18035</v>
      </c>
      <c r="CH31" s="1796">
        <f t="shared" si="35"/>
        <v>0</v>
      </c>
      <c r="CN31" s="1797">
        <f t="shared" si="4"/>
        <v>18035</v>
      </c>
      <c r="CO31" s="1797">
        <f t="shared" si="5"/>
        <v>0</v>
      </c>
      <c r="CR31" s="1494">
        <f t="shared" si="6"/>
        <v>18035</v>
      </c>
      <c r="CS31" s="1797">
        <f t="shared" si="7"/>
        <v>0</v>
      </c>
      <c r="CV31" s="1678">
        <f t="shared" si="14"/>
        <v>18035</v>
      </c>
      <c r="CW31" s="1795">
        <f t="shared" si="15"/>
        <v>0</v>
      </c>
      <c r="CX31" s="1496">
        <v>0</v>
      </c>
      <c r="CY31" s="1496">
        <f t="shared" si="36"/>
        <v>18035</v>
      </c>
      <c r="CZ31" s="1496">
        <f t="shared" si="8"/>
        <v>0</v>
      </c>
      <c r="DC31" s="1747">
        <f t="shared" si="25"/>
        <v>18035</v>
      </c>
      <c r="DD31" s="1496">
        <f t="shared" si="29"/>
        <v>0</v>
      </c>
      <c r="DF31" s="1747">
        <f t="shared" si="17"/>
        <v>18035</v>
      </c>
      <c r="DI31" s="1747">
        <f t="shared" si="26"/>
        <v>18035</v>
      </c>
    </row>
    <row r="32" spans="1:113" hidden="1" x14ac:dyDescent="0.25">
      <c r="A32" s="1471">
        <v>0</v>
      </c>
      <c r="B32" s="1471" t="s">
        <v>3345</v>
      </c>
      <c r="C32" s="480">
        <v>203005</v>
      </c>
      <c r="D32" s="480" t="s">
        <v>3346</v>
      </c>
      <c r="E32" s="1784"/>
      <c r="F32" s="1841">
        <v>394961</v>
      </c>
      <c r="G32" s="1842" t="s">
        <v>922</v>
      </c>
      <c r="H32" s="1842" t="s">
        <v>1620</v>
      </c>
      <c r="I32" s="963">
        <v>40633</v>
      </c>
      <c r="J32" s="1803"/>
      <c r="K32" s="1039">
        <f t="shared" ca="1" si="27"/>
        <v>14.480492813141684</v>
      </c>
      <c r="L32" s="963" t="s">
        <v>1886</v>
      </c>
      <c r="M32" s="963" t="s">
        <v>37</v>
      </c>
      <c r="N32" s="480"/>
      <c r="O32" s="1362">
        <v>0</v>
      </c>
      <c r="P32" s="1362"/>
      <c r="Q32" s="1843">
        <v>0</v>
      </c>
      <c r="R32" s="1843">
        <v>4375.54</v>
      </c>
      <c r="S32" s="963"/>
      <c r="T32" s="1716" t="e">
        <v>#N/A</v>
      </c>
      <c r="U32" s="1844">
        <v>44762</v>
      </c>
      <c r="V32" s="1716" t="e">
        <v>#N/A</v>
      </c>
      <c r="W32" s="1716" t="e">
        <f t="shared" si="18"/>
        <v>#N/A</v>
      </c>
      <c r="X32" s="1717" t="e">
        <f t="shared" si="19"/>
        <v>#N/A</v>
      </c>
      <c r="Y32" s="1716">
        <v>1</v>
      </c>
      <c r="Z32" s="1716" t="e">
        <f t="shared" si="20"/>
        <v>#N/A</v>
      </c>
      <c r="AA32" s="1845" t="e">
        <f t="shared" si="21"/>
        <v>#N/A</v>
      </c>
      <c r="AB32" s="1037" t="s">
        <v>2797</v>
      </c>
      <c r="AC32" s="1037" t="s">
        <v>2797</v>
      </c>
      <c r="AD32" s="1471"/>
      <c r="AE32" s="1471"/>
      <c r="AF32" s="1471"/>
      <c r="AG32" s="1476">
        <v>4375.54</v>
      </c>
      <c r="AH32" s="1476">
        <v>4375.54</v>
      </c>
      <c r="AI32" s="1476">
        <v>4375.54</v>
      </c>
      <c r="AJ32" s="1476">
        <v>4375.54</v>
      </c>
      <c r="AK32" s="1476" t="str">
        <f t="shared" si="22"/>
        <v>yes</v>
      </c>
      <c r="AL32" s="1476" t="str">
        <f t="shared" si="9"/>
        <v>no</v>
      </c>
      <c r="AM32" s="1476" t="str">
        <f t="shared" si="10"/>
        <v>no</v>
      </c>
      <c r="AN32" s="1471"/>
      <c r="AO32" s="1476"/>
      <c r="AP32" s="1471"/>
      <c r="AQ32" s="1471"/>
      <c r="AR32" s="1471"/>
      <c r="AS32" s="1471"/>
      <c r="AT32" s="1471"/>
      <c r="AU32" s="1471"/>
      <c r="AV32" s="1471"/>
      <c r="AW32" s="1471"/>
      <c r="AX32" s="1471"/>
      <c r="AY32" s="1471"/>
      <c r="AZ32" s="1487">
        <v>4375.54</v>
      </c>
      <c r="BA32" s="1476"/>
      <c r="BB32" s="1471"/>
      <c r="BC32" s="1471"/>
      <c r="BD32" s="1471"/>
      <c r="BE32" s="1471"/>
      <c r="BF32" s="1471"/>
      <c r="BG32" s="1471"/>
      <c r="BH32" s="1476">
        <f t="shared" si="32"/>
        <v>0</v>
      </c>
      <c r="BI32" s="1625">
        <f t="shared" si="33"/>
        <v>0</v>
      </c>
      <c r="BJ32" s="1471">
        <v>4375.54</v>
      </c>
      <c r="BK32" s="1471"/>
      <c r="BL32" s="1473">
        <v>4375.54</v>
      </c>
      <c r="BM32" s="1489">
        <f t="shared" si="28"/>
        <v>0</v>
      </c>
      <c r="BN32" s="1489">
        <v>0</v>
      </c>
      <c r="BO32" s="1773">
        <f t="shared" si="11"/>
        <v>0</v>
      </c>
      <c r="BP32" s="1773">
        <v>0</v>
      </c>
      <c r="BQ32" s="1774">
        <f t="shared" si="12"/>
        <v>0</v>
      </c>
      <c r="CF32" s="1795">
        <f t="shared" si="34"/>
        <v>0</v>
      </c>
      <c r="CG32" s="1796">
        <f t="shared" si="13"/>
        <v>0</v>
      </c>
      <c r="CH32" s="1796">
        <f t="shared" si="35"/>
        <v>0</v>
      </c>
      <c r="CN32" s="1797">
        <f t="shared" si="4"/>
        <v>0</v>
      </c>
      <c r="CO32" s="1797">
        <f t="shared" si="5"/>
        <v>0</v>
      </c>
      <c r="CR32" s="1494">
        <f t="shared" si="37"/>
        <v>0</v>
      </c>
      <c r="CS32" s="1797">
        <f t="shared" si="7"/>
        <v>0</v>
      </c>
      <c r="CV32" s="1678">
        <f t="shared" si="14"/>
        <v>0</v>
      </c>
      <c r="CW32" s="1795">
        <f t="shared" si="15"/>
        <v>0</v>
      </c>
      <c r="CX32" s="1496">
        <v>0</v>
      </c>
      <c r="CY32" s="1496">
        <f t="shared" si="36"/>
        <v>0</v>
      </c>
      <c r="CZ32" s="1496">
        <f t="shared" si="8"/>
        <v>0</v>
      </c>
      <c r="DC32" s="1747">
        <f t="shared" si="25"/>
        <v>0</v>
      </c>
      <c r="DD32" s="1496">
        <f t="shared" si="29"/>
        <v>0</v>
      </c>
      <c r="DF32" s="1747">
        <f t="shared" si="17"/>
        <v>0</v>
      </c>
      <c r="DI32" s="1747">
        <f t="shared" si="26"/>
        <v>0</v>
      </c>
    </row>
    <row r="33" spans="1:113" hidden="1" x14ac:dyDescent="0.25">
      <c r="A33" s="1471">
        <v>0</v>
      </c>
      <c r="B33" s="1471" t="s">
        <v>3345</v>
      </c>
      <c r="C33" s="480">
        <v>203005</v>
      </c>
      <c r="D33" s="480" t="s">
        <v>3346</v>
      </c>
      <c r="E33" s="1784"/>
      <c r="F33" s="1841">
        <v>384084</v>
      </c>
      <c r="G33" s="1842" t="s">
        <v>504</v>
      </c>
      <c r="H33" s="1842" t="s">
        <v>3349</v>
      </c>
      <c r="I33" s="963">
        <v>38207</v>
      </c>
      <c r="J33" s="1803"/>
      <c r="K33" s="1039">
        <f t="shared" ca="1" si="27"/>
        <v>21.12251882272416</v>
      </c>
      <c r="L33" s="963" t="s">
        <v>1886</v>
      </c>
      <c r="M33" s="963" t="s">
        <v>1316</v>
      </c>
      <c r="N33" s="480"/>
      <c r="O33" s="1362">
        <v>0</v>
      </c>
      <c r="P33" s="1362"/>
      <c r="Q33" s="1843">
        <v>0</v>
      </c>
      <c r="R33" s="1843">
        <v>1346.65</v>
      </c>
      <c r="S33" s="963"/>
      <c r="T33" s="1716" t="e">
        <v>#N/A</v>
      </c>
      <c r="U33" s="1844">
        <v>44043</v>
      </c>
      <c r="V33" s="1716" t="e">
        <v>#N/A</v>
      </c>
      <c r="W33" s="1716" t="e">
        <f t="shared" si="18"/>
        <v>#N/A</v>
      </c>
      <c r="X33" s="1717" t="e">
        <f t="shared" si="19"/>
        <v>#N/A</v>
      </c>
      <c r="Y33" s="1716">
        <v>1</v>
      </c>
      <c r="Z33" s="1716" t="e">
        <f t="shared" si="20"/>
        <v>#N/A</v>
      </c>
      <c r="AA33" s="1845" t="e">
        <f t="shared" si="21"/>
        <v>#N/A</v>
      </c>
      <c r="AB33" s="1037" t="s">
        <v>2797</v>
      </c>
      <c r="AC33" s="1037" t="s">
        <v>2797</v>
      </c>
      <c r="AD33" s="1471"/>
      <c r="AE33" s="1471"/>
      <c r="AF33" s="1471"/>
      <c r="AG33" s="1476">
        <v>1346.65</v>
      </c>
      <c r="AH33" s="1476">
        <v>1346.65</v>
      </c>
      <c r="AI33" s="1476">
        <v>1346.65</v>
      </c>
      <c r="AJ33" s="1476">
        <v>1346.65</v>
      </c>
      <c r="AK33" s="1476" t="str">
        <f t="shared" si="22"/>
        <v>yes</v>
      </c>
      <c r="AL33" s="1476" t="str">
        <f t="shared" si="9"/>
        <v>no</v>
      </c>
      <c r="AM33" s="1476" t="str">
        <f t="shared" si="10"/>
        <v>no</v>
      </c>
      <c r="AN33" s="1471"/>
      <c r="AO33" s="1476"/>
      <c r="AP33" s="1471"/>
      <c r="AQ33" s="1471"/>
      <c r="AR33" s="1471"/>
      <c r="AS33" s="1471"/>
      <c r="AT33" s="1471"/>
      <c r="AU33" s="1471"/>
      <c r="AV33" s="1471"/>
      <c r="AW33" s="1471"/>
      <c r="AX33" s="1471"/>
      <c r="AY33" s="1471"/>
      <c r="AZ33" s="1487">
        <v>1346.65</v>
      </c>
      <c r="BA33" s="1476"/>
      <c r="BB33" s="1471"/>
      <c r="BC33" s="1471"/>
      <c r="BD33" s="1471"/>
      <c r="BE33" s="1471"/>
      <c r="BF33" s="1471"/>
      <c r="BG33" s="1471"/>
      <c r="BH33" s="1476">
        <f t="shared" si="32"/>
        <v>0</v>
      </c>
      <c r="BI33" s="1625">
        <f t="shared" si="33"/>
        <v>0</v>
      </c>
      <c r="BJ33" s="1471">
        <v>1346.65</v>
      </c>
      <c r="BK33" s="1471"/>
      <c r="BL33" s="1793">
        <v>1346.65</v>
      </c>
      <c r="BM33" s="1489">
        <f t="shared" si="28"/>
        <v>0</v>
      </c>
      <c r="BN33" s="1489">
        <v>0</v>
      </c>
      <c r="BO33" s="1773">
        <f t="shared" si="11"/>
        <v>0</v>
      </c>
      <c r="BP33" s="1773">
        <v>0</v>
      </c>
      <c r="BQ33" s="1774">
        <f t="shared" si="12"/>
        <v>0</v>
      </c>
      <c r="CF33" s="1795">
        <f t="shared" si="34"/>
        <v>0</v>
      </c>
      <c r="CG33" s="1796">
        <f t="shared" si="13"/>
        <v>0</v>
      </c>
      <c r="CH33" s="1796">
        <f t="shared" si="35"/>
        <v>0</v>
      </c>
      <c r="CN33" s="1797">
        <f t="shared" si="4"/>
        <v>0</v>
      </c>
      <c r="CO33" s="1797">
        <f t="shared" si="5"/>
        <v>0</v>
      </c>
      <c r="CR33" s="1494">
        <f t="shared" si="37"/>
        <v>0</v>
      </c>
      <c r="CS33" s="1797">
        <f t="shared" si="7"/>
        <v>0</v>
      </c>
      <c r="CV33" s="1678">
        <f t="shared" si="14"/>
        <v>0</v>
      </c>
      <c r="CW33" s="1795">
        <f t="shared" si="15"/>
        <v>0</v>
      </c>
      <c r="CX33" s="1496">
        <v>0</v>
      </c>
      <c r="CY33" s="1496">
        <f t="shared" si="36"/>
        <v>0</v>
      </c>
      <c r="CZ33" s="1496">
        <f t="shared" si="8"/>
        <v>0</v>
      </c>
      <c r="DC33" s="1747">
        <f t="shared" si="25"/>
        <v>0</v>
      </c>
      <c r="DD33" s="1496">
        <f t="shared" si="29"/>
        <v>0</v>
      </c>
      <c r="DF33" s="1747">
        <f t="shared" si="17"/>
        <v>0</v>
      </c>
      <c r="DI33" s="1747">
        <f t="shared" si="26"/>
        <v>0</v>
      </c>
    </row>
    <row r="34" spans="1:113" hidden="1" x14ac:dyDescent="0.25">
      <c r="A34" s="1471">
        <v>0</v>
      </c>
      <c r="B34" s="1471" t="s">
        <v>3345</v>
      </c>
      <c r="C34" s="480">
        <v>203005</v>
      </c>
      <c r="D34" s="480" t="s">
        <v>3346</v>
      </c>
      <c r="E34" s="1784"/>
      <c r="F34" s="1841">
        <v>354969</v>
      </c>
      <c r="G34" s="1842" t="s">
        <v>3350</v>
      </c>
      <c r="H34" s="1842" t="s">
        <v>3351</v>
      </c>
      <c r="I34" s="963">
        <v>38564</v>
      </c>
      <c r="J34" s="1803"/>
      <c r="K34" s="1039">
        <f t="shared" ca="1" si="27"/>
        <v>20.145106091718002</v>
      </c>
      <c r="L34" s="963" t="s">
        <v>1886</v>
      </c>
      <c r="M34" s="963" t="s">
        <v>37</v>
      </c>
      <c r="N34" s="480"/>
      <c r="O34" s="1362">
        <v>0</v>
      </c>
      <c r="P34" s="1362"/>
      <c r="Q34" s="1843">
        <v>0</v>
      </c>
      <c r="R34" s="1843">
        <v>1174</v>
      </c>
      <c r="S34" s="963"/>
      <c r="T34" s="1716" t="e">
        <v>#N/A</v>
      </c>
      <c r="U34" s="1844">
        <v>44408</v>
      </c>
      <c r="V34" s="1716" t="e">
        <v>#N/A</v>
      </c>
      <c r="W34" s="1716" t="e">
        <f t="shared" si="18"/>
        <v>#N/A</v>
      </c>
      <c r="X34" s="1717" t="e">
        <f t="shared" si="19"/>
        <v>#N/A</v>
      </c>
      <c r="Y34" s="1716">
        <v>1</v>
      </c>
      <c r="Z34" s="1716" t="e">
        <f t="shared" si="20"/>
        <v>#N/A</v>
      </c>
      <c r="AA34" s="1845" t="e">
        <f t="shared" si="21"/>
        <v>#N/A</v>
      </c>
      <c r="AB34" s="1037" t="s">
        <v>2797</v>
      </c>
      <c r="AC34" s="1037" t="s">
        <v>2797</v>
      </c>
      <c r="AD34" s="1471"/>
      <c r="AE34" s="1471"/>
      <c r="AF34" s="1471"/>
      <c r="AG34" s="1476">
        <v>1174</v>
      </c>
      <c r="AH34" s="1476">
        <v>1174</v>
      </c>
      <c r="AI34" s="1476">
        <v>1174</v>
      </c>
      <c r="AJ34" s="1476">
        <v>1174</v>
      </c>
      <c r="AK34" s="1476" t="str">
        <f t="shared" si="22"/>
        <v>yes</v>
      </c>
      <c r="AL34" s="1476" t="str">
        <f t="shared" si="9"/>
        <v>no</v>
      </c>
      <c r="AM34" s="1476" t="str">
        <f t="shared" si="10"/>
        <v>no</v>
      </c>
      <c r="AN34" s="1471"/>
      <c r="AO34" s="1476"/>
      <c r="AP34" s="1471"/>
      <c r="AQ34" s="1471"/>
      <c r="AR34" s="1471"/>
      <c r="AS34" s="1471"/>
      <c r="AT34" s="1471"/>
      <c r="AU34" s="1471"/>
      <c r="AV34" s="1471"/>
      <c r="AW34" s="1471"/>
      <c r="AX34" s="1471"/>
      <c r="AY34" s="1471"/>
      <c r="AZ34" s="1487">
        <v>1174</v>
      </c>
      <c r="BA34" s="1476"/>
      <c r="BB34" s="1471"/>
      <c r="BC34" s="1471"/>
      <c r="BD34" s="1471"/>
      <c r="BE34" s="1471"/>
      <c r="BF34" s="1471"/>
      <c r="BG34" s="1471"/>
      <c r="BH34" s="1476">
        <f t="shared" si="32"/>
        <v>0</v>
      </c>
      <c r="BI34" s="1625">
        <f t="shared" si="33"/>
        <v>0</v>
      </c>
      <c r="BJ34" s="1471">
        <v>1174</v>
      </c>
      <c r="BK34" s="1471"/>
      <c r="BL34" s="1473">
        <v>1174</v>
      </c>
      <c r="BM34" s="1489">
        <f t="shared" si="28"/>
        <v>0</v>
      </c>
      <c r="BN34" s="1489">
        <v>0</v>
      </c>
      <c r="BO34" s="1773">
        <f t="shared" si="11"/>
        <v>0</v>
      </c>
      <c r="BP34" s="1773">
        <v>0</v>
      </c>
      <c r="BQ34" s="1774">
        <f t="shared" si="12"/>
        <v>0</v>
      </c>
      <c r="CF34" s="1795">
        <f t="shared" si="34"/>
        <v>0</v>
      </c>
      <c r="CG34" s="1796">
        <f t="shared" si="13"/>
        <v>0</v>
      </c>
      <c r="CH34" s="1796">
        <f t="shared" si="35"/>
        <v>0</v>
      </c>
      <c r="CN34" s="1797">
        <f t="shared" si="4"/>
        <v>0</v>
      </c>
      <c r="CO34" s="1797">
        <f t="shared" si="5"/>
        <v>0</v>
      </c>
      <c r="CR34" s="1494">
        <f t="shared" si="37"/>
        <v>0</v>
      </c>
      <c r="CS34" s="1797">
        <f t="shared" si="7"/>
        <v>0</v>
      </c>
      <c r="CV34" s="1678">
        <f t="shared" si="14"/>
        <v>0</v>
      </c>
      <c r="CW34" s="1795">
        <f t="shared" si="15"/>
        <v>0</v>
      </c>
      <c r="CX34" s="1496">
        <v>0</v>
      </c>
      <c r="CY34" s="1496">
        <f t="shared" si="36"/>
        <v>0</v>
      </c>
      <c r="CZ34" s="1496">
        <f t="shared" si="8"/>
        <v>0</v>
      </c>
      <c r="DC34" s="1747">
        <f t="shared" si="25"/>
        <v>0</v>
      </c>
      <c r="DD34" s="1496">
        <f t="shared" si="29"/>
        <v>0</v>
      </c>
      <c r="DF34" s="1747">
        <f t="shared" si="17"/>
        <v>0</v>
      </c>
      <c r="DI34" s="1747">
        <f t="shared" si="26"/>
        <v>0</v>
      </c>
    </row>
    <row r="35" spans="1:113" hidden="1" x14ac:dyDescent="0.25">
      <c r="A35" s="1471">
        <v>0</v>
      </c>
      <c r="B35" s="1471" t="s">
        <v>3345</v>
      </c>
      <c r="C35" s="480">
        <v>203005</v>
      </c>
      <c r="D35" s="480" t="s">
        <v>3346</v>
      </c>
      <c r="E35" s="1784"/>
      <c r="F35" s="1841">
        <v>324513</v>
      </c>
      <c r="G35" s="1842" t="s">
        <v>3352</v>
      </c>
      <c r="H35" s="1842" t="s">
        <v>63</v>
      </c>
      <c r="I35" s="963">
        <v>37193</v>
      </c>
      <c r="J35" s="1803"/>
      <c r="K35" s="1039">
        <f t="shared" ca="1" si="27"/>
        <v>23.898699520876111</v>
      </c>
      <c r="L35" s="963" t="s">
        <v>1886</v>
      </c>
      <c r="M35" s="963" t="s">
        <v>1316</v>
      </c>
      <c r="N35" s="480"/>
      <c r="O35" s="1362">
        <v>0</v>
      </c>
      <c r="P35" s="1362"/>
      <c r="Q35" s="1843">
        <v>0</v>
      </c>
      <c r="R35" s="1843">
        <v>2821</v>
      </c>
      <c r="S35" s="963"/>
      <c r="T35" s="1716" t="e">
        <v>#N/A</v>
      </c>
      <c r="U35" s="1844">
        <v>44408</v>
      </c>
      <c r="V35" s="1716" t="e">
        <v>#N/A</v>
      </c>
      <c r="W35" s="1716" t="e">
        <f t="shared" si="18"/>
        <v>#N/A</v>
      </c>
      <c r="X35" s="1717" t="e">
        <f t="shared" si="19"/>
        <v>#N/A</v>
      </c>
      <c r="Y35" s="1716">
        <v>1</v>
      </c>
      <c r="Z35" s="1716" t="e">
        <f t="shared" si="20"/>
        <v>#N/A</v>
      </c>
      <c r="AA35" s="1845" t="e">
        <f t="shared" si="21"/>
        <v>#N/A</v>
      </c>
      <c r="AB35" s="1037" t="s">
        <v>2797</v>
      </c>
      <c r="AC35" s="1037" t="s">
        <v>2797</v>
      </c>
      <c r="AD35" s="1471"/>
      <c r="AE35" s="1471"/>
      <c r="AF35" s="1471"/>
      <c r="AG35" s="1476">
        <v>2821</v>
      </c>
      <c r="AH35" s="1476">
        <v>2821</v>
      </c>
      <c r="AI35" s="1476">
        <v>2821</v>
      </c>
      <c r="AJ35" s="1476">
        <v>2821</v>
      </c>
      <c r="AK35" s="1476" t="str">
        <f t="shared" si="22"/>
        <v>yes</v>
      </c>
      <c r="AL35" s="1476" t="str">
        <f t="shared" si="9"/>
        <v>no</v>
      </c>
      <c r="AM35" s="1476" t="str">
        <f t="shared" si="10"/>
        <v>no</v>
      </c>
      <c r="AN35" s="1471"/>
      <c r="AO35" s="1476"/>
      <c r="AP35" s="1471"/>
      <c r="AQ35" s="1471"/>
      <c r="AR35" s="1471"/>
      <c r="AS35" s="1471"/>
      <c r="AT35" s="1471"/>
      <c r="AU35" s="1471"/>
      <c r="AV35" s="1471"/>
      <c r="AW35" s="1471"/>
      <c r="AX35" s="1471"/>
      <c r="AY35" s="1471"/>
      <c r="AZ35" s="1487">
        <v>2821</v>
      </c>
      <c r="BA35" s="1476"/>
      <c r="BB35" s="1471"/>
      <c r="BC35" s="1471"/>
      <c r="BD35" s="1471"/>
      <c r="BE35" s="1471"/>
      <c r="BF35" s="1471"/>
      <c r="BG35" s="1471"/>
      <c r="BH35" s="1476">
        <f t="shared" si="32"/>
        <v>0</v>
      </c>
      <c r="BI35" s="1625">
        <f t="shared" si="33"/>
        <v>0</v>
      </c>
      <c r="BJ35" s="1471">
        <v>2821</v>
      </c>
      <c r="BK35" s="1471"/>
      <c r="BL35" s="1473">
        <v>2821</v>
      </c>
      <c r="BM35" s="1489">
        <f t="shared" si="28"/>
        <v>0</v>
      </c>
      <c r="BN35" s="1489">
        <v>0</v>
      </c>
      <c r="BO35" s="1773">
        <f t="shared" si="11"/>
        <v>0</v>
      </c>
      <c r="BP35" s="1773">
        <v>0</v>
      </c>
      <c r="BQ35" s="1774">
        <f t="shared" si="12"/>
        <v>0</v>
      </c>
      <c r="CF35" s="1795">
        <f t="shared" si="34"/>
        <v>0</v>
      </c>
      <c r="CG35" s="1796">
        <f t="shared" si="13"/>
        <v>0</v>
      </c>
      <c r="CH35" s="1796">
        <f t="shared" si="35"/>
        <v>0</v>
      </c>
      <c r="CN35" s="1797">
        <f t="shared" si="4"/>
        <v>0</v>
      </c>
      <c r="CO35" s="1797">
        <f t="shared" si="5"/>
        <v>0</v>
      </c>
      <c r="CR35" s="1494">
        <f t="shared" si="37"/>
        <v>0</v>
      </c>
      <c r="CS35" s="1797">
        <f t="shared" si="7"/>
        <v>0</v>
      </c>
      <c r="CV35" s="1678">
        <f t="shared" si="14"/>
        <v>0</v>
      </c>
      <c r="CW35" s="1795">
        <f t="shared" si="15"/>
        <v>0</v>
      </c>
      <c r="CX35" s="1496">
        <v>0</v>
      </c>
      <c r="CY35" s="1496">
        <f t="shared" si="36"/>
        <v>0</v>
      </c>
      <c r="CZ35" s="1496">
        <f t="shared" si="8"/>
        <v>0</v>
      </c>
      <c r="DC35" s="1747">
        <f t="shared" si="25"/>
        <v>0</v>
      </c>
      <c r="DD35" s="1496">
        <f t="shared" si="29"/>
        <v>0</v>
      </c>
      <c r="DF35" s="1747">
        <f t="shared" si="17"/>
        <v>0</v>
      </c>
      <c r="DI35" s="1747">
        <f t="shared" si="26"/>
        <v>0</v>
      </c>
    </row>
    <row r="36" spans="1:113" hidden="1" x14ac:dyDescent="0.25">
      <c r="A36" s="1471">
        <v>0</v>
      </c>
      <c r="B36" s="1471" t="s">
        <v>3345</v>
      </c>
      <c r="C36" s="480">
        <v>203005</v>
      </c>
      <c r="D36" s="480" t="s">
        <v>3346</v>
      </c>
      <c r="E36" s="1784"/>
      <c r="F36" s="1841">
        <v>396604</v>
      </c>
      <c r="G36" s="1842" t="s">
        <v>831</v>
      </c>
      <c r="H36" s="1842" t="s">
        <v>780</v>
      </c>
      <c r="I36" s="963">
        <v>40705</v>
      </c>
      <c r="J36" s="1803">
        <v>7</v>
      </c>
      <c r="K36" s="1039">
        <f t="shared" ca="1" si="27"/>
        <v>14.283367556468173</v>
      </c>
      <c r="L36" s="963" t="s">
        <v>3353</v>
      </c>
      <c r="M36" s="963" t="s">
        <v>1316</v>
      </c>
      <c r="N36" s="480"/>
      <c r="O36" s="1362">
        <v>0</v>
      </c>
      <c r="P36" s="1362"/>
      <c r="Q36" s="1843">
        <v>0</v>
      </c>
      <c r="R36" s="1843">
        <v>10781</v>
      </c>
      <c r="S36" s="1846" t="s">
        <v>1495</v>
      </c>
      <c r="T36" s="1716" t="e">
        <v>#N/A</v>
      </c>
      <c r="U36" s="1844">
        <v>44408</v>
      </c>
      <c r="V36" s="1716" t="e">
        <v>#N/A</v>
      </c>
      <c r="W36" s="1716" t="e">
        <f t="shared" si="18"/>
        <v>#N/A</v>
      </c>
      <c r="X36" s="1717" t="e">
        <f t="shared" si="19"/>
        <v>#N/A</v>
      </c>
      <c r="Y36" s="1716">
        <v>1</v>
      </c>
      <c r="Z36" s="1716" t="e">
        <f t="shared" si="20"/>
        <v>#N/A</v>
      </c>
      <c r="AA36" s="1845" t="e">
        <f t="shared" si="21"/>
        <v>#N/A</v>
      </c>
      <c r="AB36" s="1037" t="s">
        <v>2797</v>
      </c>
      <c r="AC36" s="1037" t="s">
        <v>2797</v>
      </c>
      <c r="AD36" s="1471"/>
      <c r="AE36" s="1471"/>
      <c r="AF36" s="1471"/>
      <c r="AG36" s="1476">
        <v>10781</v>
      </c>
      <c r="AH36" s="1476">
        <v>10781</v>
      </c>
      <c r="AI36" s="1476">
        <v>10781</v>
      </c>
      <c r="AJ36" s="1476">
        <v>10781</v>
      </c>
      <c r="AK36" s="1476" t="str">
        <f t="shared" si="22"/>
        <v>yes</v>
      </c>
      <c r="AL36" s="1476" t="str">
        <f t="shared" si="9"/>
        <v>no</v>
      </c>
      <c r="AM36" s="1476" t="str">
        <f t="shared" si="10"/>
        <v>no</v>
      </c>
      <c r="AN36" s="1471"/>
      <c r="AO36" s="1476"/>
      <c r="AP36" s="1471"/>
      <c r="AQ36" s="1471"/>
      <c r="AR36" s="1471"/>
      <c r="AS36" s="1471"/>
      <c r="AT36" s="1471"/>
      <c r="AU36" s="1471"/>
      <c r="AV36" s="1471"/>
      <c r="AW36" s="1471"/>
      <c r="AX36" s="1471"/>
      <c r="AY36" s="1471"/>
      <c r="AZ36" s="1487">
        <v>10781</v>
      </c>
      <c r="BA36" s="1476"/>
      <c r="BB36" s="1471"/>
      <c r="BC36" s="1471"/>
      <c r="BD36" s="1471"/>
      <c r="BE36" s="1471"/>
      <c r="BF36" s="1471"/>
      <c r="BG36" s="1471"/>
      <c r="BH36" s="1476">
        <f t="shared" si="32"/>
        <v>0</v>
      </c>
      <c r="BI36" s="1625">
        <f t="shared" si="33"/>
        <v>0</v>
      </c>
      <c r="BJ36" s="1471">
        <v>10781</v>
      </c>
      <c r="BK36" s="1471"/>
      <c r="BL36" s="1473">
        <v>10781</v>
      </c>
      <c r="BM36" s="1489">
        <f t="shared" si="28"/>
        <v>0</v>
      </c>
      <c r="BN36" s="1489">
        <v>0</v>
      </c>
      <c r="BO36" s="1773">
        <f t="shared" si="11"/>
        <v>0</v>
      </c>
      <c r="BP36" s="1773">
        <v>0</v>
      </c>
      <c r="BQ36" s="1774">
        <f t="shared" si="12"/>
        <v>0</v>
      </c>
      <c r="CF36" s="1795">
        <f t="shared" si="34"/>
        <v>0</v>
      </c>
      <c r="CG36" s="1796">
        <f t="shared" si="13"/>
        <v>0</v>
      </c>
      <c r="CH36" s="1796">
        <f t="shared" si="35"/>
        <v>0</v>
      </c>
      <c r="CN36" s="1797">
        <f t="shared" si="4"/>
        <v>0</v>
      </c>
      <c r="CO36" s="1797">
        <f t="shared" si="5"/>
        <v>0</v>
      </c>
      <c r="CR36" s="1494">
        <f t="shared" si="37"/>
        <v>0</v>
      </c>
      <c r="CS36" s="1797">
        <f t="shared" si="7"/>
        <v>0</v>
      </c>
      <c r="CV36" s="1678">
        <f t="shared" si="14"/>
        <v>0</v>
      </c>
      <c r="CW36" s="1795">
        <f t="shared" si="15"/>
        <v>0</v>
      </c>
      <c r="CX36" s="1496">
        <v>0</v>
      </c>
      <c r="CY36" s="1496">
        <f t="shared" si="36"/>
        <v>0</v>
      </c>
      <c r="CZ36" s="1496">
        <f t="shared" si="8"/>
        <v>0</v>
      </c>
      <c r="DC36" s="1747">
        <f t="shared" si="25"/>
        <v>0</v>
      </c>
      <c r="DD36" s="1496">
        <f t="shared" si="29"/>
        <v>0</v>
      </c>
      <c r="DF36" s="1747">
        <f t="shared" si="17"/>
        <v>0</v>
      </c>
      <c r="DI36" s="1747">
        <f t="shared" si="26"/>
        <v>0</v>
      </c>
    </row>
    <row r="37" spans="1:113" hidden="1" x14ac:dyDescent="0.25">
      <c r="A37" s="1471">
        <v>0</v>
      </c>
      <c r="B37" s="480" t="s">
        <v>3345</v>
      </c>
      <c r="C37" s="480">
        <v>203005</v>
      </c>
      <c r="D37" s="480" t="s">
        <v>3346</v>
      </c>
      <c r="E37" s="1784"/>
      <c r="F37" s="1841">
        <v>368861</v>
      </c>
      <c r="G37" s="1842" t="s">
        <v>288</v>
      </c>
      <c r="H37" s="1842" t="s">
        <v>583</v>
      </c>
      <c r="I37" s="963">
        <v>39146</v>
      </c>
      <c r="J37" s="1803"/>
      <c r="K37" s="1039">
        <f t="shared" ca="1" si="27"/>
        <v>18.551676933607119</v>
      </c>
      <c r="L37" s="963" t="s">
        <v>1886</v>
      </c>
      <c r="M37" s="963" t="s">
        <v>1316</v>
      </c>
      <c r="N37" s="480"/>
      <c r="O37" s="1362">
        <v>0</v>
      </c>
      <c r="P37" s="1362"/>
      <c r="Q37" s="1843">
        <v>0</v>
      </c>
      <c r="R37" s="1843">
        <v>4080.56</v>
      </c>
      <c r="S37" s="963"/>
      <c r="T37" s="1716" t="e">
        <v>#N/A</v>
      </c>
      <c r="U37" s="1844">
        <v>44725</v>
      </c>
      <c r="V37" s="1716" t="e">
        <v>#N/A</v>
      </c>
      <c r="W37" s="1716" t="e">
        <f t="shared" si="18"/>
        <v>#N/A</v>
      </c>
      <c r="X37" s="1717" t="e">
        <f t="shared" si="19"/>
        <v>#N/A</v>
      </c>
      <c r="Y37" s="1716">
        <v>1</v>
      </c>
      <c r="Z37" s="1716" t="e">
        <f t="shared" si="20"/>
        <v>#N/A</v>
      </c>
      <c r="AA37" s="1845" t="e">
        <f t="shared" si="21"/>
        <v>#N/A</v>
      </c>
      <c r="AB37" s="1037" t="s">
        <v>2797</v>
      </c>
      <c r="AC37" s="1037" t="s">
        <v>2797</v>
      </c>
      <c r="AD37" s="1471"/>
      <c r="AE37" s="1471"/>
      <c r="AF37" s="1471"/>
      <c r="AG37" s="1476">
        <v>4080.56</v>
      </c>
      <c r="AH37" s="1476">
        <v>4080.56</v>
      </c>
      <c r="AI37" s="1476">
        <v>4080.56</v>
      </c>
      <c r="AJ37" s="1476">
        <v>4080.56</v>
      </c>
      <c r="AK37" s="1476" t="str">
        <f t="shared" si="22"/>
        <v>yes</v>
      </c>
      <c r="AL37" s="1476" t="str">
        <f t="shared" si="9"/>
        <v>no</v>
      </c>
      <c r="AM37" s="1476" t="str">
        <f t="shared" si="10"/>
        <v>no</v>
      </c>
      <c r="AN37" s="1471"/>
      <c r="AO37" s="1476"/>
      <c r="AP37" s="1471"/>
      <c r="AQ37" s="1471"/>
      <c r="AR37" s="1471"/>
      <c r="AS37" s="1471"/>
      <c r="AT37" s="1471"/>
      <c r="AU37" s="1471"/>
      <c r="AV37" s="1471"/>
      <c r="AW37" s="1471"/>
      <c r="AX37" s="1471"/>
      <c r="AY37" s="1471"/>
      <c r="AZ37" s="1487">
        <v>4080.56</v>
      </c>
      <c r="BA37" s="1476"/>
      <c r="BB37" s="1471"/>
      <c r="BC37" s="1471"/>
      <c r="BD37" s="1471"/>
      <c r="BE37" s="1471"/>
      <c r="BF37" s="1471"/>
      <c r="BG37" s="1471"/>
      <c r="BH37" s="1476">
        <f t="shared" si="32"/>
        <v>0</v>
      </c>
      <c r="BI37" s="1625">
        <f t="shared" si="33"/>
        <v>0</v>
      </c>
      <c r="BJ37" s="1471">
        <v>4080.56</v>
      </c>
      <c r="BK37" s="1471"/>
      <c r="BL37" s="1473">
        <v>4080.56</v>
      </c>
      <c r="BM37" s="1489">
        <f t="shared" si="28"/>
        <v>0</v>
      </c>
      <c r="BN37" s="1489">
        <v>0</v>
      </c>
      <c r="BO37" s="1773">
        <f t="shared" si="11"/>
        <v>0</v>
      </c>
      <c r="BP37" s="1773">
        <v>0</v>
      </c>
      <c r="BQ37" s="1774">
        <f t="shared" si="12"/>
        <v>0</v>
      </c>
      <c r="CF37" s="1795">
        <f t="shared" si="34"/>
        <v>0</v>
      </c>
      <c r="CG37" s="1796">
        <f t="shared" si="13"/>
        <v>0</v>
      </c>
      <c r="CH37" s="1796">
        <f t="shared" si="35"/>
        <v>0</v>
      </c>
      <c r="CN37" s="1797">
        <f t="shared" si="4"/>
        <v>0</v>
      </c>
      <c r="CO37" s="1797">
        <f t="shared" si="5"/>
        <v>0</v>
      </c>
      <c r="CR37" s="1494">
        <f t="shared" si="37"/>
        <v>0</v>
      </c>
      <c r="CS37" s="1797">
        <f t="shared" si="7"/>
        <v>0</v>
      </c>
      <c r="CV37" s="1678">
        <f t="shared" si="14"/>
        <v>0</v>
      </c>
      <c r="CW37" s="1795">
        <f t="shared" si="15"/>
        <v>0</v>
      </c>
      <c r="CX37" s="1496">
        <v>0</v>
      </c>
      <c r="CY37" s="1496">
        <f t="shared" si="36"/>
        <v>0</v>
      </c>
      <c r="CZ37" s="1496">
        <f t="shared" si="8"/>
        <v>0</v>
      </c>
      <c r="DC37" s="1747">
        <f t="shared" si="25"/>
        <v>0</v>
      </c>
      <c r="DD37" s="1496">
        <f t="shared" si="29"/>
        <v>0</v>
      </c>
      <c r="DF37" s="1747">
        <f t="shared" si="17"/>
        <v>0</v>
      </c>
      <c r="DI37" s="1747">
        <f t="shared" si="26"/>
        <v>0</v>
      </c>
    </row>
    <row r="38" spans="1:113" hidden="1" x14ac:dyDescent="0.25">
      <c r="A38" s="1471">
        <v>0</v>
      </c>
      <c r="B38" s="480" t="s">
        <v>3345</v>
      </c>
      <c r="C38" s="480">
        <v>203005</v>
      </c>
      <c r="D38" s="480" t="s">
        <v>3346</v>
      </c>
      <c r="E38" s="1784" t="s">
        <v>1876</v>
      </c>
      <c r="F38" s="1841">
        <v>412801</v>
      </c>
      <c r="G38" s="1842" t="s">
        <v>3354</v>
      </c>
      <c r="H38" s="1842" t="s">
        <v>328</v>
      </c>
      <c r="I38" s="1038">
        <v>40133</v>
      </c>
      <c r="J38" s="1803">
        <v>8</v>
      </c>
      <c r="K38" s="1039">
        <f t="shared" ca="1" si="27"/>
        <v>15.849418206707734</v>
      </c>
      <c r="L38" s="963" t="s">
        <v>1886</v>
      </c>
      <c r="M38" s="963" t="s">
        <v>3355</v>
      </c>
      <c r="N38" s="480"/>
      <c r="O38" s="1362">
        <v>9788.42</v>
      </c>
      <c r="P38" s="1362"/>
      <c r="Q38" s="1476">
        <v>5458</v>
      </c>
      <c r="R38" s="1476">
        <f>11505.36</f>
        <v>11505.36</v>
      </c>
      <c r="S38" s="1475">
        <v>45017</v>
      </c>
      <c r="T38" s="1716">
        <v>1</v>
      </c>
      <c r="U38" s="1847">
        <v>45135</v>
      </c>
      <c r="V38" s="1716">
        <v>63</v>
      </c>
      <c r="W38" s="1716">
        <f t="shared" si="18"/>
        <v>63</v>
      </c>
      <c r="X38" s="1717">
        <f t="shared" si="19"/>
        <v>0.328125</v>
      </c>
      <c r="Y38" s="1716">
        <v>1</v>
      </c>
      <c r="Z38" s="1716">
        <f t="shared" si="20"/>
        <v>0.328125</v>
      </c>
      <c r="AA38" s="1848">
        <f t="shared" si="21"/>
        <v>1790.90625</v>
      </c>
      <c r="AB38" s="1037" t="s">
        <v>2797</v>
      </c>
      <c r="AC38" s="1037" t="s">
        <v>2797</v>
      </c>
      <c r="AD38" s="1471"/>
      <c r="AE38" s="1471"/>
      <c r="AF38" s="1471"/>
      <c r="AG38" s="1476">
        <f>11505.36+5458</f>
        <v>16963.36</v>
      </c>
      <c r="AH38" s="1476">
        <v>11505.36</v>
      </c>
      <c r="AI38" s="1476">
        <v>16963.36</v>
      </c>
      <c r="AJ38" s="1476">
        <v>11505.36</v>
      </c>
      <c r="AK38" s="1476" t="str">
        <f t="shared" si="22"/>
        <v>no</v>
      </c>
      <c r="AL38" s="1476" t="str">
        <f t="shared" si="9"/>
        <v>yes</v>
      </c>
      <c r="AM38" s="1476" t="str">
        <f t="shared" si="10"/>
        <v>no</v>
      </c>
      <c r="AN38" s="1471"/>
      <c r="AO38" s="1476"/>
      <c r="AP38" s="1471"/>
      <c r="AQ38" s="1471"/>
      <c r="AR38" s="1471"/>
      <c r="AS38" s="1471"/>
      <c r="AT38" s="1471"/>
      <c r="AU38" s="1471"/>
      <c r="AV38" s="1471"/>
      <c r="AW38" s="1471"/>
      <c r="AX38" s="1471"/>
      <c r="AY38" s="1471"/>
      <c r="AZ38" s="1487">
        <v>11505.36</v>
      </c>
      <c r="BA38" s="1476"/>
      <c r="BB38" s="1471"/>
      <c r="BC38" s="1471"/>
      <c r="BD38" s="1471"/>
      <c r="BE38" s="1471"/>
      <c r="BF38" s="1471"/>
      <c r="BG38" s="1471"/>
      <c r="BH38" s="1476">
        <f t="shared" si="32"/>
        <v>0</v>
      </c>
      <c r="BI38" s="1625">
        <f t="shared" si="33"/>
        <v>0</v>
      </c>
      <c r="BJ38" s="1471">
        <v>16963.36</v>
      </c>
      <c r="BK38" s="1471"/>
      <c r="BL38" s="1473">
        <v>11505.36</v>
      </c>
      <c r="BM38" s="1489">
        <f t="shared" si="28"/>
        <v>5458</v>
      </c>
      <c r="BN38" s="1489">
        <v>5458</v>
      </c>
      <c r="BO38" s="1773">
        <f t="shared" si="11"/>
        <v>0</v>
      </c>
      <c r="BP38" s="1773">
        <v>0</v>
      </c>
      <c r="BQ38" s="1774">
        <f t="shared" si="12"/>
        <v>5458</v>
      </c>
      <c r="CF38" s="1795">
        <f t="shared" si="34"/>
        <v>5458</v>
      </c>
      <c r="CG38" s="1796">
        <f t="shared" si="13"/>
        <v>5458</v>
      </c>
      <c r="CH38" s="1796">
        <f t="shared" si="35"/>
        <v>0</v>
      </c>
      <c r="CN38" s="1797">
        <f t="shared" si="4"/>
        <v>5458</v>
      </c>
      <c r="CO38" s="1797">
        <f t="shared" si="5"/>
        <v>0</v>
      </c>
      <c r="CR38" s="1494">
        <f t="shared" si="37"/>
        <v>5458</v>
      </c>
      <c r="CS38" s="1797">
        <f t="shared" si="7"/>
        <v>0</v>
      </c>
      <c r="CV38" s="1678">
        <f t="shared" si="14"/>
        <v>5458</v>
      </c>
      <c r="CW38" s="1795">
        <f t="shared" si="15"/>
        <v>0</v>
      </c>
      <c r="CX38" s="1496">
        <v>4330</v>
      </c>
      <c r="CY38" s="1496">
        <f t="shared" si="36"/>
        <v>9788</v>
      </c>
      <c r="CZ38" s="1496">
        <f t="shared" si="8"/>
        <v>4330</v>
      </c>
      <c r="DA38" s="1825" t="s">
        <v>3356</v>
      </c>
      <c r="DB38" s="1798">
        <v>8252</v>
      </c>
      <c r="DC38" s="1747">
        <f t="shared" si="25"/>
        <v>18040</v>
      </c>
      <c r="DD38" s="1496">
        <f t="shared" si="29"/>
        <v>8252</v>
      </c>
      <c r="DF38" s="1747">
        <f t="shared" si="17"/>
        <v>18040</v>
      </c>
      <c r="DG38" s="1490" t="s">
        <v>3357</v>
      </c>
      <c r="DI38" s="1747">
        <f t="shared" si="26"/>
        <v>18040</v>
      </c>
    </row>
    <row r="39" spans="1:113" x14ac:dyDescent="0.25">
      <c r="A39" s="1471">
        <v>1</v>
      </c>
      <c r="B39" s="480" t="s">
        <v>3345</v>
      </c>
      <c r="C39" s="480">
        <v>203005</v>
      </c>
      <c r="D39" s="480" t="s">
        <v>3346</v>
      </c>
      <c r="E39" s="1784" t="s">
        <v>1876</v>
      </c>
      <c r="F39" s="1165">
        <v>372924</v>
      </c>
      <c r="G39" s="480" t="s">
        <v>3358</v>
      </c>
      <c r="H39" s="480" t="s">
        <v>3308</v>
      </c>
      <c r="I39" s="963">
        <v>38810</v>
      </c>
      <c r="J39" s="1803">
        <v>9</v>
      </c>
      <c r="K39" s="1039">
        <f t="shared" ca="1" si="27"/>
        <v>19.471594798083505</v>
      </c>
      <c r="L39" s="963" t="s">
        <v>1886</v>
      </c>
      <c r="M39" s="963" t="s">
        <v>3355</v>
      </c>
      <c r="N39" s="480"/>
      <c r="O39" s="1362">
        <v>3645</v>
      </c>
      <c r="P39" s="1362"/>
      <c r="Q39" s="1476">
        <v>3645</v>
      </c>
      <c r="R39" s="1476">
        <f>10709.54</f>
        <v>10709.54</v>
      </c>
      <c r="S39" s="1475">
        <v>45017</v>
      </c>
      <c r="T39" s="1716">
        <v>1</v>
      </c>
      <c r="U39" s="1475">
        <v>45382</v>
      </c>
      <c r="V39" s="1716">
        <v>192</v>
      </c>
      <c r="W39" s="1716">
        <f t="shared" si="18"/>
        <v>192</v>
      </c>
      <c r="X39" s="1717">
        <f t="shared" si="19"/>
        <v>1</v>
      </c>
      <c r="Y39" s="1716">
        <v>1</v>
      </c>
      <c r="Z39" s="1716">
        <f t="shared" si="20"/>
        <v>1</v>
      </c>
      <c r="AA39" s="1788">
        <f t="shared" si="21"/>
        <v>3645</v>
      </c>
      <c r="AB39" s="1037" t="s">
        <v>2797</v>
      </c>
      <c r="AC39" s="1037" t="s">
        <v>2797</v>
      </c>
      <c r="AD39" s="1471"/>
      <c r="AE39" s="1471"/>
      <c r="AF39" s="1471"/>
      <c r="AG39" s="1476">
        <f>10709.54+3645</f>
        <v>14354.54</v>
      </c>
      <c r="AH39" s="1476">
        <v>10709.54</v>
      </c>
      <c r="AI39" s="1476">
        <v>14354.54</v>
      </c>
      <c r="AJ39" s="1476">
        <v>10709.54</v>
      </c>
      <c r="AK39" s="1476" t="str">
        <f t="shared" si="22"/>
        <v>yes</v>
      </c>
      <c r="AL39" s="1476" t="str">
        <f t="shared" si="9"/>
        <v>no</v>
      </c>
      <c r="AM39" s="1476" t="str">
        <f t="shared" si="10"/>
        <v>no</v>
      </c>
      <c r="AN39" s="1471"/>
      <c r="AO39" s="1476"/>
      <c r="AP39" s="1471"/>
      <c r="AQ39" s="1471"/>
      <c r="AR39" s="1471"/>
      <c r="AS39" s="1471"/>
      <c r="AT39" s="1471"/>
      <c r="AU39" s="1471"/>
      <c r="AV39" s="1471"/>
      <c r="AW39" s="1471"/>
      <c r="AX39" s="1471"/>
      <c r="AY39" s="1471"/>
      <c r="AZ39" s="1487">
        <v>10709.54</v>
      </c>
      <c r="BA39" s="1476"/>
      <c r="BB39" s="1471"/>
      <c r="BC39" s="1471"/>
      <c r="BD39" s="1471"/>
      <c r="BE39" s="1471"/>
      <c r="BF39" s="1471"/>
      <c r="BG39" s="1471"/>
      <c r="BH39" s="1476">
        <f t="shared" si="32"/>
        <v>0</v>
      </c>
      <c r="BI39" s="1625">
        <f t="shared" si="33"/>
        <v>0</v>
      </c>
      <c r="BJ39" s="1471">
        <v>14354.54</v>
      </c>
      <c r="BK39" s="1471"/>
      <c r="BL39" s="1473">
        <v>10709.54</v>
      </c>
      <c r="BM39" s="1489">
        <f t="shared" si="28"/>
        <v>3645</v>
      </c>
      <c r="BN39" s="1489">
        <v>3645</v>
      </c>
      <c r="BO39" s="1773">
        <f t="shared" si="11"/>
        <v>0</v>
      </c>
      <c r="BP39" s="1773">
        <v>0</v>
      </c>
      <c r="BQ39" s="1774">
        <f t="shared" si="12"/>
        <v>3645</v>
      </c>
      <c r="CF39" s="1795">
        <f t="shared" si="34"/>
        <v>3645</v>
      </c>
      <c r="CG39" s="1796">
        <f t="shared" si="13"/>
        <v>3645</v>
      </c>
      <c r="CH39" s="1796">
        <f t="shared" si="35"/>
        <v>0</v>
      </c>
      <c r="CN39" s="1797">
        <f t="shared" si="4"/>
        <v>3645</v>
      </c>
      <c r="CO39" s="1797">
        <f t="shared" si="5"/>
        <v>0</v>
      </c>
      <c r="CR39" s="1494">
        <f t="shared" ref="CR39:CR45" si="38">CN39+CP39+CQ39</f>
        <v>3645</v>
      </c>
      <c r="CS39" s="1797">
        <f t="shared" si="7"/>
        <v>0</v>
      </c>
      <c r="CV39" s="1678">
        <f t="shared" si="14"/>
        <v>3645</v>
      </c>
      <c r="CW39" s="1795">
        <f t="shared" si="15"/>
        <v>0</v>
      </c>
      <c r="CX39" s="1496">
        <v>0</v>
      </c>
      <c r="CY39" s="1496">
        <f t="shared" si="36"/>
        <v>3645</v>
      </c>
      <c r="CZ39" s="1496">
        <f t="shared" si="8"/>
        <v>0</v>
      </c>
      <c r="DC39" s="1747">
        <f t="shared" si="25"/>
        <v>3645</v>
      </c>
      <c r="DD39" s="1496">
        <f t="shared" si="29"/>
        <v>0</v>
      </c>
      <c r="DF39" s="1747">
        <f t="shared" si="17"/>
        <v>3645</v>
      </c>
      <c r="DI39" s="1747">
        <f t="shared" si="26"/>
        <v>3645</v>
      </c>
    </row>
    <row r="40" spans="1:113" x14ac:dyDescent="0.25">
      <c r="A40" s="1471">
        <v>1</v>
      </c>
      <c r="B40" s="480" t="s">
        <v>3345</v>
      </c>
      <c r="C40" s="480">
        <v>203005</v>
      </c>
      <c r="D40" s="480" t="s">
        <v>3346</v>
      </c>
      <c r="E40" s="1784" t="s">
        <v>1876</v>
      </c>
      <c r="F40" s="1165">
        <v>406006</v>
      </c>
      <c r="G40" s="480" t="s">
        <v>3359</v>
      </c>
      <c r="H40" s="480" t="s">
        <v>3360</v>
      </c>
      <c r="I40" s="963">
        <v>40434</v>
      </c>
      <c r="J40" s="1803">
        <v>8</v>
      </c>
      <c r="K40" s="1039">
        <f ca="1">(TODAY()-I40)/365.25</f>
        <v>15.025325119780971</v>
      </c>
      <c r="L40" s="963" t="s">
        <v>1886</v>
      </c>
      <c r="M40" s="963" t="s">
        <v>1316</v>
      </c>
      <c r="N40" s="480"/>
      <c r="O40" s="1818">
        <v>4000</v>
      </c>
      <c r="P40" s="1362"/>
      <c r="Q40" s="1476">
        <v>4000</v>
      </c>
      <c r="R40" s="1476">
        <v>4195</v>
      </c>
      <c r="S40" s="1475">
        <v>45017</v>
      </c>
      <c r="T40" s="1716">
        <v>1</v>
      </c>
      <c r="U40" s="1475">
        <v>45382</v>
      </c>
      <c r="V40" s="1716">
        <v>192</v>
      </c>
      <c r="W40" s="1716">
        <f t="shared" si="18"/>
        <v>192</v>
      </c>
      <c r="X40" s="1717">
        <f t="shared" si="19"/>
        <v>1</v>
      </c>
      <c r="Y40" s="1716">
        <v>1</v>
      </c>
      <c r="Z40" s="1716">
        <f t="shared" si="20"/>
        <v>1</v>
      </c>
      <c r="AA40" s="1788">
        <f t="shared" si="21"/>
        <v>4000</v>
      </c>
      <c r="AB40" s="1037" t="s">
        <v>2797</v>
      </c>
      <c r="AC40" s="1037" t="s">
        <v>2797</v>
      </c>
      <c r="AD40" s="1471"/>
      <c r="AE40" s="1471"/>
      <c r="AF40" s="1471"/>
      <c r="AG40" s="1476">
        <f>4195+4000</f>
        <v>8195</v>
      </c>
      <c r="AH40" s="1476">
        <v>4195</v>
      </c>
      <c r="AI40" s="1476">
        <v>8195</v>
      </c>
      <c r="AJ40" s="1476">
        <v>4195</v>
      </c>
      <c r="AK40" s="1476" t="str">
        <f t="shared" si="22"/>
        <v>yes</v>
      </c>
      <c r="AL40" s="1476" t="str">
        <f t="shared" si="9"/>
        <v>no</v>
      </c>
      <c r="AM40" s="1476" t="str">
        <f t="shared" si="10"/>
        <v>no</v>
      </c>
      <c r="AN40" s="1471"/>
      <c r="AO40" s="1476"/>
      <c r="AP40" s="1471"/>
      <c r="AQ40" s="1471"/>
      <c r="AR40" s="1471"/>
      <c r="AS40" s="1471"/>
      <c r="AT40" s="1471"/>
      <c r="AU40" s="1471"/>
      <c r="AV40" s="1471"/>
      <c r="AW40" s="1471"/>
      <c r="AX40" s="1471"/>
      <c r="AY40" s="1471"/>
      <c r="AZ40" s="1487">
        <v>4195</v>
      </c>
      <c r="BA40" s="1476"/>
      <c r="BB40" s="1471"/>
      <c r="BC40" s="1471"/>
      <c r="BD40" s="1471"/>
      <c r="BE40" s="1471"/>
      <c r="BF40" s="1471"/>
      <c r="BG40" s="1471"/>
      <c r="BH40" s="1476">
        <f t="shared" si="32"/>
        <v>0</v>
      </c>
      <c r="BI40" s="1625">
        <f t="shared" si="33"/>
        <v>0</v>
      </c>
      <c r="BJ40" s="1471">
        <v>8195</v>
      </c>
      <c r="BK40" s="1471"/>
      <c r="BL40" s="1473">
        <v>4195</v>
      </c>
      <c r="BM40" s="1489">
        <f>BJ40+BK40-BL40</f>
        <v>4000</v>
      </c>
      <c r="BN40" s="1489">
        <v>4000</v>
      </c>
      <c r="BO40" s="1773">
        <f t="shared" si="11"/>
        <v>0</v>
      </c>
      <c r="BP40" s="1773">
        <v>0</v>
      </c>
      <c r="BQ40" s="1774">
        <f t="shared" si="12"/>
        <v>4000</v>
      </c>
      <c r="CF40" s="1795">
        <f t="shared" si="34"/>
        <v>4000</v>
      </c>
      <c r="CG40" s="1796">
        <f t="shared" si="13"/>
        <v>4000</v>
      </c>
      <c r="CH40" s="1796">
        <f t="shared" si="35"/>
        <v>0</v>
      </c>
      <c r="CN40" s="1797">
        <f t="shared" si="4"/>
        <v>4000</v>
      </c>
      <c r="CO40" s="1797">
        <f t="shared" si="5"/>
        <v>0</v>
      </c>
      <c r="CR40" s="1494">
        <f t="shared" si="38"/>
        <v>4000</v>
      </c>
      <c r="CS40" s="1797">
        <f t="shared" si="7"/>
        <v>0</v>
      </c>
      <c r="CV40" s="1678">
        <f t="shared" si="14"/>
        <v>4000</v>
      </c>
      <c r="CW40" s="1795">
        <f t="shared" si="15"/>
        <v>0</v>
      </c>
      <c r="CX40" s="1496">
        <v>0</v>
      </c>
      <c r="CY40" s="1496">
        <f t="shared" si="36"/>
        <v>4000</v>
      </c>
      <c r="CZ40" s="1496">
        <f t="shared" si="8"/>
        <v>0</v>
      </c>
      <c r="DC40" s="1747">
        <f t="shared" si="25"/>
        <v>4000</v>
      </c>
      <c r="DD40" s="1496">
        <f t="shared" si="29"/>
        <v>0</v>
      </c>
      <c r="DF40" s="1747">
        <f t="shared" si="17"/>
        <v>4000</v>
      </c>
      <c r="DI40" s="1747">
        <f t="shared" si="26"/>
        <v>4000</v>
      </c>
    </row>
    <row r="41" spans="1:113" x14ac:dyDescent="0.25">
      <c r="A41" s="1471">
        <v>1</v>
      </c>
      <c r="B41" s="480" t="s">
        <v>3345</v>
      </c>
      <c r="C41" s="480">
        <v>203005</v>
      </c>
      <c r="D41" s="480" t="s">
        <v>3346</v>
      </c>
      <c r="E41" s="1784" t="s">
        <v>1876</v>
      </c>
      <c r="F41" s="1165">
        <v>406745</v>
      </c>
      <c r="G41" s="480" t="s">
        <v>3361</v>
      </c>
      <c r="H41" s="480" t="s">
        <v>463</v>
      </c>
      <c r="I41" s="963">
        <v>39866</v>
      </c>
      <c r="J41" s="1803">
        <v>7</v>
      </c>
      <c r="K41" s="1039">
        <f t="shared" ca="1" si="27"/>
        <v>16.580424366872005</v>
      </c>
      <c r="L41" s="963" t="s">
        <v>1886</v>
      </c>
      <c r="M41" s="963" t="s">
        <v>37</v>
      </c>
      <c r="N41" s="480"/>
      <c r="O41" s="1362">
        <v>2329</v>
      </c>
      <c r="P41" s="1362"/>
      <c r="Q41" s="1476">
        <f>2329</f>
        <v>2329</v>
      </c>
      <c r="R41" s="1476">
        <v>4968.7299999999996</v>
      </c>
      <c r="S41" s="1475">
        <v>45017</v>
      </c>
      <c r="T41" s="1716">
        <v>1</v>
      </c>
      <c r="U41" s="1475">
        <v>45382</v>
      </c>
      <c r="V41" s="1716">
        <v>192</v>
      </c>
      <c r="W41" s="1716">
        <f t="shared" si="18"/>
        <v>192</v>
      </c>
      <c r="X41" s="1717">
        <f t="shared" si="19"/>
        <v>1</v>
      </c>
      <c r="Y41" s="1716">
        <v>1</v>
      </c>
      <c r="Z41" s="1716">
        <f t="shared" si="20"/>
        <v>1</v>
      </c>
      <c r="AA41" s="1788">
        <f t="shared" si="21"/>
        <v>2329</v>
      </c>
      <c r="AB41" s="1037" t="s">
        <v>2797</v>
      </c>
      <c r="AC41" s="1037" t="s">
        <v>2797</v>
      </c>
      <c r="AD41" s="1471"/>
      <c r="AE41" s="1471"/>
      <c r="AF41" s="1471"/>
      <c r="AG41" s="1476">
        <f>2329+4968.73</f>
        <v>7297.73</v>
      </c>
      <c r="AH41" s="1476">
        <v>4968.7299999999996</v>
      </c>
      <c r="AI41" s="1476">
        <v>7297.73</v>
      </c>
      <c r="AJ41" s="1476">
        <v>4968.7299999999996</v>
      </c>
      <c r="AK41" s="1476" t="str">
        <f t="shared" si="22"/>
        <v>yes</v>
      </c>
      <c r="AL41" s="1476" t="str">
        <f t="shared" si="9"/>
        <v>no</v>
      </c>
      <c r="AM41" s="1476" t="str">
        <f t="shared" si="10"/>
        <v>no</v>
      </c>
      <c r="AN41" s="1471"/>
      <c r="AO41" s="1476"/>
      <c r="AP41" s="1471"/>
      <c r="AQ41" s="1471"/>
      <c r="AR41" s="1471"/>
      <c r="AS41" s="1471"/>
      <c r="AT41" s="1471"/>
      <c r="AU41" s="1471"/>
      <c r="AV41" s="1471"/>
      <c r="AW41" s="1471"/>
      <c r="AX41" s="1471"/>
      <c r="AY41" s="1471"/>
      <c r="AZ41" s="1487">
        <v>4968.7299999999996</v>
      </c>
      <c r="BA41" s="1476"/>
      <c r="BB41" s="1471"/>
      <c r="BC41" s="1471"/>
      <c r="BD41" s="1471"/>
      <c r="BE41" s="1471"/>
      <c r="BF41" s="1471"/>
      <c r="BG41" s="1471"/>
      <c r="BH41" s="1476">
        <f t="shared" si="32"/>
        <v>0</v>
      </c>
      <c r="BI41" s="1625">
        <f t="shared" si="33"/>
        <v>0</v>
      </c>
      <c r="BJ41" s="1471">
        <v>7297.73</v>
      </c>
      <c r="BK41" s="1471"/>
      <c r="BL41" s="1473">
        <v>4968.7299999999996</v>
      </c>
      <c r="BM41" s="1489">
        <f t="shared" ref="BM41:BM120" si="39">BJ41+BK41-BL41</f>
        <v>2329</v>
      </c>
      <c r="BN41" s="1489">
        <v>2329</v>
      </c>
      <c r="BO41" s="1773">
        <f t="shared" si="11"/>
        <v>0</v>
      </c>
      <c r="BP41" s="1773">
        <v>0</v>
      </c>
      <c r="BQ41" s="1774">
        <f t="shared" si="12"/>
        <v>2329</v>
      </c>
      <c r="CF41" s="1795">
        <f t="shared" si="34"/>
        <v>2329</v>
      </c>
      <c r="CG41" s="1796">
        <f t="shared" si="13"/>
        <v>2329</v>
      </c>
      <c r="CH41" s="1796">
        <f t="shared" si="35"/>
        <v>0</v>
      </c>
      <c r="CN41" s="1797">
        <f t="shared" si="4"/>
        <v>2329</v>
      </c>
      <c r="CO41" s="1797">
        <f t="shared" si="5"/>
        <v>0</v>
      </c>
      <c r="CR41" s="1494">
        <f t="shared" si="38"/>
        <v>2329</v>
      </c>
      <c r="CS41" s="1797">
        <f t="shared" si="7"/>
        <v>0</v>
      </c>
      <c r="CV41" s="1678">
        <f t="shared" si="14"/>
        <v>2329</v>
      </c>
      <c r="CW41" s="1795">
        <f t="shared" si="15"/>
        <v>0</v>
      </c>
      <c r="CX41" s="1496">
        <v>0</v>
      </c>
      <c r="CY41" s="1496">
        <f t="shared" si="36"/>
        <v>2329</v>
      </c>
      <c r="CZ41" s="1496">
        <f t="shared" si="8"/>
        <v>0</v>
      </c>
      <c r="DC41" s="1747">
        <f t="shared" si="25"/>
        <v>2329</v>
      </c>
      <c r="DD41" s="1496">
        <f t="shared" si="29"/>
        <v>0</v>
      </c>
      <c r="DF41" s="1747">
        <f t="shared" si="17"/>
        <v>2329</v>
      </c>
      <c r="DI41" s="1747">
        <f t="shared" si="26"/>
        <v>2329</v>
      </c>
    </row>
    <row r="42" spans="1:113" x14ac:dyDescent="0.25">
      <c r="A42" s="1471">
        <v>1</v>
      </c>
      <c r="B42" s="480" t="s">
        <v>3345</v>
      </c>
      <c r="C42" s="480">
        <v>203005</v>
      </c>
      <c r="D42" s="480" t="s">
        <v>3346</v>
      </c>
      <c r="E42" s="1784" t="s">
        <v>1876</v>
      </c>
      <c r="F42" s="1165">
        <v>378520</v>
      </c>
      <c r="G42" s="480" t="s">
        <v>764</v>
      </c>
      <c r="H42" s="480" t="s">
        <v>3362</v>
      </c>
      <c r="I42" s="963">
        <v>38982</v>
      </c>
      <c r="J42" s="1803">
        <v>10</v>
      </c>
      <c r="K42" s="1039">
        <f t="shared" ca="1" si="27"/>
        <v>19.000684462696782</v>
      </c>
      <c r="L42" s="963" t="s">
        <v>1886</v>
      </c>
      <c r="M42" s="963" t="s">
        <v>1316</v>
      </c>
      <c r="N42" s="480"/>
      <c r="O42" s="1362">
        <v>3956</v>
      </c>
      <c r="P42" s="1362"/>
      <c r="Q42" s="1476">
        <f>3956</f>
        <v>3956</v>
      </c>
      <c r="R42" s="1476">
        <v>7046</v>
      </c>
      <c r="S42" s="1475">
        <v>45017</v>
      </c>
      <c r="T42" s="1716">
        <v>1</v>
      </c>
      <c r="U42" s="1475">
        <v>45382</v>
      </c>
      <c r="V42" s="1716">
        <v>192</v>
      </c>
      <c r="W42" s="1716">
        <f t="shared" si="18"/>
        <v>192</v>
      </c>
      <c r="X42" s="1717">
        <f t="shared" si="19"/>
        <v>1</v>
      </c>
      <c r="Y42" s="1716">
        <v>1</v>
      </c>
      <c r="Z42" s="1716">
        <f t="shared" si="20"/>
        <v>1</v>
      </c>
      <c r="AA42" s="1788">
        <f t="shared" si="21"/>
        <v>3956</v>
      </c>
      <c r="AB42" s="1037" t="s">
        <v>2797</v>
      </c>
      <c r="AC42" s="1037" t="s">
        <v>2797</v>
      </c>
      <c r="AD42" s="1471"/>
      <c r="AE42" s="1471"/>
      <c r="AF42" s="1471"/>
      <c r="AG42" s="1476">
        <f>3956+7046</f>
        <v>11002</v>
      </c>
      <c r="AH42" s="1476">
        <v>7046</v>
      </c>
      <c r="AI42" s="1476">
        <v>11002</v>
      </c>
      <c r="AJ42" s="1476">
        <v>7046</v>
      </c>
      <c r="AK42" s="1476" t="str">
        <f t="shared" si="22"/>
        <v>yes</v>
      </c>
      <c r="AL42" s="1476" t="str">
        <f t="shared" si="9"/>
        <v>no</v>
      </c>
      <c r="AM42" s="1476" t="str">
        <f t="shared" si="10"/>
        <v>no</v>
      </c>
      <c r="AN42" s="1471"/>
      <c r="AO42" s="1476"/>
      <c r="AP42" s="1471"/>
      <c r="AQ42" s="1471"/>
      <c r="AR42" s="1471"/>
      <c r="AS42" s="1471"/>
      <c r="AT42" s="1471"/>
      <c r="AU42" s="1471"/>
      <c r="AV42" s="1471"/>
      <c r="AW42" s="1471"/>
      <c r="AX42" s="1471"/>
      <c r="AY42" s="1471"/>
      <c r="AZ42" s="1487">
        <v>7046</v>
      </c>
      <c r="BA42" s="1476"/>
      <c r="BB42" s="1471"/>
      <c r="BC42" s="1471"/>
      <c r="BD42" s="1471"/>
      <c r="BE42" s="1471"/>
      <c r="BF42" s="1471"/>
      <c r="BG42" s="1471"/>
      <c r="BH42" s="1476">
        <f t="shared" si="32"/>
        <v>0</v>
      </c>
      <c r="BI42" s="1625">
        <f t="shared" si="33"/>
        <v>0</v>
      </c>
      <c r="BJ42" s="1471">
        <v>11002</v>
      </c>
      <c r="BK42" s="1471"/>
      <c r="BL42" s="1473">
        <v>7046</v>
      </c>
      <c r="BM42" s="1489">
        <f t="shared" si="39"/>
        <v>3956</v>
      </c>
      <c r="BN42" s="1489">
        <v>3956</v>
      </c>
      <c r="BO42" s="1773">
        <f t="shared" si="11"/>
        <v>-2637.3333333333335</v>
      </c>
      <c r="BP42" s="1773">
        <v>-2637.3333333333335</v>
      </c>
      <c r="BQ42" s="1774">
        <f t="shared" si="12"/>
        <v>1318.6666666666665</v>
      </c>
      <c r="BW42" s="1794" t="s">
        <v>2266</v>
      </c>
      <c r="BX42" s="1839">
        <v>45000</v>
      </c>
      <c r="BZ42" s="1494">
        <f>BN42/3*2*-1</f>
        <v>-2637.3333333333335</v>
      </c>
      <c r="CF42" s="1795">
        <f t="shared" si="34"/>
        <v>1318.6666666666665</v>
      </c>
      <c r="CG42" s="1796">
        <f t="shared" si="13"/>
        <v>1318.6666666666665</v>
      </c>
      <c r="CH42" s="1796">
        <f t="shared" si="35"/>
        <v>0</v>
      </c>
      <c r="CN42" s="1797">
        <f t="shared" si="4"/>
        <v>1318.6666666666665</v>
      </c>
      <c r="CO42" s="1797">
        <f t="shared" si="5"/>
        <v>0</v>
      </c>
      <c r="CR42" s="1494">
        <f t="shared" si="38"/>
        <v>1318.6666666666665</v>
      </c>
      <c r="CS42" s="1797">
        <f t="shared" si="7"/>
        <v>0</v>
      </c>
      <c r="CV42" s="1678">
        <f t="shared" si="14"/>
        <v>1318.6666666666665</v>
      </c>
      <c r="CW42" s="1795">
        <f t="shared" si="15"/>
        <v>0</v>
      </c>
      <c r="CX42" s="1496">
        <v>0</v>
      </c>
      <c r="CY42" s="1496">
        <f t="shared" si="36"/>
        <v>1318.6666666666665</v>
      </c>
      <c r="CZ42" s="1496">
        <f t="shared" si="8"/>
        <v>0</v>
      </c>
      <c r="DC42" s="1747">
        <f t="shared" si="25"/>
        <v>1318.6666666666665</v>
      </c>
      <c r="DD42" s="1496">
        <f t="shared" si="29"/>
        <v>0</v>
      </c>
      <c r="DF42" s="1747">
        <f t="shared" si="17"/>
        <v>1318.6666666666665</v>
      </c>
      <c r="DH42" s="1496"/>
      <c r="DI42" s="1747">
        <f t="shared" si="26"/>
        <v>1318.6666666666665</v>
      </c>
    </row>
    <row r="43" spans="1:113" x14ac:dyDescent="0.25">
      <c r="A43" s="1471">
        <v>1</v>
      </c>
      <c r="B43" s="480"/>
      <c r="C43" s="480"/>
      <c r="D43" s="480" t="s">
        <v>3363</v>
      </c>
      <c r="E43" s="1784" t="s">
        <v>1876</v>
      </c>
      <c r="F43" s="1165">
        <v>456136</v>
      </c>
      <c r="G43" s="480" t="s">
        <v>3364</v>
      </c>
      <c r="H43" s="480" t="s">
        <v>3365</v>
      </c>
      <c r="I43" s="963">
        <v>39612</v>
      </c>
      <c r="J43" s="1803"/>
      <c r="K43" s="1039">
        <f t="shared" ca="1" si="27"/>
        <v>17.27583846680356</v>
      </c>
      <c r="L43" s="963" t="s">
        <v>1886</v>
      </c>
      <c r="M43" s="963"/>
      <c r="N43" s="480"/>
      <c r="O43" s="1362">
        <v>9740</v>
      </c>
      <c r="P43" s="1362"/>
      <c r="Q43" s="1476">
        <v>9740</v>
      </c>
      <c r="R43" s="1476"/>
      <c r="S43" s="1475">
        <v>45174</v>
      </c>
      <c r="T43" s="1716">
        <v>67</v>
      </c>
      <c r="U43" s="1475">
        <v>45382</v>
      </c>
      <c r="V43" s="1716">
        <v>192</v>
      </c>
      <c r="W43" s="1716">
        <f t="shared" si="18"/>
        <v>126</v>
      </c>
      <c r="X43" s="1717">
        <f t="shared" si="19"/>
        <v>0.65625</v>
      </c>
      <c r="Y43" s="1716">
        <v>1</v>
      </c>
      <c r="Z43" s="1716">
        <f t="shared" si="20"/>
        <v>0.65625</v>
      </c>
      <c r="AA43" s="1788">
        <f t="shared" si="21"/>
        <v>6391.875</v>
      </c>
      <c r="AB43" s="1037" t="s">
        <v>2797</v>
      </c>
      <c r="AC43" s="1037" t="s">
        <v>2797</v>
      </c>
      <c r="AD43" s="1471"/>
      <c r="AE43" s="1471"/>
      <c r="AF43" s="1471"/>
      <c r="AG43" s="1476"/>
      <c r="AH43" s="1476"/>
      <c r="AI43" s="1476"/>
      <c r="AJ43" s="1476"/>
      <c r="AK43" s="1476"/>
      <c r="AL43" s="1476"/>
      <c r="AM43" s="1476"/>
      <c r="AN43" s="1471"/>
      <c r="AO43" s="1476"/>
      <c r="AP43" s="1471"/>
      <c r="AQ43" s="1471"/>
      <c r="AR43" s="1471"/>
      <c r="AS43" s="1471"/>
      <c r="AT43" s="1471"/>
      <c r="AU43" s="1471"/>
      <c r="AV43" s="1471"/>
      <c r="AW43" s="1471"/>
      <c r="AX43" s="1471"/>
      <c r="AY43" s="1471"/>
      <c r="AZ43" s="1487"/>
      <c r="BA43" s="1476"/>
      <c r="BB43" s="1471"/>
      <c r="BC43" s="1471"/>
      <c r="BD43" s="1471"/>
      <c r="BE43" s="1471"/>
      <c r="BF43" s="1471"/>
      <c r="BG43" s="1471"/>
      <c r="BH43" s="1476"/>
      <c r="BI43" s="1625"/>
      <c r="BJ43" s="1471">
        <v>0</v>
      </c>
      <c r="BK43" s="1471"/>
      <c r="BL43" s="1473"/>
      <c r="BM43" s="1489"/>
      <c r="BN43" s="1489"/>
      <c r="BO43" s="1773"/>
      <c r="BP43" s="1773"/>
      <c r="BQ43" s="1774"/>
      <c r="BX43" s="1839"/>
      <c r="BZ43" s="1494"/>
      <c r="CF43" s="1795"/>
      <c r="CG43" s="1796"/>
      <c r="CH43" s="1796"/>
      <c r="CN43" s="1797"/>
      <c r="CO43" s="1797"/>
      <c r="CR43" s="1494"/>
      <c r="CS43" s="1797"/>
      <c r="CV43" s="1678"/>
      <c r="CW43" s="1795"/>
      <c r="DB43" s="1798">
        <f>Q43</f>
        <v>9740</v>
      </c>
      <c r="DC43" s="1747">
        <f t="shared" si="25"/>
        <v>9740</v>
      </c>
      <c r="DD43" s="1496"/>
      <c r="DF43" s="1747">
        <f t="shared" si="17"/>
        <v>9740</v>
      </c>
      <c r="DH43" s="1496">
        <v>-3247</v>
      </c>
      <c r="DI43" s="1747">
        <f t="shared" si="26"/>
        <v>6493</v>
      </c>
    </row>
    <row r="44" spans="1:113" x14ac:dyDescent="0.25">
      <c r="A44" s="1471">
        <v>1</v>
      </c>
      <c r="B44" s="480" t="s">
        <v>2806</v>
      </c>
      <c r="C44" s="480">
        <v>205118</v>
      </c>
      <c r="D44" s="480" t="s">
        <v>2561</v>
      </c>
      <c r="E44" s="1784" t="s">
        <v>1876</v>
      </c>
      <c r="F44" s="1165">
        <v>396929</v>
      </c>
      <c r="G44" s="480" t="s">
        <v>3366</v>
      </c>
      <c r="H44" s="480" t="s">
        <v>3367</v>
      </c>
      <c r="I44" s="1038">
        <v>40719</v>
      </c>
      <c r="J44" s="1803">
        <v>8</v>
      </c>
      <c r="K44" s="1039">
        <f t="shared" ca="1" si="27"/>
        <v>14.245037645448322</v>
      </c>
      <c r="L44" s="963" t="s">
        <v>1886</v>
      </c>
      <c r="M44" s="963" t="s">
        <v>56</v>
      </c>
      <c r="N44" s="1849"/>
      <c r="O44" s="1362">
        <v>26548</v>
      </c>
      <c r="P44" s="1362" t="s">
        <v>3368</v>
      </c>
      <c r="Q44" s="1476">
        <v>27451</v>
      </c>
      <c r="R44" s="1476">
        <v>0</v>
      </c>
      <c r="S44" s="1475">
        <v>45017</v>
      </c>
      <c r="T44" s="1716">
        <v>1</v>
      </c>
      <c r="U44" s="1475">
        <v>45382</v>
      </c>
      <c r="V44" s="1716">
        <v>192</v>
      </c>
      <c r="W44" s="1716">
        <f t="shared" si="18"/>
        <v>192</v>
      </c>
      <c r="X44" s="1717">
        <f t="shared" si="19"/>
        <v>1</v>
      </c>
      <c r="Y44" s="1716">
        <v>1</v>
      </c>
      <c r="Z44" s="1716">
        <f t="shared" si="20"/>
        <v>1</v>
      </c>
      <c r="AA44" s="1788">
        <f t="shared" si="21"/>
        <v>27451</v>
      </c>
      <c r="AB44" s="1037" t="s">
        <v>2797</v>
      </c>
      <c r="AC44" s="1037" t="s">
        <v>2797</v>
      </c>
      <c r="AD44" s="1471"/>
      <c r="AE44" s="1471"/>
      <c r="AF44" s="1471"/>
      <c r="AG44" s="1476">
        <v>27451</v>
      </c>
      <c r="AH44" s="1476"/>
      <c r="AI44" s="1476">
        <v>27451</v>
      </c>
      <c r="AJ44" s="1476"/>
      <c r="AK44" s="1476" t="str">
        <f t="shared" si="22"/>
        <v>no</v>
      </c>
      <c r="AL44" s="1476" t="str">
        <f t="shared" si="9"/>
        <v>no</v>
      </c>
      <c r="AM44" s="1476" t="str">
        <f t="shared" si="10"/>
        <v>yes</v>
      </c>
      <c r="AN44" s="1471" t="s">
        <v>3369</v>
      </c>
      <c r="AO44" s="1476">
        <v>8849.34</v>
      </c>
      <c r="AP44" s="1477">
        <v>44991</v>
      </c>
      <c r="AQ44" s="1477"/>
      <c r="AR44" s="1471"/>
      <c r="AS44" s="1471"/>
      <c r="AT44" s="1471"/>
      <c r="AU44" s="1471"/>
      <c r="AV44" s="1471"/>
      <c r="AW44" s="1471"/>
      <c r="AX44" s="1471"/>
      <c r="AY44" s="1471"/>
      <c r="AZ44" s="1476"/>
      <c r="BA44" s="1476"/>
      <c r="BB44" s="1471"/>
      <c r="BC44" s="1471"/>
      <c r="BD44" s="1471"/>
      <c r="BE44" s="1471"/>
      <c r="BF44" s="1471"/>
      <c r="BG44" s="1471"/>
      <c r="BH44" s="1476">
        <v>0</v>
      </c>
      <c r="BI44" s="1625">
        <f t="shared" si="33"/>
        <v>0</v>
      </c>
      <c r="BJ44" s="1471">
        <v>27451</v>
      </c>
      <c r="BK44" s="1471"/>
      <c r="BL44" s="1473"/>
      <c r="BM44" s="1489">
        <f t="shared" si="39"/>
        <v>27451</v>
      </c>
      <c r="BN44" s="1489">
        <v>27451</v>
      </c>
      <c r="BO44" s="1773">
        <f t="shared" si="11"/>
        <v>0</v>
      </c>
      <c r="BP44" s="1773">
        <v>0</v>
      </c>
      <c r="BQ44" s="1774">
        <f t="shared" si="12"/>
        <v>27451</v>
      </c>
      <c r="CF44" s="1795">
        <f t="shared" si="34"/>
        <v>27451</v>
      </c>
      <c r="CG44" s="1796">
        <f t="shared" si="13"/>
        <v>27451</v>
      </c>
      <c r="CH44" s="1796">
        <f t="shared" si="35"/>
        <v>0</v>
      </c>
      <c r="CN44" s="1797">
        <f t="shared" si="4"/>
        <v>27451</v>
      </c>
      <c r="CO44" s="1797">
        <f t="shared" si="5"/>
        <v>0</v>
      </c>
      <c r="CR44" s="1494">
        <f t="shared" si="38"/>
        <v>27451</v>
      </c>
      <c r="CS44" s="1797">
        <f t="shared" si="7"/>
        <v>0</v>
      </c>
      <c r="CV44" s="1678">
        <f t="shared" si="14"/>
        <v>27451</v>
      </c>
      <c r="CW44" s="1795">
        <f t="shared" si="15"/>
        <v>0</v>
      </c>
      <c r="CX44" s="1496">
        <v>0</v>
      </c>
      <c r="CY44" s="1496">
        <f>CV44+CX44</f>
        <v>27451</v>
      </c>
      <c r="CZ44" s="1496">
        <f t="shared" si="8"/>
        <v>0</v>
      </c>
      <c r="DC44" s="1747">
        <f t="shared" si="25"/>
        <v>27451</v>
      </c>
      <c r="DD44" s="1496">
        <f t="shared" si="29"/>
        <v>0</v>
      </c>
      <c r="DF44" s="1747">
        <f t="shared" si="17"/>
        <v>27451</v>
      </c>
      <c r="DH44" s="1496"/>
      <c r="DI44" s="1747">
        <f t="shared" si="26"/>
        <v>27451</v>
      </c>
    </row>
    <row r="45" spans="1:113" x14ac:dyDescent="0.25">
      <c r="A45" s="1471">
        <v>1</v>
      </c>
      <c r="B45" s="480" t="s">
        <v>2806</v>
      </c>
      <c r="C45" s="480">
        <v>205118</v>
      </c>
      <c r="D45" s="480" t="s">
        <v>2561</v>
      </c>
      <c r="E45" s="1784" t="s">
        <v>1876</v>
      </c>
      <c r="F45" s="1165">
        <v>378986</v>
      </c>
      <c r="G45" s="480" t="s">
        <v>1232</v>
      </c>
      <c r="H45" s="480" t="s">
        <v>575</v>
      </c>
      <c r="I45" s="1038">
        <v>39733</v>
      </c>
      <c r="J45" s="1803">
        <v>9</v>
      </c>
      <c r="K45" s="1039">
        <f t="shared" ca="1" si="27"/>
        <v>16.944558521560573</v>
      </c>
      <c r="L45" s="963" t="s">
        <v>1886</v>
      </c>
      <c r="M45" s="963" t="s">
        <v>56</v>
      </c>
      <c r="N45" s="1850"/>
      <c r="O45" s="1362">
        <v>36408</v>
      </c>
      <c r="P45" s="1362" t="s">
        <v>3370</v>
      </c>
      <c r="Q45" s="1476">
        <v>37646</v>
      </c>
      <c r="R45" s="1476">
        <v>0</v>
      </c>
      <c r="S45" s="1475">
        <v>45017</v>
      </c>
      <c r="T45" s="1716">
        <v>1</v>
      </c>
      <c r="U45" s="1475">
        <v>45382</v>
      </c>
      <c r="V45" s="1716">
        <v>192</v>
      </c>
      <c r="W45" s="1716">
        <f t="shared" si="18"/>
        <v>192</v>
      </c>
      <c r="X45" s="1717">
        <f t="shared" si="19"/>
        <v>1</v>
      </c>
      <c r="Y45" s="1716">
        <v>1</v>
      </c>
      <c r="Z45" s="1716">
        <f t="shared" si="20"/>
        <v>1</v>
      </c>
      <c r="AA45" s="1788">
        <f t="shared" si="21"/>
        <v>37646</v>
      </c>
      <c r="AB45" s="1037" t="s">
        <v>2797</v>
      </c>
      <c r="AC45" s="1037" t="s">
        <v>2797</v>
      </c>
      <c r="AD45" s="1471"/>
      <c r="AE45" s="1471"/>
      <c r="AF45" s="1471"/>
      <c r="AG45" s="1476">
        <v>37646</v>
      </c>
      <c r="AH45" s="1476"/>
      <c r="AI45" s="1476">
        <v>37646</v>
      </c>
      <c r="AJ45" s="1476"/>
      <c r="AK45" s="1476" t="str">
        <f t="shared" si="22"/>
        <v>no</v>
      </c>
      <c r="AL45" s="1476" t="str">
        <f t="shared" si="9"/>
        <v>no</v>
      </c>
      <c r="AM45" s="1476" t="str">
        <f t="shared" si="10"/>
        <v>yes</v>
      </c>
      <c r="AN45" s="1471" t="s">
        <v>3371</v>
      </c>
      <c r="AO45" s="1476">
        <v>12136</v>
      </c>
      <c r="AP45" s="1477">
        <v>44991</v>
      </c>
      <c r="AQ45" s="1471"/>
      <c r="AR45" s="1471"/>
      <c r="AS45" s="1471"/>
      <c r="AT45" s="1471"/>
      <c r="AU45" s="1471"/>
      <c r="AV45" s="1471"/>
      <c r="AW45" s="1471"/>
      <c r="AX45" s="1471"/>
      <c r="AY45" s="1471"/>
      <c r="AZ45" s="1476"/>
      <c r="BA45" s="1476"/>
      <c r="BB45" s="1471"/>
      <c r="BC45" s="1471"/>
      <c r="BD45" s="1471"/>
      <c r="BE45" s="1471"/>
      <c r="BF45" s="1471"/>
      <c r="BG45" s="1471"/>
      <c r="BH45" s="1476">
        <v>0</v>
      </c>
      <c r="BI45" s="1625">
        <f t="shared" si="33"/>
        <v>0</v>
      </c>
      <c r="BJ45" s="1471">
        <v>37646</v>
      </c>
      <c r="BK45" s="1471"/>
      <c r="BL45" s="1473"/>
      <c r="BM45" s="1489">
        <f t="shared" si="39"/>
        <v>37646</v>
      </c>
      <c r="BN45" s="1489">
        <v>37646</v>
      </c>
      <c r="BO45" s="1773">
        <f t="shared" si="11"/>
        <v>0</v>
      </c>
      <c r="BP45" s="1773">
        <v>0</v>
      </c>
      <c r="BQ45" s="1774">
        <f t="shared" si="12"/>
        <v>37646</v>
      </c>
      <c r="CF45" s="1795">
        <f t="shared" si="34"/>
        <v>37646</v>
      </c>
      <c r="CG45" s="1796">
        <f t="shared" si="13"/>
        <v>37646</v>
      </c>
      <c r="CH45" s="1796">
        <f t="shared" si="35"/>
        <v>0</v>
      </c>
      <c r="CN45" s="1797">
        <f t="shared" si="4"/>
        <v>37646</v>
      </c>
      <c r="CO45" s="1851">
        <f t="shared" si="5"/>
        <v>0</v>
      </c>
      <c r="CR45" s="1494">
        <f t="shared" si="38"/>
        <v>37646</v>
      </c>
      <c r="CS45" s="1797">
        <f t="shared" si="7"/>
        <v>0</v>
      </c>
      <c r="CV45" s="1678">
        <f t="shared" si="14"/>
        <v>37646</v>
      </c>
      <c r="CW45" s="1795">
        <f t="shared" si="15"/>
        <v>0</v>
      </c>
      <c r="CX45" s="1496">
        <v>0</v>
      </c>
      <c r="CY45" s="1496">
        <f t="shared" ref="CY45:CY51" si="40">CV45+CX45</f>
        <v>37646</v>
      </c>
      <c r="CZ45" s="1496">
        <f t="shared" si="8"/>
        <v>0</v>
      </c>
      <c r="DC45" s="1747">
        <f t="shared" si="25"/>
        <v>37646</v>
      </c>
      <c r="DD45" s="1496">
        <f t="shared" si="29"/>
        <v>0</v>
      </c>
      <c r="DF45" s="1747">
        <f t="shared" si="17"/>
        <v>37646</v>
      </c>
      <c r="DI45" s="1747">
        <f t="shared" si="26"/>
        <v>37646</v>
      </c>
    </row>
    <row r="46" spans="1:113" s="1859" customFormat="1" x14ac:dyDescent="0.25">
      <c r="A46" s="1751">
        <v>1</v>
      </c>
      <c r="B46" s="1135" t="s">
        <v>2806</v>
      </c>
      <c r="C46" s="1135">
        <v>205118</v>
      </c>
      <c r="D46" s="1135" t="s">
        <v>2561</v>
      </c>
      <c r="E46" s="1749" t="s">
        <v>1876</v>
      </c>
      <c r="F46" s="1852">
        <v>410539</v>
      </c>
      <c r="G46" s="1135" t="s">
        <v>306</v>
      </c>
      <c r="H46" s="1135" t="s">
        <v>3372</v>
      </c>
      <c r="I46" s="1182">
        <v>41410</v>
      </c>
      <c r="J46" s="1853">
        <v>7</v>
      </c>
      <c r="K46" s="1147">
        <f t="shared" ca="1" si="27"/>
        <v>12.353182751540041</v>
      </c>
      <c r="L46" s="1146" t="s">
        <v>1886</v>
      </c>
      <c r="M46" s="1146" t="s">
        <v>56</v>
      </c>
      <c r="N46" s="1854"/>
      <c r="O46" s="1855">
        <v>41965</v>
      </c>
      <c r="P46" s="1813"/>
      <c r="Q46" s="1762"/>
      <c r="R46" s="1762"/>
      <c r="S46" s="1517">
        <v>45170</v>
      </c>
      <c r="T46" s="1716">
        <v>65</v>
      </c>
      <c r="U46" s="1517">
        <v>45382</v>
      </c>
      <c r="V46" s="1716">
        <v>192</v>
      </c>
      <c r="W46" s="1716">
        <f t="shared" si="18"/>
        <v>128</v>
      </c>
      <c r="X46" s="1717">
        <f t="shared" si="19"/>
        <v>0.66666666666666663</v>
      </c>
      <c r="Y46" s="1716">
        <v>1</v>
      </c>
      <c r="Z46" s="1716">
        <f t="shared" si="20"/>
        <v>0.66666666666666663</v>
      </c>
      <c r="AA46" s="1788">
        <f>X46*O46</f>
        <v>27976.666666666664</v>
      </c>
      <c r="AB46" s="1748" t="s">
        <v>2797</v>
      </c>
      <c r="AC46" s="1748" t="s">
        <v>2797</v>
      </c>
      <c r="AD46" s="1751"/>
      <c r="AE46" s="1751"/>
      <c r="AF46" s="1751"/>
      <c r="AG46" s="1762"/>
      <c r="AH46" s="1722"/>
      <c r="AI46" s="1762">
        <v>41965</v>
      </c>
      <c r="AJ46" s="1722"/>
      <c r="AK46" s="1762" t="str">
        <f t="shared" si="22"/>
        <v>no</v>
      </c>
      <c r="AL46" s="1762" t="str">
        <f t="shared" si="9"/>
        <v>no</v>
      </c>
      <c r="AM46" s="1762" t="str">
        <f t="shared" si="10"/>
        <v>yes</v>
      </c>
      <c r="AN46" s="1708"/>
      <c r="AO46" s="1722"/>
      <c r="AP46" s="1856"/>
      <c r="AQ46" s="1708"/>
      <c r="AR46" s="1708"/>
      <c r="AS46" s="1708"/>
      <c r="AT46" s="1708"/>
      <c r="AU46" s="1708"/>
      <c r="AV46" s="1708"/>
      <c r="AW46" s="1708"/>
      <c r="AX46" s="1708"/>
      <c r="AY46" s="1708"/>
      <c r="AZ46" s="1722"/>
      <c r="BA46" s="1722"/>
      <c r="BB46" s="1708"/>
      <c r="BC46" s="1708"/>
      <c r="BD46" s="1708"/>
      <c r="BE46" s="1708"/>
      <c r="BF46" s="1708"/>
      <c r="BG46" s="1708"/>
      <c r="BH46" s="1722"/>
      <c r="BI46" s="1857"/>
      <c r="BJ46" s="1751">
        <v>0</v>
      </c>
      <c r="BK46" s="1751"/>
      <c r="BL46" s="1858"/>
      <c r="BM46" s="1771"/>
      <c r="BN46" s="1771"/>
      <c r="BO46" s="1735"/>
      <c r="BP46" s="1773"/>
      <c r="BQ46" s="1774"/>
      <c r="BZ46" s="1860"/>
      <c r="CF46" s="1492"/>
      <c r="CG46" s="1098"/>
      <c r="CH46" s="1098"/>
      <c r="CK46" s="1859" t="s">
        <v>3373</v>
      </c>
      <c r="CL46" s="1861"/>
      <c r="CM46" s="1862">
        <f>41960/3*2</f>
        <v>27973.333333333332</v>
      </c>
      <c r="CN46" s="1781">
        <f t="shared" si="4"/>
        <v>27973.333333333332</v>
      </c>
      <c r="CO46" s="1781">
        <f t="shared" si="5"/>
        <v>27973.333333333332</v>
      </c>
      <c r="CR46" s="1782">
        <f t="shared" si="37"/>
        <v>27973.333333333332</v>
      </c>
      <c r="CS46" s="1781">
        <f t="shared" si="7"/>
        <v>0</v>
      </c>
      <c r="CV46" s="1492">
        <f t="shared" si="14"/>
        <v>27973.333333333332</v>
      </c>
      <c r="CW46" s="1492">
        <f t="shared" si="15"/>
        <v>0</v>
      </c>
      <c r="CX46" s="1497">
        <v>-4911.33</v>
      </c>
      <c r="CY46" s="1497">
        <f t="shared" si="40"/>
        <v>23062.003333333334</v>
      </c>
      <c r="CZ46" s="1496">
        <f t="shared" si="8"/>
        <v>-4911.3299999999981</v>
      </c>
      <c r="DB46" s="1863">
        <v>0</v>
      </c>
      <c r="DC46" s="1747">
        <f t="shared" si="25"/>
        <v>23062.003333333334</v>
      </c>
      <c r="DD46" s="1496">
        <f t="shared" si="29"/>
        <v>0</v>
      </c>
      <c r="DE46" s="1497"/>
      <c r="DF46" s="1747">
        <f t="shared" si="17"/>
        <v>23062.003333333334</v>
      </c>
      <c r="DI46" s="1747">
        <f t="shared" si="26"/>
        <v>23062.003333333334</v>
      </c>
    </row>
    <row r="47" spans="1:113" x14ac:dyDescent="0.25">
      <c r="A47" s="1471">
        <v>1</v>
      </c>
      <c r="B47" s="480" t="s">
        <v>2806</v>
      </c>
      <c r="C47" s="480">
        <v>205118</v>
      </c>
      <c r="D47" s="480" t="s">
        <v>2561</v>
      </c>
      <c r="E47" s="1784" t="s">
        <v>1876</v>
      </c>
      <c r="F47" s="1165">
        <v>389204</v>
      </c>
      <c r="G47" s="480" t="s">
        <v>3374</v>
      </c>
      <c r="H47" s="480" t="s">
        <v>3375</v>
      </c>
      <c r="I47" s="1038">
        <v>40770</v>
      </c>
      <c r="J47" s="1803">
        <v>8</v>
      </c>
      <c r="K47" s="1039">
        <f t="shared" ca="1" si="27"/>
        <v>14.105407255304586</v>
      </c>
      <c r="L47" s="963" t="s">
        <v>1886</v>
      </c>
      <c r="M47" s="963" t="s">
        <v>56</v>
      </c>
      <c r="N47" s="1850"/>
      <c r="O47" s="1362">
        <v>36408</v>
      </c>
      <c r="P47" s="1362" t="s">
        <v>3370</v>
      </c>
      <c r="Q47" s="1476">
        <v>37646</v>
      </c>
      <c r="R47" s="1476">
        <v>0</v>
      </c>
      <c r="S47" s="1475">
        <v>45017</v>
      </c>
      <c r="T47" s="1716">
        <v>1</v>
      </c>
      <c r="U47" s="1475">
        <v>45382</v>
      </c>
      <c r="V47" s="1716">
        <v>192</v>
      </c>
      <c r="W47" s="1716">
        <f t="shared" si="18"/>
        <v>192</v>
      </c>
      <c r="X47" s="1717">
        <f t="shared" si="19"/>
        <v>1</v>
      </c>
      <c r="Y47" s="1716">
        <v>1</v>
      </c>
      <c r="Z47" s="1716">
        <f t="shared" si="20"/>
        <v>1</v>
      </c>
      <c r="AA47" s="1788">
        <f t="shared" si="21"/>
        <v>37646</v>
      </c>
      <c r="AB47" s="1037" t="s">
        <v>2797</v>
      </c>
      <c r="AC47" s="1037" t="s">
        <v>2797</v>
      </c>
      <c r="AD47" s="1471"/>
      <c r="AE47" s="1471"/>
      <c r="AF47" s="1471"/>
      <c r="AG47" s="1476">
        <v>37646</v>
      </c>
      <c r="AH47" s="1476"/>
      <c r="AI47" s="1476">
        <v>37646</v>
      </c>
      <c r="AJ47" s="1476"/>
      <c r="AK47" s="1476" t="str">
        <f t="shared" si="22"/>
        <v>no</v>
      </c>
      <c r="AL47" s="1476" t="str">
        <f t="shared" si="9"/>
        <v>no</v>
      </c>
      <c r="AM47" s="1476" t="str">
        <f t="shared" si="10"/>
        <v>yes</v>
      </c>
      <c r="AN47" s="1471" t="s">
        <v>3376</v>
      </c>
      <c r="AO47" s="1476">
        <v>12136</v>
      </c>
      <c r="AP47" s="1477">
        <v>44991</v>
      </c>
      <c r="AQ47" s="1471"/>
      <c r="AR47" s="1471"/>
      <c r="AS47" s="1471"/>
      <c r="AT47" s="1471"/>
      <c r="AU47" s="1471"/>
      <c r="AV47" s="1471"/>
      <c r="AW47" s="1471"/>
      <c r="AX47" s="1471"/>
      <c r="AY47" s="1471"/>
      <c r="AZ47" s="1476"/>
      <c r="BA47" s="1476"/>
      <c r="BB47" s="1471"/>
      <c r="BC47" s="1471"/>
      <c r="BD47" s="1471"/>
      <c r="BE47" s="1471"/>
      <c r="BF47" s="1471"/>
      <c r="BG47" s="1471"/>
      <c r="BH47" s="1476">
        <v>0</v>
      </c>
      <c r="BI47" s="1625">
        <f t="shared" ref="BI47:BI54" si="41">BC47</f>
        <v>0</v>
      </c>
      <c r="BJ47" s="1471">
        <v>37646</v>
      </c>
      <c r="BK47" s="1471"/>
      <c r="BL47" s="1473"/>
      <c r="BM47" s="1489">
        <f t="shared" si="39"/>
        <v>37646</v>
      </c>
      <c r="BN47" s="1489">
        <v>37646</v>
      </c>
      <c r="BO47" s="1773">
        <f t="shared" si="11"/>
        <v>0</v>
      </c>
      <c r="BP47" s="1773">
        <v>0</v>
      </c>
      <c r="BQ47" s="1774">
        <f t="shared" si="12"/>
        <v>37646</v>
      </c>
      <c r="CF47" s="1795">
        <f t="shared" ref="CF47:CF54" si="42">BQ47+CB47+CD47</f>
        <v>37646</v>
      </c>
      <c r="CG47" s="1796">
        <f t="shared" si="13"/>
        <v>37646</v>
      </c>
      <c r="CH47" s="1796">
        <f t="shared" ref="CH47:CH65" si="43">CG47-BQ47</f>
        <v>0</v>
      </c>
      <c r="CN47" s="1797">
        <f t="shared" si="4"/>
        <v>37646</v>
      </c>
      <c r="CO47" s="1797">
        <f>CN47-CG47</f>
        <v>0</v>
      </c>
      <c r="CR47" s="1494">
        <f t="shared" ref="CR47:CR48" si="44">CN47+CP47+CQ47</f>
        <v>37646</v>
      </c>
      <c r="CS47" s="1797">
        <f t="shared" si="7"/>
        <v>0</v>
      </c>
      <c r="CV47" s="1678">
        <f t="shared" si="14"/>
        <v>37646</v>
      </c>
      <c r="CW47" s="1795">
        <f t="shared" si="15"/>
        <v>0</v>
      </c>
      <c r="CX47" s="1496">
        <v>0</v>
      </c>
      <c r="CY47" s="1496">
        <f t="shared" si="40"/>
        <v>37646</v>
      </c>
      <c r="CZ47" s="1496">
        <f t="shared" si="8"/>
        <v>0</v>
      </c>
      <c r="DC47" s="1747">
        <f t="shared" si="25"/>
        <v>37646</v>
      </c>
      <c r="DD47" s="1496">
        <f t="shared" si="29"/>
        <v>0</v>
      </c>
      <c r="DF47" s="1747">
        <f t="shared" si="17"/>
        <v>37646</v>
      </c>
      <c r="DI47" s="1747">
        <f t="shared" si="26"/>
        <v>37646</v>
      </c>
    </row>
    <row r="48" spans="1:113" x14ac:dyDescent="0.25">
      <c r="A48" s="1471">
        <v>1</v>
      </c>
      <c r="B48" s="480" t="s">
        <v>2806</v>
      </c>
      <c r="C48" s="480">
        <v>205118</v>
      </c>
      <c r="D48" s="480" t="s">
        <v>2561</v>
      </c>
      <c r="E48" s="1784" t="s">
        <v>1876</v>
      </c>
      <c r="F48" s="1165">
        <v>395772</v>
      </c>
      <c r="G48" s="480" t="s">
        <v>3377</v>
      </c>
      <c r="H48" s="480" t="s">
        <v>3378</v>
      </c>
      <c r="I48" s="1038">
        <v>40126</v>
      </c>
      <c r="J48" s="1803">
        <v>9</v>
      </c>
      <c r="K48" s="1039">
        <f t="shared" ca="1" si="27"/>
        <v>15.868583162217659</v>
      </c>
      <c r="L48" s="963" t="s">
        <v>1886</v>
      </c>
      <c r="M48" s="963" t="s">
        <v>56</v>
      </c>
      <c r="N48" s="1849"/>
      <c r="O48" s="1362">
        <v>43577</v>
      </c>
      <c r="P48" s="1362" t="s">
        <v>3379</v>
      </c>
      <c r="Q48" s="1476">
        <v>45407</v>
      </c>
      <c r="R48" s="1476">
        <v>0</v>
      </c>
      <c r="S48" s="1475">
        <v>45017</v>
      </c>
      <c r="T48" s="1716">
        <v>1</v>
      </c>
      <c r="U48" s="1475">
        <v>45382</v>
      </c>
      <c r="V48" s="1716">
        <v>192</v>
      </c>
      <c r="W48" s="1716">
        <f t="shared" si="18"/>
        <v>192</v>
      </c>
      <c r="X48" s="1717">
        <f t="shared" si="19"/>
        <v>1</v>
      </c>
      <c r="Y48" s="1716">
        <v>1</v>
      </c>
      <c r="Z48" s="1716">
        <f t="shared" si="20"/>
        <v>1</v>
      </c>
      <c r="AA48" s="1788">
        <f t="shared" si="21"/>
        <v>45407</v>
      </c>
      <c r="AB48" s="1037" t="s">
        <v>2797</v>
      </c>
      <c r="AC48" s="1037" t="s">
        <v>2797</v>
      </c>
      <c r="AD48" s="1471"/>
      <c r="AE48" s="1471"/>
      <c r="AF48" s="1471"/>
      <c r="AG48" s="1476">
        <v>45407</v>
      </c>
      <c r="AH48" s="1476"/>
      <c r="AI48" s="1476">
        <v>45407</v>
      </c>
      <c r="AJ48" s="1476"/>
      <c r="AK48" s="1476" t="str">
        <f t="shared" si="22"/>
        <v>no</v>
      </c>
      <c r="AL48" s="1476" t="str">
        <f t="shared" si="9"/>
        <v>no</v>
      </c>
      <c r="AM48" s="1476" t="str">
        <f t="shared" si="10"/>
        <v>yes</v>
      </c>
      <c r="AN48" s="1471" t="s">
        <v>3380</v>
      </c>
      <c r="AO48" s="1476">
        <v>14638</v>
      </c>
      <c r="AP48" s="1477">
        <v>44991</v>
      </c>
      <c r="AQ48" s="1471"/>
      <c r="AR48" s="1471"/>
      <c r="AS48" s="1471"/>
      <c r="AT48" s="1471"/>
      <c r="AU48" s="1471"/>
      <c r="AV48" s="1471"/>
      <c r="AW48" s="1471"/>
      <c r="AX48" s="1471"/>
      <c r="AY48" s="1471"/>
      <c r="AZ48" s="1476"/>
      <c r="BA48" s="1476"/>
      <c r="BB48" s="1471"/>
      <c r="BC48" s="1471"/>
      <c r="BD48" s="1471"/>
      <c r="BE48" s="1471"/>
      <c r="BF48" s="1471"/>
      <c r="BG48" s="1471"/>
      <c r="BH48" s="1476">
        <v>0</v>
      </c>
      <c r="BI48" s="1625">
        <f t="shared" si="41"/>
        <v>0</v>
      </c>
      <c r="BJ48" s="1471">
        <v>45407</v>
      </c>
      <c r="BK48" s="1471"/>
      <c r="BL48" s="1473"/>
      <c r="BM48" s="1489">
        <f t="shared" si="39"/>
        <v>45407</v>
      </c>
      <c r="BN48" s="1489">
        <v>45407</v>
      </c>
      <c r="BO48" s="1773">
        <f t="shared" si="11"/>
        <v>0</v>
      </c>
      <c r="BP48" s="1773">
        <v>0</v>
      </c>
      <c r="BQ48" s="1774">
        <f t="shared" si="12"/>
        <v>45407</v>
      </c>
      <c r="CF48" s="1795">
        <f t="shared" si="42"/>
        <v>45407</v>
      </c>
      <c r="CG48" s="1796">
        <f t="shared" si="13"/>
        <v>45407</v>
      </c>
      <c r="CH48" s="1796">
        <f t="shared" si="43"/>
        <v>0</v>
      </c>
      <c r="CN48" s="1797">
        <f t="shared" si="4"/>
        <v>45407</v>
      </c>
      <c r="CO48" s="1797">
        <f t="shared" ref="CO48:CO122" si="45">CN48-CG48</f>
        <v>0</v>
      </c>
      <c r="CR48" s="1494">
        <f t="shared" si="44"/>
        <v>45407</v>
      </c>
      <c r="CS48" s="1797">
        <f t="shared" si="7"/>
        <v>0</v>
      </c>
      <c r="CV48" s="1678">
        <f t="shared" si="14"/>
        <v>45407</v>
      </c>
      <c r="CW48" s="1795">
        <f t="shared" si="15"/>
        <v>0</v>
      </c>
      <c r="CX48" s="1496">
        <v>0</v>
      </c>
      <c r="CY48" s="1496">
        <f t="shared" si="40"/>
        <v>45407</v>
      </c>
      <c r="CZ48" s="1496">
        <f t="shared" si="8"/>
        <v>0</v>
      </c>
      <c r="DC48" s="1747">
        <f t="shared" si="25"/>
        <v>45407</v>
      </c>
      <c r="DD48" s="1496">
        <f t="shared" si="29"/>
        <v>0</v>
      </c>
      <c r="DF48" s="1747">
        <f t="shared" si="17"/>
        <v>45407</v>
      </c>
      <c r="DI48" s="1747">
        <f t="shared" si="26"/>
        <v>45407</v>
      </c>
    </row>
    <row r="49" spans="1:113" hidden="1" x14ac:dyDescent="0.25">
      <c r="A49" s="1471">
        <v>0</v>
      </c>
      <c r="B49" s="480" t="s">
        <v>2806</v>
      </c>
      <c r="C49" s="480">
        <v>205118</v>
      </c>
      <c r="D49" s="480" t="s">
        <v>2561</v>
      </c>
      <c r="E49" s="1784" t="s">
        <v>1876</v>
      </c>
      <c r="F49" s="1165">
        <v>438565</v>
      </c>
      <c r="G49" s="480" t="s">
        <v>3381</v>
      </c>
      <c r="H49" s="480" t="s">
        <v>3382</v>
      </c>
      <c r="I49" s="1038">
        <v>39937</v>
      </c>
      <c r="J49" s="1803">
        <v>9</v>
      </c>
      <c r="K49" s="1039">
        <f t="shared" ca="1" si="27"/>
        <v>16.386036960985628</v>
      </c>
      <c r="L49" s="963" t="s">
        <v>1886</v>
      </c>
      <c r="M49" s="963" t="s">
        <v>56</v>
      </c>
      <c r="N49" s="480"/>
      <c r="O49" s="1362"/>
      <c r="P49" s="1362" t="s">
        <v>3379</v>
      </c>
      <c r="Q49" s="1476">
        <v>45407</v>
      </c>
      <c r="R49" s="1476">
        <v>0</v>
      </c>
      <c r="S49" s="1475">
        <v>45017</v>
      </c>
      <c r="T49" s="1716">
        <v>1</v>
      </c>
      <c r="U49" s="1475">
        <v>45077</v>
      </c>
      <c r="V49" s="1716">
        <v>28</v>
      </c>
      <c r="W49" s="1716">
        <f t="shared" si="18"/>
        <v>28</v>
      </c>
      <c r="X49" s="1717">
        <f t="shared" si="19"/>
        <v>0.14583333333333334</v>
      </c>
      <c r="Y49" s="1716">
        <v>1</v>
      </c>
      <c r="Z49" s="1716">
        <f t="shared" si="20"/>
        <v>0.14583333333333334</v>
      </c>
      <c r="AA49" s="1788">
        <f t="shared" si="21"/>
        <v>6621.854166666667</v>
      </c>
      <c r="AB49" s="1037" t="s">
        <v>2797</v>
      </c>
      <c r="AC49" s="1037" t="s">
        <v>2797</v>
      </c>
      <c r="AD49" s="1471"/>
      <c r="AE49" s="1471"/>
      <c r="AF49" s="1471"/>
      <c r="AG49" s="1476">
        <v>45407</v>
      </c>
      <c r="AH49" s="1476"/>
      <c r="AI49" s="1476">
        <v>45407</v>
      </c>
      <c r="AJ49" s="1476"/>
      <c r="AK49" s="1476" t="str">
        <f t="shared" si="22"/>
        <v>no</v>
      </c>
      <c r="AL49" s="1476" t="str">
        <f t="shared" si="9"/>
        <v>no</v>
      </c>
      <c r="AM49" s="1476" t="str">
        <f t="shared" si="10"/>
        <v>yes</v>
      </c>
      <c r="AN49" s="1471" t="s">
        <v>3383</v>
      </c>
      <c r="AO49" s="1476">
        <v>14638</v>
      </c>
      <c r="AP49" s="1477">
        <v>44991</v>
      </c>
      <c r="AQ49" s="1471"/>
      <c r="AR49" s="1471"/>
      <c r="AS49" s="1471"/>
      <c r="AT49" s="1471"/>
      <c r="AU49" s="1471"/>
      <c r="AV49" s="1471"/>
      <c r="AW49" s="1471"/>
      <c r="AX49" s="1471"/>
      <c r="AY49" s="1471"/>
      <c r="AZ49" s="1476"/>
      <c r="BA49" s="1476"/>
      <c r="BB49" s="1471"/>
      <c r="BC49" s="1471"/>
      <c r="BD49" s="1471"/>
      <c r="BE49" s="1471"/>
      <c r="BF49" s="1471"/>
      <c r="BG49" s="1471"/>
      <c r="BH49" s="1476">
        <v>0</v>
      </c>
      <c r="BI49" s="1625">
        <f t="shared" si="41"/>
        <v>0</v>
      </c>
      <c r="BJ49" s="1471">
        <v>45407</v>
      </c>
      <c r="BK49" s="1471"/>
      <c r="BL49" s="1473"/>
      <c r="BM49" s="1489">
        <f t="shared" si="39"/>
        <v>45407</v>
      </c>
      <c r="BN49" s="1489">
        <v>45407</v>
      </c>
      <c r="BO49" s="1773">
        <f t="shared" si="11"/>
        <v>0</v>
      </c>
      <c r="BP49" s="1773">
        <v>0</v>
      </c>
      <c r="BQ49" s="1774">
        <f t="shared" si="12"/>
        <v>45407</v>
      </c>
      <c r="CF49" s="1795">
        <f t="shared" si="42"/>
        <v>45407</v>
      </c>
      <c r="CG49" s="1796">
        <f t="shared" si="13"/>
        <v>45407</v>
      </c>
      <c r="CH49" s="1796">
        <f t="shared" si="43"/>
        <v>0</v>
      </c>
      <c r="CN49" s="1797">
        <f t="shared" si="4"/>
        <v>45407</v>
      </c>
      <c r="CO49" s="1797">
        <f t="shared" si="45"/>
        <v>0</v>
      </c>
      <c r="CR49" s="1494">
        <f t="shared" si="37"/>
        <v>45407</v>
      </c>
      <c r="CS49" s="1797">
        <f t="shared" si="7"/>
        <v>0</v>
      </c>
      <c r="CV49" s="1678">
        <f t="shared" si="14"/>
        <v>45407</v>
      </c>
      <c r="CW49" s="1795">
        <f t="shared" si="15"/>
        <v>0</v>
      </c>
      <c r="CX49" s="1496">
        <v>0</v>
      </c>
      <c r="CY49" s="1496">
        <f t="shared" si="40"/>
        <v>45407</v>
      </c>
      <c r="CZ49" s="1496">
        <f t="shared" si="8"/>
        <v>0</v>
      </c>
      <c r="DC49" s="1747">
        <f t="shared" si="25"/>
        <v>45407</v>
      </c>
      <c r="DD49" s="1496">
        <f t="shared" si="29"/>
        <v>0</v>
      </c>
      <c r="DF49" s="1747">
        <f t="shared" si="17"/>
        <v>45407</v>
      </c>
      <c r="DI49" s="1747">
        <f t="shared" si="26"/>
        <v>45407</v>
      </c>
    </row>
    <row r="50" spans="1:113" x14ac:dyDescent="0.25">
      <c r="A50" s="1471">
        <v>1</v>
      </c>
      <c r="B50" s="480" t="s">
        <v>2806</v>
      </c>
      <c r="C50" s="480">
        <v>205118</v>
      </c>
      <c r="D50" s="480" t="s">
        <v>2561</v>
      </c>
      <c r="E50" s="1784" t="s">
        <v>1876</v>
      </c>
      <c r="F50" s="1165">
        <v>438541</v>
      </c>
      <c r="G50" s="480" t="s">
        <v>3384</v>
      </c>
      <c r="H50" s="480" t="s">
        <v>506</v>
      </c>
      <c r="I50" s="1038">
        <v>40659</v>
      </c>
      <c r="J50" s="1803">
        <v>0</v>
      </c>
      <c r="K50" s="1039">
        <f t="shared" ca="1" si="27"/>
        <v>14.40930869267625</v>
      </c>
      <c r="L50" s="963" t="s">
        <v>1886</v>
      </c>
      <c r="M50" s="963" t="s">
        <v>56</v>
      </c>
      <c r="N50" s="1165"/>
      <c r="O50" s="1362">
        <v>36408</v>
      </c>
      <c r="P50" s="1362" t="s">
        <v>3368</v>
      </c>
      <c r="Q50" s="1476">
        <v>27451</v>
      </c>
      <c r="R50" s="1476">
        <v>0</v>
      </c>
      <c r="S50" s="1475">
        <v>45017</v>
      </c>
      <c r="T50" s="1716">
        <v>1</v>
      </c>
      <c r="U50" s="1475">
        <v>45382</v>
      </c>
      <c r="V50" s="1716">
        <v>192</v>
      </c>
      <c r="W50" s="1716">
        <f t="shared" si="18"/>
        <v>192</v>
      </c>
      <c r="X50" s="1717">
        <f t="shared" si="19"/>
        <v>1</v>
      </c>
      <c r="Y50" s="1716">
        <v>1</v>
      </c>
      <c r="Z50" s="1716">
        <f t="shared" si="20"/>
        <v>1</v>
      </c>
      <c r="AA50" s="1788">
        <f t="shared" si="21"/>
        <v>27451</v>
      </c>
      <c r="AB50" s="1037" t="s">
        <v>2797</v>
      </c>
      <c r="AC50" s="1037" t="s">
        <v>2797</v>
      </c>
      <c r="AD50" s="1471"/>
      <c r="AE50" s="1471"/>
      <c r="AF50" s="1471"/>
      <c r="AG50" s="1476">
        <v>27451</v>
      </c>
      <c r="AH50" s="1476"/>
      <c r="AI50" s="1476">
        <v>27451</v>
      </c>
      <c r="AJ50" s="1476"/>
      <c r="AK50" s="1476" t="str">
        <f t="shared" si="22"/>
        <v>no</v>
      </c>
      <c r="AL50" s="1476" t="str">
        <f t="shared" si="9"/>
        <v>no</v>
      </c>
      <c r="AM50" s="1476" t="str">
        <f t="shared" si="10"/>
        <v>yes</v>
      </c>
      <c r="AN50" s="1471" t="s">
        <v>3385</v>
      </c>
      <c r="AO50" s="1476">
        <v>8849.34</v>
      </c>
      <c r="AP50" s="1477">
        <v>44991</v>
      </c>
      <c r="AQ50" s="1471"/>
      <c r="AR50" s="1471"/>
      <c r="AS50" s="1471"/>
      <c r="AT50" s="1471"/>
      <c r="AU50" s="1471"/>
      <c r="AV50" s="1471"/>
      <c r="AW50" s="1471"/>
      <c r="AX50" s="1471"/>
      <c r="AY50" s="1471"/>
      <c r="AZ50" s="1476"/>
      <c r="BA50" s="1476"/>
      <c r="BB50" s="1471"/>
      <c r="BC50" s="1471"/>
      <c r="BD50" s="1471"/>
      <c r="BE50" s="1471"/>
      <c r="BF50" s="1471"/>
      <c r="BG50" s="1471"/>
      <c r="BH50" s="1476">
        <v>0</v>
      </c>
      <c r="BI50" s="1625">
        <f t="shared" si="41"/>
        <v>0</v>
      </c>
      <c r="BJ50" s="1471">
        <v>27451</v>
      </c>
      <c r="BK50" s="1471"/>
      <c r="BL50" s="1473"/>
      <c r="BM50" s="1489">
        <f t="shared" si="39"/>
        <v>27451</v>
      </c>
      <c r="BN50" s="1489">
        <v>27451</v>
      </c>
      <c r="BO50" s="1773">
        <f t="shared" si="11"/>
        <v>0</v>
      </c>
      <c r="BP50" s="1773">
        <v>0</v>
      </c>
      <c r="BQ50" s="1774">
        <f t="shared" si="12"/>
        <v>27451</v>
      </c>
      <c r="CF50" s="1795">
        <f t="shared" si="42"/>
        <v>27451</v>
      </c>
      <c r="CG50" s="1796">
        <f t="shared" si="13"/>
        <v>27451</v>
      </c>
      <c r="CH50" s="1796">
        <f t="shared" si="43"/>
        <v>0</v>
      </c>
      <c r="CN50" s="1797">
        <f t="shared" si="4"/>
        <v>27451</v>
      </c>
      <c r="CO50" s="1797">
        <f t="shared" si="45"/>
        <v>0</v>
      </c>
      <c r="CR50" s="1494">
        <f t="shared" ref="CR50:CR54" si="46">CN50+CP50+CQ50</f>
        <v>27451</v>
      </c>
      <c r="CS50" s="1797">
        <f t="shared" si="7"/>
        <v>0</v>
      </c>
      <c r="CV50" s="1678">
        <f t="shared" si="14"/>
        <v>27451</v>
      </c>
      <c r="CW50" s="1795">
        <f t="shared" si="15"/>
        <v>0</v>
      </c>
      <c r="CX50" s="1496">
        <v>0</v>
      </c>
      <c r="CY50" s="1496">
        <f t="shared" si="40"/>
        <v>27451</v>
      </c>
      <c r="CZ50" s="1496">
        <f t="shared" si="8"/>
        <v>0</v>
      </c>
      <c r="DC50" s="1747">
        <f t="shared" si="25"/>
        <v>27451</v>
      </c>
      <c r="DD50" s="1496">
        <f t="shared" si="29"/>
        <v>0</v>
      </c>
      <c r="DF50" s="1747">
        <f t="shared" si="17"/>
        <v>27451</v>
      </c>
      <c r="DI50" s="1747">
        <f t="shared" si="26"/>
        <v>27451</v>
      </c>
    </row>
    <row r="51" spans="1:113" x14ac:dyDescent="0.25">
      <c r="A51" s="1471">
        <v>1</v>
      </c>
      <c r="B51" s="480" t="s">
        <v>2806</v>
      </c>
      <c r="C51" s="480">
        <v>205118</v>
      </c>
      <c r="D51" s="480" t="s">
        <v>2561</v>
      </c>
      <c r="E51" s="1784" t="s">
        <v>1876</v>
      </c>
      <c r="F51" s="1165">
        <v>392164</v>
      </c>
      <c r="G51" s="480" t="s">
        <v>3386</v>
      </c>
      <c r="H51" s="480" t="s">
        <v>293</v>
      </c>
      <c r="I51" s="1038">
        <v>40484</v>
      </c>
      <c r="J51" s="1803">
        <v>0</v>
      </c>
      <c r="K51" s="1039">
        <f t="shared" ca="1" si="27"/>
        <v>14.888432580424366</v>
      </c>
      <c r="L51" s="963" t="s">
        <v>1886</v>
      </c>
      <c r="M51" s="963" t="s">
        <v>56</v>
      </c>
      <c r="N51" s="480"/>
      <c r="O51" s="1362">
        <v>43914</v>
      </c>
      <c r="P51" s="1362" t="s">
        <v>3379</v>
      </c>
      <c r="Q51" s="1476">
        <v>45407</v>
      </c>
      <c r="R51" s="1476">
        <v>0</v>
      </c>
      <c r="S51" s="1475">
        <v>45017</v>
      </c>
      <c r="T51" s="1716">
        <v>1</v>
      </c>
      <c r="U51" s="1475">
        <v>45382</v>
      </c>
      <c r="V51" s="1716">
        <v>192</v>
      </c>
      <c r="W51" s="1716">
        <f t="shared" si="18"/>
        <v>192</v>
      </c>
      <c r="X51" s="1717">
        <f t="shared" si="19"/>
        <v>1</v>
      </c>
      <c r="Y51" s="1716">
        <v>1</v>
      </c>
      <c r="Z51" s="1716">
        <f t="shared" si="20"/>
        <v>1</v>
      </c>
      <c r="AA51" s="1788">
        <f t="shared" si="21"/>
        <v>45407</v>
      </c>
      <c r="AB51" s="1037" t="s">
        <v>2797</v>
      </c>
      <c r="AC51" s="1037" t="s">
        <v>2797</v>
      </c>
      <c r="AD51" s="1471"/>
      <c r="AE51" s="1471"/>
      <c r="AF51" s="1471"/>
      <c r="AG51" s="1476">
        <v>45407</v>
      </c>
      <c r="AH51" s="1476"/>
      <c r="AI51" s="1476">
        <v>45407</v>
      </c>
      <c r="AJ51" s="1476"/>
      <c r="AK51" s="1476" t="str">
        <f t="shared" si="22"/>
        <v>no</v>
      </c>
      <c r="AL51" s="1476" t="str">
        <f t="shared" si="9"/>
        <v>no</v>
      </c>
      <c r="AM51" s="1476" t="str">
        <f t="shared" si="10"/>
        <v>yes</v>
      </c>
      <c r="AN51" s="1471" t="s">
        <v>3387</v>
      </c>
      <c r="AO51" s="1476">
        <v>14638</v>
      </c>
      <c r="AP51" s="1477">
        <v>44991</v>
      </c>
      <c r="AQ51" s="1471"/>
      <c r="AR51" s="1471"/>
      <c r="AS51" s="1471"/>
      <c r="AT51" s="1471"/>
      <c r="AU51" s="1471"/>
      <c r="AV51" s="1471"/>
      <c r="AW51" s="1471"/>
      <c r="AX51" s="1471"/>
      <c r="AY51" s="1471"/>
      <c r="AZ51" s="1476"/>
      <c r="BA51" s="1476"/>
      <c r="BB51" s="1471"/>
      <c r="BC51" s="1471"/>
      <c r="BD51" s="1471"/>
      <c r="BE51" s="1471"/>
      <c r="BF51" s="1471"/>
      <c r="BG51" s="1471"/>
      <c r="BH51" s="1476">
        <v>0</v>
      </c>
      <c r="BI51" s="1625">
        <f t="shared" si="41"/>
        <v>0</v>
      </c>
      <c r="BJ51" s="1471">
        <v>45407</v>
      </c>
      <c r="BK51" s="1471"/>
      <c r="BL51" s="1473"/>
      <c r="BM51" s="1489">
        <f t="shared" si="39"/>
        <v>45407</v>
      </c>
      <c r="BN51" s="1489">
        <v>45407</v>
      </c>
      <c r="BO51" s="1773">
        <f t="shared" si="11"/>
        <v>0</v>
      </c>
      <c r="BP51" s="1773">
        <v>0</v>
      </c>
      <c r="BQ51" s="1774">
        <f t="shared" si="12"/>
        <v>45407</v>
      </c>
      <c r="CF51" s="1795">
        <f t="shared" si="42"/>
        <v>45407</v>
      </c>
      <c r="CG51" s="1796">
        <f t="shared" si="13"/>
        <v>45407</v>
      </c>
      <c r="CH51" s="1796">
        <f t="shared" si="43"/>
        <v>0</v>
      </c>
      <c r="CN51" s="1797">
        <f t="shared" si="4"/>
        <v>45407</v>
      </c>
      <c r="CO51" s="1797">
        <f t="shared" si="45"/>
        <v>0</v>
      </c>
      <c r="CR51" s="1494">
        <f t="shared" si="46"/>
        <v>45407</v>
      </c>
      <c r="CS51" s="1797">
        <f t="shared" si="7"/>
        <v>0</v>
      </c>
      <c r="CV51" s="1678">
        <f t="shared" si="14"/>
        <v>45407</v>
      </c>
      <c r="CW51" s="1795">
        <f t="shared" si="15"/>
        <v>0</v>
      </c>
      <c r="CX51" s="1496">
        <v>0</v>
      </c>
      <c r="CY51" s="1496">
        <f t="shared" si="40"/>
        <v>45407</v>
      </c>
      <c r="CZ51" s="1496">
        <f t="shared" si="8"/>
        <v>0</v>
      </c>
      <c r="DC51" s="1747">
        <f t="shared" si="25"/>
        <v>45407</v>
      </c>
      <c r="DD51" s="1496">
        <f t="shared" si="29"/>
        <v>0</v>
      </c>
      <c r="DF51" s="1747">
        <f t="shared" si="17"/>
        <v>45407</v>
      </c>
      <c r="DI51" s="1747">
        <f t="shared" si="26"/>
        <v>45407</v>
      </c>
    </row>
    <row r="52" spans="1:113" x14ac:dyDescent="0.25">
      <c r="A52" s="1471">
        <v>1</v>
      </c>
      <c r="B52" s="480" t="s">
        <v>2787</v>
      </c>
      <c r="C52" s="480">
        <v>201339</v>
      </c>
      <c r="D52" s="480" t="s">
        <v>3388</v>
      </c>
      <c r="E52" s="1784" t="s">
        <v>1876</v>
      </c>
      <c r="F52" s="1165">
        <v>374785</v>
      </c>
      <c r="G52" s="480" t="s">
        <v>3389</v>
      </c>
      <c r="H52" s="480" t="s">
        <v>3390</v>
      </c>
      <c r="I52" s="963">
        <v>39512</v>
      </c>
      <c r="J52" s="1803">
        <v>8</v>
      </c>
      <c r="K52" s="1039">
        <f t="shared" ca="1" si="27"/>
        <v>17.54962354551677</v>
      </c>
      <c r="L52" s="963" t="s">
        <v>1886</v>
      </c>
      <c r="M52" s="963" t="s">
        <v>43</v>
      </c>
      <c r="N52" s="480"/>
      <c r="O52" s="1362">
        <v>21666</v>
      </c>
      <c r="Q52" s="1476">
        <v>21666</v>
      </c>
      <c r="R52" s="1476">
        <v>0</v>
      </c>
      <c r="S52" s="1475">
        <v>45017</v>
      </c>
      <c r="T52" s="1716">
        <v>1</v>
      </c>
      <c r="U52" s="1475">
        <v>45382</v>
      </c>
      <c r="V52" s="1716">
        <v>192</v>
      </c>
      <c r="W52" s="1716">
        <f t="shared" si="18"/>
        <v>192</v>
      </c>
      <c r="X52" s="1717">
        <f t="shared" si="19"/>
        <v>1</v>
      </c>
      <c r="Y52" s="1716">
        <v>1</v>
      </c>
      <c r="Z52" s="1716">
        <f t="shared" si="20"/>
        <v>1</v>
      </c>
      <c r="AA52" s="1788">
        <f t="shared" si="21"/>
        <v>21666</v>
      </c>
      <c r="AB52" s="1037" t="s">
        <v>2797</v>
      </c>
      <c r="AC52" s="1037" t="s">
        <v>2797</v>
      </c>
      <c r="AD52" s="1471"/>
      <c r="AE52" s="1471"/>
      <c r="AF52" s="1471"/>
      <c r="AG52" s="1476">
        <v>21666</v>
      </c>
      <c r="AH52" s="1476"/>
      <c r="AI52" s="1476">
        <v>21666</v>
      </c>
      <c r="AJ52" s="1476"/>
      <c r="AK52" s="1476" t="str">
        <f t="shared" si="22"/>
        <v>no</v>
      </c>
      <c r="AL52" s="1476" t="str">
        <f t="shared" si="9"/>
        <v>no</v>
      </c>
      <c r="AM52" s="1476" t="str">
        <f t="shared" si="10"/>
        <v>yes</v>
      </c>
      <c r="AN52" s="1471"/>
      <c r="AO52" s="1476"/>
      <c r="AP52" s="1471"/>
      <c r="AQ52" s="1471"/>
      <c r="AR52" s="1471"/>
      <c r="AS52" s="1471"/>
      <c r="AT52" s="1471"/>
      <c r="AU52" s="1471"/>
      <c r="AV52" s="1471"/>
      <c r="AW52" s="1471"/>
      <c r="AX52" s="1471"/>
      <c r="AY52" s="1471"/>
      <c r="AZ52" s="1476"/>
      <c r="BA52" s="1161">
        <v>6511.03</v>
      </c>
      <c r="BB52" s="1471" t="s">
        <v>3391</v>
      </c>
      <c r="BC52" s="1161">
        <v>6511.03</v>
      </c>
      <c r="BD52" s="1471">
        <v>8071669</v>
      </c>
      <c r="BE52" s="1477">
        <v>45051</v>
      </c>
      <c r="BF52" s="1471"/>
      <c r="BG52" s="1471"/>
      <c r="BH52" s="1476">
        <f>AO52+AS52+AW52</f>
        <v>0</v>
      </c>
      <c r="BI52" s="1625">
        <f t="shared" si="41"/>
        <v>6511.03</v>
      </c>
      <c r="BJ52" s="1471">
        <v>21666</v>
      </c>
      <c r="BK52" s="1473">
        <v>6511.03</v>
      </c>
      <c r="BL52" s="1473">
        <v>6511.03</v>
      </c>
      <c r="BM52" s="1489">
        <f>BJ52+BK52-BL52</f>
        <v>21666</v>
      </c>
      <c r="BN52" s="1489">
        <v>21666</v>
      </c>
      <c r="BO52" s="1773">
        <f t="shared" si="11"/>
        <v>0</v>
      </c>
      <c r="BP52" s="1773">
        <v>0</v>
      </c>
      <c r="BQ52" s="1774">
        <f t="shared" si="12"/>
        <v>21666</v>
      </c>
      <c r="CF52" s="1795">
        <f t="shared" si="42"/>
        <v>21666</v>
      </c>
      <c r="CG52" s="1796">
        <f t="shared" si="13"/>
        <v>21666</v>
      </c>
      <c r="CH52" s="1796">
        <f t="shared" si="43"/>
        <v>0</v>
      </c>
      <c r="CN52" s="1797">
        <f t="shared" si="4"/>
        <v>21666</v>
      </c>
      <c r="CO52" s="1797">
        <f t="shared" si="45"/>
        <v>0</v>
      </c>
      <c r="CR52" s="1494">
        <f t="shared" si="46"/>
        <v>21666</v>
      </c>
      <c r="CS52" s="1797">
        <f t="shared" si="7"/>
        <v>0</v>
      </c>
      <c r="CV52" s="1678">
        <f t="shared" si="14"/>
        <v>21666</v>
      </c>
      <c r="CW52" s="1795">
        <f t="shared" si="15"/>
        <v>0</v>
      </c>
      <c r="CX52" s="1496">
        <v>0</v>
      </c>
      <c r="CY52" s="1496">
        <f>CV52+CX52</f>
        <v>21666</v>
      </c>
      <c r="CZ52" s="1496">
        <f t="shared" si="8"/>
        <v>0</v>
      </c>
      <c r="DC52" s="1747">
        <f t="shared" si="25"/>
        <v>21666</v>
      </c>
      <c r="DD52" s="1496">
        <f t="shared" si="29"/>
        <v>0</v>
      </c>
      <c r="DF52" s="1747">
        <f t="shared" si="17"/>
        <v>21666</v>
      </c>
      <c r="DI52" s="1747">
        <f t="shared" si="26"/>
        <v>21666</v>
      </c>
    </row>
    <row r="53" spans="1:113" x14ac:dyDescent="0.25">
      <c r="A53" s="1471">
        <v>1</v>
      </c>
      <c r="B53" s="480" t="s">
        <v>2787</v>
      </c>
      <c r="C53" s="480">
        <v>201339</v>
      </c>
      <c r="D53" s="480" t="s">
        <v>3392</v>
      </c>
      <c r="E53" s="1784" t="s">
        <v>1876</v>
      </c>
      <c r="F53" s="1165">
        <v>383282</v>
      </c>
      <c r="G53" s="480" t="s">
        <v>3393</v>
      </c>
      <c r="H53" s="480" t="s">
        <v>1296</v>
      </c>
      <c r="I53" s="963">
        <v>39910</v>
      </c>
      <c r="J53" s="1803">
        <v>9</v>
      </c>
      <c r="K53" s="1039">
        <f ca="1">(TODAY()-I53)/365.25</f>
        <v>16.459958932238195</v>
      </c>
      <c r="L53" s="963" t="s">
        <v>1886</v>
      </c>
      <c r="M53" s="963" t="s">
        <v>43</v>
      </c>
      <c r="N53" s="480"/>
      <c r="O53" s="1362">
        <v>60170</v>
      </c>
      <c r="P53" s="1362"/>
      <c r="Q53" s="1476">
        <v>60170</v>
      </c>
      <c r="R53" s="1476">
        <v>0</v>
      </c>
      <c r="S53" s="963">
        <v>45017</v>
      </c>
      <c r="T53" s="1716">
        <v>1</v>
      </c>
      <c r="U53" s="963">
        <v>45382</v>
      </c>
      <c r="V53" s="1716">
        <v>192</v>
      </c>
      <c r="W53" s="1716">
        <f t="shared" si="18"/>
        <v>192</v>
      </c>
      <c r="X53" s="1717">
        <f t="shared" si="19"/>
        <v>1</v>
      </c>
      <c r="Y53" s="1716">
        <v>1</v>
      </c>
      <c r="Z53" s="1716">
        <f t="shared" si="20"/>
        <v>1</v>
      </c>
      <c r="AA53" s="1047">
        <f t="shared" si="21"/>
        <v>60170</v>
      </c>
      <c r="AB53" s="1037" t="s">
        <v>2797</v>
      </c>
      <c r="AC53" s="1037" t="s">
        <v>2797</v>
      </c>
      <c r="AD53" s="1471"/>
      <c r="AE53" s="1471"/>
      <c r="AF53" s="1471"/>
      <c r="AG53" s="1476">
        <v>60170</v>
      </c>
      <c r="AH53" s="1476"/>
      <c r="AI53" s="1476">
        <v>60170</v>
      </c>
      <c r="AJ53" s="1476"/>
      <c r="AK53" s="1476" t="str">
        <f t="shared" si="22"/>
        <v>no</v>
      </c>
      <c r="AL53" s="1476" t="str">
        <f t="shared" si="9"/>
        <v>no</v>
      </c>
      <c r="AM53" s="1476" t="str">
        <f t="shared" si="10"/>
        <v>yes</v>
      </c>
      <c r="AN53" s="1471"/>
      <c r="AO53" s="1476"/>
      <c r="AP53" s="1471"/>
      <c r="AQ53" s="1471"/>
      <c r="AR53" s="1471"/>
      <c r="AS53" s="1471"/>
      <c r="AT53" s="1471"/>
      <c r="AU53" s="1471"/>
      <c r="AV53" s="1471"/>
      <c r="AW53" s="1471"/>
      <c r="AX53" s="1471"/>
      <c r="AY53" s="1471"/>
      <c r="AZ53" s="1476"/>
      <c r="BA53" s="1206">
        <v>2598.9299999999998</v>
      </c>
      <c r="BB53" s="1471" t="s">
        <v>3391</v>
      </c>
      <c r="BC53" s="1206">
        <v>2598.9299999999998</v>
      </c>
      <c r="BD53" s="1471">
        <v>8071669</v>
      </c>
      <c r="BE53" s="1477">
        <v>45051</v>
      </c>
      <c r="BF53" s="1471"/>
      <c r="BG53" s="1471"/>
      <c r="BH53" s="1476">
        <f>AO53+AS53+AW53</f>
        <v>0</v>
      </c>
      <c r="BI53" s="1625">
        <f t="shared" si="41"/>
        <v>2598.9299999999998</v>
      </c>
      <c r="BJ53" s="1471">
        <v>60170</v>
      </c>
      <c r="BK53" s="1473">
        <v>2598.9299999999998</v>
      </c>
      <c r="BL53" s="1473">
        <v>2598.9299999999998</v>
      </c>
      <c r="BM53" s="1489">
        <f t="shared" si="39"/>
        <v>60170</v>
      </c>
      <c r="BN53" s="1489">
        <v>60170</v>
      </c>
      <c r="BO53" s="1773">
        <f t="shared" si="11"/>
        <v>0</v>
      </c>
      <c r="BP53" s="1773">
        <v>0</v>
      </c>
      <c r="BQ53" s="1774">
        <f t="shared" si="12"/>
        <v>60170</v>
      </c>
      <c r="CF53" s="1795">
        <f t="shared" si="42"/>
        <v>60170</v>
      </c>
      <c r="CG53" s="1796">
        <f t="shared" si="13"/>
        <v>60170</v>
      </c>
      <c r="CH53" s="1796">
        <f t="shared" si="43"/>
        <v>0</v>
      </c>
      <c r="CN53" s="1797">
        <f t="shared" si="4"/>
        <v>60170</v>
      </c>
      <c r="CO53" s="1797">
        <f t="shared" si="45"/>
        <v>0</v>
      </c>
      <c r="CR53" s="1494">
        <f t="shared" si="46"/>
        <v>60170</v>
      </c>
      <c r="CS53" s="1797">
        <f t="shared" si="7"/>
        <v>0</v>
      </c>
      <c r="CV53" s="1678">
        <f t="shared" si="14"/>
        <v>60170</v>
      </c>
      <c r="CW53" s="1795">
        <f t="shared" si="15"/>
        <v>0</v>
      </c>
      <c r="CX53" s="1496">
        <v>0</v>
      </c>
      <c r="CY53" s="1496">
        <f t="shared" ref="CY53:CY72" si="47">CV53+CX53</f>
        <v>60170</v>
      </c>
      <c r="CZ53" s="1496">
        <f t="shared" si="8"/>
        <v>0</v>
      </c>
      <c r="DC53" s="1747">
        <f t="shared" si="25"/>
        <v>60170</v>
      </c>
      <c r="DD53" s="1496">
        <f t="shared" si="29"/>
        <v>0</v>
      </c>
      <c r="DF53" s="1747">
        <f t="shared" si="17"/>
        <v>60170</v>
      </c>
      <c r="DI53" s="1747">
        <f t="shared" si="26"/>
        <v>60170</v>
      </c>
    </row>
    <row r="54" spans="1:113" x14ac:dyDescent="0.25">
      <c r="A54" s="1471">
        <v>1</v>
      </c>
      <c r="B54" s="480" t="s">
        <v>2787</v>
      </c>
      <c r="C54" s="480">
        <v>201339</v>
      </c>
      <c r="D54" s="480" t="s">
        <v>3388</v>
      </c>
      <c r="E54" s="1784" t="s">
        <v>1876</v>
      </c>
      <c r="F54" s="1165">
        <v>388022</v>
      </c>
      <c r="G54" s="480" t="s">
        <v>3394</v>
      </c>
      <c r="H54" s="480" t="s">
        <v>583</v>
      </c>
      <c r="I54" s="963">
        <v>40252</v>
      </c>
      <c r="J54" s="1803">
        <v>7</v>
      </c>
      <c r="K54" s="1039">
        <f t="shared" ca="1" si="27"/>
        <v>15.523613963039015</v>
      </c>
      <c r="L54" s="963" t="s">
        <v>1886</v>
      </c>
      <c r="M54" s="963" t="s">
        <v>43</v>
      </c>
      <c r="N54" s="480"/>
      <c r="O54" s="1362">
        <v>21666</v>
      </c>
      <c r="P54" s="1362"/>
      <c r="Q54" s="1476">
        <v>21666</v>
      </c>
      <c r="R54" s="1476">
        <v>0</v>
      </c>
      <c r="S54" s="963">
        <v>45017</v>
      </c>
      <c r="T54" s="1716">
        <v>1</v>
      </c>
      <c r="U54" s="963">
        <v>45382</v>
      </c>
      <c r="V54" s="1716">
        <v>192</v>
      </c>
      <c r="W54" s="1716">
        <f t="shared" si="18"/>
        <v>192</v>
      </c>
      <c r="X54" s="1717">
        <f t="shared" si="19"/>
        <v>1</v>
      </c>
      <c r="Y54" s="1716">
        <v>1</v>
      </c>
      <c r="Z54" s="1716">
        <f t="shared" si="20"/>
        <v>1</v>
      </c>
      <c r="AA54" s="1047">
        <f t="shared" si="21"/>
        <v>21666</v>
      </c>
      <c r="AB54" s="1037" t="s">
        <v>2797</v>
      </c>
      <c r="AC54" s="1037" t="s">
        <v>2797</v>
      </c>
      <c r="AD54" s="1471"/>
      <c r="AE54" s="1471"/>
      <c r="AF54" s="1471"/>
      <c r="AG54" s="1476">
        <v>21666</v>
      </c>
      <c r="AH54" s="1476"/>
      <c r="AI54" s="1476">
        <v>21666</v>
      </c>
      <c r="AJ54" s="1476"/>
      <c r="AK54" s="1476" t="str">
        <f t="shared" si="22"/>
        <v>no</v>
      </c>
      <c r="AL54" s="1476" t="str">
        <f t="shared" si="9"/>
        <v>no</v>
      </c>
      <c r="AM54" s="1476" t="str">
        <f t="shared" si="10"/>
        <v>yes</v>
      </c>
      <c r="AN54" s="1471"/>
      <c r="AO54" s="1476"/>
      <c r="AP54" s="1471"/>
      <c r="AQ54" s="1471"/>
      <c r="AR54" s="1471"/>
      <c r="AS54" s="1471"/>
      <c r="AT54" s="1471"/>
      <c r="AU54" s="1471"/>
      <c r="AV54" s="1471"/>
      <c r="AW54" s="1471"/>
      <c r="AX54" s="1471"/>
      <c r="AY54" s="1471"/>
      <c r="AZ54" s="1476"/>
      <c r="BA54" s="1476">
        <v>6511.03</v>
      </c>
      <c r="BB54" s="1471" t="s">
        <v>3391</v>
      </c>
      <c r="BC54" s="1476">
        <v>6511.03</v>
      </c>
      <c r="BD54" s="1471">
        <v>8071669</v>
      </c>
      <c r="BE54" s="1477">
        <v>45051</v>
      </c>
      <c r="BF54" s="1471"/>
      <c r="BG54" s="1471"/>
      <c r="BH54" s="1476">
        <f>AO54+AS54+AW54</f>
        <v>0</v>
      </c>
      <c r="BI54" s="1625">
        <f t="shared" si="41"/>
        <v>6511.03</v>
      </c>
      <c r="BJ54" s="1471">
        <v>21666</v>
      </c>
      <c r="BK54" s="1473">
        <v>6511.03</v>
      </c>
      <c r="BL54" s="1473">
        <v>6511.03</v>
      </c>
      <c r="BM54" s="1489">
        <f t="shared" si="39"/>
        <v>21666</v>
      </c>
      <c r="BN54" s="1489">
        <v>21666</v>
      </c>
      <c r="BO54" s="1773">
        <f t="shared" si="11"/>
        <v>0</v>
      </c>
      <c r="BP54" s="1773">
        <v>0</v>
      </c>
      <c r="BQ54" s="1774">
        <f t="shared" si="12"/>
        <v>21666</v>
      </c>
      <c r="CF54" s="1795">
        <f t="shared" si="42"/>
        <v>21666</v>
      </c>
      <c r="CG54" s="1796">
        <f t="shared" si="13"/>
        <v>21666</v>
      </c>
      <c r="CH54" s="1796">
        <f t="shared" si="43"/>
        <v>0</v>
      </c>
      <c r="CN54" s="1797">
        <f t="shared" si="4"/>
        <v>21666</v>
      </c>
      <c r="CO54" s="1797">
        <f t="shared" si="45"/>
        <v>0</v>
      </c>
      <c r="CR54" s="1494">
        <f t="shared" si="46"/>
        <v>21666</v>
      </c>
      <c r="CS54" s="1797">
        <f t="shared" si="7"/>
        <v>0</v>
      </c>
      <c r="CV54" s="1678">
        <f t="shared" si="14"/>
        <v>21666</v>
      </c>
      <c r="CW54" s="1795">
        <f t="shared" si="15"/>
        <v>0</v>
      </c>
      <c r="CX54" s="1496">
        <v>0</v>
      </c>
      <c r="CY54" s="1496">
        <f t="shared" si="47"/>
        <v>21666</v>
      </c>
      <c r="CZ54" s="1496">
        <f t="shared" si="8"/>
        <v>0</v>
      </c>
      <c r="DC54" s="1747">
        <f t="shared" si="25"/>
        <v>21666</v>
      </c>
      <c r="DD54" s="1496">
        <f t="shared" si="29"/>
        <v>0</v>
      </c>
      <c r="DF54" s="1747">
        <f t="shared" si="17"/>
        <v>21666</v>
      </c>
      <c r="DI54" s="1747">
        <f t="shared" si="26"/>
        <v>21666</v>
      </c>
    </row>
    <row r="55" spans="1:113" x14ac:dyDescent="0.25">
      <c r="A55" s="1471">
        <v>1</v>
      </c>
      <c r="B55" s="480" t="s">
        <v>2787</v>
      </c>
      <c r="C55" s="480">
        <v>201339</v>
      </c>
      <c r="D55" s="480" t="s">
        <v>3388</v>
      </c>
      <c r="E55" s="1784" t="s">
        <v>1876</v>
      </c>
      <c r="F55" s="1165">
        <v>411397</v>
      </c>
      <c r="G55" s="480" t="s">
        <v>2624</v>
      </c>
      <c r="H55" s="480" t="s">
        <v>1296</v>
      </c>
      <c r="I55" s="963">
        <v>40988</v>
      </c>
      <c r="J55" s="1803">
        <v>7</v>
      </c>
      <c r="K55" s="1039">
        <f t="shared" ca="1" si="27"/>
        <v>13.508555783709788</v>
      </c>
      <c r="L55" s="963"/>
      <c r="M55" s="963"/>
      <c r="N55" s="480"/>
      <c r="O55" s="1362">
        <v>19420</v>
      </c>
      <c r="P55" s="1362"/>
      <c r="Q55" s="1476">
        <f>O55*(192-98)/192</f>
        <v>9507.7083333333339</v>
      </c>
      <c r="R55" s="1476"/>
      <c r="S55" s="963">
        <v>45218</v>
      </c>
      <c r="T55" s="1716">
        <v>99</v>
      </c>
      <c r="U55" s="1597" t="s">
        <v>2597</v>
      </c>
      <c r="V55" s="1716" t="e">
        <v>#N/A</v>
      </c>
      <c r="W55" s="1716" t="e">
        <f t="shared" si="18"/>
        <v>#N/A</v>
      </c>
      <c r="X55" s="1717" t="e">
        <f t="shared" si="19"/>
        <v>#N/A</v>
      </c>
      <c r="Y55" s="1716">
        <v>1</v>
      </c>
      <c r="Z55" s="1716" t="e">
        <f t="shared" si="20"/>
        <v>#N/A</v>
      </c>
      <c r="AA55" s="1864" t="e">
        <f t="shared" si="21"/>
        <v>#N/A</v>
      </c>
      <c r="AB55" s="1037"/>
      <c r="AC55" s="1037"/>
      <c r="AD55" s="1471"/>
      <c r="AE55" s="1471"/>
      <c r="AF55" s="1471"/>
      <c r="AG55" s="1476"/>
      <c r="AH55" s="1476"/>
      <c r="AI55" s="1476"/>
      <c r="AJ55" s="1476"/>
      <c r="AK55" s="1476"/>
      <c r="AL55" s="1476"/>
      <c r="AM55" s="1476"/>
      <c r="AN55" s="1471"/>
      <c r="AO55" s="1476"/>
      <c r="AP55" s="1471"/>
      <c r="AQ55" s="1471"/>
      <c r="AR55" s="1471"/>
      <c r="AS55" s="1471"/>
      <c r="AT55" s="1471"/>
      <c r="AU55" s="1471"/>
      <c r="AV55" s="1471"/>
      <c r="AW55" s="1471"/>
      <c r="AX55" s="1471"/>
      <c r="AY55" s="1471"/>
      <c r="AZ55" s="1476"/>
      <c r="BA55" s="1476"/>
      <c r="BB55" s="1471"/>
      <c r="BC55" s="1476"/>
      <c r="BD55" s="1471"/>
      <c r="BE55" s="1477"/>
      <c r="BF55" s="1471"/>
      <c r="BG55" s="1471"/>
      <c r="BH55" s="1476"/>
      <c r="BI55" s="1625"/>
      <c r="BJ55" s="1471">
        <v>0</v>
      </c>
      <c r="BK55" s="1473"/>
      <c r="BL55" s="1473"/>
      <c r="BM55" s="1489"/>
      <c r="BN55" s="1489"/>
      <c r="BO55" s="1773"/>
      <c r="BP55" s="1773"/>
      <c r="BQ55" s="1774"/>
      <c r="CF55" s="1795"/>
      <c r="CG55" s="1796"/>
      <c r="CH55" s="1796"/>
      <c r="CN55" s="1797"/>
      <c r="CO55" s="1797"/>
      <c r="CR55" s="1494"/>
      <c r="CS55" s="1797"/>
      <c r="CV55" s="1678"/>
      <c r="CW55" s="1795"/>
      <c r="DC55" s="1747"/>
      <c r="DD55" s="1496"/>
      <c r="DE55" s="1496">
        <f>Q55</f>
        <v>9507.7083333333339</v>
      </c>
      <c r="DF55" s="1747">
        <f t="shared" si="17"/>
        <v>9507.7083333333339</v>
      </c>
      <c r="DI55" s="1747">
        <f t="shared" si="26"/>
        <v>9507.7083333333339</v>
      </c>
    </row>
    <row r="56" spans="1:113" s="1859" customFormat="1" x14ac:dyDescent="0.25">
      <c r="A56" s="1751">
        <v>1</v>
      </c>
      <c r="B56" s="1135" t="s">
        <v>2787</v>
      </c>
      <c r="C56" s="1135">
        <v>201339</v>
      </c>
      <c r="D56" s="1135" t="s">
        <v>3388</v>
      </c>
      <c r="E56" s="1749" t="s">
        <v>1876</v>
      </c>
      <c r="F56" s="1852">
        <v>403948</v>
      </c>
      <c r="G56" s="1135" t="s">
        <v>3395</v>
      </c>
      <c r="H56" s="1135" t="s">
        <v>196</v>
      </c>
      <c r="I56" s="1146">
        <v>40925</v>
      </c>
      <c r="J56" s="1853">
        <v>7</v>
      </c>
      <c r="K56" s="1147">
        <f t="shared" ca="1" si="27"/>
        <v>13.681040383299111</v>
      </c>
      <c r="L56" s="1146" t="s">
        <v>1886</v>
      </c>
      <c r="M56" s="1146" t="s">
        <v>43</v>
      </c>
      <c r="N56" s="1135"/>
      <c r="O56" s="1813"/>
      <c r="P56" s="1813"/>
      <c r="Q56" s="1762">
        <v>20700</v>
      </c>
      <c r="R56" s="1762"/>
      <c r="S56" s="1146">
        <v>45170</v>
      </c>
      <c r="T56" s="1716">
        <v>65</v>
      </c>
      <c r="U56" s="1146">
        <v>45382</v>
      </c>
      <c r="V56" s="1716">
        <v>192</v>
      </c>
      <c r="W56" s="1716">
        <f t="shared" si="18"/>
        <v>128</v>
      </c>
      <c r="X56" s="1717">
        <f t="shared" si="19"/>
        <v>0.66666666666666663</v>
      </c>
      <c r="Y56" s="1716">
        <v>1</v>
      </c>
      <c r="Z56" s="1716">
        <f t="shared" si="20"/>
        <v>0.66666666666666663</v>
      </c>
      <c r="AA56" s="1865">
        <f t="shared" si="21"/>
        <v>13800</v>
      </c>
      <c r="AB56" s="1748" t="s">
        <v>2797</v>
      </c>
      <c r="AC56" s="1748" t="s">
        <v>2797</v>
      </c>
      <c r="AD56" s="1751"/>
      <c r="AE56" s="1751"/>
      <c r="AF56" s="1751"/>
      <c r="AG56" s="1762"/>
      <c r="AH56" s="1762"/>
      <c r="AI56" s="1762">
        <v>20700</v>
      </c>
      <c r="AJ56" s="1762"/>
      <c r="AK56" s="1762" t="str">
        <f t="shared" si="22"/>
        <v>no</v>
      </c>
      <c r="AL56" s="1762" t="str">
        <f t="shared" si="9"/>
        <v>no</v>
      </c>
      <c r="AM56" s="1762" t="str">
        <f t="shared" si="10"/>
        <v>yes</v>
      </c>
      <c r="AN56" s="1751"/>
      <c r="AO56" s="1762"/>
      <c r="AP56" s="1751"/>
      <c r="AQ56" s="1751"/>
      <c r="AR56" s="1751"/>
      <c r="AS56" s="1751"/>
      <c r="AT56" s="1751"/>
      <c r="AU56" s="1751"/>
      <c r="AV56" s="1751"/>
      <c r="AW56" s="1751"/>
      <c r="AX56" s="1751"/>
      <c r="AY56" s="1751"/>
      <c r="AZ56" s="1762"/>
      <c r="BA56" s="1762"/>
      <c r="BB56" s="1751"/>
      <c r="BC56" s="1762"/>
      <c r="BD56" s="1751"/>
      <c r="BE56" s="1866"/>
      <c r="BF56" s="1751"/>
      <c r="BG56" s="1751"/>
      <c r="BH56" s="1762"/>
      <c r="BI56" s="1858"/>
      <c r="BJ56" s="1751">
        <v>0</v>
      </c>
      <c r="BK56" s="1858"/>
      <c r="BL56" s="1858"/>
      <c r="BM56" s="1771"/>
      <c r="BN56" s="1771"/>
      <c r="BO56" s="1773"/>
      <c r="BP56" s="1773"/>
      <c r="BQ56" s="1774"/>
      <c r="CF56" s="1492"/>
      <c r="CG56" s="1098">
        <f t="shared" si="13"/>
        <v>0</v>
      </c>
      <c r="CH56" s="1098">
        <f t="shared" si="43"/>
        <v>0</v>
      </c>
      <c r="CK56" s="1859" t="s">
        <v>3396</v>
      </c>
      <c r="CL56" s="1867"/>
      <c r="CM56" s="1867">
        <f>20700/3*2</f>
        <v>13800</v>
      </c>
      <c r="CN56" s="1781">
        <f t="shared" si="4"/>
        <v>13800</v>
      </c>
      <c r="CO56" s="1781">
        <f t="shared" si="45"/>
        <v>13800</v>
      </c>
      <c r="CR56" s="1782">
        <f t="shared" si="37"/>
        <v>13800</v>
      </c>
      <c r="CS56" s="1781">
        <f t="shared" si="7"/>
        <v>0</v>
      </c>
      <c r="CV56" s="1492">
        <f t="shared" si="14"/>
        <v>13800</v>
      </c>
      <c r="CW56" s="1492">
        <f t="shared" si="15"/>
        <v>0</v>
      </c>
      <c r="CX56" s="1497">
        <v>0</v>
      </c>
      <c r="CY56" s="1497">
        <f t="shared" si="47"/>
        <v>13800</v>
      </c>
      <c r="CZ56" s="1497">
        <f t="shared" si="8"/>
        <v>0</v>
      </c>
      <c r="DB56" s="1863"/>
      <c r="DC56" s="1747">
        <f t="shared" si="25"/>
        <v>13800</v>
      </c>
      <c r="DD56" s="1496">
        <f t="shared" si="29"/>
        <v>0</v>
      </c>
      <c r="DE56" s="1497"/>
      <c r="DF56" s="1747">
        <f t="shared" si="17"/>
        <v>13800</v>
      </c>
      <c r="DI56" s="1747">
        <f t="shared" si="26"/>
        <v>13800</v>
      </c>
    </row>
    <row r="57" spans="1:113" s="1859" customFormat="1" x14ac:dyDescent="0.25">
      <c r="A57" s="1471">
        <v>1</v>
      </c>
      <c r="B57" s="480" t="s">
        <v>2787</v>
      </c>
      <c r="C57" s="480">
        <v>201339</v>
      </c>
      <c r="D57" s="480" t="s">
        <v>3388</v>
      </c>
      <c r="E57" s="1784" t="s">
        <v>1876</v>
      </c>
      <c r="F57" s="1165">
        <v>376485</v>
      </c>
      <c r="G57" s="480" t="s">
        <v>3397</v>
      </c>
      <c r="H57" s="480" t="s">
        <v>924</v>
      </c>
      <c r="I57" s="1229">
        <v>39664</v>
      </c>
      <c r="J57" s="1868"/>
      <c r="K57" s="1226">
        <f t="shared" ca="1" si="27"/>
        <v>17.133470225872689</v>
      </c>
      <c r="L57" s="1229" t="s">
        <v>1886</v>
      </c>
      <c r="M57" s="1229" t="s">
        <v>43</v>
      </c>
      <c r="N57" s="1224"/>
      <c r="O57" s="1818">
        <v>21138</v>
      </c>
      <c r="P57" s="1813"/>
      <c r="Q57" s="1762">
        <v>21138</v>
      </c>
      <c r="R57" s="1762">
        <v>0</v>
      </c>
      <c r="S57" s="1146">
        <v>45017</v>
      </c>
      <c r="T57" s="1716">
        <v>1</v>
      </c>
      <c r="U57" s="1146">
        <v>45382</v>
      </c>
      <c r="V57" s="1716">
        <v>192</v>
      </c>
      <c r="W57" s="1716">
        <f t="shared" si="18"/>
        <v>192</v>
      </c>
      <c r="X57" s="1717">
        <f t="shared" si="19"/>
        <v>1</v>
      </c>
      <c r="Y57" s="1716">
        <v>1</v>
      </c>
      <c r="Z57" s="1716">
        <f t="shared" si="20"/>
        <v>1</v>
      </c>
      <c r="AA57" s="1865">
        <f t="shared" si="21"/>
        <v>21138</v>
      </c>
      <c r="AB57" s="1748" t="s">
        <v>2797</v>
      </c>
      <c r="AC57" s="1748" t="s">
        <v>2797</v>
      </c>
      <c r="AD57" s="1751"/>
      <c r="AE57" s="1751"/>
      <c r="AF57" s="1751"/>
      <c r="AG57" s="1762">
        <v>21140</v>
      </c>
      <c r="AH57" s="1762"/>
      <c r="AI57" s="1762"/>
      <c r="AJ57" s="1762"/>
      <c r="AK57" s="1762"/>
      <c r="AL57" s="1762"/>
      <c r="AM57" s="1762"/>
      <c r="AN57" s="1751"/>
      <c r="AO57" s="1762"/>
      <c r="AP57" s="1751"/>
      <c r="AQ57" s="1751"/>
      <c r="AR57" s="1751"/>
      <c r="AS57" s="1751"/>
      <c r="AT57" s="1751"/>
      <c r="AU57" s="1751"/>
      <c r="AV57" s="1751"/>
      <c r="AW57" s="1751"/>
      <c r="AX57" s="1751"/>
      <c r="AY57" s="1751"/>
      <c r="AZ57" s="1762"/>
      <c r="BA57" s="1762"/>
      <c r="BB57" s="1751"/>
      <c r="BC57" s="1762"/>
      <c r="BD57" s="1751"/>
      <c r="BE57" s="1866"/>
      <c r="BF57" s="1751"/>
      <c r="BG57" s="1751"/>
      <c r="BH57" s="1762"/>
      <c r="BI57" s="1858"/>
      <c r="BJ57" s="1751">
        <v>21140</v>
      </c>
      <c r="BK57" s="1858"/>
      <c r="BL57" s="1858"/>
      <c r="BM57" s="1771"/>
      <c r="BN57" s="1771"/>
      <c r="BO57" s="1773"/>
      <c r="BP57" s="1773"/>
      <c r="BQ57" s="1774"/>
      <c r="CF57" s="1492"/>
      <c r="CG57" s="1098"/>
      <c r="CH57" s="1098"/>
      <c r="CL57" s="1867"/>
      <c r="CM57" s="1867"/>
      <c r="CN57" s="1781"/>
      <c r="CO57" s="1781"/>
      <c r="CR57" s="1782"/>
      <c r="CS57" s="1781"/>
      <c r="CV57" s="1492"/>
      <c r="CW57" s="1492"/>
      <c r="CY57" s="1497"/>
      <c r="CZ57" s="1497"/>
      <c r="DB57" s="1863">
        <f>Q57</f>
        <v>21138</v>
      </c>
      <c r="DC57" s="1747">
        <f t="shared" si="25"/>
        <v>21138</v>
      </c>
      <c r="DD57" s="1496">
        <f t="shared" si="29"/>
        <v>21138</v>
      </c>
      <c r="DE57" s="1497"/>
      <c r="DF57" s="1747">
        <f t="shared" si="17"/>
        <v>21138</v>
      </c>
      <c r="DH57" s="1497">
        <v>11860</v>
      </c>
      <c r="DI57" s="1747">
        <f t="shared" si="26"/>
        <v>32998</v>
      </c>
    </row>
    <row r="58" spans="1:113" x14ac:dyDescent="0.25">
      <c r="A58" s="1471">
        <v>1</v>
      </c>
      <c r="B58" s="480" t="s">
        <v>2787</v>
      </c>
      <c r="C58" s="480">
        <v>201339</v>
      </c>
      <c r="D58" s="480" t="s">
        <v>3388</v>
      </c>
      <c r="E58" s="1784" t="s">
        <v>1876</v>
      </c>
      <c r="F58" s="1165">
        <v>385444</v>
      </c>
      <c r="G58" s="1165" t="s">
        <v>3398</v>
      </c>
      <c r="H58" s="480" t="s">
        <v>3399</v>
      </c>
      <c r="I58" s="963">
        <v>40147</v>
      </c>
      <c r="J58" s="1803">
        <v>7</v>
      </c>
      <c r="K58" s="1039">
        <f t="shared" ca="1" si="27"/>
        <v>15.811088295687885</v>
      </c>
      <c r="L58" s="963" t="s">
        <v>1886</v>
      </c>
      <c r="M58" s="963" t="s">
        <v>43</v>
      </c>
      <c r="N58" s="480"/>
      <c r="O58" s="1362">
        <v>45800</v>
      </c>
      <c r="P58" s="1362" t="s">
        <v>3400</v>
      </c>
      <c r="Q58" s="1476">
        <v>45800</v>
      </c>
      <c r="R58" s="1476">
        <v>0</v>
      </c>
      <c r="S58" s="963">
        <v>45017</v>
      </c>
      <c r="T58" s="1716">
        <v>1</v>
      </c>
      <c r="U58" s="963">
        <v>45382</v>
      </c>
      <c r="V58" s="1716">
        <v>192</v>
      </c>
      <c r="W58" s="1716">
        <f t="shared" si="18"/>
        <v>192</v>
      </c>
      <c r="X58" s="1717">
        <f t="shared" si="19"/>
        <v>1</v>
      </c>
      <c r="Y58" s="1716">
        <v>1</v>
      </c>
      <c r="Z58" s="1716">
        <f t="shared" si="20"/>
        <v>1</v>
      </c>
      <c r="AA58" s="1047">
        <f t="shared" si="21"/>
        <v>45800</v>
      </c>
      <c r="AB58" s="1037" t="s">
        <v>2797</v>
      </c>
      <c r="AC58" s="1037" t="s">
        <v>2797</v>
      </c>
      <c r="AD58" s="1471"/>
      <c r="AE58" s="1471"/>
      <c r="AF58" s="1471"/>
      <c r="AG58" s="1476">
        <v>45800</v>
      </c>
      <c r="AH58" s="1476">
        <v>45800</v>
      </c>
      <c r="AI58" s="1476">
        <v>45800</v>
      </c>
      <c r="AJ58" s="1869"/>
      <c r="AK58" s="1476" t="str">
        <f t="shared" si="22"/>
        <v>no</v>
      </c>
      <c r="AL58" s="1476" t="str">
        <f t="shared" si="9"/>
        <v>no</v>
      </c>
      <c r="AM58" s="1476" t="str">
        <f t="shared" si="10"/>
        <v>yes</v>
      </c>
      <c r="AN58" s="1471"/>
      <c r="AO58" s="1476"/>
      <c r="AP58" s="1471"/>
      <c r="AQ58" s="1471"/>
      <c r="AR58" s="1471"/>
      <c r="AS58" s="1471"/>
      <c r="AT58" s="1471"/>
      <c r="AU58" s="1471"/>
      <c r="AV58" s="1471"/>
      <c r="AW58" s="1471"/>
      <c r="AX58" s="1471"/>
      <c r="AY58" s="1471"/>
      <c r="AZ58" s="1476"/>
      <c r="BA58" s="1476"/>
      <c r="BB58" s="1471"/>
      <c r="BC58" s="1476"/>
      <c r="BD58" s="1471"/>
      <c r="BE58" s="1477"/>
      <c r="BF58" s="1471"/>
      <c r="BG58" s="1471"/>
      <c r="BH58" s="1476">
        <f t="shared" ref="BH58:BH64" si="48">AO58+AS58+AW58</f>
        <v>0</v>
      </c>
      <c r="BI58" s="1625">
        <f t="shared" ref="BI58:BI64" si="49">BC58</f>
        <v>0</v>
      </c>
      <c r="BJ58" s="1471">
        <v>45800</v>
      </c>
      <c r="BK58" s="1473">
        <v>0</v>
      </c>
      <c r="BL58" s="1473">
        <v>0</v>
      </c>
      <c r="BM58" s="1489">
        <f t="shared" si="39"/>
        <v>45800</v>
      </c>
      <c r="BN58" s="1489">
        <v>45800</v>
      </c>
      <c r="BO58" s="1773">
        <f t="shared" si="11"/>
        <v>0</v>
      </c>
      <c r="BP58" s="1773">
        <v>0</v>
      </c>
      <c r="BQ58" s="1774">
        <f t="shared" si="12"/>
        <v>45800</v>
      </c>
      <c r="CF58" s="1795">
        <f t="shared" ref="CF58:CF65" si="50">BQ58+CB58+CD58</f>
        <v>45800</v>
      </c>
      <c r="CG58" s="1796">
        <f t="shared" si="13"/>
        <v>45800</v>
      </c>
      <c r="CH58" s="1796">
        <f t="shared" si="43"/>
        <v>0</v>
      </c>
      <c r="CN58" s="1797">
        <f t="shared" si="4"/>
        <v>45800</v>
      </c>
      <c r="CO58" s="1797">
        <f t="shared" si="45"/>
        <v>0</v>
      </c>
      <c r="CR58" s="1494">
        <f t="shared" ref="CR58:CR61" si="51">CN58+CP58+CQ58</f>
        <v>45800</v>
      </c>
      <c r="CS58" s="1797">
        <f t="shared" si="7"/>
        <v>0</v>
      </c>
      <c r="CV58" s="1678">
        <f t="shared" si="14"/>
        <v>45800</v>
      </c>
      <c r="CW58" s="1795">
        <f t="shared" si="15"/>
        <v>0</v>
      </c>
      <c r="CX58" s="1496">
        <v>-45800</v>
      </c>
      <c r="CY58" s="1496">
        <f t="shared" si="47"/>
        <v>0</v>
      </c>
      <c r="CZ58" s="1496">
        <f t="shared" si="8"/>
        <v>-45800</v>
      </c>
      <c r="DC58" s="1747">
        <f t="shared" si="25"/>
        <v>0</v>
      </c>
      <c r="DD58" s="1496">
        <f t="shared" si="29"/>
        <v>0</v>
      </c>
      <c r="DF58" s="1747">
        <f t="shared" si="17"/>
        <v>0</v>
      </c>
      <c r="DH58" s="1496"/>
      <c r="DI58" s="1747">
        <f t="shared" si="26"/>
        <v>0</v>
      </c>
    </row>
    <row r="59" spans="1:113" x14ac:dyDescent="0.25">
      <c r="A59" s="1471">
        <v>1</v>
      </c>
      <c r="B59" s="480" t="s">
        <v>2787</v>
      </c>
      <c r="C59" s="480">
        <v>201339</v>
      </c>
      <c r="D59" s="480" t="s">
        <v>3388</v>
      </c>
      <c r="E59" s="1784" t="s">
        <v>1876</v>
      </c>
      <c r="F59" s="1165">
        <v>422901</v>
      </c>
      <c r="G59" s="480" t="s">
        <v>962</v>
      </c>
      <c r="H59" s="480" t="s">
        <v>211</v>
      </c>
      <c r="I59" s="963">
        <v>39914</v>
      </c>
      <c r="J59" s="1803">
        <v>9</v>
      </c>
      <c r="K59" s="1039">
        <f ca="1">(TODAY()-I59)/365.25</f>
        <v>16.449007529089666</v>
      </c>
      <c r="L59" s="963" t="s">
        <v>1886</v>
      </c>
      <c r="M59" s="963" t="s">
        <v>43</v>
      </c>
      <c r="N59" s="480"/>
      <c r="O59" s="1362">
        <v>37239</v>
      </c>
      <c r="P59" s="1362"/>
      <c r="Q59" s="1476">
        <v>37239</v>
      </c>
      <c r="R59" s="1476">
        <v>0</v>
      </c>
      <c r="S59" s="963">
        <v>45017</v>
      </c>
      <c r="T59" s="1716">
        <v>1</v>
      </c>
      <c r="U59" s="963">
        <v>45085</v>
      </c>
      <c r="V59" s="1716">
        <v>32</v>
      </c>
      <c r="W59" s="1716">
        <f t="shared" si="18"/>
        <v>32</v>
      </c>
      <c r="X59" s="1717">
        <f t="shared" si="19"/>
        <v>0.16666666666666666</v>
      </c>
      <c r="Y59" s="1716">
        <v>1</v>
      </c>
      <c r="Z59" s="1716">
        <f t="shared" si="20"/>
        <v>0.16666666666666666</v>
      </c>
      <c r="AA59" s="1047">
        <f t="shared" si="21"/>
        <v>6206.5</v>
      </c>
      <c r="AB59" s="1037" t="s">
        <v>2797</v>
      </c>
      <c r="AC59" s="1037" t="s">
        <v>2797</v>
      </c>
      <c r="AD59" s="1471"/>
      <c r="AE59" s="1471"/>
      <c r="AF59" s="1471"/>
      <c r="AG59" s="1476">
        <v>37239</v>
      </c>
      <c r="AH59" s="1476"/>
      <c r="AI59" s="1476">
        <v>37239</v>
      </c>
      <c r="AJ59" s="1476"/>
      <c r="AK59" s="1476" t="str">
        <f t="shared" si="22"/>
        <v>no</v>
      </c>
      <c r="AL59" s="1476" t="str">
        <f t="shared" si="9"/>
        <v>no</v>
      </c>
      <c r="AM59" s="1476" t="str">
        <f t="shared" si="10"/>
        <v>yes</v>
      </c>
      <c r="AN59" s="1471"/>
      <c r="AO59" s="1476"/>
      <c r="AP59" s="1471"/>
      <c r="AQ59" s="1471"/>
      <c r="AR59" s="1471"/>
      <c r="AS59" s="1471"/>
      <c r="AT59" s="1471"/>
      <c r="AU59" s="1471"/>
      <c r="AV59" s="1471"/>
      <c r="AW59" s="1471"/>
      <c r="AX59" s="1471"/>
      <c r="AY59" s="1471"/>
      <c r="AZ59" s="1476"/>
      <c r="BA59" s="1476">
        <v>7717.83</v>
      </c>
      <c r="BB59" s="1471" t="s">
        <v>3391</v>
      </c>
      <c r="BC59" s="1476">
        <v>7717.83</v>
      </c>
      <c r="BD59" s="1471">
        <v>8071669</v>
      </c>
      <c r="BE59" s="1477">
        <v>45051</v>
      </c>
      <c r="BF59" s="1471"/>
      <c r="BG59" s="1471"/>
      <c r="BH59" s="1476">
        <f t="shared" si="48"/>
        <v>0</v>
      </c>
      <c r="BI59" s="1625">
        <f t="shared" si="49"/>
        <v>7717.83</v>
      </c>
      <c r="BJ59" s="1471">
        <v>37239</v>
      </c>
      <c r="BK59" s="1473">
        <v>7717.83</v>
      </c>
      <c r="BL59" s="1473">
        <v>7717.83</v>
      </c>
      <c r="BM59" s="1489">
        <f t="shared" si="39"/>
        <v>37239</v>
      </c>
      <c r="BN59" s="1489">
        <v>37239</v>
      </c>
      <c r="BO59" s="1773">
        <f t="shared" si="11"/>
        <v>0</v>
      </c>
      <c r="BP59" s="1773">
        <v>0</v>
      </c>
      <c r="BQ59" s="1774">
        <f t="shared" si="12"/>
        <v>37239</v>
      </c>
      <c r="CF59" s="1795">
        <f t="shared" si="50"/>
        <v>37239</v>
      </c>
      <c r="CG59" s="1796">
        <f t="shared" si="13"/>
        <v>37239</v>
      </c>
      <c r="CH59" s="1796">
        <f t="shared" si="43"/>
        <v>0</v>
      </c>
      <c r="CN59" s="1797">
        <f t="shared" si="4"/>
        <v>37239</v>
      </c>
      <c r="CO59" s="1797">
        <f t="shared" si="45"/>
        <v>0</v>
      </c>
      <c r="CR59" s="1494">
        <f t="shared" si="51"/>
        <v>37239</v>
      </c>
      <c r="CS59" s="1797">
        <f t="shared" si="7"/>
        <v>0</v>
      </c>
      <c r="CV59" s="1678">
        <f t="shared" si="14"/>
        <v>37239</v>
      </c>
      <c r="CW59" s="1795">
        <f t="shared" si="15"/>
        <v>0</v>
      </c>
      <c r="CX59" s="1496">
        <v>0</v>
      </c>
      <c r="CY59" s="1496">
        <f t="shared" si="47"/>
        <v>37239</v>
      </c>
      <c r="CZ59" s="1496">
        <f t="shared" si="8"/>
        <v>0</v>
      </c>
      <c r="DC59" s="1747">
        <f t="shared" si="25"/>
        <v>37239</v>
      </c>
      <c r="DD59" s="1496">
        <f t="shared" si="29"/>
        <v>0</v>
      </c>
      <c r="DF59" s="1747">
        <f t="shared" si="17"/>
        <v>37239</v>
      </c>
      <c r="DH59" s="1496">
        <v>-30967</v>
      </c>
      <c r="DI59" s="1747">
        <f t="shared" si="26"/>
        <v>6272</v>
      </c>
    </row>
    <row r="60" spans="1:113" x14ac:dyDescent="0.25">
      <c r="A60" s="1471">
        <v>1</v>
      </c>
      <c r="B60" s="480" t="s">
        <v>2787</v>
      </c>
      <c r="C60" s="480">
        <v>201339</v>
      </c>
      <c r="D60" s="480" t="s">
        <v>3388</v>
      </c>
      <c r="E60" s="1784" t="s">
        <v>1876</v>
      </c>
      <c r="F60" s="1165">
        <v>417869</v>
      </c>
      <c r="G60" s="480" t="s">
        <v>3401</v>
      </c>
      <c r="H60" s="480" t="s">
        <v>3402</v>
      </c>
      <c r="I60" s="963">
        <v>39007</v>
      </c>
      <c r="J60" s="1803">
        <v>9</v>
      </c>
      <c r="K60" s="1039">
        <f ca="1">(TODAY()-I60)/365.25</f>
        <v>18.932238193018481</v>
      </c>
      <c r="L60" s="963" t="s">
        <v>1886</v>
      </c>
      <c r="M60" s="963" t="s">
        <v>43</v>
      </c>
      <c r="N60" s="480"/>
      <c r="O60" s="1362">
        <f>17000+10000</f>
        <v>27000</v>
      </c>
      <c r="P60" s="1362"/>
      <c r="Q60" s="1476">
        <v>27000</v>
      </c>
      <c r="R60" s="1476">
        <v>0</v>
      </c>
      <c r="S60" s="963">
        <v>45017</v>
      </c>
      <c r="T60" s="1716">
        <v>1</v>
      </c>
      <c r="U60" s="963">
        <v>45382</v>
      </c>
      <c r="V60" s="1716">
        <v>192</v>
      </c>
      <c r="W60" s="1716">
        <f t="shared" si="18"/>
        <v>192</v>
      </c>
      <c r="X60" s="1717">
        <f t="shared" si="19"/>
        <v>1</v>
      </c>
      <c r="Y60" s="1716">
        <v>1</v>
      </c>
      <c r="Z60" s="1716">
        <f t="shared" si="20"/>
        <v>1</v>
      </c>
      <c r="AA60" s="1047">
        <f t="shared" si="21"/>
        <v>27000</v>
      </c>
      <c r="AB60" s="1037" t="s">
        <v>2797</v>
      </c>
      <c r="AC60" s="1037" t="s">
        <v>2797</v>
      </c>
      <c r="AD60" s="1471"/>
      <c r="AE60" s="1471"/>
      <c r="AF60" s="1471"/>
      <c r="AG60" s="1476">
        <v>27000</v>
      </c>
      <c r="AH60" s="1476"/>
      <c r="AI60" s="1476">
        <v>27000</v>
      </c>
      <c r="AJ60" s="1476"/>
      <c r="AK60" s="1476" t="str">
        <f t="shared" si="22"/>
        <v>no</v>
      </c>
      <c r="AL60" s="1476" t="str">
        <f t="shared" si="9"/>
        <v>no</v>
      </c>
      <c r="AM60" s="1476" t="str">
        <f t="shared" si="10"/>
        <v>yes</v>
      </c>
      <c r="AN60" s="1471"/>
      <c r="AO60" s="1476"/>
      <c r="AP60" s="1471"/>
      <c r="AQ60" s="1471"/>
      <c r="AR60" s="1471"/>
      <c r="AS60" s="1471"/>
      <c r="AT60" s="1471"/>
      <c r="AU60" s="1471"/>
      <c r="AV60" s="1471"/>
      <c r="AW60" s="1471"/>
      <c r="AX60" s="1471"/>
      <c r="AY60" s="1471"/>
      <c r="AZ60" s="1476"/>
      <c r="BA60" s="1476">
        <v>8114.62</v>
      </c>
      <c r="BB60" s="1471" t="s">
        <v>3391</v>
      </c>
      <c r="BC60" s="1476">
        <v>8114.62</v>
      </c>
      <c r="BD60" s="1471">
        <v>8071669</v>
      </c>
      <c r="BE60" s="1477">
        <v>45051</v>
      </c>
      <c r="BF60" s="1471"/>
      <c r="BG60" s="1471"/>
      <c r="BH60" s="1476">
        <f t="shared" si="48"/>
        <v>0</v>
      </c>
      <c r="BI60" s="1625">
        <f t="shared" si="49"/>
        <v>8114.62</v>
      </c>
      <c r="BJ60" s="1471">
        <v>27000</v>
      </c>
      <c r="BK60" s="1473">
        <v>8114.62</v>
      </c>
      <c r="BL60" s="1473">
        <v>8114.62</v>
      </c>
      <c r="BM60" s="1489">
        <f t="shared" si="39"/>
        <v>27000.000000000004</v>
      </c>
      <c r="BN60" s="1489">
        <v>27000.000000000004</v>
      </c>
      <c r="BO60" s="1773">
        <f t="shared" si="11"/>
        <v>0</v>
      </c>
      <c r="BP60" s="1773">
        <v>0</v>
      </c>
      <c r="BQ60" s="1774">
        <f t="shared" si="12"/>
        <v>27000.000000000004</v>
      </c>
      <c r="BW60" s="1794" t="s">
        <v>3403</v>
      </c>
      <c r="CF60" s="1795">
        <f t="shared" si="50"/>
        <v>27000.000000000004</v>
      </c>
      <c r="CG60" s="1796">
        <f t="shared" si="13"/>
        <v>27000.000000000004</v>
      </c>
      <c r="CH60" s="1796">
        <f t="shared" si="43"/>
        <v>0</v>
      </c>
      <c r="CN60" s="1797">
        <f t="shared" si="4"/>
        <v>27000.000000000004</v>
      </c>
      <c r="CO60" s="1797">
        <f t="shared" si="45"/>
        <v>0</v>
      </c>
      <c r="CR60" s="1494">
        <f t="shared" si="51"/>
        <v>27000.000000000004</v>
      </c>
      <c r="CS60" s="1797">
        <f t="shared" si="7"/>
        <v>0</v>
      </c>
      <c r="CV60" s="1678">
        <f t="shared" si="14"/>
        <v>27000.000000000004</v>
      </c>
      <c r="CW60" s="1795">
        <f t="shared" si="15"/>
        <v>0</v>
      </c>
      <c r="CX60" s="1496">
        <v>0</v>
      </c>
      <c r="CY60" s="1496">
        <f t="shared" si="47"/>
        <v>27000.000000000004</v>
      </c>
      <c r="CZ60" s="1496">
        <f t="shared" si="8"/>
        <v>0</v>
      </c>
      <c r="DC60" s="1747">
        <f t="shared" si="25"/>
        <v>27000.000000000004</v>
      </c>
      <c r="DD60" s="1496">
        <f t="shared" si="29"/>
        <v>0</v>
      </c>
      <c r="DF60" s="1747">
        <f t="shared" si="17"/>
        <v>27000.000000000004</v>
      </c>
      <c r="DI60" s="1747">
        <f t="shared" si="26"/>
        <v>27000.000000000004</v>
      </c>
    </row>
    <row r="61" spans="1:113" x14ac:dyDescent="0.25">
      <c r="A61" s="1471">
        <v>1</v>
      </c>
      <c r="B61" s="480" t="s">
        <v>2787</v>
      </c>
      <c r="C61" s="480">
        <v>201339</v>
      </c>
      <c r="D61" s="480" t="s">
        <v>3388</v>
      </c>
      <c r="E61" s="1784" t="s">
        <v>1876</v>
      </c>
      <c r="F61" s="1165">
        <v>427071</v>
      </c>
      <c r="G61" s="480" t="s">
        <v>3404</v>
      </c>
      <c r="H61" s="480" t="s">
        <v>398</v>
      </c>
      <c r="I61" s="963">
        <v>40062</v>
      </c>
      <c r="J61" s="1803">
        <v>7</v>
      </c>
      <c r="K61" s="1039">
        <f ca="1">(TODAY()-I61)/365.25</f>
        <v>16.043805612594113</v>
      </c>
      <c r="L61" s="963" t="s">
        <v>1886</v>
      </c>
      <c r="M61" s="963" t="s">
        <v>43</v>
      </c>
      <c r="N61" s="480"/>
      <c r="O61" s="1362">
        <v>21666</v>
      </c>
      <c r="P61" s="1362"/>
      <c r="Q61" s="1476">
        <v>21666</v>
      </c>
      <c r="R61" s="1476">
        <v>0</v>
      </c>
      <c r="S61" s="963">
        <v>45017</v>
      </c>
      <c r="T61" s="1716">
        <v>1</v>
      </c>
      <c r="U61" s="963">
        <v>45382</v>
      </c>
      <c r="V61" s="1716">
        <v>192</v>
      </c>
      <c r="W61" s="1716">
        <f t="shared" si="18"/>
        <v>192</v>
      </c>
      <c r="X61" s="1717">
        <f t="shared" si="19"/>
        <v>1</v>
      </c>
      <c r="Y61" s="1716">
        <v>1</v>
      </c>
      <c r="Z61" s="1716">
        <f t="shared" si="20"/>
        <v>1</v>
      </c>
      <c r="AA61" s="1047">
        <f t="shared" si="21"/>
        <v>21666</v>
      </c>
      <c r="AB61" s="1037" t="s">
        <v>2797</v>
      </c>
      <c r="AC61" s="1037" t="s">
        <v>2797</v>
      </c>
      <c r="AD61" s="1471"/>
      <c r="AE61" s="1471"/>
      <c r="AF61" s="1471"/>
      <c r="AG61" s="1476">
        <v>21666</v>
      </c>
      <c r="AH61" s="1476"/>
      <c r="AI61" s="1476">
        <v>21666</v>
      </c>
      <c r="AJ61" s="1476"/>
      <c r="AK61" s="1476" t="str">
        <f t="shared" si="22"/>
        <v>no</v>
      </c>
      <c r="AL61" s="1476" t="str">
        <f t="shared" si="9"/>
        <v>no</v>
      </c>
      <c r="AM61" s="1476" t="str">
        <f t="shared" si="10"/>
        <v>yes</v>
      </c>
      <c r="AN61" s="1471"/>
      <c r="AO61" s="1476"/>
      <c r="AP61" s="1471"/>
      <c r="AQ61" s="1471"/>
      <c r="AR61" s="1471"/>
      <c r="AS61" s="1471"/>
      <c r="AT61" s="1471"/>
      <c r="AU61" s="1471"/>
      <c r="AV61" s="1471"/>
      <c r="AW61" s="1471"/>
      <c r="AX61" s="1471"/>
      <c r="AY61" s="1471"/>
      <c r="AZ61" s="1476"/>
      <c r="BA61" s="1476">
        <v>6511.3</v>
      </c>
      <c r="BB61" s="1471" t="s">
        <v>3391</v>
      </c>
      <c r="BC61" s="1476">
        <v>6511.3</v>
      </c>
      <c r="BD61" s="1471">
        <v>8071669</v>
      </c>
      <c r="BE61" s="1477">
        <v>45051</v>
      </c>
      <c r="BF61" s="1471"/>
      <c r="BG61" s="1471"/>
      <c r="BH61" s="1476">
        <f t="shared" si="48"/>
        <v>0</v>
      </c>
      <c r="BI61" s="1625">
        <f t="shared" si="49"/>
        <v>6511.3</v>
      </c>
      <c r="BJ61" s="1471">
        <v>21666</v>
      </c>
      <c r="BK61" s="1473">
        <v>6511.3</v>
      </c>
      <c r="BL61" s="1473">
        <v>6511.3</v>
      </c>
      <c r="BM61" s="1489">
        <f t="shared" si="39"/>
        <v>21666</v>
      </c>
      <c r="BN61" s="1489">
        <v>21666</v>
      </c>
      <c r="BO61" s="1773">
        <f t="shared" si="11"/>
        <v>0</v>
      </c>
      <c r="BP61" s="1773">
        <v>0</v>
      </c>
      <c r="BQ61" s="1774">
        <f t="shared" si="12"/>
        <v>21666</v>
      </c>
      <c r="CF61" s="1795">
        <f t="shared" si="50"/>
        <v>21666</v>
      </c>
      <c r="CG61" s="1796">
        <f t="shared" si="13"/>
        <v>21666</v>
      </c>
      <c r="CH61" s="1796">
        <f t="shared" si="43"/>
        <v>0</v>
      </c>
      <c r="CN61" s="1797">
        <f t="shared" si="4"/>
        <v>21666</v>
      </c>
      <c r="CO61" s="1797">
        <f t="shared" si="45"/>
        <v>0</v>
      </c>
      <c r="CR61" s="1494">
        <f t="shared" si="51"/>
        <v>21666</v>
      </c>
      <c r="CS61" s="1797">
        <f t="shared" si="7"/>
        <v>0</v>
      </c>
      <c r="CV61" s="1678">
        <f t="shared" si="14"/>
        <v>21666</v>
      </c>
      <c r="CW61" s="1795">
        <f t="shared" si="15"/>
        <v>0</v>
      </c>
      <c r="CX61" s="1496">
        <v>0</v>
      </c>
      <c r="CY61" s="1496">
        <f t="shared" si="47"/>
        <v>21666</v>
      </c>
      <c r="CZ61" s="1496">
        <f t="shared" si="8"/>
        <v>0</v>
      </c>
      <c r="DC61" s="1747">
        <f t="shared" si="25"/>
        <v>21666</v>
      </c>
      <c r="DD61" s="1496">
        <f t="shared" si="29"/>
        <v>0</v>
      </c>
      <c r="DF61" s="1747">
        <f t="shared" si="17"/>
        <v>21666</v>
      </c>
      <c r="DI61" s="1747">
        <f t="shared" si="26"/>
        <v>21666</v>
      </c>
    </row>
    <row r="62" spans="1:113" hidden="1" x14ac:dyDescent="0.25">
      <c r="A62" s="1471">
        <v>0</v>
      </c>
      <c r="B62" s="480" t="s">
        <v>2787</v>
      </c>
      <c r="C62" s="480">
        <v>201339</v>
      </c>
      <c r="D62" s="480" t="s">
        <v>3388</v>
      </c>
      <c r="E62" s="1784" t="s">
        <v>1876</v>
      </c>
      <c r="F62" s="1165">
        <v>395881</v>
      </c>
      <c r="G62" s="480" t="s">
        <v>697</v>
      </c>
      <c r="H62" s="480" t="s">
        <v>2180</v>
      </c>
      <c r="I62" s="963">
        <v>40068</v>
      </c>
      <c r="J62" s="1803">
        <v>7</v>
      </c>
      <c r="K62" s="1039">
        <f ca="1">(TODAY()-I62)/365.25</f>
        <v>16.027378507871322</v>
      </c>
      <c r="L62" s="963" t="s">
        <v>1886</v>
      </c>
      <c r="M62" s="963" t="s">
        <v>56</v>
      </c>
      <c r="N62" s="480"/>
      <c r="O62" s="1362">
        <v>21666</v>
      </c>
      <c r="P62" s="1362" t="s">
        <v>3405</v>
      </c>
      <c r="Q62" s="1476">
        <v>2000</v>
      </c>
      <c r="R62" s="1476">
        <v>0</v>
      </c>
      <c r="S62" s="963">
        <v>45017</v>
      </c>
      <c r="T62" s="1716">
        <v>1</v>
      </c>
      <c r="U62" s="963">
        <v>45044</v>
      </c>
      <c r="V62" s="1716">
        <v>10</v>
      </c>
      <c r="W62" s="1716">
        <f t="shared" si="18"/>
        <v>10</v>
      </c>
      <c r="X62" s="1717">
        <f t="shared" si="19"/>
        <v>5.2083333333333336E-2</v>
      </c>
      <c r="Y62" s="1716">
        <v>1</v>
      </c>
      <c r="Z62" s="1716">
        <f t="shared" si="20"/>
        <v>5.2083333333333336E-2</v>
      </c>
      <c r="AA62" s="1047">
        <f t="shared" si="21"/>
        <v>104.16666666666667</v>
      </c>
      <c r="AB62" s="1037" t="s">
        <v>2797</v>
      </c>
      <c r="AC62" s="1037" t="s">
        <v>2797</v>
      </c>
      <c r="AD62" s="1471"/>
      <c r="AE62" s="1471"/>
      <c r="AF62" s="1471"/>
      <c r="AG62" s="1476">
        <v>2000</v>
      </c>
      <c r="AH62" s="1476" t="s">
        <v>3406</v>
      </c>
      <c r="AI62" s="1476">
        <v>2000</v>
      </c>
      <c r="AJ62" s="1476"/>
      <c r="AK62" s="1476" t="str">
        <f t="shared" si="22"/>
        <v>yes</v>
      </c>
      <c r="AL62" s="1476" t="str">
        <f t="shared" si="9"/>
        <v>no</v>
      </c>
      <c r="AM62" s="1476" t="str">
        <f t="shared" si="10"/>
        <v>no</v>
      </c>
      <c r="AN62" s="1471"/>
      <c r="AO62" s="1476"/>
      <c r="AP62" s="1471"/>
      <c r="AQ62" s="1471"/>
      <c r="AR62" s="1870" t="s">
        <v>3407</v>
      </c>
      <c r="AS62" s="1870"/>
      <c r="AT62" s="1870"/>
      <c r="AU62" s="1870"/>
      <c r="AV62" s="1870"/>
      <c r="AW62" s="1870"/>
      <c r="AX62" s="1870"/>
      <c r="AY62" s="1870"/>
      <c r="AZ62" s="1476"/>
      <c r="BA62" s="1476">
        <v>6511.03</v>
      </c>
      <c r="BB62" s="1471" t="s">
        <v>3391</v>
      </c>
      <c r="BC62" s="1476">
        <v>6511.03</v>
      </c>
      <c r="BD62" s="1471">
        <v>8071669</v>
      </c>
      <c r="BE62" s="1477">
        <v>45051</v>
      </c>
      <c r="BF62" s="1471"/>
      <c r="BG62" s="1471"/>
      <c r="BH62" s="1476">
        <f t="shared" si="48"/>
        <v>0</v>
      </c>
      <c r="BI62" s="1625">
        <f t="shared" si="49"/>
        <v>6511.03</v>
      </c>
      <c r="BJ62" s="1471">
        <v>2000</v>
      </c>
      <c r="BK62" s="1473">
        <v>6511.03</v>
      </c>
      <c r="BL62" s="1473">
        <v>6511.03</v>
      </c>
      <c r="BM62" s="1489">
        <f t="shared" si="39"/>
        <v>1999.9999999999991</v>
      </c>
      <c r="BN62" s="1489">
        <v>1999.9999999999991</v>
      </c>
      <c r="BO62" s="1773">
        <f t="shared" si="11"/>
        <v>0</v>
      </c>
      <c r="BP62" s="1773">
        <v>0</v>
      </c>
      <c r="BQ62" s="1774">
        <f t="shared" si="12"/>
        <v>1999.9999999999991</v>
      </c>
      <c r="CF62" s="1795">
        <f t="shared" si="50"/>
        <v>1999.9999999999991</v>
      </c>
      <c r="CG62" s="1796">
        <f t="shared" si="13"/>
        <v>1999.9999999999991</v>
      </c>
      <c r="CH62" s="1796">
        <f t="shared" si="43"/>
        <v>0</v>
      </c>
      <c r="CN62" s="1797">
        <f t="shared" si="4"/>
        <v>1999.9999999999991</v>
      </c>
      <c r="CO62" s="1797">
        <f t="shared" si="45"/>
        <v>0</v>
      </c>
      <c r="CR62" s="1494">
        <f t="shared" si="37"/>
        <v>1999.9999999999991</v>
      </c>
      <c r="CS62" s="1797">
        <f t="shared" si="7"/>
        <v>0</v>
      </c>
      <c r="CV62" s="1678">
        <f t="shared" si="14"/>
        <v>1999.9999999999991</v>
      </c>
      <c r="CW62" s="1795">
        <f t="shared" si="15"/>
        <v>0</v>
      </c>
      <c r="CX62" s="1496">
        <v>0</v>
      </c>
      <c r="CY62" s="1496">
        <f t="shared" si="47"/>
        <v>1999.9999999999991</v>
      </c>
      <c r="CZ62" s="1496">
        <f t="shared" si="8"/>
        <v>0</v>
      </c>
      <c r="DC62" s="1747">
        <f t="shared" si="25"/>
        <v>1999.9999999999991</v>
      </c>
      <c r="DD62" s="1496">
        <f t="shared" si="29"/>
        <v>0</v>
      </c>
      <c r="DF62" s="1747">
        <f t="shared" si="17"/>
        <v>1999.9999999999991</v>
      </c>
      <c r="DI62" s="1747">
        <f t="shared" si="26"/>
        <v>1999.9999999999991</v>
      </c>
    </row>
    <row r="63" spans="1:113" x14ac:dyDescent="0.25">
      <c r="A63" s="1471">
        <v>1</v>
      </c>
      <c r="B63" s="480" t="s">
        <v>2787</v>
      </c>
      <c r="C63" s="480">
        <v>201339</v>
      </c>
      <c r="D63" s="480" t="s">
        <v>3388</v>
      </c>
      <c r="E63" s="1784" t="s">
        <v>1876</v>
      </c>
      <c r="F63" s="1165">
        <v>382348</v>
      </c>
      <c r="G63" s="480" t="s">
        <v>231</v>
      </c>
      <c r="H63" s="480" t="s">
        <v>3408</v>
      </c>
      <c r="I63" s="963">
        <v>39506</v>
      </c>
      <c r="J63" s="1803">
        <v>8</v>
      </c>
      <c r="K63" s="1039">
        <f ca="1">(TODAY()-I63)/365.25</f>
        <v>17.566050650239561</v>
      </c>
      <c r="L63" s="963" t="s">
        <v>1886</v>
      </c>
      <c r="M63" s="963" t="s">
        <v>56</v>
      </c>
      <c r="N63" s="480"/>
      <c r="O63" s="1362">
        <v>21666</v>
      </c>
      <c r="P63" s="1362"/>
      <c r="Q63" s="1476">
        <v>21666</v>
      </c>
      <c r="R63" s="1476">
        <v>0</v>
      </c>
      <c r="S63" s="963">
        <v>45017</v>
      </c>
      <c r="T63" s="1716">
        <v>1</v>
      </c>
      <c r="U63" s="963">
        <v>45382</v>
      </c>
      <c r="V63" s="1716">
        <v>192</v>
      </c>
      <c r="W63" s="1716">
        <f t="shared" si="18"/>
        <v>192</v>
      </c>
      <c r="X63" s="1717">
        <f t="shared" si="19"/>
        <v>1</v>
      </c>
      <c r="Y63" s="1716">
        <v>1</v>
      </c>
      <c r="Z63" s="1716">
        <f t="shared" si="20"/>
        <v>1</v>
      </c>
      <c r="AA63" s="1047">
        <f t="shared" si="21"/>
        <v>21666</v>
      </c>
      <c r="AB63" s="1037" t="s">
        <v>2797</v>
      </c>
      <c r="AC63" s="1037" t="s">
        <v>2797</v>
      </c>
      <c r="AD63" s="1471"/>
      <c r="AE63" s="1471"/>
      <c r="AF63" s="1471"/>
      <c r="AG63" s="1476">
        <v>21666</v>
      </c>
      <c r="AH63" s="1476"/>
      <c r="AI63" s="1476">
        <v>21666</v>
      </c>
      <c r="AJ63" s="1476"/>
      <c r="AK63" s="1476" t="str">
        <f t="shared" si="22"/>
        <v>no</v>
      </c>
      <c r="AL63" s="1476" t="str">
        <f t="shared" si="9"/>
        <v>no</v>
      </c>
      <c r="AM63" s="1476" t="str">
        <f t="shared" si="10"/>
        <v>yes</v>
      </c>
      <c r="AN63" s="1471"/>
      <c r="AO63" s="1476"/>
      <c r="AP63" s="1471"/>
      <c r="AQ63" s="1471"/>
      <c r="AR63" s="1471"/>
      <c r="AS63" s="1471"/>
      <c r="AT63" s="1471"/>
      <c r="AU63" s="1471"/>
      <c r="AV63" s="1471"/>
      <c r="AW63" s="1471"/>
      <c r="AX63" s="1471"/>
      <c r="AY63" s="1471"/>
      <c r="AZ63" s="1476"/>
      <c r="BA63" s="1206">
        <v>6511.03</v>
      </c>
      <c r="BB63" s="1471" t="s">
        <v>3391</v>
      </c>
      <c r="BC63" s="1206">
        <v>6511.03</v>
      </c>
      <c r="BD63" s="1471">
        <v>8071669</v>
      </c>
      <c r="BE63" s="1477">
        <v>45051</v>
      </c>
      <c r="BF63" s="1471"/>
      <c r="BG63" s="1471"/>
      <c r="BH63" s="1476">
        <f t="shared" si="48"/>
        <v>0</v>
      </c>
      <c r="BI63" s="1625">
        <f t="shared" si="49"/>
        <v>6511.03</v>
      </c>
      <c r="BJ63" s="1471">
        <v>21666</v>
      </c>
      <c r="BK63" s="1473">
        <v>6511.03</v>
      </c>
      <c r="BL63" s="1473">
        <v>6511.03</v>
      </c>
      <c r="BM63" s="1489">
        <f t="shared" si="39"/>
        <v>21666</v>
      </c>
      <c r="BN63" s="1489">
        <v>21666</v>
      </c>
      <c r="BO63" s="1773">
        <f t="shared" si="11"/>
        <v>0</v>
      </c>
      <c r="BP63" s="1773">
        <v>0</v>
      </c>
      <c r="BQ63" s="1774">
        <f t="shared" si="12"/>
        <v>21666</v>
      </c>
      <c r="CF63" s="1795">
        <f t="shared" si="50"/>
        <v>21666</v>
      </c>
      <c r="CG63" s="1796">
        <f t="shared" si="13"/>
        <v>21666</v>
      </c>
      <c r="CH63" s="1796">
        <f t="shared" si="43"/>
        <v>0</v>
      </c>
      <c r="CN63" s="1797">
        <f t="shared" si="4"/>
        <v>21666</v>
      </c>
      <c r="CO63" s="1797">
        <f t="shared" si="45"/>
        <v>0</v>
      </c>
      <c r="CR63" s="1494">
        <f t="shared" ref="CR63" si="52">CN63+CP63+CQ63</f>
        <v>21666</v>
      </c>
      <c r="CS63" s="1797">
        <f t="shared" si="7"/>
        <v>0</v>
      </c>
      <c r="CV63" s="1678">
        <f t="shared" si="14"/>
        <v>21666</v>
      </c>
      <c r="CW63" s="1795">
        <f t="shared" si="15"/>
        <v>0</v>
      </c>
      <c r="CX63" s="1496">
        <v>0</v>
      </c>
      <c r="CY63" s="1496">
        <f t="shared" si="47"/>
        <v>21666</v>
      </c>
      <c r="CZ63" s="1496">
        <f t="shared" si="8"/>
        <v>0</v>
      </c>
      <c r="DC63" s="1747">
        <f t="shared" si="25"/>
        <v>21666</v>
      </c>
      <c r="DD63" s="1496">
        <f t="shared" si="29"/>
        <v>0</v>
      </c>
      <c r="DF63" s="1747">
        <f t="shared" si="17"/>
        <v>21666</v>
      </c>
      <c r="DI63" s="1747">
        <f t="shared" si="26"/>
        <v>21666</v>
      </c>
    </row>
    <row r="64" spans="1:113" hidden="1" x14ac:dyDescent="0.25">
      <c r="A64" s="1471">
        <v>0</v>
      </c>
      <c r="B64" s="480" t="s">
        <v>2787</v>
      </c>
      <c r="C64" s="480">
        <v>201339</v>
      </c>
      <c r="D64" s="480" t="s">
        <v>3388</v>
      </c>
      <c r="E64" s="1784"/>
      <c r="F64" s="1165">
        <v>378970</v>
      </c>
      <c r="G64" s="480" t="s">
        <v>72</v>
      </c>
      <c r="H64" s="480" t="s">
        <v>122</v>
      </c>
      <c r="I64" s="963">
        <v>39797</v>
      </c>
      <c r="J64" s="1803"/>
      <c r="K64" s="1039">
        <f t="shared" ref="K64:K67" ca="1" si="53">(TODAY()-I64)/365.25</f>
        <v>16.769336071184121</v>
      </c>
      <c r="L64" s="963" t="s">
        <v>1886</v>
      </c>
      <c r="M64" s="963" t="s">
        <v>56</v>
      </c>
      <c r="N64" s="480"/>
      <c r="O64" s="1362"/>
      <c r="P64" s="1362" t="s">
        <v>3409</v>
      </c>
      <c r="Q64" s="1476">
        <v>0</v>
      </c>
      <c r="R64" s="1476">
        <v>0</v>
      </c>
      <c r="S64" s="963"/>
      <c r="T64" s="1716" t="e">
        <v>#N/A</v>
      </c>
      <c r="U64" s="963">
        <v>44930</v>
      </c>
      <c r="V64" s="1716" t="e">
        <v>#N/A</v>
      </c>
      <c r="W64" s="1716" t="e">
        <f t="shared" si="18"/>
        <v>#N/A</v>
      </c>
      <c r="X64" s="1717" t="e">
        <f t="shared" si="19"/>
        <v>#N/A</v>
      </c>
      <c r="Y64" s="1716">
        <v>1</v>
      </c>
      <c r="Z64" s="1716" t="e">
        <f t="shared" si="20"/>
        <v>#N/A</v>
      </c>
      <c r="AA64" s="1047" t="e">
        <f t="shared" si="21"/>
        <v>#N/A</v>
      </c>
      <c r="AB64" s="1037" t="s">
        <v>2797</v>
      </c>
      <c r="AC64" s="1037" t="s">
        <v>2797</v>
      </c>
      <c r="AD64" s="1471"/>
      <c r="AE64" s="1471"/>
      <c r="AF64" s="1471"/>
      <c r="AG64" s="1476">
        <v>0</v>
      </c>
      <c r="AH64" s="1476"/>
      <c r="AI64" s="1476"/>
      <c r="AJ64" s="1476"/>
      <c r="AK64" s="1476" t="str">
        <f t="shared" si="22"/>
        <v>yes</v>
      </c>
      <c r="AL64" s="1476" t="str">
        <f t="shared" si="9"/>
        <v>no</v>
      </c>
      <c r="AM64" s="1476" t="str">
        <f t="shared" si="10"/>
        <v>no</v>
      </c>
      <c r="AN64" s="1870" t="s">
        <v>3410</v>
      </c>
      <c r="AO64" s="1871"/>
      <c r="AP64" s="1870"/>
      <c r="AQ64" s="1870"/>
      <c r="AR64" s="1870"/>
      <c r="AS64" s="1870"/>
      <c r="AT64" s="1870"/>
      <c r="AU64" s="1870"/>
      <c r="AV64" s="1870"/>
      <c r="AW64" s="1870"/>
      <c r="AX64" s="1870"/>
      <c r="AY64" s="1870"/>
      <c r="AZ64" s="1476"/>
      <c r="BA64" s="1476">
        <v>164.07</v>
      </c>
      <c r="BB64" s="1471" t="s">
        <v>3391</v>
      </c>
      <c r="BC64" s="1476">
        <v>164.07</v>
      </c>
      <c r="BD64" s="1471">
        <v>8071669</v>
      </c>
      <c r="BE64" s="1477">
        <v>45051</v>
      </c>
      <c r="BF64" s="1471"/>
      <c r="BG64" s="1471"/>
      <c r="BH64" s="1476">
        <f t="shared" si="48"/>
        <v>0</v>
      </c>
      <c r="BI64" s="1625">
        <f t="shared" si="49"/>
        <v>164.07</v>
      </c>
      <c r="BJ64" s="1471">
        <v>0</v>
      </c>
      <c r="BK64" s="1473">
        <v>164.07</v>
      </c>
      <c r="BL64" s="1473">
        <v>164.07</v>
      </c>
      <c r="BM64" s="1489">
        <f t="shared" si="39"/>
        <v>0</v>
      </c>
      <c r="BN64" s="1489">
        <v>0</v>
      </c>
      <c r="BO64" s="1773">
        <f t="shared" si="11"/>
        <v>0</v>
      </c>
      <c r="BP64" s="1773">
        <v>0</v>
      </c>
      <c r="BQ64" s="1774">
        <f t="shared" si="12"/>
        <v>0</v>
      </c>
      <c r="BT64" s="1861" t="s">
        <v>3411</v>
      </c>
      <c r="CF64" s="1795">
        <f t="shared" si="50"/>
        <v>0</v>
      </c>
      <c r="CG64" s="1796">
        <f t="shared" si="13"/>
        <v>0</v>
      </c>
      <c r="CH64" s="1796">
        <f t="shared" si="43"/>
        <v>0</v>
      </c>
      <c r="CN64" s="1797">
        <f t="shared" si="4"/>
        <v>0</v>
      </c>
      <c r="CO64" s="1797">
        <f t="shared" si="45"/>
        <v>0</v>
      </c>
      <c r="CR64" s="1494">
        <f t="shared" si="37"/>
        <v>0</v>
      </c>
      <c r="CS64" s="1797">
        <f t="shared" si="7"/>
        <v>0</v>
      </c>
      <c r="CV64" s="1678">
        <f t="shared" si="14"/>
        <v>0</v>
      </c>
      <c r="CW64" s="1795">
        <f t="shared" si="15"/>
        <v>0</v>
      </c>
      <c r="CX64" s="1496">
        <v>0</v>
      </c>
      <c r="CY64" s="1496">
        <f t="shared" si="47"/>
        <v>0</v>
      </c>
      <c r="CZ64" s="1496">
        <f t="shared" si="8"/>
        <v>0</v>
      </c>
      <c r="DC64" s="1747">
        <f t="shared" si="25"/>
        <v>0</v>
      </c>
      <c r="DD64" s="1496">
        <f t="shared" si="29"/>
        <v>0</v>
      </c>
      <c r="DF64" s="1747">
        <f t="shared" si="17"/>
        <v>0</v>
      </c>
      <c r="DI64" s="1747">
        <f t="shared" si="26"/>
        <v>0</v>
      </c>
    </row>
    <row r="65" spans="1:114" s="1859" customFormat="1" x14ac:dyDescent="0.25">
      <c r="A65" s="1751">
        <v>1</v>
      </c>
      <c r="B65" s="1135" t="s">
        <v>2787</v>
      </c>
      <c r="C65" s="480">
        <v>201339</v>
      </c>
      <c r="D65" s="1135" t="s">
        <v>3388</v>
      </c>
      <c r="E65" s="1749" t="s">
        <v>1876</v>
      </c>
      <c r="F65" s="1852">
        <v>422546</v>
      </c>
      <c r="G65" s="1135" t="s">
        <v>3412</v>
      </c>
      <c r="H65" s="1135" t="s">
        <v>777</v>
      </c>
      <c r="I65" s="1146">
        <v>40958</v>
      </c>
      <c r="J65" s="1853">
        <v>7</v>
      </c>
      <c r="K65" s="1147">
        <f t="shared" ca="1" si="53"/>
        <v>13.59069130732375</v>
      </c>
      <c r="L65" s="1146" t="s">
        <v>1886</v>
      </c>
      <c r="M65" s="1146" t="s">
        <v>43</v>
      </c>
      <c r="N65" s="1135"/>
      <c r="O65" s="1813"/>
      <c r="P65" s="1813"/>
      <c r="Q65" s="1762">
        <v>49281</v>
      </c>
      <c r="R65" s="1762">
        <v>0</v>
      </c>
      <c r="S65" s="1146">
        <v>45173</v>
      </c>
      <c r="T65" s="1716">
        <v>66</v>
      </c>
      <c r="U65" s="1146">
        <v>45382</v>
      </c>
      <c r="V65" s="1716">
        <v>192</v>
      </c>
      <c r="W65" s="1716">
        <f t="shared" si="18"/>
        <v>127</v>
      </c>
      <c r="X65" s="1717">
        <f t="shared" si="19"/>
        <v>0.66145833333333337</v>
      </c>
      <c r="Y65" s="1716">
        <v>1</v>
      </c>
      <c r="Z65" s="1716">
        <f t="shared" si="20"/>
        <v>0.66145833333333337</v>
      </c>
      <c r="AA65" s="1865">
        <f t="shared" si="21"/>
        <v>32597.328125000004</v>
      </c>
      <c r="AB65" s="1383" t="s">
        <v>2787</v>
      </c>
      <c r="AC65" s="1748" t="s">
        <v>2797</v>
      </c>
      <c r="AD65" s="1751"/>
      <c r="AE65" s="1751"/>
      <c r="AF65" s="1751"/>
      <c r="AG65" s="1762">
        <f>AI65/3*2</f>
        <v>32854</v>
      </c>
      <c r="AH65" s="1762"/>
      <c r="AI65" s="1762">
        <v>49281</v>
      </c>
      <c r="AJ65" s="1762"/>
      <c r="AK65" s="1762" t="str">
        <f t="shared" si="22"/>
        <v>no</v>
      </c>
      <c r="AL65" s="1762" t="str">
        <f t="shared" si="9"/>
        <v>no</v>
      </c>
      <c r="AM65" s="1762" t="str">
        <f t="shared" si="10"/>
        <v>yes</v>
      </c>
      <c r="AN65" s="1751"/>
      <c r="AO65" s="1762"/>
      <c r="AP65" s="1751"/>
      <c r="AQ65" s="1751"/>
      <c r="AR65" s="1751"/>
      <c r="AS65" s="1751"/>
      <c r="AT65" s="1751"/>
      <c r="AU65" s="1751"/>
      <c r="AV65" s="1751"/>
      <c r="AW65" s="1751"/>
      <c r="AX65" s="1751"/>
      <c r="AY65" s="1751"/>
      <c r="AZ65" s="1762"/>
      <c r="BA65" s="1762"/>
      <c r="BB65" s="1751"/>
      <c r="BC65" s="1762"/>
      <c r="BD65" s="1751"/>
      <c r="BE65" s="1866"/>
      <c r="BF65" s="1751"/>
      <c r="BG65" s="1751"/>
      <c r="BH65" s="1762"/>
      <c r="BI65" s="1858"/>
      <c r="BJ65" s="1751">
        <v>32854</v>
      </c>
      <c r="BK65" s="1858"/>
      <c r="BL65" s="1858"/>
      <c r="BM65" s="1771">
        <f t="shared" si="39"/>
        <v>32854</v>
      </c>
      <c r="BN65" s="1771"/>
      <c r="BO65" s="1773">
        <f t="shared" si="11"/>
        <v>0</v>
      </c>
      <c r="BP65" s="1773">
        <v>0</v>
      </c>
      <c r="BQ65" s="1774">
        <f t="shared" si="12"/>
        <v>0</v>
      </c>
      <c r="BR65" s="1872">
        <v>49281</v>
      </c>
      <c r="BS65" s="1859" t="s">
        <v>2989</v>
      </c>
      <c r="BT65" s="1859" t="s">
        <v>3413</v>
      </c>
      <c r="BU65" s="1873">
        <v>45077</v>
      </c>
      <c r="CD65" s="1874">
        <f>AG65</f>
        <v>32854</v>
      </c>
      <c r="CF65" s="1492">
        <f t="shared" si="50"/>
        <v>32854</v>
      </c>
      <c r="CG65" s="1098">
        <f t="shared" si="13"/>
        <v>32854</v>
      </c>
      <c r="CH65" s="1098">
        <f t="shared" si="43"/>
        <v>32854</v>
      </c>
      <c r="CI65" s="1859" t="s">
        <v>2415</v>
      </c>
      <c r="CL65" s="1875"/>
      <c r="CM65" s="1875"/>
      <c r="CN65" s="1781">
        <f t="shared" si="4"/>
        <v>32854</v>
      </c>
      <c r="CO65" s="1781">
        <f t="shared" si="45"/>
        <v>0</v>
      </c>
      <c r="CR65" s="1782">
        <f t="shared" ref="CR65" si="54">CN65+CP65+CQ65</f>
        <v>32854</v>
      </c>
      <c r="CS65" s="1781">
        <f t="shared" si="7"/>
        <v>0</v>
      </c>
      <c r="CV65" s="1492">
        <f t="shared" si="14"/>
        <v>32854</v>
      </c>
      <c r="CW65" s="1492">
        <f t="shared" si="15"/>
        <v>0</v>
      </c>
      <c r="CX65" s="1497">
        <v>0</v>
      </c>
      <c r="CY65" s="1497">
        <f t="shared" si="47"/>
        <v>32854</v>
      </c>
      <c r="CZ65" s="1496">
        <f t="shared" si="8"/>
        <v>0</v>
      </c>
      <c r="DB65" s="1863">
        <v>0</v>
      </c>
      <c r="DC65" s="1747">
        <f t="shared" si="25"/>
        <v>32854</v>
      </c>
      <c r="DD65" s="1496">
        <f t="shared" si="29"/>
        <v>0</v>
      </c>
      <c r="DE65" s="1497"/>
      <c r="DF65" s="1747">
        <f t="shared" si="17"/>
        <v>32854</v>
      </c>
      <c r="DI65" s="1747">
        <f t="shared" si="26"/>
        <v>32854</v>
      </c>
    </row>
    <row r="66" spans="1:114" s="1859" customFormat="1" x14ac:dyDescent="0.25">
      <c r="A66" s="1751">
        <v>1</v>
      </c>
      <c r="B66" s="1135" t="s">
        <v>2787</v>
      </c>
      <c r="C66" s="1135">
        <v>201339</v>
      </c>
      <c r="D66" s="1135" t="s">
        <v>3388</v>
      </c>
      <c r="E66" s="1749" t="s">
        <v>1876</v>
      </c>
      <c r="F66" s="1852">
        <v>427162</v>
      </c>
      <c r="G66" s="1135" t="s">
        <v>2207</v>
      </c>
      <c r="H66" s="1135" t="s">
        <v>211</v>
      </c>
      <c r="I66" s="1146">
        <v>40933</v>
      </c>
      <c r="J66" s="1853">
        <v>7</v>
      </c>
      <c r="K66" s="1147">
        <f t="shared" ca="1" si="53"/>
        <v>13.659137577002053</v>
      </c>
      <c r="L66" s="1146" t="s">
        <v>1886</v>
      </c>
      <c r="M66" s="1146" t="s">
        <v>43</v>
      </c>
      <c r="N66" s="1135"/>
      <c r="O66" s="1813"/>
      <c r="P66" s="1813"/>
      <c r="Q66" s="1762">
        <v>11500</v>
      </c>
      <c r="R66" s="1762"/>
      <c r="S66" s="1146">
        <v>45170</v>
      </c>
      <c r="T66" s="1716">
        <v>65</v>
      </c>
      <c r="U66" s="1146">
        <v>45382</v>
      </c>
      <c r="V66" s="1716">
        <v>192</v>
      </c>
      <c r="W66" s="1716">
        <f t="shared" si="18"/>
        <v>128</v>
      </c>
      <c r="X66" s="1717">
        <f t="shared" si="19"/>
        <v>0.66666666666666663</v>
      </c>
      <c r="Y66" s="1716">
        <v>1</v>
      </c>
      <c r="Z66" s="1716">
        <f t="shared" si="20"/>
        <v>0.66666666666666663</v>
      </c>
      <c r="AA66" s="1865">
        <f t="shared" si="21"/>
        <v>7666.6666666666661</v>
      </c>
      <c r="AB66" s="1748" t="s">
        <v>2797</v>
      </c>
      <c r="AC66" s="1748" t="s">
        <v>2797</v>
      </c>
      <c r="AD66" s="1751"/>
      <c r="AE66" s="1751"/>
      <c r="AF66" s="1751"/>
      <c r="AG66" s="1762"/>
      <c r="AH66" s="1762"/>
      <c r="AI66" s="1762">
        <v>17000</v>
      </c>
      <c r="AJ66" s="1762"/>
      <c r="AK66" s="1762" t="str">
        <f t="shared" si="22"/>
        <v>no</v>
      </c>
      <c r="AL66" s="1762" t="str">
        <f t="shared" si="9"/>
        <v>yes</v>
      </c>
      <c r="AM66" s="1762" t="str">
        <f t="shared" si="10"/>
        <v>no</v>
      </c>
      <c r="AN66" s="1751"/>
      <c r="AO66" s="1762"/>
      <c r="AP66" s="1751"/>
      <c r="AQ66" s="1751"/>
      <c r="AR66" s="1751"/>
      <c r="AS66" s="1751"/>
      <c r="AT66" s="1751"/>
      <c r="AU66" s="1751"/>
      <c r="AV66" s="1751"/>
      <c r="AW66" s="1751"/>
      <c r="AX66" s="1751"/>
      <c r="AY66" s="1751"/>
      <c r="AZ66" s="1762"/>
      <c r="BA66" s="1762"/>
      <c r="BB66" s="1751"/>
      <c r="BC66" s="1762"/>
      <c r="BD66" s="1751"/>
      <c r="BE66" s="1866"/>
      <c r="BF66" s="1751"/>
      <c r="BG66" s="1751"/>
      <c r="BH66" s="1762"/>
      <c r="BI66" s="1858"/>
      <c r="BJ66" s="1751">
        <v>0</v>
      </c>
      <c r="BK66" s="1858"/>
      <c r="BL66" s="1858"/>
      <c r="BM66" s="1771"/>
      <c r="BN66" s="1771"/>
      <c r="BO66" s="1773"/>
      <c r="BP66" s="1773"/>
      <c r="BQ66" s="1774"/>
      <c r="BR66" s="1872"/>
      <c r="BU66" s="1873"/>
      <c r="CD66" s="1874"/>
      <c r="CF66" s="1492"/>
      <c r="CG66" s="1098"/>
      <c r="CH66" s="1098"/>
      <c r="CN66" s="1781"/>
      <c r="CO66" s="1781"/>
      <c r="CR66" s="1494">
        <f t="shared" si="37"/>
        <v>0</v>
      </c>
      <c r="CS66" s="1797">
        <f t="shared" si="7"/>
        <v>0</v>
      </c>
      <c r="CT66" s="1859">
        <v>11500</v>
      </c>
      <c r="CV66" s="1678">
        <f t="shared" si="14"/>
        <v>11500</v>
      </c>
      <c r="CW66" s="1795">
        <f t="shared" si="15"/>
        <v>11500</v>
      </c>
      <c r="CX66" s="1497">
        <v>0</v>
      </c>
      <c r="CY66" s="1497">
        <f t="shared" si="47"/>
        <v>11500</v>
      </c>
      <c r="CZ66" s="1496">
        <f t="shared" si="8"/>
        <v>0</v>
      </c>
      <c r="DB66" s="1863">
        <v>0</v>
      </c>
      <c r="DC66" s="1747">
        <f t="shared" si="25"/>
        <v>11500</v>
      </c>
      <c r="DD66" s="1496">
        <f t="shared" si="29"/>
        <v>0</v>
      </c>
      <c r="DE66" s="1497"/>
      <c r="DF66" s="1747">
        <f t="shared" si="17"/>
        <v>11500</v>
      </c>
      <c r="DI66" s="1747">
        <f t="shared" si="26"/>
        <v>11500</v>
      </c>
    </row>
    <row r="67" spans="1:114" s="1859" customFormat="1" x14ac:dyDescent="0.25">
      <c r="A67" s="1471">
        <v>1</v>
      </c>
      <c r="B67" s="480" t="s">
        <v>3414</v>
      </c>
      <c r="C67" s="480"/>
      <c r="D67" s="480" t="s">
        <v>3415</v>
      </c>
      <c r="E67" s="1784" t="s">
        <v>1606</v>
      </c>
      <c r="F67" s="1165">
        <v>454716</v>
      </c>
      <c r="G67" s="480" t="s">
        <v>3416</v>
      </c>
      <c r="H67" s="480" t="s">
        <v>151</v>
      </c>
      <c r="I67" s="963">
        <v>41023</v>
      </c>
      <c r="J67" s="1044"/>
      <c r="K67" s="1039">
        <f t="shared" ca="1" si="53"/>
        <v>13.412731006160165</v>
      </c>
      <c r="L67" s="963" t="s">
        <v>1885</v>
      </c>
      <c r="M67" s="963" t="s">
        <v>56</v>
      </c>
      <c r="N67" s="1135"/>
      <c r="O67" s="1813"/>
      <c r="P67" s="1813" t="s">
        <v>3417</v>
      </c>
      <c r="Q67" s="1762"/>
      <c r="R67" s="1762"/>
      <c r="S67" s="1146">
        <v>45022</v>
      </c>
      <c r="T67" s="1716">
        <v>1</v>
      </c>
      <c r="U67" s="1146">
        <v>45138</v>
      </c>
      <c r="V67" s="1716">
        <v>63</v>
      </c>
      <c r="W67" s="1716">
        <f t="shared" si="18"/>
        <v>63</v>
      </c>
      <c r="X67" s="1717">
        <f t="shared" si="19"/>
        <v>0.328125</v>
      </c>
      <c r="Y67" s="1716">
        <v>1</v>
      </c>
      <c r="Z67" s="1716">
        <f t="shared" si="20"/>
        <v>0.328125</v>
      </c>
      <c r="AA67" s="1865">
        <f t="shared" si="21"/>
        <v>0</v>
      </c>
      <c r="AB67" s="1037" t="s">
        <v>2797</v>
      </c>
      <c r="AC67" s="1037" t="s">
        <v>2797</v>
      </c>
      <c r="AD67" s="1751"/>
      <c r="AE67" s="1751"/>
      <c r="AF67" s="1751"/>
      <c r="AG67" s="1762"/>
      <c r="AH67" s="1762"/>
      <c r="AI67" s="1762"/>
      <c r="AJ67" s="1762"/>
      <c r="AK67" s="1762"/>
      <c r="AL67" s="1762"/>
      <c r="AM67" s="1762"/>
      <c r="AN67" s="1751"/>
      <c r="AO67" s="1762"/>
      <c r="AP67" s="1751"/>
      <c r="AQ67" s="1751"/>
      <c r="AR67" s="1751"/>
      <c r="AS67" s="1751"/>
      <c r="AT67" s="1751"/>
      <c r="AU67" s="1751"/>
      <c r="AV67" s="1751"/>
      <c r="AW67" s="1751"/>
      <c r="AX67" s="1751"/>
      <c r="AY67" s="1751"/>
      <c r="AZ67" s="1762"/>
      <c r="BA67" s="1762"/>
      <c r="BB67" s="1751"/>
      <c r="BC67" s="1762"/>
      <c r="BD67" s="1751"/>
      <c r="BE67" s="1866"/>
      <c r="BF67" s="1751"/>
      <c r="BG67" s="1751"/>
      <c r="BH67" s="1762"/>
      <c r="BI67" s="1858"/>
      <c r="BJ67" s="1751">
        <v>0</v>
      </c>
      <c r="BK67" s="1858"/>
      <c r="BL67" s="1858"/>
      <c r="BM67" s="1771"/>
      <c r="BN67" s="1771"/>
      <c r="BO67" s="1773"/>
      <c r="BP67" s="1773"/>
      <c r="BQ67" s="1774"/>
      <c r="BR67" s="1872"/>
      <c r="BU67" s="1873"/>
      <c r="CD67" s="1874"/>
      <c r="CF67" s="1492"/>
      <c r="CG67" s="1098"/>
      <c r="CH67" s="1098"/>
      <c r="CN67" s="1781"/>
      <c r="CO67" s="1781"/>
      <c r="CR67" s="1494"/>
      <c r="CS67" s="1797"/>
      <c r="CV67" s="1678"/>
      <c r="CW67" s="1795"/>
      <c r="CX67" s="1497">
        <v>4922</v>
      </c>
      <c r="CY67" s="1497">
        <f t="shared" si="47"/>
        <v>4922</v>
      </c>
      <c r="CZ67" s="1496">
        <f t="shared" si="8"/>
        <v>4922</v>
      </c>
      <c r="DB67" s="1863">
        <v>0</v>
      </c>
      <c r="DC67" s="1747">
        <f t="shared" si="25"/>
        <v>4922</v>
      </c>
      <c r="DD67" s="1496">
        <f t="shared" si="29"/>
        <v>0</v>
      </c>
      <c r="DE67" s="1497"/>
      <c r="DF67" s="1747">
        <f t="shared" si="17"/>
        <v>4922</v>
      </c>
      <c r="DI67" s="1747">
        <f t="shared" si="26"/>
        <v>4922</v>
      </c>
    </row>
    <row r="68" spans="1:114" x14ac:dyDescent="0.25">
      <c r="A68" s="1471">
        <v>1</v>
      </c>
      <c r="B68" s="480" t="s">
        <v>3418</v>
      </c>
      <c r="C68" s="480">
        <v>202989</v>
      </c>
      <c r="D68" s="480" t="s">
        <v>2163</v>
      </c>
      <c r="E68" s="1784" t="s">
        <v>1606</v>
      </c>
      <c r="F68" s="1165">
        <v>386541</v>
      </c>
      <c r="G68" s="480" t="s">
        <v>3419</v>
      </c>
      <c r="H68" s="480" t="s">
        <v>328</v>
      </c>
      <c r="I68" s="963">
        <v>39186</v>
      </c>
      <c r="J68" s="1803">
        <v>9</v>
      </c>
      <c r="K68" s="1039">
        <f t="shared" ca="1" si="27"/>
        <v>18.442162902121833</v>
      </c>
      <c r="L68" s="963" t="s">
        <v>1886</v>
      </c>
      <c r="M68" s="963" t="s">
        <v>185</v>
      </c>
      <c r="N68" s="480"/>
      <c r="O68" s="1362"/>
      <c r="P68" s="480" t="s">
        <v>3289</v>
      </c>
      <c r="Q68" s="1476">
        <f>9630.67</f>
        <v>9630.67</v>
      </c>
      <c r="R68" s="1476">
        <f>9630.67</f>
        <v>9630.67</v>
      </c>
      <c r="S68" s="963">
        <v>45017</v>
      </c>
      <c r="T68" s="1716">
        <v>1</v>
      </c>
      <c r="U68" s="963">
        <v>45382</v>
      </c>
      <c r="V68" s="1716">
        <v>192</v>
      </c>
      <c r="W68" s="1716">
        <f t="shared" ref="W68:W131" si="55">V68-T68+1</f>
        <v>192</v>
      </c>
      <c r="X68" s="1717">
        <f t="shared" ref="X68:X131" si="56">W68/192</f>
        <v>1</v>
      </c>
      <c r="Y68" s="1716">
        <v>1</v>
      </c>
      <c r="Z68" s="1716">
        <f t="shared" ref="Z68:Z131" si="57">Y68*X68</f>
        <v>1</v>
      </c>
      <c r="AA68" s="1047">
        <f t="shared" ref="AA68:AA131" si="58">Z68*Q68</f>
        <v>9630.67</v>
      </c>
      <c r="AB68" s="1037" t="s">
        <v>2797</v>
      </c>
      <c r="AC68" s="1037" t="s">
        <v>2797</v>
      </c>
      <c r="AD68" s="1471"/>
      <c r="AE68" s="1471"/>
      <c r="AF68" s="1471"/>
      <c r="AG68" s="1476">
        <f>9630.67+9630.67</f>
        <v>19261.34</v>
      </c>
      <c r="AH68" s="1476" t="s">
        <v>3420</v>
      </c>
      <c r="AI68" s="1476">
        <v>9630</v>
      </c>
      <c r="AJ68" s="1476"/>
      <c r="AK68" s="1476" t="str">
        <f t="shared" si="22"/>
        <v>yes</v>
      </c>
      <c r="AL68" s="1476" t="str">
        <f t="shared" si="9"/>
        <v>no</v>
      </c>
      <c r="AM68" s="1476" t="str">
        <f t="shared" si="10"/>
        <v>no</v>
      </c>
      <c r="AN68" s="1471"/>
      <c r="AO68" s="1476"/>
      <c r="AP68" s="1471"/>
      <c r="AQ68" s="1471"/>
      <c r="AR68" s="1471"/>
      <c r="AS68" s="1471"/>
      <c r="AT68" s="1471"/>
      <c r="AU68" s="1471"/>
      <c r="AV68" s="1471"/>
      <c r="AW68" s="1471"/>
      <c r="AX68" s="1471"/>
      <c r="AY68" s="1471"/>
      <c r="AZ68" s="1487">
        <v>9630.67</v>
      </c>
      <c r="BA68" s="1476"/>
      <c r="BB68" s="1471"/>
      <c r="BC68" s="1471"/>
      <c r="BD68" s="1471">
        <v>8071637</v>
      </c>
      <c r="BE68" s="1471"/>
      <c r="BF68" s="1471"/>
      <c r="BG68" s="1471"/>
      <c r="BH68" s="1476">
        <f t="shared" ref="BH68:BH90" si="59">AO68+AS68+AW68</f>
        <v>0</v>
      </c>
      <c r="BI68" s="1625">
        <f t="shared" ref="BI68:BI90" si="60">BC68</f>
        <v>0</v>
      </c>
      <c r="BJ68" s="1471">
        <v>19261.34</v>
      </c>
      <c r="BK68" s="1471"/>
      <c r="BL68" s="1473">
        <v>9630.6666666666661</v>
      </c>
      <c r="BM68" s="1489">
        <f t="shared" si="39"/>
        <v>9630.6733333333341</v>
      </c>
      <c r="BN68" s="1489">
        <v>9630.6733333333341</v>
      </c>
      <c r="BO68" s="1773">
        <f t="shared" si="11"/>
        <v>0</v>
      </c>
      <c r="BP68" s="1773">
        <v>0</v>
      </c>
      <c r="BQ68" s="1774">
        <f t="shared" si="12"/>
        <v>9630.6733333333341</v>
      </c>
      <c r="BW68" s="1794" t="s">
        <v>3421</v>
      </c>
      <c r="BX68" s="1839">
        <v>44991</v>
      </c>
      <c r="CF68" s="1795">
        <f t="shared" ref="CF68:CF90" si="61">BQ68+CB68+CD68</f>
        <v>9630.6733333333341</v>
      </c>
      <c r="CG68" s="1796">
        <f t="shared" si="13"/>
        <v>9630.6733333333341</v>
      </c>
      <c r="CH68" s="1796">
        <f t="shared" ref="CH68:CH90" si="62">CG68-BQ68</f>
        <v>0</v>
      </c>
      <c r="CN68" s="1797">
        <f t="shared" ref="CN68:CN73" si="63">CG68+CL68+CM68</f>
        <v>9630.6733333333341</v>
      </c>
      <c r="CO68" s="1797">
        <f t="shared" si="45"/>
        <v>0</v>
      </c>
      <c r="CR68" s="1494">
        <f t="shared" ref="CR68:CR99" si="64">CN68+CP68+CQ68</f>
        <v>9630.6733333333341</v>
      </c>
      <c r="CS68" s="1797">
        <f t="shared" si="7"/>
        <v>0</v>
      </c>
      <c r="CV68" s="1678">
        <f t="shared" si="14"/>
        <v>9630.6733333333341</v>
      </c>
      <c r="CW68" s="1795">
        <f t="shared" si="15"/>
        <v>0</v>
      </c>
      <c r="CX68" s="1496">
        <v>0</v>
      </c>
      <c r="CY68" s="1497">
        <f t="shared" si="47"/>
        <v>9630.6733333333341</v>
      </c>
      <c r="CZ68" s="1496">
        <f t="shared" si="8"/>
        <v>0</v>
      </c>
      <c r="DC68" s="1747">
        <f t="shared" si="25"/>
        <v>9630.6733333333341</v>
      </c>
      <c r="DD68" s="1496">
        <f t="shared" si="29"/>
        <v>0</v>
      </c>
      <c r="DF68" s="1747">
        <f t="shared" ref="DF68:DF132" si="65">DC68+DE68</f>
        <v>9630.6733333333341</v>
      </c>
      <c r="DI68" s="1747">
        <f t="shared" ref="DI68:DI131" si="66">DH68+DF68</f>
        <v>9630.6733333333341</v>
      </c>
    </row>
    <row r="69" spans="1:114" x14ac:dyDescent="0.25">
      <c r="A69" s="1471">
        <v>1</v>
      </c>
      <c r="B69" s="480" t="s">
        <v>2787</v>
      </c>
      <c r="C69" s="480">
        <v>200643</v>
      </c>
      <c r="D69" s="480" t="s">
        <v>3422</v>
      </c>
      <c r="E69" s="1784" t="s">
        <v>1606</v>
      </c>
      <c r="F69" s="1165">
        <v>418607</v>
      </c>
      <c r="G69" s="480" t="s">
        <v>3423</v>
      </c>
      <c r="H69" s="480" t="s">
        <v>3424</v>
      </c>
      <c r="I69" s="1038">
        <v>41985</v>
      </c>
      <c r="J69" s="1803">
        <v>3</v>
      </c>
      <c r="K69" s="1039">
        <f ca="1">(TODAY()-I69)/365.25</f>
        <v>10.778918548939084</v>
      </c>
      <c r="L69" s="963" t="s">
        <v>1885</v>
      </c>
      <c r="M69" s="963" t="s">
        <v>43</v>
      </c>
      <c r="N69" s="1511"/>
      <c r="O69" s="1362"/>
      <c r="P69" s="1362"/>
      <c r="Q69" s="1476">
        <v>19490</v>
      </c>
      <c r="R69" s="1476">
        <v>0</v>
      </c>
      <c r="S69" s="963">
        <v>45017</v>
      </c>
      <c r="T69" s="1716">
        <v>1</v>
      </c>
      <c r="U69" s="963">
        <v>45382</v>
      </c>
      <c r="V69" s="1716">
        <v>192</v>
      </c>
      <c r="W69" s="1716">
        <f t="shared" si="55"/>
        <v>192</v>
      </c>
      <c r="X69" s="1717">
        <f t="shared" si="56"/>
        <v>1</v>
      </c>
      <c r="Y69" s="1716">
        <v>1</v>
      </c>
      <c r="Z69" s="1716">
        <f t="shared" si="57"/>
        <v>1</v>
      </c>
      <c r="AA69" s="1047">
        <f t="shared" si="58"/>
        <v>19490</v>
      </c>
      <c r="AB69" s="1037" t="s">
        <v>2797</v>
      </c>
      <c r="AC69" s="1037" t="s">
        <v>2797</v>
      </c>
      <c r="AD69" s="1471"/>
      <c r="AE69" s="1471"/>
      <c r="AF69" s="1471"/>
      <c r="AG69" s="1476">
        <v>19490</v>
      </c>
      <c r="AH69" s="1476"/>
      <c r="AI69" s="1476">
        <v>19490</v>
      </c>
      <c r="AJ69" s="1476"/>
      <c r="AK69" s="1476" t="str">
        <f t="shared" ref="AK69:AK73" si="67">IF(AI69&lt;=15000,"yes","no")</f>
        <v>no</v>
      </c>
      <c r="AL69" s="1476" t="str">
        <f t="shared" si="9"/>
        <v>yes</v>
      </c>
      <c r="AM69" s="1476" t="str">
        <f t="shared" si="10"/>
        <v>no</v>
      </c>
      <c r="AN69" s="1471"/>
      <c r="AO69" s="1476"/>
      <c r="AP69" s="1471"/>
      <c r="AQ69" s="1471"/>
      <c r="AR69" s="1471"/>
      <c r="AS69" s="1471"/>
      <c r="AT69" s="1471"/>
      <c r="AU69" s="1471"/>
      <c r="AV69" s="1471"/>
      <c r="AW69" s="1471"/>
      <c r="AX69" s="1471"/>
      <c r="AY69" s="1471"/>
      <c r="AZ69" s="1476"/>
      <c r="BA69" s="1476"/>
      <c r="BB69" s="1471"/>
      <c r="BC69" s="1471"/>
      <c r="BD69" s="1471"/>
      <c r="BE69" s="1471"/>
      <c r="BF69" s="1471"/>
      <c r="BG69" s="1471"/>
      <c r="BH69" s="1476">
        <f t="shared" si="59"/>
        <v>0</v>
      </c>
      <c r="BI69" s="1625">
        <f t="shared" si="60"/>
        <v>0</v>
      </c>
      <c r="BJ69" s="1471">
        <v>19490</v>
      </c>
      <c r="BK69" s="1471"/>
      <c r="BL69" s="1473"/>
      <c r="BM69" s="1489">
        <f t="shared" si="39"/>
        <v>19490</v>
      </c>
      <c r="BN69" s="1489">
        <v>19490</v>
      </c>
      <c r="BO69" s="1773">
        <f t="shared" si="11"/>
        <v>0</v>
      </c>
      <c r="BP69" s="1773">
        <v>0</v>
      </c>
      <c r="BQ69" s="1774">
        <f t="shared" si="12"/>
        <v>19490</v>
      </c>
      <c r="CF69" s="1795">
        <f t="shared" si="61"/>
        <v>19490</v>
      </c>
      <c r="CG69" s="1796">
        <f t="shared" si="13"/>
        <v>19490</v>
      </c>
      <c r="CH69" s="1796">
        <f t="shared" si="62"/>
        <v>0</v>
      </c>
      <c r="CN69" s="1797">
        <f t="shared" si="63"/>
        <v>19490</v>
      </c>
      <c r="CO69" s="1797">
        <f t="shared" si="45"/>
        <v>0</v>
      </c>
      <c r="CR69" s="1494">
        <f t="shared" si="64"/>
        <v>19490</v>
      </c>
      <c r="CS69" s="1797">
        <f t="shared" si="7"/>
        <v>0</v>
      </c>
      <c r="CV69" s="1678">
        <f t="shared" si="14"/>
        <v>19490</v>
      </c>
      <c r="CW69" s="1795">
        <f t="shared" si="15"/>
        <v>0</v>
      </c>
      <c r="CX69" s="1496">
        <v>0</v>
      </c>
      <c r="CY69" s="1497">
        <f t="shared" si="47"/>
        <v>19490</v>
      </c>
      <c r="CZ69" s="1496">
        <f t="shared" ref="CZ69:CZ72" si="68">CY69-CV69</f>
        <v>0</v>
      </c>
      <c r="DC69" s="1747">
        <f t="shared" si="25"/>
        <v>19490</v>
      </c>
      <c r="DD69" s="1496">
        <f t="shared" si="29"/>
        <v>0</v>
      </c>
      <c r="DF69" s="1747">
        <f t="shared" si="65"/>
        <v>19490</v>
      </c>
      <c r="DI69" s="1747">
        <f t="shared" si="66"/>
        <v>19490</v>
      </c>
    </row>
    <row r="70" spans="1:114" x14ac:dyDescent="0.25">
      <c r="A70" s="1471">
        <v>1</v>
      </c>
      <c r="B70" s="480" t="s">
        <v>2787</v>
      </c>
      <c r="C70" s="480">
        <v>200643</v>
      </c>
      <c r="D70" s="480" t="s">
        <v>3422</v>
      </c>
      <c r="E70" s="1784" t="s">
        <v>1606</v>
      </c>
      <c r="F70" s="1165">
        <v>435277</v>
      </c>
      <c r="G70" s="480" t="s">
        <v>3425</v>
      </c>
      <c r="H70" s="480" t="s">
        <v>1331</v>
      </c>
      <c r="I70" s="1038">
        <v>41521</v>
      </c>
      <c r="J70" s="1803">
        <v>4</v>
      </c>
      <c r="K70" s="1039">
        <f t="shared" ca="1" si="27"/>
        <v>12.049281314168377</v>
      </c>
      <c r="L70" s="963" t="s">
        <v>1885</v>
      </c>
      <c r="M70" s="963" t="s">
        <v>43</v>
      </c>
      <c r="N70" s="1511"/>
      <c r="O70" s="1362"/>
      <c r="P70" s="1362"/>
      <c r="Q70" s="1476">
        <v>19490</v>
      </c>
      <c r="R70" s="1476">
        <v>0</v>
      </c>
      <c r="S70" s="963">
        <v>45017</v>
      </c>
      <c r="T70" s="1716">
        <v>1</v>
      </c>
      <c r="U70" s="963">
        <v>45382</v>
      </c>
      <c r="V70" s="1716">
        <v>192</v>
      </c>
      <c r="W70" s="1716">
        <f t="shared" si="55"/>
        <v>192</v>
      </c>
      <c r="X70" s="1717">
        <f t="shared" si="56"/>
        <v>1</v>
      </c>
      <c r="Y70" s="1716">
        <v>1</v>
      </c>
      <c r="Z70" s="1716">
        <f t="shared" si="57"/>
        <v>1</v>
      </c>
      <c r="AA70" s="1047">
        <f t="shared" si="58"/>
        <v>19490</v>
      </c>
      <c r="AB70" s="1037" t="s">
        <v>2797</v>
      </c>
      <c r="AC70" s="1037" t="s">
        <v>2797</v>
      </c>
      <c r="AD70" s="1471"/>
      <c r="AE70" s="1471"/>
      <c r="AF70" s="1471"/>
      <c r="AG70" s="1476">
        <v>19490</v>
      </c>
      <c r="AH70" s="1476"/>
      <c r="AI70" s="1476">
        <v>19490</v>
      </c>
      <c r="AJ70" s="1476"/>
      <c r="AK70" s="1476" t="str">
        <f t="shared" si="67"/>
        <v>no</v>
      </c>
      <c r="AL70" s="1476" t="str">
        <f t="shared" si="9"/>
        <v>yes</v>
      </c>
      <c r="AM70" s="1476" t="str">
        <f t="shared" si="10"/>
        <v>no</v>
      </c>
      <c r="AN70" s="1471"/>
      <c r="AO70" s="1476"/>
      <c r="AP70" s="1471"/>
      <c r="AQ70" s="1471"/>
      <c r="AR70" s="1471"/>
      <c r="AS70" s="1471"/>
      <c r="AT70" s="1471"/>
      <c r="AU70" s="1471"/>
      <c r="AV70" s="1471"/>
      <c r="AW70" s="1471"/>
      <c r="AX70" s="1471"/>
      <c r="AY70" s="1471"/>
      <c r="AZ70" s="1476"/>
      <c r="BA70" s="1476"/>
      <c r="BB70" s="1471"/>
      <c r="BC70" s="1471"/>
      <c r="BD70" s="1471">
        <v>8071670</v>
      </c>
      <c r="BE70" s="1471"/>
      <c r="BF70" s="1471"/>
      <c r="BG70" s="1471"/>
      <c r="BH70" s="1476">
        <f t="shared" si="59"/>
        <v>0</v>
      </c>
      <c r="BI70" s="1625">
        <f t="shared" si="60"/>
        <v>0</v>
      </c>
      <c r="BJ70" s="1471">
        <v>19490</v>
      </c>
      <c r="BK70" s="1471"/>
      <c r="BL70" s="1473"/>
      <c r="BM70" s="1489">
        <f t="shared" si="39"/>
        <v>19490</v>
      </c>
      <c r="BN70" s="1489">
        <v>19490</v>
      </c>
      <c r="BO70" s="1773">
        <f t="shared" si="11"/>
        <v>0</v>
      </c>
      <c r="BP70" s="1773">
        <v>0</v>
      </c>
      <c r="BQ70" s="1774">
        <f t="shared" si="12"/>
        <v>19490</v>
      </c>
      <c r="CF70" s="1795">
        <f t="shared" si="61"/>
        <v>19490</v>
      </c>
      <c r="CG70" s="1796">
        <f t="shared" si="13"/>
        <v>19490</v>
      </c>
      <c r="CH70" s="1796">
        <f t="shared" si="62"/>
        <v>0</v>
      </c>
      <c r="CN70" s="1797">
        <f t="shared" si="63"/>
        <v>19490</v>
      </c>
      <c r="CO70" s="1797">
        <f t="shared" si="45"/>
        <v>0</v>
      </c>
      <c r="CR70" s="1494">
        <f t="shared" si="64"/>
        <v>19490</v>
      </c>
      <c r="CS70" s="1797">
        <f t="shared" si="7"/>
        <v>0</v>
      </c>
      <c r="CV70" s="1678">
        <f t="shared" ref="CV70:CV135" si="69">CR70+CT70+CU70</f>
        <v>19490</v>
      </c>
      <c r="CW70" s="1795">
        <f t="shared" si="15"/>
        <v>0</v>
      </c>
      <c r="CX70" s="1496">
        <v>0</v>
      </c>
      <c r="CY70" s="1497">
        <f t="shared" si="47"/>
        <v>19490</v>
      </c>
      <c r="CZ70" s="1496">
        <f t="shared" si="68"/>
        <v>0</v>
      </c>
      <c r="DC70" s="1747">
        <f t="shared" ref="DC70:DC136" si="70">CY70+DB70</f>
        <v>19490</v>
      </c>
      <c r="DD70" s="1496">
        <f t="shared" si="29"/>
        <v>0</v>
      </c>
      <c r="DF70" s="1747">
        <f t="shared" si="65"/>
        <v>19490</v>
      </c>
      <c r="DI70" s="1747">
        <f t="shared" si="66"/>
        <v>19490</v>
      </c>
    </row>
    <row r="71" spans="1:114" x14ac:dyDescent="0.25">
      <c r="A71" s="1471">
        <v>1</v>
      </c>
      <c r="B71" s="480" t="s">
        <v>2787</v>
      </c>
      <c r="C71" s="480">
        <v>200643</v>
      </c>
      <c r="D71" s="480" t="s">
        <v>3422</v>
      </c>
      <c r="E71" s="1784" t="s">
        <v>1606</v>
      </c>
      <c r="F71" s="1165">
        <v>438135</v>
      </c>
      <c r="G71" s="480" t="s">
        <v>1205</v>
      </c>
      <c r="H71" s="480" t="s">
        <v>788</v>
      </c>
      <c r="I71" s="1038">
        <v>41522</v>
      </c>
      <c r="J71" s="1803">
        <v>2</v>
      </c>
      <c r="K71" s="1039">
        <f t="shared" ca="1" si="27"/>
        <v>12.046543463381246</v>
      </c>
      <c r="L71" s="963" t="s">
        <v>1885</v>
      </c>
      <c r="M71" s="963" t="s">
        <v>43</v>
      </c>
      <c r="N71" s="1511"/>
      <c r="O71" s="1362"/>
      <c r="P71" s="1362"/>
      <c r="Q71" s="1476">
        <v>19490</v>
      </c>
      <c r="R71" s="1476">
        <v>0</v>
      </c>
      <c r="S71" s="963">
        <v>45017</v>
      </c>
      <c r="T71" s="1716">
        <v>1</v>
      </c>
      <c r="U71" s="963">
        <v>45382</v>
      </c>
      <c r="V71" s="1716">
        <v>192</v>
      </c>
      <c r="W71" s="1716">
        <f t="shared" si="55"/>
        <v>192</v>
      </c>
      <c r="X71" s="1717">
        <f t="shared" si="56"/>
        <v>1</v>
      </c>
      <c r="Y71" s="1716">
        <v>1</v>
      </c>
      <c r="Z71" s="1716">
        <f t="shared" si="57"/>
        <v>1</v>
      </c>
      <c r="AA71" s="1047">
        <f t="shared" si="58"/>
        <v>19490</v>
      </c>
      <c r="AB71" s="1037" t="s">
        <v>2797</v>
      </c>
      <c r="AC71" s="1037" t="s">
        <v>2797</v>
      </c>
      <c r="AD71" s="1471"/>
      <c r="AE71" s="1471"/>
      <c r="AF71" s="1471"/>
      <c r="AG71" s="1476">
        <v>19490</v>
      </c>
      <c r="AH71" s="1476"/>
      <c r="AI71" s="1476">
        <v>19490</v>
      </c>
      <c r="AJ71" s="1476"/>
      <c r="AK71" s="1476" t="str">
        <f t="shared" si="67"/>
        <v>no</v>
      </c>
      <c r="AL71" s="1476" t="str">
        <f t="shared" si="9"/>
        <v>yes</v>
      </c>
      <c r="AM71" s="1476" t="str">
        <f t="shared" si="10"/>
        <v>no</v>
      </c>
      <c r="AN71" s="1471"/>
      <c r="AO71" s="1476"/>
      <c r="AP71" s="1471"/>
      <c r="AQ71" s="1471"/>
      <c r="AR71" s="1471"/>
      <c r="AS71" s="1471"/>
      <c r="AT71" s="1471"/>
      <c r="AU71" s="1471"/>
      <c r="AV71" s="1471"/>
      <c r="AW71" s="1471"/>
      <c r="AX71" s="1471"/>
      <c r="AY71" s="1471"/>
      <c r="AZ71" s="1476"/>
      <c r="BA71" s="1476"/>
      <c r="BB71" s="1471"/>
      <c r="BC71" s="1471"/>
      <c r="BD71" s="1471"/>
      <c r="BE71" s="1471"/>
      <c r="BF71" s="1471"/>
      <c r="BG71" s="1471"/>
      <c r="BH71" s="1476">
        <f t="shared" si="59"/>
        <v>0</v>
      </c>
      <c r="BI71" s="1625">
        <f t="shared" si="60"/>
        <v>0</v>
      </c>
      <c r="BJ71" s="1471">
        <v>19490</v>
      </c>
      <c r="BK71" s="1471"/>
      <c r="BL71" s="1473"/>
      <c r="BM71" s="1489">
        <f t="shared" si="39"/>
        <v>19490</v>
      </c>
      <c r="BN71" s="1489">
        <v>19490</v>
      </c>
      <c r="BO71" s="1773">
        <f t="shared" si="11"/>
        <v>0</v>
      </c>
      <c r="BP71" s="1773">
        <v>0</v>
      </c>
      <c r="BQ71" s="1774">
        <f t="shared" si="12"/>
        <v>19490</v>
      </c>
      <c r="CF71" s="1795">
        <f t="shared" si="61"/>
        <v>19490</v>
      </c>
      <c r="CG71" s="1796">
        <f t="shared" si="13"/>
        <v>19490</v>
      </c>
      <c r="CH71" s="1796">
        <f t="shared" si="62"/>
        <v>0</v>
      </c>
      <c r="CN71" s="1797">
        <f t="shared" si="63"/>
        <v>19490</v>
      </c>
      <c r="CO71" s="1797">
        <f t="shared" si="45"/>
        <v>0</v>
      </c>
      <c r="CR71" s="1494">
        <f t="shared" si="64"/>
        <v>19490</v>
      </c>
      <c r="CS71" s="1797">
        <f t="shared" ref="CS71:CS135" si="71">CR71-CN71</f>
        <v>0</v>
      </c>
      <c r="CV71" s="1678">
        <f t="shared" si="69"/>
        <v>19490</v>
      </c>
      <c r="CW71" s="1795">
        <f t="shared" ref="CW71:CW135" si="72">SUM(CV71)-CR71</f>
        <v>0</v>
      </c>
      <c r="CX71" s="1496">
        <v>0</v>
      </c>
      <c r="CY71" s="1497">
        <f t="shared" si="47"/>
        <v>19490</v>
      </c>
      <c r="CZ71" s="1496">
        <f t="shared" si="68"/>
        <v>0</v>
      </c>
      <c r="DC71" s="1747">
        <f t="shared" si="70"/>
        <v>19490</v>
      </c>
      <c r="DD71" s="1496">
        <f t="shared" si="29"/>
        <v>0</v>
      </c>
      <c r="DF71" s="1747">
        <f t="shared" si="65"/>
        <v>19490</v>
      </c>
      <c r="DI71" s="1747">
        <f t="shared" si="66"/>
        <v>19490</v>
      </c>
    </row>
    <row r="72" spans="1:114" x14ac:dyDescent="0.25">
      <c r="A72" s="1471">
        <v>1</v>
      </c>
      <c r="B72" s="480" t="s">
        <v>2787</v>
      </c>
      <c r="C72" s="480">
        <v>200643</v>
      </c>
      <c r="D72" s="480" t="s">
        <v>3422</v>
      </c>
      <c r="E72" s="1784" t="s">
        <v>1606</v>
      </c>
      <c r="F72" s="1596">
        <v>408178</v>
      </c>
      <c r="G72" s="1402" t="s">
        <v>3426</v>
      </c>
      <c r="H72" s="1402" t="s">
        <v>325</v>
      </c>
      <c r="I72" s="1038">
        <v>41282</v>
      </c>
      <c r="J72" s="1876">
        <v>5</v>
      </c>
      <c r="K72" s="1039">
        <f t="shared" ca="1" si="27"/>
        <v>12.703627652292949</v>
      </c>
      <c r="L72" s="963" t="s">
        <v>1885</v>
      </c>
      <c r="M72" s="963" t="s">
        <v>43</v>
      </c>
      <c r="N72" s="1511"/>
      <c r="O72" s="1362"/>
      <c r="P72" s="1362"/>
      <c r="Q72" s="1476">
        <v>19490</v>
      </c>
      <c r="R72" s="1476">
        <v>0</v>
      </c>
      <c r="S72" s="963">
        <v>45017</v>
      </c>
      <c r="T72" s="1716">
        <v>1</v>
      </c>
      <c r="U72" s="963">
        <v>45382</v>
      </c>
      <c r="V72" s="1716">
        <v>192</v>
      </c>
      <c r="W72" s="1716">
        <f t="shared" si="55"/>
        <v>192</v>
      </c>
      <c r="X72" s="1717">
        <f t="shared" si="56"/>
        <v>1</v>
      </c>
      <c r="Y72" s="1716">
        <v>1</v>
      </c>
      <c r="Z72" s="1716">
        <f t="shared" si="57"/>
        <v>1</v>
      </c>
      <c r="AA72" s="1047">
        <f t="shared" si="58"/>
        <v>19490</v>
      </c>
      <c r="AB72" s="1037" t="s">
        <v>2797</v>
      </c>
      <c r="AC72" s="1037" t="s">
        <v>2797</v>
      </c>
      <c r="AD72" s="1471"/>
      <c r="AE72" s="1471"/>
      <c r="AF72" s="1471"/>
      <c r="AG72" s="1476">
        <v>19490</v>
      </c>
      <c r="AH72" s="1476"/>
      <c r="AI72" s="1476">
        <v>19490</v>
      </c>
      <c r="AJ72" s="1476"/>
      <c r="AK72" s="1476" t="str">
        <f t="shared" si="67"/>
        <v>no</v>
      </c>
      <c r="AL72" s="1476" t="str">
        <f t="shared" si="9"/>
        <v>yes</v>
      </c>
      <c r="AM72" s="1476" t="str">
        <f t="shared" si="10"/>
        <v>no</v>
      </c>
      <c r="AN72" s="1471"/>
      <c r="AO72" s="1476"/>
      <c r="AP72" s="1471"/>
      <c r="AQ72" s="1471"/>
      <c r="AR72" s="1471"/>
      <c r="AS72" s="1471"/>
      <c r="AT72" s="1471"/>
      <c r="AU72" s="1471"/>
      <c r="AV72" s="1471"/>
      <c r="AW72" s="1471"/>
      <c r="AX72" s="1471"/>
      <c r="AY72" s="1471"/>
      <c r="AZ72" s="1476"/>
      <c r="BA72" s="1476"/>
      <c r="BB72" s="1471"/>
      <c r="BC72" s="1471"/>
      <c r="BD72" s="1471"/>
      <c r="BE72" s="1471"/>
      <c r="BF72" s="1471"/>
      <c r="BG72" s="1471"/>
      <c r="BH72" s="1476">
        <f t="shared" si="59"/>
        <v>0</v>
      </c>
      <c r="BI72" s="1625">
        <f t="shared" si="60"/>
        <v>0</v>
      </c>
      <c r="BJ72" s="1471">
        <v>19490</v>
      </c>
      <c r="BK72" s="1471"/>
      <c r="BL72" s="1473"/>
      <c r="BM72" s="1489">
        <f t="shared" si="39"/>
        <v>19490</v>
      </c>
      <c r="BN72" s="1489">
        <v>19490</v>
      </c>
      <c r="BO72" s="1773">
        <f t="shared" si="11"/>
        <v>0</v>
      </c>
      <c r="BP72" s="1773">
        <v>0</v>
      </c>
      <c r="BQ72" s="1774">
        <f t="shared" si="12"/>
        <v>19490</v>
      </c>
      <c r="CF72" s="1795">
        <f t="shared" si="61"/>
        <v>19490</v>
      </c>
      <c r="CG72" s="1796">
        <f t="shared" si="13"/>
        <v>19490</v>
      </c>
      <c r="CH72" s="1796">
        <f t="shared" si="62"/>
        <v>0</v>
      </c>
      <c r="CN72" s="1797">
        <f t="shared" si="63"/>
        <v>19490</v>
      </c>
      <c r="CO72" s="1797">
        <f t="shared" si="45"/>
        <v>0</v>
      </c>
      <c r="CR72" s="1494">
        <f t="shared" si="64"/>
        <v>19490</v>
      </c>
      <c r="CS72" s="1797">
        <f t="shared" si="71"/>
        <v>0</v>
      </c>
      <c r="CV72" s="1678">
        <f t="shared" si="69"/>
        <v>19490</v>
      </c>
      <c r="CW72" s="1795">
        <f t="shared" si="72"/>
        <v>0</v>
      </c>
      <c r="CX72" s="1496">
        <v>0</v>
      </c>
      <c r="CY72" s="1497">
        <f t="shared" si="47"/>
        <v>19490</v>
      </c>
      <c r="CZ72" s="1496">
        <f t="shared" si="68"/>
        <v>0</v>
      </c>
      <c r="DC72" s="1747">
        <f t="shared" si="70"/>
        <v>19490</v>
      </c>
      <c r="DD72" s="1496">
        <f t="shared" si="29"/>
        <v>0</v>
      </c>
      <c r="DF72" s="1747">
        <f t="shared" si="65"/>
        <v>19490</v>
      </c>
      <c r="DI72" s="1747">
        <f t="shared" si="66"/>
        <v>19490</v>
      </c>
    </row>
    <row r="73" spans="1:114" x14ac:dyDescent="0.25">
      <c r="A73" s="1471">
        <v>1</v>
      </c>
      <c r="B73" s="480" t="s">
        <v>2221</v>
      </c>
      <c r="C73" s="480">
        <v>203905</v>
      </c>
      <c r="D73" s="480" t="s">
        <v>3427</v>
      </c>
      <c r="E73" s="1784" t="s">
        <v>1606</v>
      </c>
      <c r="F73" s="1165">
        <v>431817</v>
      </c>
      <c r="G73" s="480" t="s">
        <v>3428</v>
      </c>
      <c r="H73" s="480" t="s">
        <v>707</v>
      </c>
      <c r="I73" s="963">
        <v>42625</v>
      </c>
      <c r="J73" s="1803">
        <v>1</v>
      </c>
      <c r="K73" s="1039">
        <f ca="1">(TODAY()-I73)/365.25</f>
        <v>9.0266940451745388</v>
      </c>
      <c r="L73" s="963" t="s">
        <v>1885</v>
      </c>
      <c r="M73" s="963" t="s">
        <v>56</v>
      </c>
      <c r="N73" s="480" t="s">
        <v>3429</v>
      </c>
      <c r="O73" s="1362"/>
      <c r="P73" s="1362"/>
      <c r="Q73" s="1476">
        <v>15143</v>
      </c>
      <c r="R73" s="1476">
        <v>0</v>
      </c>
      <c r="S73" s="963">
        <v>45017</v>
      </c>
      <c r="T73" s="1716">
        <v>1</v>
      </c>
      <c r="U73" s="963">
        <v>45382</v>
      </c>
      <c r="V73" s="1716">
        <v>192</v>
      </c>
      <c r="W73" s="1716">
        <f t="shared" si="55"/>
        <v>192</v>
      </c>
      <c r="X73" s="1717">
        <f t="shared" si="56"/>
        <v>1</v>
      </c>
      <c r="Y73" s="1716">
        <v>1</v>
      </c>
      <c r="Z73" s="1716">
        <f t="shared" si="57"/>
        <v>1</v>
      </c>
      <c r="AA73" s="1047">
        <f t="shared" si="58"/>
        <v>15143</v>
      </c>
      <c r="AB73" s="1037" t="s">
        <v>2797</v>
      </c>
      <c r="AC73" s="1037" t="s">
        <v>2797</v>
      </c>
      <c r="AD73" s="1471"/>
      <c r="AE73" s="1471"/>
      <c r="AF73" s="1471"/>
      <c r="AG73" s="1476">
        <v>15143</v>
      </c>
      <c r="AH73" s="1476"/>
      <c r="AI73" s="1476">
        <v>15143</v>
      </c>
      <c r="AJ73" s="1476"/>
      <c r="AK73" s="1476" t="str">
        <f t="shared" si="67"/>
        <v>no</v>
      </c>
      <c r="AL73" s="1476" t="str">
        <f t="shared" si="9"/>
        <v>yes</v>
      </c>
      <c r="AM73" s="1476" t="str">
        <f t="shared" si="10"/>
        <v>no</v>
      </c>
      <c r="AN73" s="1471"/>
      <c r="AO73" s="1476"/>
      <c r="AP73" s="1471"/>
      <c r="AQ73" s="1471"/>
      <c r="AR73" s="1471"/>
      <c r="AS73" s="1471"/>
      <c r="AT73" s="1471"/>
      <c r="AU73" s="1471"/>
      <c r="AV73" s="1471"/>
      <c r="AW73" s="1471"/>
      <c r="AX73" s="1471"/>
      <c r="AY73" s="1471"/>
      <c r="AZ73" s="1476"/>
      <c r="BA73" s="1476"/>
      <c r="BB73" s="1471"/>
      <c r="BC73" s="1471"/>
      <c r="BD73" s="1471"/>
      <c r="BE73" s="1471"/>
      <c r="BF73" s="1471"/>
      <c r="BG73" s="1471"/>
      <c r="BH73" s="1476">
        <f t="shared" si="59"/>
        <v>0</v>
      </c>
      <c r="BI73" s="1625">
        <f t="shared" si="60"/>
        <v>0</v>
      </c>
      <c r="BJ73" s="1471">
        <v>15143</v>
      </c>
      <c r="BK73" s="1471"/>
      <c r="BL73" s="1473"/>
      <c r="BM73" s="1489">
        <f t="shared" si="39"/>
        <v>15143</v>
      </c>
      <c r="BN73" s="1489">
        <v>15143</v>
      </c>
      <c r="BO73" s="1773">
        <f t="shared" si="11"/>
        <v>0</v>
      </c>
      <c r="BP73" s="1773">
        <v>0</v>
      </c>
      <c r="BQ73" s="1774">
        <f t="shared" si="12"/>
        <v>15143</v>
      </c>
      <c r="CF73" s="1795">
        <f t="shared" si="61"/>
        <v>15143</v>
      </c>
      <c r="CG73" s="1796">
        <f t="shared" si="13"/>
        <v>15143</v>
      </c>
      <c r="CH73" s="1796">
        <f t="shared" si="62"/>
        <v>0</v>
      </c>
      <c r="CL73" s="1494">
        <f>-CG73 + CG73/3*2</f>
        <v>-5047.6666666666661</v>
      </c>
      <c r="CM73" s="1807">
        <f>62213/3*2</f>
        <v>41475.333333333336</v>
      </c>
      <c r="CN73" s="1797">
        <f t="shared" si="63"/>
        <v>51570.666666666672</v>
      </c>
      <c r="CO73" s="1797">
        <f t="shared" si="45"/>
        <v>36427.666666666672</v>
      </c>
      <c r="CR73" s="1494">
        <f t="shared" si="64"/>
        <v>51570.666666666672</v>
      </c>
      <c r="CS73" s="1797">
        <f t="shared" si="71"/>
        <v>0</v>
      </c>
      <c r="CT73" s="1859">
        <v>8691.43</v>
      </c>
      <c r="CV73" s="1678">
        <f t="shared" si="69"/>
        <v>60262.096666666672</v>
      </c>
      <c r="CW73" s="1795">
        <f t="shared" si="72"/>
        <v>8691.43</v>
      </c>
      <c r="CX73" s="1496">
        <v>-29674.43</v>
      </c>
      <c r="CY73" s="1496">
        <f>CV73+CX73</f>
        <v>30587.666666666672</v>
      </c>
      <c r="CZ73" s="1496">
        <f>CY73-CV73</f>
        <v>-29674.43</v>
      </c>
      <c r="DB73" s="1798">
        <f>18252-15444</f>
        <v>2808</v>
      </c>
      <c r="DC73" s="1747">
        <f t="shared" si="70"/>
        <v>33395.666666666672</v>
      </c>
      <c r="DD73" s="1496">
        <f t="shared" si="29"/>
        <v>2808</v>
      </c>
      <c r="DF73" s="1747">
        <f t="shared" si="65"/>
        <v>33395.666666666672</v>
      </c>
      <c r="DG73" s="1490" t="s">
        <v>3430</v>
      </c>
      <c r="DI73" s="1747">
        <f t="shared" si="66"/>
        <v>33395.666666666672</v>
      </c>
    </row>
    <row r="74" spans="1:114" x14ac:dyDescent="0.25">
      <c r="A74" s="1471" t="s">
        <v>192</v>
      </c>
      <c r="B74" s="480" t="s">
        <v>2221</v>
      </c>
      <c r="C74" s="480">
        <v>203905</v>
      </c>
      <c r="D74" s="480" t="s">
        <v>3427</v>
      </c>
      <c r="E74" s="1784" t="s">
        <v>1606</v>
      </c>
      <c r="F74" s="1165">
        <v>431817</v>
      </c>
      <c r="G74" s="480" t="s">
        <v>3428</v>
      </c>
      <c r="H74" s="480" t="s">
        <v>707</v>
      </c>
      <c r="I74" s="963">
        <v>42625</v>
      </c>
      <c r="J74" s="1803">
        <v>1</v>
      </c>
      <c r="K74" s="1039">
        <v>7.2142368240930868</v>
      </c>
      <c r="L74" s="963" t="s">
        <v>1885</v>
      </c>
      <c r="M74" s="963" t="s">
        <v>56</v>
      </c>
      <c r="N74" s="480" t="s">
        <v>3429</v>
      </c>
      <c r="O74" s="1496">
        <v>17640</v>
      </c>
      <c r="P74" s="1362"/>
      <c r="Q74" s="1496">
        <v>17640</v>
      </c>
      <c r="R74" s="1476">
        <v>0</v>
      </c>
      <c r="S74" s="963">
        <v>45173</v>
      </c>
      <c r="T74" s="1716">
        <v>66</v>
      </c>
      <c r="U74" s="963">
        <v>45219</v>
      </c>
      <c r="V74" s="1716">
        <v>99</v>
      </c>
      <c r="W74" s="1716">
        <f t="shared" si="55"/>
        <v>34</v>
      </c>
      <c r="X74" s="1717">
        <f t="shared" si="56"/>
        <v>0.17708333333333334</v>
      </c>
      <c r="Y74" s="1716">
        <v>1</v>
      </c>
      <c r="Z74" s="1716">
        <f t="shared" si="57"/>
        <v>0.17708333333333334</v>
      </c>
      <c r="AA74" s="1047">
        <f t="shared" si="58"/>
        <v>3123.75</v>
      </c>
      <c r="AB74" s="1037" t="s">
        <v>2797</v>
      </c>
      <c r="AC74" s="1037" t="s">
        <v>2797</v>
      </c>
      <c r="AD74" s="1471"/>
      <c r="AE74" s="1471"/>
      <c r="AF74" s="1471"/>
      <c r="AG74" s="1476"/>
      <c r="AH74" s="1476"/>
      <c r="AI74" s="1476"/>
      <c r="AJ74" s="1476"/>
      <c r="AK74" s="1476"/>
      <c r="AL74" s="1476"/>
      <c r="AM74" s="1476"/>
      <c r="AN74" s="1471"/>
      <c r="AO74" s="1476"/>
      <c r="AP74" s="1471"/>
      <c r="AQ74" s="1471"/>
      <c r="AR74" s="1471"/>
      <c r="AS74" s="1471"/>
      <c r="AT74" s="1471"/>
      <c r="AU74" s="1471"/>
      <c r="AV74" s="1471"/>
      <c r="AW74" s="1471"/>
      <c r="AX74" s="1471"/>
      <c r="AY74" s="1471"/>
      <c r="AZ74" s="1476"/>
      <c r="BA74" s="1476"/>
      <c r="BB74" s="1471"/>
      <c r="BC74" s="1471"/>
      <c r="BD74" s="1471"/>
      <c r="BE74" s="1471"/>
      <c r="BF74" s="1471"/>
      <c r="BG74" s="1471"/>
      <c r="BH74" s="1476"/>
      <c r="BI74" s="1625"/>
      <c r="BJ74" s="1471">
        <v>0</v>
      </c>
      <c r="BK74" s="1471"/>
      <c r="BL74" s="1473"/>
      <c r="BM74" s="1489"/>
      <c r="BN74" s="1489"/>
      <c r="BO74" s="1773"/>
      <c r="BP74" s="1773"/>
      <c r="BQ74" s="1774"/>
      <c r="CF74" s="1795"/>
      <c r="CG74" s="1796"/>
      <c r="CH74" s="1796"/>
      <c r="CL74" s="1494"/>
      <c r="CM74" s="1807"/>
      <c r="CN74" s="1797"/>
      <c r="CO74" s="1797"/>
      <c r="CR74" s="1494"/>
      <c r="CS74" s="1797"/>
      <c r="CT74" s="1859"/>
      <c r="CV74" s="1678"/>
      <c r="CW74" s="1795"/>
      <c r="DC74" s="1747"/>
      <c r="DD74" s="1496"/>
      <c r="DE74" s="1496">
        <v>17640</v>
      </c>
      <c r="DF74" s="1747">
        <f t="shared" si="65"/>
        <v>17640</v>
      </c>
      <c r="DH74" s="1496">
        <v>-17640</v>
      </c>
      <c r="DI74" s="1747">
        <f t="shared" si="66"/>
        <v>0</v>
      </c>
      <c r="DJ74" s="1490" t="s">
        <v>3431</v>
      </c>
    </row>
    <row r="75" spans="1:114" x14ac:dyDescent="0.25">
      <c r="A75" s="1471" t="s">
        <v>192</v>
      </c>
      <c r="B75" s="480" t="s">
        <v>2221</v>
      </c>
      <c r="C75" s="480">
        <v>203905</v>
      </c>
      <c r="D75" s="480" t="s">
        <v>3427</v>
      </c>
      <c r="E75" s="1784" t="s">
        <v>1606</v>
      </c>
      <c r="F75" s="1165">
        <v>431817</v>
      </c>
      <c r="G75" s="480" t="s">
        <v>3428</v>
      </c>
      <c r="H75" s="480" t="s">
        <v>707</v>
      </c>
      <c r="I75" s="963">
        <v>42625</v>
      </c>
      <c r="J75" s="1803"/>
      <c r="K75" s="1039">
        <v>7.2</v>
      </c>
      <c r="L75" s="963" t="s">
        <v>1885</v>
      </c>
      <c r="M75" s="963" t="s">
        <v>56</v>
      </c>
      <c r="N75" s="480"/>
      <c r="O75" s="1496">
        <v>18252</v>
      </c>
      <c r="P75" s="1362"/>
      <c r="Q75" s="1496">
        <v>18252</v>
      </c>
      <c r="R75" s="1476">
        <v>0</v>
      </c>
      <c r="S75" s="963">
        <v>45229</v>
      </c>
      <c r="T75" s="1716">
        <v>101</v>
      </c>
      <c r="U75" s="963">
        <v>45275</v>
      </c>
      <c r="V75" s="1716">
        <v>134</v>
      </c>
      <c r="W75" s="1716">
        <f t="shared" si="55"/>
        <v>34</v>
      </c>
      <c r="X75" s="1717">
        <f t="shared" si="56"/>
        <v>0.17708333333333334</v>
      </c>
      <c r="Y75" s="1716">
        <v>1</v>
      </c>
      <c r="Z75" s="1716">
        <f t="shared" si="57"/>
        <v>0.17708333333333334</v>
      </c>
      <c r="AA75" s="1047">
        <f t="shared" si="58"/>
        <v>3232.125</v>
      </c>
      <c r="AB75" s="1037" t="s">
        <v>2797</v>
      </c>
      <c r="AC75" s="1037" t="s">
        <v>2797</v>
      </c>
      <c r="AD75" s="1471"/>
      <c r="AE75" s="1471"/>
      <c r="AF75" s="1471"/>
      <c r="AG75" s="1476"/>
      <c r="AH75" s="1476"/>
      <c r="AI75" s="1476"/>
      <c r="AJ75" s="1476"/>
      <c r="AK75" s="1476"/>
      <c r="AL75" s="1476"/>
      <c r="AM75" s="1476"/>
      <c r="AN75" s="1471"/>
      <c r="AO75" s="1476"/>
      <c r="AP75" s="1471"/>
      <c r="AQ75" s="1471"/>
      <c r="AR75" s="1471"/>
      <c r="AS75" s="1471"/>
      <c r="AT75" s="1471"/>
      <c r="AU75" s="1471"/>
      <c r="AV75" s="1471"/>
      <c r="AW75" s="1471"/>
      <c r="AX75" s="1471"/>
      <c r="AY75" s="1471"/>
      <c r="AZ75" s="1476"/>
      <c r="BA75" s="1476"/>
      <c r="BB75" s="1471"/>
      <c r="BC75" s="1471"/>
      <c r="BD75" s="1471"/>
      <c r="BE75" s="1471"/>
      <c r="BF75" s="1471"/>
      <c r="BG75" s="1471"/>
      <c r="BH75" s="1476"/>
      <c r="BI75" s="1625"/>
      <c r="BJ75" s="1471">
        <v>0</v>
      </c>
      <c r="BK75" s="1471"/>
      <c r="BL75" s="1473"/>
      <c r="BM75" s="1489"/>
      <c r="BN75" s="1489"/>
      <c r="BO75" s="1773"/>
      <c r="BP75" s="1773"/>
      <c r="BQ75" s="1774"/>
      <c r="CF75" s="1795"/>
      <c r="CG75" s="1796"/>
      <c r="CH75" s="1796"/>
      <c r="CL75" s="1494"/>
      <c r="CM75" s="1807"/>
      <c r="CN75" s="1797"/>
      <c r="CO75" s="1797"/>
      <c r="CR75" s="1494"/>
      <c r="CS75" s="1797"/>
      <c r="CT75" s="1859"/>
      <c r="CV75" s="1678"/>
      <c r="CW75" s="1795"/>
      <c r="DC75" s="1747"/>
      <c r="DD75" s="1496"/>
      <c r="DE75" s="1496">
        <v>18252</v>
      </c>
      <c r="DF75" s="1747">
        <f t="shared" si="65"/>
        <v>18252</v>
      </c>
      <c r="DI75" s="1747">
        <f t="shared" si="66"/>
        <v>18252</v>
      </c>
    </row>
    <row r="76" spans="1:114" x14ac:dyDescent="0.25">
      <c r="A76" s="1471">
        <v>1</v>
      </c>
      <c r="B76" s="480" t="s">
        <v>2221</v>
      </c>
      <c r="C76" s="480">
        <v>203905</v>
      </c>
      <c r="D76" s="480" t="s">
        <v>3427</v>
      </c>
      <c r="E76" s="1784" t="s">
        <v>1606</v>
      </c>
      <c r="F76" s="1165">
        <v>444246</v>
      </c>
      <c r="G76" s="480" t="s">
        <v>1192</v>
      </c>
      <c r="H76" s="480" t="s">
        <v>755</v>
      </c>
      <c r="I76" s="1038">
        <v>39600</v>
      </c>
      <c r="J76" s="1803">
        <v>0</v>
      </c>
      <c r="K76" s="1039">
        <f t="shared" ca="1" si="27"/>
        <v>17.308692676249144</v>
      </c>
      <c r="L76" s="963" t="s">
        <v>1886</v>
      </c>
      <c r="M76" s="963" t="s">
        <v>56</v>
      </c>
      <c r="N76" s="480" t="s">
        <v>3429</v>
      </c>
      <c r="O76" s="1362"/>
      <c r="P76" s="1362"/>
      <c r="Q76" s="1476">
        <v>15143</v>
      </c>
      <c r="R76" s="1476">
        <v>0</v>
      </c>
      <c r="S76" s="963">
        <v>45017</v>
      </c>
      <c r="T76" s="1716">
        <v>1</v>
      </c>
      <c r="U76" s="963">
        <v>45382</v>
      </c>
      <c r="V76" s="1716">
        <v>192</v>
      </c>
      <c r="W76" s="1716">
        <f t="shared" si="55"/>
        <v>192</v>
      </c>
      <c r="X76" s="1717">
        <f t="shared" si="56"/>
        <v>1</v>
      </c>
      <c r="Y76" s="1716">
        <v>1</v>
      </c>
      <c r="Z76" s="1716">
        <f t="shared" si="57"/>
        <v>1</v>
      </c>
      <c r="AA76" s="1047">
        <f t="shared" si="58"/>
        <v>15143</v>
      </c>
      <c r="AB76" s="1037" t="s">
        <v>2797</v>
      </c>
      <c r="AC76" s="1037" t="s">
        <v>2797</v>
      </c>
      <c r="AD76" s="1471"/>
      <c r="AE76" s="1471"/>
      <c r="AF76" s="1471"/>
      <c r="AG76" s="1476">
        <v>15143</v>
      </c>
      <c r="AH76" s="1476"/>
      <c r="AI76" s="1476">
        <v>15143</v>
      </c>
      <c r="AJ76" s="1476"/>
      <c r="AK76" s="1476" t="str">
        <f t="shared" si="22"/>
        <v>no</v>
      </c>
      <c r="AL76" s="1476" t="str">
        <f t="shared" si="9"/>
        <v>yes</v>
      </c>
      <c r="AM76" s="1476" t="str">
        <f t="shared" si="10"/>
        <v>no</v>
      </c>
      <c r="AN76" s="1471"/>
      <c r="AO76" s="1476"/>
      <c r="AP76" s="1471"/>
      <c r="AQ76" s="1471"/>
      <c r="AR76" s="1471"/>
      <c r="AS76" s="1471"/>
      <c r="AT76" s="1471"/>
      <c r="AU76" s="1471"/>
      <c r="AV76" s="1471"/>
      <c r="AW76" s="1471"/>
      <c r="AX76" s="1471"/>
      <c r="AY76" s="1471"/>
      <c r="AZ76" s="1476"/>
      <c r="BA76" s="1476"/>
      <c r="BB76" s="1471"/>
      <c r="BC76" s="1471"/>
      <c r="BD76" s="1471">
        <v>8071652</v>
      </c>
      <c r="BE76" s="1471"/>
      <c r="BF76" s="1471"/>
      <c r="BG76" s="1471"/>
      <c r="BH76" s="1476">
        <f t="shared" si="59"/>
        <v>0</v>
      </c>
      <c r="BI76" s="1625">
        <f t="shared" si="60"/>
        <v>0</v>
      </c>
      <c r="BJ76" s="1471">
        <v>15143</v>
      </c>
      <c r="BK76" s="1471"/>
      <c r="BL76" s="1473"/>
      <c r="BM76" s="1489">
        <f t="shared" si="39"/>
        <v>15143</v>
      </c>
      <c r="BN76" s="1489">
        <v>15143</v>
      </c>
      <c r="BO76" s="1773">
        <f t="shared" si="11"/>
        <v>0</v>
      </c>
      <c r="BP76" s="1773">
        <v>0</v>
      </c>
      <c r="BQ76" s="1774">
        <f t="shared" si="12"/>
        <v>15143</v>
      </c>
      <c r="BZ76" s="1493"/>
      <c r="CF76" s="1795">
        <f t="shared" si="61"/>
        <v>15143</v>
      </c>
      <c r="CG76" s="1796">
        <f t="shared" si="13"/>
        <v>15143</v>
      </c>
      <c r="CH76" s="1796">
        <f t="shared" si="62"/>
        <v>0</v>
      </c>
      <c r="CN76" s="1797">
        <f t="shared" ref="CN76:CN131" si="73">CG76+CL76+CM76</f>
        <v>15143</v>
      </c>
      <c r="CO76" s="1797">
        <f t="shared" si="45"/>
        <v>0</v>
      </c>
      <c r="CR76" s="1494">
        <f t="shared" si="64"/>
        <v>15143</v>
      </c>
      <c r="CS76" s="1797">
        <f t="shared" si="71"/>
        <v>0</v>
      </c>
      <c r="CV76" s="1678">
        <f t="shared" si="69"/>
        <v>15143</v>
      </c>
      <c r="CW76" s="1795">
        <f t="shared" si="72"/>
        <v>0</v>
      </c>
      <c r="CX76" s="1496">
        <v>0</v>
      </c>
      <c r="CY76" s="1496">
        <f>CV76+CX76</f>
        <v>15143</v>
      </c>
      <c r="CZ76" s="1496">
        <f t="shared" ref="CZ76:CZ136" si="74">CY76-CV76</f>
        <v>0</v>
      </c>
      <c r="DC76" s="1747">
        <f t="shared" si="70"/>
        <v>15143</v>
      </c>
      <c r="DD76" s="1496">
        <f t="shared" ref="DD76:DD136" si="75">DC76-CY76</f>
        <v>0</v>
      </c>
      <c r="DF76" s="1747">
        <f t="shared" si="65"/>
        <v>15143</v>
      </c>
      <c r="DI76" s="1747">
        <f t="shared" si="66"/>
        <v>15143</v>
      </c>
    </row>
    <row r="77" spans="1:114" x14ac:dyDescent="0.25">
      <c r="A77" s="1471">
        <v>1</v>
      </c>
      <c r="B77" s="480" t="s">
        <v>2221</v>
      </c>
      <c r="C77" s="480">
        <v>203905</v>
      </c>
      <c r="D77" s="480" t="s">
        <v>3427</v>
      </c>
      <c r="E77" s="1784" t="s">
        <v>1606</v>
      </c>
      <c r="F77" s="1165">
        <v>456176</v>
      </c>
      <c r="G77" s="480" t="s">
        <v>1192</v>
      </c>
      <c r="H77" s="480" t="s">
        <v>132</v>
      </c>
      <c r="I77" s="1038">
        <v>39184</v>
      </c>
      <c r="J77" s="1803">
        <v>12</v>
      </c>
      <c r="K77" s="1039"/>
      <c r="L77" s="963" t="s">
        <v>1886</v>
      </c>
      <c r="M77" s="963"/>
      <c r="N77" s="480" t="s">
        <v>3429</v>
      </c>
      <c r="O77" s="1362">
        <v>15143</v>
      </c>
      <c r="P77" s="1362"/>
      <c r="Q77" s="1476">
        <v>15143</v>
      </c>
      <c r="R77" s="1476">
        <v>0</v>
      </c>
      <c r="S77" s="963">
        <v>45174</v>
      </c>
      <c r="T77" s="1716">
        <v>67</v>
      </c>
      <c r="U77" s="963">
        <v>45382</v>
      </c>
      <c r="V77" s="1716">
        <v>192</v>
      </c>
      <c r="W77" s="1716">
        <f t="shared" si="55"/>
        <v>126</v>
      </c>
      <c r="X77" s="1717">
        <f t="shared" si="56"/>
        <v>0.65625</v>
      </c>
      <c r="Y77" s="1716">
        <v>1</v>
      </c>
      <c r="Z77" s="1716">
        <f t="shared" si="57"/>
        <v>0.65625</v>
      </c>
      <c r="AA77" s="1047">
        <f t="shared" si="58"/>
        <v>9937.59375</v>
      </c>
      <c r="AB77" s="1037" t="s">
        <v>2797</v>
      </c>
      <c r="AC77" s="1037" t="s">
        <v>2797</v>
      </c>
      <c r="AD77" s="1471"/>
      <c r="AE77" s="1471"/>
      <c r="AF77" s="1471"/>
      <c r="AG77" s="1476"/>
      <c r="AH77" s="1476"/>
      <c r="AI77" s="1476"/>
      <c r="AJ77" s="1476"/>
      <c r="AK77" s="1476"/>
      <c r="AL77" s="1476"/>
      <c r="AM77" s="1476"/>
      <c r="AN77" s="1471"/>
      <c r="AO77" s="1476"/>
      <c r="AP77" s="1471"/>
      <c r="AQ77" s="1471"/>
      <c r="AR77" s="1471"/>
      <c r="AS77" s="1471"/>
      <c r="AT77" s="1471"/>
      <c r="AU77" s="1471"/>
      <c r="AV77" s="1471"/>
      <c r="AW77" s="1471"/>
      <c r="AX77" s="1471"/>
      <c r="AY77" s="1471"/>
      <c r="AZ77" s="1476"/>
      <c r="BA77" s="1476"/>
      <c r="BB77" s="1471"/>
      <c r="BC77" s="1471"/>
      <c r="BD77" s="1471"/>
      <c r="BE77" s="1471"/>
      <c r="BF77" s="1471"/>
      <c r="BG77" s="1471"/>
      <c r="BH77" s="1476"/>
      <c r="BI77" s="1625"/>
      <c r="BJ77" s="1471">
        <v>0</v>
      </c>
      <c r="BK77" s="1471"/>
      <c r="BL77" s="1473"/>
      <c r="BM77" s="1489"/>
      <c r="BN77" s="1489"/>
      <c r="BO77" s="1773"/>
      <c r="BP77" s="1773"/>
      <c r="BQ77" s="1774"/>
      <c r="BZ77" s="1493"/>
      <c r="CF77" s="1795"/>
      <c r="CG77" s="1796"/>
      <c r="CH77" s="1796"/>
      <c r="CN77" s="1797"/>
      <c r="CO77" s="1797"/>
      <c r="CR77" s="1494"/>
      <c r="CS77" s="1797"/>
      <c r="CV77" s="1678"/>
      <c r="CW77" s="1795"/>
      <c r="DB77" s="1798">
        <f>Q77</f>
        <v>15143</v>
      </c>
      <c r="DC77" s="1747">
        <f t="shared" si="70"/>
        <v>15143</v>
      </c>
      <c r="DD77" s="1496">
        <f t="shared" si="75"/>
        <v>15143</v>
      </c>
      <c r="DF77" s="1747">
        <f t="shared" si="65"/>
        <v>15143</v>
      </c>
      <c r="DI77" s="1747">
        <f t="shared" si="66"/>
        <v>15143</v>
      </c>
    </row>
    <row r="78" spans="1:114" x14ac:dyDescent="0.25">
      <c r="A78" s="1471">
        <v>1</v>
      </c>
      <c r="B78" s="480" t="s">
        <v>2221</v>
      </c>
      <c r="C78" s="480">
        <v>203905</v>
      </c>
      <c r="D78" s="480" t="s">
        <v>3427</v>
      </c>
      <c r="E78" s="1784" t="s">
        <v>1606</v>
      </c>
      <c r="F78" s="1165">
        <v>368588</v>
      </c>
      <c r="G78" s="480" t="s">
        <v>3432</v>
      </c>
      <c r="H78" s="480" t="s">
        <v>2590</v>
      </c>
      <c r="I78" s="1038">
        <v>39272</v>
      </c>
      <c r="J78" s="1803">
        <v>8</v>
      </c>
      <c r="K78" s="1039">
        <f t="shared" ca="1" si="27"/>
        <v>18.206707734428473</v>
      </c>
      <c r="L78" s="963" t="s">
        <v>1886</v>
      </c>
      <c r="M78" s="963" t="s">
        <v>66</v>
      </c>
      <c r="N78" s="480" t="s">
        <v>1893</v>
      </c>
      <c r="O78" s="1362"/>
      <c r="P78" s="1362"/>
      <c r="Q78" s="1476">
        <v>15143</v>
      </c>
      <c r="R78" s="1476">
        <v>0</v>
      </c>
      <c r="S78" s="963">
        <v>45017</v>
      </c>
      <c r="T78" s="1716">
        <v>1</v>
      </c>
      <c r="U78" s="963">
        <v>45382</v>
      </c>
      <c r="V78" s="1716">
        <v>192</v>
      </c>
      <c r="W78" s="1716">
        <f t="shared" si="55"/>
        <v>192</v>
      </c>
      <c r="X78" s="1717">
        <f t="shared" si="56"/>
        <v>1</v>
      </c>
      <c r="Y78" s="1716">
        <v>1</v>
      </c>
      <c r="Z78" s="1716">
        <f t="shared" si="57"/>
        <v>1</v>
      </c>
      <c r="AA78" s="1047">
        <f t="shared" si="58"/>
        <v>15143</v>
      </c>
      <c r="AB78" s="1037" t="s">
        <v>2797</v>
      </c>
      <c r="AC78" s="1037" t="s">
        <v>2797</v>
      </c>
      <c r="AD78" s="1471"/>
      <c r="AE78" s="1471"/>
      <c r="AF78" s="1471"/>
      <c r="AG78" s="1476">
        <v>15143</v>
      </c>
      <c r="AH78" s="1476"/>
      <c r="AI78" s="1476">
        <v>15143</v>
      </c>
      <c r="AJ78" s="1476"/>
      <c r="AK78" s="1476" t="str">
        <f t="shared" si="22"/>
        <v>no</v>
      </c>
      <c r="AL78" s="1476" t="str">
        <f t="shared" si="9"/>
        <v>yes</v>
      </c>
      <c r="AM78" s="1476" t="str">
        <f t="shared" si="10"/>
        <v>no</v>
      </c>
      <c r="AN78" s="1471"/>
      <c r="AO78" s="1476"/>
      <c r="AP78" s="1471"/>
      <c r="AQ78" s="1471"/>
      <c r="AR78" s="1471"/>
      <c r="AS78" s="1471"/>
      <c r="AT78" s="1471"/>
      <c r="AU78" s="1471"/>
      <c r="AV78" s="1471"/>
      <c r="AW78" s="1471"/>
      <c r="AX78" s="1471"/>
      <c r="AY78" s="1471"/>
      <c r="AZ78" s="1476"/>
      <c r="BA78" s="1476"/>
      <c r="BB78" s="1471"/>
      <c r="BC78" s="1471"/>
      <c r="BD78" s="1471"/>
      <c r="BE78" s="1471"/>
      <c r="BF78" s="1471"/>
      <c r="BG78" s="1471"/>
      <c r="BH78" s="1476">
        <f t="shared" si="59"/>
        <v>0</v>
      </c>
      <c r="BI78" s="1625">
        <f t="shared" si="60"/>
        <v>0</v>
      </c>
      <c r="BJ78" s="1471">
        <v>15143</v>
      </c>
      <c r="BK78" s="1471"/>
      <c r="BL78" s="1473"/>
      <c r="BM78" s="1489">
        <f t="shared" si="39"/>
        <v>15143</v>
      </c>
      <c r="BN78" s="1489">
        <v>15143</v>
      </c>
      <c r="BO78" s="1773">
        <f t="shared" si="11"/>
        <v>-10095.333333333334</v>
      </c>
      <c r="BP78" s="1773">
        <v>-10095.333333333334</v>
      </c>
      <c r="BQ78" s="1774">
        <f t="shared" si="12"/>
        <v>5047.6666666666661</v>
      </c>
      <c r="BW78" s="1794" t="s">
        <v>2787</v>
      </c>
      <c r="BX78" s="1839">
        <v>44972</v>
      </c>
      <c r="BZ78" s="1877">
        <f>BN78/3*2*-1</f>
        <v>-10095.333333333334</v>
      </c>
      <c r="CF78" s="1795">
        <f t="shared" si="61"/>
        <v>5047.6666666666661</v>
      </c>
      <c r="CG78" s="1796">
        <f t="shared" si="13"/>
        <v>5047.6666666666661</v>
      </c>
      <c r="CH78" s="1796">
        <f t="shared" si="62"/>
        <v>0</v>
      </c>
      <c r="CN78" s="1797">
        <f t="shared" si="73"/>
        <v>5047.6666666666661</v>
      </c>
      <c r="CO78" s="1797">
        <f t="shared" si="45"/>
        <v>0</v>
      </c>
      <c r="CR78" s="1494">
        <f t="shared" si="64"/>
        <v>5047.6666666666661</v>
      </c>
      <c r="CS78" s="1797">
        <f t="shared" si="71"/>
        <v>0</v>
      </c>
      <c r="CV78" s="1678">
        <f t="shared" si="69"/>
        <v>5047.6666666666661</v>
      </c>
      <c r="CW78" s="1795">
        <f t="shared" si="72"/>
        <v>0</v>
      </c>
      <c r="CX78" s="1496">
        <v>0</v>
      </c>
      <c r="CY78" s="1496">
        <f t="shared" ref="CY78:CY94" si="76">CV78+CX78</f>
        <v>5047.6666666666661</v>
      </c>
      <c r="CZ78" s="1496">
        <f t="shared" si="74"/>
        <v>0</v>
      </c>
      <c r="DC78" s="1747">
        <f t="shared" si="70"/>
        <v>5047.6666666666661</v>
      </c>
      <c r="DD78" s="1496">
        <f t="shared" si="75"/>
        <v>0</v>
      </c>
      <c r="DF78" s="1747">
        <f t="shared" si="65"/>
        <v>5047.6666666666661</v>
      </c>
      <c r="DI78" s="1747">
        <f t="shared" si="66"/>
        <v>5047.6666666666661</v>
      </c>
    </row>
    <row r="79" spans="1:114" x14ac:dyDescent="0.25">
      <c r="A79" s="1471">
        <v>1</v>
      </c>
      <c r="B79" s="480" t="s">
        <v>2221</v>
      </c>
      <c r="C79" s="480">
        <v>203905</v>
      </c>
      <c r="D79" s="480" t="s">
        <v>3427</v>
      </c>
      <c r="E79" s="1784" t="s">
        <v>1606</v>
      </c>
      <c r="F79" s="1209">
        <v>431828</v>
      </c>
      <c r="G79" s="1208" t="s">
        <v>3433</v>
      </c>
      <c r="H79" s="1208" t="s">
        <v>3434</v>
      </c>
      <c r="I79" s="1597">
        <v>42689</v>
      </c>
      <c r="J79" s="1803">
        <v>1</v>
      </c>
      <c r="K79" s="1039">
        <f t="shared" ca="1" si="27"/>
        <v>8.8514715947980829</v>
      </c>
      <c r="L79" s="963" t="s">
        <v>1885</v>
      </c>
      <c r="M79" s="963" t="s">
        <v>3435</v>
      </c>
      <c r="N79" s="480" t="s">
        <v>3429</v>
      </c>
      <c r="O79" s="1362"/>
      <c r="P79" s="1362"/>
      <c r="Q79" s="1476">
        <v>15143</v>
      </c>
      <c r="R79" s="1476">
        <v>0</v>
      </c>
      <c r="S79" s="963">
        <v>45017</v>
      </c>
      <c r="T79" s="1716">
        <v>1</v>
      </c>
      <c r="U79" s="963">
        <v>45382</v>
      </c>
      <c r="V79" s="1716">
        <v>192</v>
      </c>
      <c r="W79" s="1716">
        <f t="shared" si="55"/>
        <v>192</v>
      </c>
      <c r="X79" s="1717">
        <f t="shared" si="56"/>
        <v>1</v>
      </c>
      <c r="Y79" s="1716">
        <v>1</v>
      </c>
      <c r="Z79" s="1716">
        <f t="shared" si="57"/>
        <v>1</v>
      </c>
      <c r="AA79" s="1047">
        <f t="shared" si="58"/>
        <v>15143</v>
      </c>
      <c r="AB79" s="1037" t="s">
        <v>2797</v>
      </c>
      <c r="AC79" s="1037" t="s">
        <v>2797</v>
      </c>
      <c r="AD79" s="1471"/>
      <c r="AE79" s="1471"/>
      <c r="AF79" s="1471"/>
      <c r="AG79" s="1476">
        <v>15143</v>
      </c>
      <c r="AH79" s="1476"/>
      <c r="AI79" s="1476">
        <v>15143</v>
      </c>
      <c r="AJ79" s="1476"/>
      <c r="AK79" s="1476" t="str">
        <f t="shared" ref="AK79:AK80" si="77">IF(AI79&lt;=15000,"yes","no")</f>
        <v>no</v>
      </c>
      <c r="AL79" s="1476" t="str">
        <f t="shared" si="9"/>
        <v>yes</v>
      </c>
      <c r="AM79" s="1476" t="str">
        <f t="shared" si="10"/>
        <v>no</v>
      </c>
      <c r="AN79" s="1471"/>
      <c r="AO79" s="1476"/>
      <c r="AP79" s="1471"/>
      <c r="AQ79" s="1471"/>
      <c r="AR79" s="1471"/>
      <c r="AS79" s="1471"/>
      <c r="AT79" s="1471"/>
      <c r="AU79" s="1471"/>
      <c r="AV79" s="1471"/>
      <c r="AW79" s="1471"/>
      <c r="AX79" s="1471"/>
      <c r="AY79" s="1471"/>
      <c r="AZ79" s="1476"/>
      <c r="BA79" s="1476"/>
      <c r="BB79" s="1471"/>
      <c r="BC79" s="1471"/>
      <c r="BD79" s="1471"/>
      <c r="BE79" s="1471"/>
      <c r="BF79" s="1471"/>
      <c r="BG79" s="1471"/>
      <c r="BH79" s="1476">
        <f t="shared" si="59"/>
        <v>0</v>
      </c>
      <c r="BI79" s="1625">
        <f t="shared" si="60"/>
        <v>0</v>
      </c>
      <c r="BJ79" s="1471">
        <v>15143</v>
      </c>
      <c r="BK79" s="1471"/>
      <c r="BL79" s="1473"/>
      <c r="BM79" s="1489">
        <f t="shared" si="39"/>
        <v>15143</v>
      </c>
      <c r="BN79" s="1489">
        <v>15143</v>
      </c>
      <c r="BO79" s="1773">
        <f t="shared" si="11"/>
        <v>0</v>
      </c>
      <c r="BP79" s="1773">
        <v>0</v>
      </c>
      <c r="BQ79" s="1774">
        <f t="shared" si="12"/>
        <v>15143</v>
      </c>
      <c r="BZ79" s="1493"/>
      <c r="CF79" s="1795">
        <f t="shared" si="61"/>
        <v>15143</v>
      </c>
      <c r="CG79" s="1796">
        <f t="shared" si="13"/>
        <v>15143</v>
      </c>
      <c r="CH79" s="1796">
        <f t="shared" si="62"/>
        <v>0</v>
      </c>
      <c r="CN79" s="1797">
        <f t="shared" si="73"/>
        <v>15143</v>
      </c>
      <c r="CO79" s="1797">
        <f t="shared" si="45"/>
        <v>0</v>
      </c>
      <c r="CR79" s="1494">
        <f t="shared" si="64"/>
        <v>15143</v>
      </c>
      <c r="CS79" s="1797">
        <f t="shared" si="71"/>
        <v>0</v>
      </c>
      <c r="CV79" s="1678">
        <f t="shared" si="69"/>
        <v>15143</v>
      </c>
      <c r="CW79" s="1795">
        <f t="shared" si="72"/>
        <v>0</v>
      </c>
      <c r="CX79" s="1496">
        <v>0</v>
      </c>
      <c r="CY79" s="1496">
        <f t="shared" si="76"/>
        <v>15143</v>
      </c>
      <c r="CZ79" s="1496">
        <f t="shared" si="74"/>
        <v>0</v>
      </c>
      <c r="DC79" s="1747">
        <f t="shared" si="70"/>
        <v>15143</v>
      </c>
      <c r="DD79" s="1496">
        <f t="shared" si="75"/>
        <v>0</v>
      </c>
      <c r="DF79" s="1747">
        <f t="shared" si="65"/>
        <v>15143</v>
      </c>
      <c r="DI79" s="1747">
        <f t="shared" si="66"/>
        <v>15143</v>
      </c>
    </row>
    <row r="80" spans="1:114" x14ac:dyDescent="0.25">
      <c r="A80" s="1471">
        <v>1</v>
      </c>
      <c r="B80" s="480" t="s">
        <v>2221</v>
      </c>
      <c r="C80" s="480">
        <v>203905</v>
      </c>
      <c r="D80" s="480" t="s">
        <v>3427</v>
      </c>
      <c r="E80" s="1784" t="s">
        <v>1606</v>
      </c>
      <c r="F80" s="1165">
        <v>436105</v>
      </c>
      <c r="G80" s="480" t="s">
        <v>3436</v>
      </c>
      <c r="H80" s="480" t="s">
        <v>836</v>
      </c>
      <c r="I80" s="1038">
        <v>43150</v>
      </c>
      <c r="J80" s="1803">
        <v>0</v>
      </c>
      <c r="K80" s="1039">
        <f ca="1">(TODAY()-I80)/365.25</f>
        <v>7.5893223819301845</v>
      </c>
      <c r="L80" s="963" t="s">
        <v>1885</v>
      </c>
      <c r="M80" s="963" t="s">
        <v>56</v>
      </c>
      <c r="N80" s="480" t="s">
        <v>1894</v>
      </c>
      <c r="O80" s="1362"/>
      <c r="P80" s="1362"/>
      <c r="Q80" s="1476">
        <v>31017</v>
      </c>
      <c r="R80" s="1476">
        <v>0</v>
      </c>
      <c r="S80" s="963">
        <v>45017</v>
      </c>
      <c r="T80" s="1716">
        <v>1</v>
      </c>
      <c r="U80" s="963">
        <v>45382</v>
      </c>
      <c r="V80" s="1716">
        <v>192</v>
      </c>
      <c r="W80" s="1716">
        <f t="shared" si="55"/>
        <v>192</v>
      </c>
      <c r="X80" s="1717">
        <f t="shared" si="56"/>
        <v>1</v>
      </c>
      <c r="Y80" s="1716">
        <v>1</v>
      </c>
      <c r="Z80" s="1716">
        <f t="shared" si="57"/>
        <v>1</v>
      </c>
      <c r="AA80" s="1047">
        <f t="shared" si="58"/>
        <v>31017</v>
      </c>
      <c r="AB80" s="1037" t="s">
        <v>2797</v>
      </c>
      <c r="AC80" s="1037" t="s">
        <v>2797</v>
      </c>
      <c r="AD80" s="1471"/>
      <c r="AE80" s="1471"/>
      <c r="AF80" s="1471"/>
      <c r="AG80" s="1476">
        <v>31017</v>
      </c>
      <c r="AH80" s="1476"/>
      <c r="AI80" s="1476">
        <v>31017</v>
      </c>
      <c r="AJ80" s="1476"/>
      <c r="AK80" s="1476" t="str">
        <f t="shared" si="77"/>
        <v>no</v>
      </c>
      <c r="AL80" s="1476" t="str">
        <f t="shared" si="9"/>
        <v>no</v>
      </c>
      <c r="AM80" s="1476" t="str">
        <f t="shared" si="10"/>
        <v>yes</v>
      </c>
      <c r="AN80" s="1471"/>
      <c r="AO80" s="1476"/>
      <c r="AP80" s="1471"/>
      <c r="AQ80" s="1471"/>
      <c r="AR80" s="1471"/>
      <c r="AS80" s="1471"/>
      <c r="AT80" s="1471"/>
      <c r="AU80" s="1471"/>
      <c r="AV80" s="1471"/>
      <c r="AW80" s="1471"/>
      <c r="AX80" s="1471"/>
      <c r="AY80" s="1471"/>
      <c r="AZ80" s="1476"/>
      <c r="BA80" s="1476"/>
      <c r="BB80" s="1471"/>
      <c r="BC80" s="1471"/>
      <c r="BD80" s="1471"/>
      <c r="BE80" s="1471"/>
      <c r="BF80" s="1471"/>
      <c r="BG80" s="1471"/>
      <c r="BH80" s="1476">
        <f t="shared" si="59"/>
        <v>0</v>
      </c>
      <c r="BI80" s="1625">
        <f t="shared" si="60"/>
        <v>0</v>
      </c>
      <c r="BJ80" s="1471">
        <v>31017</v>
      </c>
      <c r="BK80" s="1471"/>
      <c r="BL80" s="1473"/>
      <c r="BM80" s="1489">
        <f t="shared" si="39"/>
        <v>31017</v>
      </c>
      <c r="BN80" s="1489">
        <v>31017</v>
      </c>
      <c r="BO80" s="1773">
        <f t="shared" si="11"/>
        <v>0</v>
      </c>
      <c r="BP80" s="1773">
        <v>0</v>
      </c>
      <c r="BQ80" s="1774">
        <f t="shared" si="12"/>
        <v>31017</v>
      </c>
      <c r="BZ80" s="1493"/>
      <c r="CF80" s="1795">
        <f t="shared" si="61"/>
        <v>31017</v>
      </c>
      <c r="CG80" s="1796">
        <f t="shared" si="13"/>
        <v>31017</v>
      </c>
      <c r="CH80" s="1796">
        <f t="shared" si="62"/>
        <v>0</v>
      </c>
      <c r="CN80" s="1797">
        <f t="shared" si="73"/>
        <v>31017</v>
      </c>
      <c r="CO80" s="1797">
        <f t="shared" si="45"/>
        <v>0</v>
      </c>
      <c r="CR80" s="1494">
        <f t="shared" si="64"/>
        <v>31017</v>
      </c>
      <c r="CS80" s="1797">
        <f t="shared" si="71"/>
        <v>0</v>
      </c>
      <c r="CV80" s="1678">
        <f t="shared" si="69"/>
        <v>31017</v>
      </c>
      <c r="CW80" s="1795">
        <f t="shared" si="72"/>
        <v>0</v>
      </c>
      <c r="CX80" s="1496">
        <v>0</v>
      </c>
      <c r="CY80" s="1496">
        <f t="shared" si="76"/>
        <v>31017</v>
      </c>
      <c r="CZ80" s="1496">
        <f t="shared" si="74"/>
        <v>0</v>
      </c>
      <c r="DC80" s="1747">
        <f t="shared" si="70"/>
        <v>31017</v>
      </c>
      <c r="DD80" s="1496">
        <f t="shared" si="75"/>
        <v>0</v>
      </c>
      <c r="DF80" s="1747">
        <f t="shared" si="65"/>
        <v>31017</v>
      </c>
      <c r="DI80" s="1747">
        <f t="shared" si="66"/>
        <v>31017</v>
      </c>
    </row>
    <row r="81" spans="1:113" x14ac:dyDescent="0.25">
      <c r="A81" s="1471">
        <v>1</v>
      </c>
      <c r="B81" s="480" t="s">
        <v>2221</v>
      </c>
      <c r="C81" s="480">
        <v>203905</v>
      </c>
      <c r="D81" s="480" t="s">
        <v>3427</v>
      </c>
      <c r="E81" s="1784" t="s">
        <v>1606</v>
      </c>
      <c r="F81" s="1165">
        <v>420020</v>
      </c>
      <c r="G81" s="480" t="s">
        <v>836</v>
      </c>
      <c r="H81" s="480" t="s">
        <v>835</v>
      </c>
      <c r="I81" s="1038">
        <v>42008</v>
      </c>
      <c r="J81" s="1044"/>
      <c r="K81" s="1039">
        <f ca="1">(TODAY()-I81)/365.25</f>
        <v>10.715947980835045</v>
      </c>
      <c r="L81" s="963" t="s">
        <v>1885</v>
      </c>
      <c r="M81" s="963"/>
      <c r="N81" s="480"/>
      <c r="O81" s="1362">
        <v>62634</v>
      </c>
      <c r="P81" s="1362"/>
      <c r="Q81" s="1476">
        <v>41799</v>
      </c>
      <c r="R81" s="1476">
        <v>0</v>
      </c>
      <c r="S81" s="963">
        <v>45173</v>
      </c>
      <c r="T81" s="1716">
        <v>66</v>
      </c>
      <c r="U81" s="963">
        <v>45382</v>
      </c>
      <c r="V81" s="1716">
        <v>192</v>
      </c>
      <c r="W81" s="1716">
        <f t="shared" si="55"/>
        <v>127</v>
      </c>
      <c r="X81" s="1717">
        <f t="shared" si="56"/>
        <v>0.66145833333333337</v>
      </c>
      <c r="Y81" s="1716">
        <v>1</v>
      </c>
      <c r="Z81" s="1716">
        <f t="shared" si="57"/>
        <v>0.66145833333333337</v>
      </c>
      <c r="AA81" s="1047">
        <f t="shared" si="58"/>
        <v>27648.296875</v>
      </c>
      <c r="AB81" s="1037" t="s">
        <v>2797</v>
      </c>
      <c r="AC81" s="1037" t="s">
        <v>2797</v>
      </c>
      <c r="AD81" s="1471"/>
      <c r="AE81" s="1471"/>
      <c r="AF81" s="1471"/>
      <c r="AG81" s="1476"/>
      <c r="AH81" s="1476"/>
      <c r="AI81" s="1476"/>
      <c r="AJ81" s="1476"/>
      <c r="AK81" s="1476"/>
      <c r="AL81" s="1476"/>
      <c r="AM81" s="1476"/>
      <c r="AN81" s="1471"/>
      <c r="AO81" s="1476"/>
      <c r="AP81" s="1471"/>
      <c r="AQ81" s="1471"/>
      <c r="AR81" s="1471"/>
      <c r="AS81" s="1471"/>
      <c r="AT81" s="1471"/>
      <c r="AU81" s="1471"/>
      <c r="AV81" s="1471"/>
      <c r="AW81" s="1471"/>
      <c r="AX81" s="1471"/>
      <c r="AY81" s="1471"/>
      <c r="AZ81" s="1476"/>
      <c r="BA81" s="1476"/>
      <c r="BB81" s="1471"/>
      <c r="BC81" s="1471"/>
      <c r="BD81" s="1471"/>
      <c r="BE81" s="1471"/>
      <c r="BF81" s="1471"/>
      <c r="BG81" s="1471"/>
      <c r="BH81" s="1476"/>
      <c r="BI81" s="1625"/>
      <c r="BJ81" s="1471">
        <v>0</v>
      </c>
      <c r="BK81" s="1471"/>
      <c r="BL81" s="1473"/>
      <c r="BM81" s="1489"/>
      <c r="BN81" s="1489"/>
      <c r="BO81" s="1773"/>
      <c r="BP81" s="1773"/>
      <c r="BQ81" s="1774"/>
      <c r="BZ81" s="1493"/>
      <c r="CD81" s="1878" t="e">
        <f>#REF!/3*2</f>
        <v>#REF!</v>
      </c>
      <c r="CF81" s="1795"/>
      <c r="CG81" s="1796" t="e">
        <f>#REF!</f>
        <v>#REF!</v>
      </c>
      <c r="CH81" s="1879" t="e">
        <f>CG81-#REF!</f>
        <v>#REF!</v>
      </c>
      <c r="CI81" s="1880" t="s">
        <v>3437</v>
      </c>
      <c r="CN81" s="1797">
        <v>34909.33</v>
      </c>
      <c r="CO81" s="1797"/>
      <c r="CR81" s="1494">
        <f>CN81</f>
        <v>34909.33</v>
      </c>
      <c r="CS81" s="1797"/>
      <c r="CT81" s="1880">
        <v>-34909.33</v>
      </c>
      <c r="CV81" s="1678">
        <f t="shared" si="69"/>
        <v>0</v>
      </c>
      <c r="CW81" s="1795"/>
      <c r="CX81" s="1496">
        <f>Q81</f>
        <v>41799</v>
      </c>
      <c r="CY81" s="1496">
        <f t="shared" si="76"/>
        <v>41799</v>
      </c>
      <c r="CZ81" s="1496">
        <f t="shared" si="74"/>
        <v>41799</v>
      </c>
      <c r="DB81" s="1798">
        <v>0</v>
      </c>
      <c r="DC81" s="1747">
        <f t="shared" si="70"/>
        <v>41799</v>
      </c>
      <c r="DD81" s="1496">
        <f t="shared" si="75"/>
        <v>0</v>
      </c>
      <c r="DF81" s="1747">
        <f t="shared" si="65"/>
        <v>41799</v>
      </c>
      <c r="DI81" s="1747">
        <f t="shared" si="66"/>
        <v>41799</v>
      </c>
    </row>
    <row r="82" spans="1:113" x14ac:dyDescent="0.25">
      <c r="A82" s="1471">
        <v>1</v>
      </c>
      <c r="B82" s="480" t="s">
        <v>2221</v>
      </c>
      <c r="C82" s="480">
        <v>203905</v>
      </c>
      <c r="D82" s="480" t="s">
        <v>3427</v>
      </c>
      <c r="E82" s="1784" t="s">
        <v>1606</v>
      </c>
      <c r="F82" s="1165">
        <v>396165</v>
      </c>
      <c r="G82" s="480" t="s">
        <v>3438</v>
      </c>
      <c r="H82" s="480" t="s">
        <v>938</v>
      </c>
      <c r="I82" s="963">
        <v>38770</v>
      </c>
      <c r="J82" s="1803">
        <v>9</v>
      </c>
      <c r="K82" s="1039">
        <f t="shared" ca="1" si="27"/>
        <v>19.581108829568787</v>
      </c>
      <c r="L82" s="963" t="s">
        <v>1886</v>
      </c>
      <c r="M82" s="963" t="s">
        <v>3435</v>
      </c>
      <c r="N82" s="480" t="s">
        <v>1893</v>
      </c>
      <c r="O82" s="1362"/>
      <c r="P82" s="1362"/>
      <c r="Q82" s="1476">
        <v>15143</v>
      </c>
      <c r="R82" s="1476">
        <v>0</v>
      </c>
      <c r="S82" s="963">
        <v>45017</v>
      </c>
      <c r="T82" s="1716">
        <v>1</v>
      </c>
      <c r="U82" s="963">
        <v>45382</v>
      </c>
      <c r="V82" s="1716">
        <v>192</v>
      </c>
      <c r="W82" s="1716">
        <f t="shared" si="55"/>
        <v>192</v>
      </c>
      <c r="X82" s="1717">
        <f t="shared" si="56"/>
        <v>1</v>
      </c>
      <c r="Y82" s="1716">
        <v>1</v>
      </c>
      <c r="Z82" s="1716">
        <f t="shared" si="57"/>
        <v>1</v>
      </c>
      <c r="AA82" s="1047">
        <f t="shared" si="58"/>
        <v>15143</v>
      </c>
      <c r="AB82" s="1037" t="s">
        <v>2797</v>
      </c>
      <c r="AC82" s="1037" t="s">
        <v>2797</v>
      </c>
      <c r="AD82" s="1471"/>
      <c r="AE82" s="1471"/>
      <c r="AF82" s="1471"/>
      <c r="AG82" s="1476">
        <v>15143</v>
      </c>
      <c r="AH82" s="1476"/>
      <c r="AI82" s="1476">
        <v>15143</v>
      </c>
      <c r="AJ82" s="1476"/>
      <c r="AK82" s="1476" t="str">
        <f t="shared" si="22"/>
        <v>no</v>
      </c>
      <c r="AL82" s="1476" t="str">
        <f t="shared" si="9"/>
        <v>yes</v>
      </c>
      <c r="AM82" s="1476" t="str">
        <f t="shared" si="10"/>
        <v>no</v>
      </c>
      <c r="AN82" s="1471"/>
      <c r="AO82" s="1476"/>
      <c r="AP82" s="1471"/>
      <c r="AQ82" s="1471"/>
      <c r="AR82" s="1471"/>
      <c r="AS82" s="1471"/>
      <c r="AT82" s="1471"/>
      <c r="AU82" s="1471"/>
      <c r="AV82" s="1471"/>
      <c r="AW82" s="1471"/>
      <c r="AX82" s="1471"/>
      <c r="AY82" s="1471"/>
      <c r="AZ82" s="1476"/>
      <c r="BA82" s="1476"/>
      <c r="BB82" s="1471"/>
      <c r="BC82" s="1471"/>
      <c r="BD82" s="1471"/>
      <c r="BE82" s="1471"/>
      <c r="BF82" s="1471"/>
      <c r="BG82" s="1471"/>
      <c r="BH82" s="1476">
        <f t="shared" si="59"/>
        <v>0</v>
      </c>
      <c r="BI82" s="1625">
        <f t="shared" si="60"/>
        <v>0</v>
      </c>
      <c r="BJ82" s="1471">
        <v>15143</v>
      </c>
      <c r="BK82" s="1471"/>
      <c r="BL82" s="1473"/>
      <c r="BM82" s="1489">
        <f t="shared" si="39"/>
        <v>15143</v>
      </c>
      <c r="BN82" s="1489">
        <v>15143</v>
      </c>
      <c r="BO82" s="1773">
        <f t="shared" si="11"/>
        <v>0</v>
      </c>
      <c r="BP82" s="1773">
        <v>0</v>
      </c>
      <c r="BQ82" s="1774">
        <f t="shared" si="12"/>
        <v>15143</v>
      </c>
      <c r="BZ82" s="1493"/>
      <c r="CF82" s="1795">
        <f t="shared" si="61"/>
        <v>15143</v>
      </c>
      <c r="CG82" s="1796">
        <f t="shared" si="13"/>
        <v>15143</v>
      </c>
      <c r="CH82" s="1796">
        <f t="shared" si="62"/>
        <v>0</v>
      </c>
      <c r="CN82" s="1797">
        <f t="shared" si="73"/>
        <v>15143</v>
      </c>
      <c r="CO82" s="1797">
        <f t="shared" si="45"/>
        <v>0</v>
      </c>
      <c r="CR82" s="1494">
        <f t="shared" si="64"/>
        <v>15143</v>
      </c>
      <c r="CS82" s="1797">
        <f t="shared" si="71"/>
        <v>0</v>
      </c>
      <c r="CV82" s="1678">
        <f t="shared" si="69"/>
        <v>15143</v>
      </c>
      <c r="CW82" s="1795">
        <f t="shared" si="72"/>
        <v>0</v>
      </c>
      <c r="CX82" s="1496">
        <v>0</v>
      </c>
      <c r="CY82" s="1496">
        <f t="shared" si="76"/>
        <v>15143</v>
      </c>
      <c r="CZ82" s="1496">
        <f t="shared" si="74"/>
        <v>0</v>
      </c>
      <c r="DC82" s="1747">
        <f t="shared" si="70"/>
        <v>15143</v>
      </c>
      <c r="DD82" s="1496">
        <f t="shared" si="75"/>
        <v>0</v>
      </c>
      <c r="DF82" s="1747">
        <f t="shared" si="65"/>
        <v>15143</v>
      </c>
      <c r="DI82" s="1747">
        <f t="shared" si="66"/>
        <v>15143</v>
      </c>
    </row>
    <row r="83" spans="1:113" x14ac:dyDescent="0.25">
      <c r="A83" s="1471">
        <v>1</v>
      </c>
      <c r="B83" s="480" t="s">
        <v>2221</v>
      </c>
      <c r="C83" s="480">
        <v>203905</v>
      </c>
      <c r="D83" s="480" t="s">
        <v>3427</v>
      </c>
      <c r="E83" s="1784" t="s">
        <v>1606</v>
      </c>
      <c r="F83" s="1165">
        <v>408701</v>
      </c>
      <c r="G83" s="480" t="s">
        <v>3439</v>
      </c>
      <c r="H83" s="480" t="s">
        <v>938</v>
      </c>
      <c r="I83" s="1038">
        <v>39003</v>
      </c>
      <c r="J83" s="1803">
        <v>9</v>
      </c>
      <c r="K83" s="1039">
        <f ca="1">(TODAY()-I83)/365.25</f>
        <v>18.943189596167009</v>
      </c>
      <c r="L83" s="963" t="s">
        <v>1886</v>
      </c>
      <c r="M83" s="963" t="s">
        <v>43</v>
      </c>
      <c r="N83" s="480" t="s">
        <v>1894</v>
      </c>
      <c r="O83" s="1362"/>
      <c r="P83" s="1362"/>
      <c r="Q83" s="1476">
        <v>31017</v>
      </c>
      <c r="R83" s="1476">
        <v>0</v>
      </c>
      <c r="S83" s="963">
        <v>45017</v>
      </c>
      <c r="T83" s="1716">
        <v>1</v>
      </c>
      <c r="U83" s="963">
        <v>45382</v>
      </c>
      <c r="V83" s="1716">
        <v>192</v>
      </c>
      <c r="W83" s="1716">
        <f t="shared" si="55"/>
        <v>192</v>
      </c>
      <c r="X83" s="1717">
        <f t="shared" si="56"/>
        <v>1</v>
      </c>
      <c r="Y83" s="1716">
        <v>1</v>
      </c>
      <c r="Z83" s="1716">
        <f t="shared" si="57"/>
        <v>1</v>
      </c>
      <c r="AA83" s="1047">
        <f t="shared" si="58"/>
        <v>31017</v>
      </c>
      <c r="AB83" s="1037" t="s">
        <v>2797</v>
      </c>
      <c r="AC83" s="1037" t="s">
        <v>2797</v>
      </c>
      <c r="AD83" s="1471"/>
      <c r="AE83" s="1471"/>
      <c r="AF83" s="1471"/>
      <c r="AG83" s="1476">
        <v>31017</v>
      </c>
      <c r="AH83" s="1476"/>
      <c r="AI83" s="1476">
        <v>31017</v>
      </c>
      <c r="AJ83" s="1476"/>
      <c r="AK83" s="1476" t="str">
        <f t="shared" si="22"/>
        <v>no</v>
      </c>
      <c r="AL83" s="1476" t="str">
        <f t="shared" si="9"/>
        <v>no</v>
      </c>
      <c r="AM83" s="1476" t="str">
        <f t="shared" si="10"/>
        <v>yes</v>
      </c>
      <c r="AN83" s="1471"/>
      <c r="AO83" s="1476"/>
      <c r="AP83" s="1471"/>
      <c r="AQ83" s="1471"/>
      <c r="AR83" s="1471"/>
      <c r="AS83" s="1471"/>
      <c r="AT83" s="1471"/>
      <c r="AU83" s="1471"/>
      <c r="AV83" s="1471"/>
      <c r="AW83" s="1471"/>
      <c r="AX83" s="1471"/>
      <c r="AY83" s="1471"/>
      <c r="AZ83" s="1476"/>
      <c r="BA83" s="1476"/>
      <c r="BB83" s="1471"/>
      <c r="BC83" s="1471"/>
      <c r="BD83" s="1471"/>
      <c r="BE83" s="1471"/>
      <c r="BF83" s="1471"/>
      <c r="BG83" s="1471"/>
      <c r="BH83" s="1476">
        <f t="shared" si="59"/>
        <v>0</v>
      </c>
      <c r="BI83" s="1625">
        <f t="shared" si="60"/>
        <v>0</v>
      </c>
      <c r="BJ83" s="1471">
        <v>31017</v>
      </c>
      <c r="BK83" s="1471"/>
      <c r="BL83" s="1473"/>
      <c r="BM83" s="1489">
        <f t="shared" si="39"/>
        <v>31017</v>
      </c>
      <c r="BN83" s="1489">
        <v>31017</v>
      </c>
      <c r="BO83" s="1773">
        <f t="shared" si="11"/>
        <v>-20678</v>
      </c>
      <c r="BP83" s="1773">
        <v>-20678</v>
      </c>
      <c r="BQ83" s="1774">
        <f t="shared" si="12"/>
        <v>10339</v>
      </c>
      <c r="BW83" s="1839" t="s">
        <v>2235</v>
      </c>
      <c r="BX83" s="1839">
        <v>44992</v>
      </c>
      <c r="BZ83" s="1877">
        <f>BN83/3*2*-1</f>
        <v>-20678</v>
      </c>
      <c r="CF83" s="1795">
        <f t="shared" si="61"/>
        <v>10339</v>
      </c>
      <c r="CG83" s="1796">
        <f t="shared" si="13"/>
        <v>10339</v>
      </c>
      <c r="CH83" s="1796">
        <f t="shared" si="62"/>
        <v>0</v>
      </c>
      <c r="CN83" s="1797">
        <f t="shared" si="73"/>
        <v>10339</v>
      </c>
      <c r="CO83" s="1797">
        <f t="shared" si="45"/>
        <v>0</v>
      </c>
      <c r="CR83" s="1494">
        <f t="shared" si="64"/>
        <v>10339</v>
      </c>
      <c r="CS83" s="1797">
        <f t="shared" si="71"/>
        <v>0</v>
      </c>
      <c r="CV83" s="1678">
        <f t="shared" si="69"/>
        <v>10339</v>
      </c>
      <c r="CW83" s="1795">
        <f t="shared" si="72"/>
        <v>0</v>
      </c>
      <c r="CX83" s="1496">
        <v>0</v>
      </c>
      <c r="CY83" s="1496">
        <f t="shared" si="76"/>
        <v>10339</v>
      </c>
      <c r="CZ83" s="1496">
        <f t="shared" si="74"/>
        <v>0</v>
      </c>
      <c r="DC83" s="1747">
        <f t="shared" si="70"/>
        <v>10339</v>
      </c>
      <c r="DD83" s="1496">
        <f t="shared" si="75"/>
        <v>0</v>
      </c>
      <c r="DF83" s="1747">
        <f t="shared" si="65"/>
        <v>10339</v>
      </c>
      <c r="DI83" s="1747">
        <f t="shared" si="66"/>
        <v>10339</v>
      </c>
    </row>
    <row r="84" spans="1:113" x14ac:dyDescent="0.25">
      <c r="A84" s="1471">
        <v>1</v>
      </c>
      <c r="B84" s="480" t="s">
        <v>2221</v>
      </c>
      <c r="C84" s="480">
        <v>203905</v>
      </c>
      <c r="D84" s="480" t="s">
        <v>3427</v>
      </c>
      <c r="E84" s="1784" t="s">
        <v>1606</v>
      </c>
      <c r="F84" s="1165">
        <v>408702</v>
      </c>
      <c r="G84" s="480" t="s">
        <v>3439</v>
      </c>
      <c r="H84" s="480" t="s">
        <v>3440</v>
      </c>
      <c r="I84" s="1038">
        <v>40459</v>
      </c>
      <c r="J84" s="1803">
        <v>7</v>
      </c>
      <c r="K84" s="1039">
        <f ca="1">(TODAY()-I84)/365.25</f>
        <v>14.956878850102669</v>
      </c>
      <c r="L84" s="963" t="s">
        <v>1886</v>
      </c>
      <c r="M84" s="963" t="s">
        <v>66</v>
      </c>
      <c r="N84" s="480" t="s">
        <v>1894</v>
      </c>
      <c r="O84" s="1362"/>
      <c r="P84" s="1362"/>
      <c r="Q84" s="1476">
        <v>31017</v>
      </c>
      <c r="R84" s="1476">
        <v>0</v>
      </c>
      <c r="S84" s="963">
        <v>45017</v>
      </c>
      <c r="T84" s="1716">
        <v>1</v>
      </c>
      <c r="U84" s="963">
        <v>45382</v>
      </c>
      <c r="V84" s="1716">
        <v>192</v>
      </c>
      <c r="W84" s="1716">
        <f t="shared" si="55"/>
        <v>192</v>
      </c>
      <c r="X84" s="1717">
        <f t="shared" si="56"/>
        <v>1</v>
      </c>
      <c r="Y84" s="1716">
        <v>1</v>
      </c>
      <c r="Z84" s="1716">
        <f t="shared" si="57"/>
        <v>1</v>
      </c>
      <c r="AA84" s="1047">
        <f t="shared" si="58"/>
        <v>31017</v>
      </c>
      <c r="AB84" s="1037" t="s">
        <v>2797</v>
      </c>
      <c r="AC84" s="1037" t="s">
        <v>2797</v>
      </c>
      <c r="AD84" s="1471"/>
      <c r="AE84" s="1471"/>
      <c r="AF84" s="1471"/>
      <c r="AG84" s="1476">
        <v>31017</v>
      </c>
      <c r="AH84" s="1476"/>
      <c r="AI84" s="1476">
        <v>31017</v>
      </c>
      <c r="AJ84" s="1476"/>
      <c r="AK84" s="1476" t="str">
        <f t="shared" ref="AK84:AK129" si="78">IF(AI84&lt;15000,"yes","no")</f>
        <v>no</v>
      </c>
      <c r="AL84" s="1476" t="str">
        <f t="shared" ref="AL84:AL131" si="79">IF(AND(AI84&lt;=20000,AI84&gt;=15001),"yes","no")</f>
        <v>no</v>
      </c>
      <c r="AM84" s="1476" t="str">
        <f t="shared" ref="AM84:AM131" si="80">IF(AI84&gt;20001,"yes","no")</f>
        <v>yes</v>
      </c>
      <c r="AN84" s="1471"/>
      <c r="AO84" s="1476"/>
      <c r="AP84" s="1471"/>
      <c r="AQ84" s="1471"/>
      <c r="AR84" s="1471"/>
      <c r="AS84" s="1471"/>
      <c r="AT84" s="1471"/>
      <c r="AU84" s="1471"/>
      <c r="AV84" s="1471"/>
      <c r="AW84" s="1471"/>
      <c r="AX84" s="1471"/>
      <c r="AY84" s="1471"/>
      <c r="AZ84" s="1476"/>
      <c r="BA84" s="1476"/>
      <c r="BB84" s="1471"/>
      <c r="BC84" s="1471"/>
      <c r="BD84" s="1471"/>
      <c r="BE84" s="1471"/>
      <c r="BF84" s="1471"/>
      <c r="BG84" s="1471"/>
      <c r="BH84" s="1476">
        <f t="shared" si="59"/>
        <v>0</v>
      </c>
      <c r="BI84" s="1625">
        <f t="shared" si="60"/>
        <v>0</v>
      </c>
      <c r="BJ84" s="1471">
        <v>31017</v>
      </c>
      <c r="BK84" s="1471"/>
      <c r="BL84" s="1473"/>
      <c r="BM84" s="1489">
        <f t="shared" si="39"/>
        <v>31017</v>
      </c>
      <c r="BN84" s="1489">
        <v>31017</v>
      </c>
      <c r="BO84" s="1773">
        <f t="shared" ref="BO84:BO131" si="81">BZ84</f>
        <v>0</v>
      </c>
      <c r="BP84" s="1773">
        <v>0</v>
      </c>
      <c r="BQ84" s="1774">
        <f t="shared" ref="BQ84:BQ131" si="82">BN84+BP84</f>
        <v>31017</v>
      </c>
      <c r="BZ84" s="1493"/>
      <c r="CF84" s="1795">
        <f t="shared" si="61"/>
        <v>31017</v>
      </c>
      <c r="CG84" s="1796">
        <f t="shared" ref="CG84:CG131" si="83">CF84</f>
        <v>31017</v>
      </c>
      <c r="CH84" s="1796">
        <f t="shared" si="62"/>
        <v>0</v>
      </c>
      <c r="CN84" s="1797">
        <f t="shared" si="73"/>
        <v>31017</v>
      </c>
      <c r="CO84" s="1797">
        <f t="shared" si="45"/>
        <v>0</v>
      </c>
      <c r="CR84" s="1494">
        <f t="shared" si="64"/>
        <v>31017</v>
      </c>
      <c r="CS84" s="1797">
        <f t="shared" si="71"/>
        <v>0</v>
      </c>
      <c r="CV84" s="1678">
        <f t="shared" si="69"/>
        <v>31017</v>
      </c>
      <c r="CW84" s="1795">
        <f t="shared" si="72"/>
        <v>0</v>
      </c>
      <c r="CX84" s="1496">
        <v>0</v>
      </c>
      <c r="CY84" s="1496">
        <f t="shared" si="76"/>
        <v>31017</v>
      </c>
      <c r="CZ84" s="1496">
        <f t="shared" si="74"/>
        <v>0</v>
      </c>
      <c r="DC84" s="1747">
        <f t="shared" si="70"/>
        <v>31017</v>
      </c>
      <c r="DD84" s="1496">
        <f t="shared" si="75"/>
        <v>0</v>
      </c>
      <c r="DF84" s="1747">
        <f t="shared" si="65"/>
        <v>31017</v>
      </c>
      <c r="DI84" s="1747">
        <f t="shared" si="66"/>
        <v>31017</v>
      </c>
    </row>
    <row r="85" spans="1:113" x14ac:dyDescent="0.25">
      <c r="A85" s="1471">
        <v>1</v>
      </c>
      <c r="B85" s="480" t="s">
        <v>2221</v>
      </c>
      <c r="C85" s="480">
        <v>203905</v>
      </c>
      <c r="D85" s="480" t="s">
        <v>3427</v>
      </c>
      <c r="E85" s="1784" t="s">
        <v>1606</v>
      </c>
      <c r="F85" s="1165">
        <v>434315</v>
      </c>
      <c r="G85" s="480" t="s">
        <v>3441</v>
      </c>
      <c r="H85" s="480" t="s">
        <v>3442</v>
      </c>
      <c r="I85" s="1038">
        <v>42832</v>
      </c>
      <c r="J85" s="1803">
        <v>-1</v>
      </c>
      <c r="K85" s="1039">
        <f ca="1">(TODAY()-I85)/365.25</f>
        <v>8.4599589322381927</v>
      </c>
      <c r="L85" s="963" t="s">
        <v>1885</v>
      </c>
      <c r="M85" s="963" t="s">
        <v>3435</v>
      </c>
      <c r="N85" s="480" t="s">
        <v>1894</v>
      </c>
      <c r="O85" s="1362"/>
      <c r="P85" s="1362"/>
      <c r="Q85" s="1476">
        <v>31017</v>
      </c>
      <c r="R85" s="1476">
        <v>0</v>
      </c>
      <c r="S85" s="963">
        <v>45017</v>
      </c>
      <c r="T85" s="1716">
        <v>1</v>
      </c>
      <c r="U85" s="963">
        <v>45382</v>
      </c>
      <c r="V85" s="1716">
        <v>192</v>
      </c>
      <c r="W85" s="1716">
        <f t="shared" si="55"/>
        <v>192</v>
      </c>
      <c r="X85" s="1717">
        <f t="shared" si="56"/>
        <v>1</v>
      </c>
      <c r="Y85" s="1716">
        <v>1</v>
      </c>
      <c r="Z85" s="1716">
        <f t="shared" si="57"/>
        <v>1</v>
      </c>
      <c r="AA85" s="1047">
        <f t="shared" si="58"/>
        <v>31017</v>
      </c>
      <c r="AB85" s="1037" t="s">
        <v>2797</v>
      </c>
      <c r="AC85" s="1037" t="s">
        <v>2797</v>
      </c>
      <c r="AD85" s="1471"/>
      <c r="AE85" s="1471"/>
      <c r="AF85" s="1471"/>
      <c r="AG85" s="1476">
        <v>31017</v>
      </c>
      <c r="AH85" s="1476"/>
      <c r="AI85" s="1476">
        <v>31017</v>
      </c>
      <c r="AJ85" s="1476"/>
      <c r="AK85" s="1476" t="str">
        <f>IF(AI85&lt;=15000,"yes","no")</f>
        <v>no</v>
      </c>
      <c r="AL85" s="1476" t="str">
        <f t="shared" si="79"/>
        <v>no</v>
      </c>
      <c r="AM85" s="1476" t="str">
        <f t="shared" si="80"/>
        <v>yes</v>
      </c>
      <c r="AN85" s="1471"/>
      <c r="AO85" s="1476"/>
      <c r="AP85" s="1471"/>
      <c r="AQ85" s="1471"/>
      <c r="AR85" s="1471"/>
      <c r="AS85" s="1471"/>
      <c r="AT85" s="1471"/>
      <c r="AU85" s="1471"/>
      <c r="AV85" s="1471"/>
      <c r="AW85" s="1471"/>
      <c r="AX85" s="1471"/>
      <c r="AY85" s="1471"/>
      <c r="AZ85" s="1476"/>
      <c r="BA85" s="1476"/>
      <c r="BB85" s="1471"/>
      <c r="BC85" s="1471"/>
      <c r="BD85" s="1471"/>
      <c r="BE85" s="1471"/>
      <c r="BF85" s="1471"/>
      <c r="BG85" s="1471"/>
      <c r="BH85" s="1476">
        <f t="shared" si="59"/>
        <v>0</v>
      </c>
      <c r="BI85" s="1625">
        <f t="shared" si="60"/>
        <v>0</v>
      </c>
      <c r="BJ85" s="1471">
        <v>31017</v>
      </c>
      <c r="BK85" s="1471"/>
      <c r="BL85" s="1473"/>
      <c r="BM85" s="1489">
        <f t="shared" si="39"/>
        <v>31017</v>
      </c>
      <c r="BN85" s="1489">
        <v>31017</v>
      </c>
      <c r="BO85" s="1773">
        <f t="shared" si="81"/>
        <v>0</v>
      </c>
      <c r="BP85" s="1773">
        <v>0</v>
      </c>
      <c r="BQ85" s="1774">
        <f t="shared" si="82"/>
        <v>31017</v>
      </c>
      <c r="BZ85" s="1493"/>
      <c r="CF85" s="1795">
        <f t="shared" si="61"/>
        <v>31017</v>
      </c>
      <c r="CG85" s="1796">
        <f t="shared" si="83"/>
        <v>31017</v>
      </c>
      <c r="CH85" s="1796">
        <f t="shared" si="62"/>
        <v>0</v>
      </c>
      <c r="CN85" s="1797">
        <f t="shared" si="73"/>
        <v>31017</v>
      </c>
      <c r="CO85" s="1797">
        <f t="shared" si="45"/>
        <v>0</v>
      </c>
      <c r="CR85" s="1494">
        <f t="shared" si="64"/>
        <v>31017</v>
      </c>
      <c r="CS85" s="1797">
        <f t="shared" si="71"/>
        <v>0</v>
      </c>
      <c r="CV85" s="1678">
        <f t="shared" si="69"/>
        <v>31017</v>
      </c>
      <c r="CW85" s="1795">
        <f t="shared" si="72"/>
        <v>0</v>
      </c>
      <c r="CX85" s="1496">
        <v>0</v>
      </c>
      <c r="CY85" s="1496">
        <f t="shared" si="76"/>
        <v>31017</v>
      </c>
      <c r="CZ85" s="1496">
        <f t="shared" si="74"/>
        <v>0</v>
      </c>
      <c r="DC85" s="1747">
        <f t="shared" si="70"/>
        <v>31017</v>
      </c>
      <c r="DD85" s="1496">
        <f t="shared" si="75"/>
        <v>0</v>
      </c>
      <c r="DF85" s="1747">
        <f t="shared" si="65"/>
        <v>31017</v>
      </c>
      <c r="DI85" s="1747">
        <f t="shared" si="66"/>
        <v>31017</v>
      </c>
    </row>
    <row r="86" spans="1:113" x14ac:dyDescent="0.25">
      <c r="A86" s="1471">
        <v>1</v>
      </c>
      <c r="B86" s="480" t="s">
        <v>2221</v>
      </c>
      <c r="C86" s="480">
        <v>203905</v>
      </c>
      <c r="D86" s="480" t="s">
        <v>3427</v>
      </c>
      <c r="E86" s="1784" t="s">
        <v>1606</v>
      </c>
      <c r="F86" s="1165">
        <v>427940</v>
      </c>
      <c r="G86" s="480" t="s">
        <v>3443</v>
      </c>
      <c r="H86" s="480" t="s">
        <v>3444</v>
      </c>
      <c r="I86" s="963">
        <v>39313</v>
      </c>
      <c r="J86" s="1803">
        <v>8</v>
      </c>
      <c r="K86" s="1039">
        <f t="shared" ca="1" si="27"/>
        <v>18.094455852156056</v>
      </c>
      <c r="L86" s="963" t="s">
        <v>1886</v>
      </c>
      <c r="M86" s="963" t="s">
        <v>56</v>
      </c>
      <c r="N86" s="480" t="s">
        <v>1893</v>
      </c>
      <c r="O86" s="1362"/>
      <c r="P86" s="1362"/>
      <c r="Q86" s="1476">
        <v>15143</v>
      </c>
      <c r="R86" s="1476">
        <v>0</v>
      </c>
      <c r="S86" s="963">
        <v>45017</v>
      </c>
      <c r="T86" s="1716">
        <v>1</v>
      </c>
      <c r="U86" s="963">
        <v>45382</v>
      </c>
      <c r="V86" s="1716">
        <v>192</v>
      </c>
      <c r="W86" s="1716">
        <f t="shared" si="55"/>
        <v>192</v>
      </c>
      <c r="X86" s="1717">
        <f t="shared" si="56"/>
        <v>1</v>
      </c>
      <c r="Y86" s="1716">
        <v>1</v>
      </c>
      <c r="Z86" s="1716">
        <f t="shared" si="57"/>
        <v>1</v>
      </c>
      <c r="AA86" s="1047">
        <f t="shared" si="58"/>
        <v>15143</v>
      </c>
      <c r="AB86" s="1037" t="s">
        <v>2797</v>
      </c>
      <c r="AC86" s="1037" t="s">
        <v>2797</v>
      </c>
      <c r="AD86" s="1471"/>
      <c r="AE86" s="1471"/>
      <c r="AF86" s="1471"/>
      <c r="AG86" s="1476">
        <v>15143</v>
      </c>
      <c r="AH86" s="1476"/>
      <c r="AI86" s="1476">
        <v>15143</v>
      </c>
      <c r="AJ86" s="1476"/>
      <c r="AK86" s="1476" t="str">
        <f t="shared" si="78"/>
        <v>no</v>
      </c>
      <c r="AL86" s="1476" t="str">
        <f t="shared" si="79"/>
        <v>yes</v>
      </c>
      <c r="AM86" s="1476" t="str">
        <f t="shared" si="80"/>
        <v>no</v>
      </c>
      <c r="AN86" s="1471"/>
      <c r="AO86" s="1476"/>
      <c r="AP86" s="1471"/>
      <c r="AQ86" s="1471"/>
      <c r="AR86" s="1471"/>
      <c r="AS86" s="1471"/>
      <c r="AT86" s="1471"/>
      <c r="AU86" s="1471"/>
      <c r="AV86" s="1471"/>
      <c r="AW86" s="1471"/>
      <c r="AX86" s="1471"/>
      <c r="AY86" s="1471"/>
      <c r="AZ86" s="1476"/>
      <c r="BA86" s="1476"/>
      <c r="BB86" s="1471"/>
      <c r="BC86" s="1471"/>
      <c r="BD86" s="1471"/>
      <c r="BE86" s="1471"/>
      <c r="BF86" s="1471"/>
      <c r="BG86" s="1471"/>
      <c r="BH86" s="1476">
        <f t="shared" si="59"/>
        <v>0</v>
      </c>
      <c r="BI86" s="1625">
        <f t="shared" si="60"/>
        <v>0</v>
      </c>
      <c r="BJ86" s="1471">
        <v>15143</v>
      </c>
      <c r="BK86" s="1471"/>
      <c r="BL86" s="1473"/>
      <c r="BM86" s="1489">
        <f t="shared" si="39"/>
        <v>15143</v>
      </c>
      <c r="BN86" s="1489">
        <v>15143</v>
      </c>
      <c r="BO86" s="1773">
        <f t="shared" si="81"/>
        <v>0</v>
      </c>
      <c r="BP86" s="1773">
        <v>0</v>
      </c>
      <c r="BQ86" s="1774">
        <f t="shared" si="82"/>
        <v>15143</v>
      </c>
      <c r="BW86" s="1794" t="s">
        <v>3445</v>
      </c>
      <c r="BX86" s="1839">
        <v>45009</v>
      </c>
      <c r="BZ86" s="1877"/>
      <c r="CF86" s="1795">
        <f t="shared" si="61"/>
        <v>15143</v>
      </c>
      <c r="CG86" s="1796">
        <f t="shared" si="83"/>
        <v>15143</v>
      </c>
      <c r="CH86" s="1796">
        <f t="shared" si="62"/>
        <v>0</v>
      </c>
      <c r="CN86" s="1797">
        <f t="shared" si="73"/>
        <v>15143</v>
      </c>
      <c r="CO86" s="1797">
        <f t="shared" si="45"/>
        <v>0</v>
      </c>
      <c r="CR86" s="1494">
        <f t="shared" si="64"/>
        <v>15143</v>
      </c>
      <c r="CS86" s="1797">
        <f t="shared" si="71"/>
        <v>0</v>
      </c>
      <c r="CV86" s="1678">
        <f t="shared" si="69"/>
        <v>15143</v>
      </c>
      <c r="CW86" s="1795">
        <f t="shared" si="72"/>
        <v>0</v>
      </c>
      <c r="CX86" s="1496">
        <v>0</v>
      </c>
      <c r="CY86" s="1496">
        <f t="shared" si="76"/>
        <v>15143</v>
      </c>
      <c r="CZ86" s="1496">
        <f t="shared" si="74"/>
        <v>0</v>
      </c>
      <c r="DC86" s="1747">
        <f t="shared" si="70"/>
        <v>15143</v>
      </c>
      <c r="DD86" s="1496">
        <f t="shared" si="75"/>
        <v>0</v>
      </c>
      <c r="DF86" s="1747">
        <f t="shared" si="65"/>
        <v>15143</v>
      </c>
      <c r="DI86" s="1747">
        <f t="shared" si="66"/>
        <v>15143</v>
      </c>
    </row>
    <row r="87" spans="1:113" x14ac:dyDescent="0.25">
      <c r="A87" s="1471">
        <v>1</v>
      </c>
      <c r="B87" s="480" t="s">
        <v>2221</v>
      </c>
      <c r="C87" s="480">
        <v>203905</v>
      </c>
      <c r="D87" s="480" t="s">
        <v>3427</v>
      </c>
      <c r="E87" s="1784" t="s">
        <v>1606</v>
      </c>
      <c r="F87" s="1165">
        <v>434257</v>
      </c>
      <c r="G87" s="480" t="s">
        <v>1493</v>
      </c>
      <c r="H87" s="480" t="s">
        <v>912</v>
      </c>
      <c r="I87" s="1038">
        <v>40321</v>
      </c>
      <c r="J87" s="1803">
        <v>8</v>
      </c>
      <c r="K87" s="1039">
        <f ca="1">(TODAY()-I87)/365.25</f>
        <v>15.3347022587269</v>
      </c>
      <c r="L87" s="963" t="s">
        <v>1886</v>
      </c>
      <c r="M87" s="963" t="s">
        <v>3446</v>
      </c>
      <c r="N87" s="480" t="s">
        <v>1893</v>
      </c>
      <c r="O87" s="1362"/>
      <c r="P87" s="1362"/>
      <c r="Q87" s="1476">
        <v>15143</v>
      </c>
      <c r="R87" s="1476">
        <v>0</v>
      </c>
      <c r="S87" s="963">
        <v>45017</v>
      </c>
      <c r="T87" s="1716">
        <v>1</v>
      </c>
      <c r="U87" s="963">
        <v>45382</v>
      </c>
      <c r="V87" s="1716">
        <v>192</v>
      </c>
      <c r="W87" s="1716">
        <f t="shared" si="55"/>
        <v>192</v>
      </c>
      <c r="X87" s="1717">
        <f t="shared" si="56"/>
        <v>1</v>
      </c>
      <c r="Y87" s="1716">
        <v>1</v>
      </c>
      <c r="Z87" s="1716">
        <f t="shared" si="57"/>
        <v>1</v>
      </c>
      <c r="AA87" s="1047">
        <f t="shared" si="58"/>
        <v>15143</v>
      </c>
      <c r="AB87" s="1037" t="s">
        <v>2797</v>
      </c>
      <c r="AC87" s="1037" t="s">
        <v>2797</v>
      </c>
      <c r="AD87" s="1471"/>
      <c r="AE87" s="1471"/>
      <c r="AF87" s="1471"/>
      <c r="AG87" s="1476">
        <v>15143</v>
      </c>
      <c r="AH87" s="1476"/>
      <c r="AI87" s="1476">
        <v>15143</v>
      </c>
      <c r="AJ87" s="1476"/>
      <c r="AK87" s="1476" t="str">
        <f t="shared" si="78"/>
        <v>no</v>
      </c>
      <c r="AL87" s="1476" t="str">
        <f t="shared" si="79"/>
        <v>yes</v>
      </c>
      <c r="AM87" s="1476" t="str">
        <f t="shared" si="80"/>
        <v>no</v>
      </c>
      <c r="AN87" s="1471"/>
      <c r="AO87" s="1476"/>
      <c r="AP87" s="1471"/>
      <c r="AQ87" s="1471"/>
      <c r="AR87" s="1471"/>
      <c r="AS87" s="1471"/>
      <c r="AT87" s="1471"/>
      <c r="AU87" s="1471"/>
      <c r="AV87" s="1471"/>
      <c r="AW87" s="1471"/>
      <c r="AX87" s="1471"/>
      <c r="AY87" s="1471"/>
      <c r="AZ87" s="1476"/>
      <c r="BA87" s="1476"/>
      <c r="BB87" s="1471"/>
      <c r="BC87" s="1471"/>
      <c r="BD87" s="1471"/>
      <c r="BE87" s="1471"/>
      <c r="BF87" s="1471"/>
      <c r="BG87" s="1471"/>
      <c r="BH87" s="1476">
        <f t="shared" si="59"/>
        <v>0</v>
      </c>
      <c r="BI87" s="1625">
        <f t="shared" si="60"/>
        <v>0</v>
      </c>
      <c r="BJ87" s="1471">
        <v>15143</v>
      </c>
      <c r="BK87" s="1471"/>
      <c r="BL87" s="1473"/>
      <c r="BM87" s="1489">
        <f t="shared" si="39"/>
        <v>15143</v>
      </c>
      <c r="BN87" s="1489">
        <v>15143</v>
      </c>
      <c r="BO87" s="1773">
        <f t="shared" si="81"/>
        <v>0</v>
      </c>
      <c r="BP87" s="1773">
        <v>0</v>
      </c>
      <c r="BQ87" s="1774">
        <f t="shared" si="82"/>
        <v>15143</v>
      </c>
      <c r="BZ87" s="1493"/>
      <c r="CF87" s="1795">
        <f t="shared" si="61"/>
        <v>15143</v>
      </c>
      <c r="CG87" s="1796">
        <f t="shared" si="83"/>
        <v>15143</v>
      </c>
      <c r="CH87" s="1796">
        <f t="shared" si="62"/>
        <v>0</v>
      </c>
      <c r="CN87" s="1797">
        <f t="shared" si="73"/>
        <v>15143</v>
      </c>
      <c r="CO87" s="1797">
        <f t="shared" si="45"/>
        <v>0</v>
      </c>
      <c r="CR87" s="1494">
        <f t="shared" si="64"/>
        <v>15143</v>
      </c>
      <c r="CS87" s="1797">
        <f t="shared" si="71"/>
        <v>0</v>
      </c>
      <c r="CV87" s="1678">
        <f t="shared" si="69"/>
        <v>15143</v>
      </c>
      <c r="CW87" s="1795">
        <f t="shared" si="72"/>
        <v>0</v>
      </c>
      <c r="CX87" s="1496">
        <v>0</v>
      </c>
      <c r="CY87" s="1496">
        <f t="shared" si="76"/>
        <v>15143</v>
      </c>
      <c r="CZ87" s="1496">
        <f t="shared" si="74"/>
        <v>0</v>
      </c>
      <c r="DC87" s="1747">
        <f t="shared" si="70"/>
        <v>15143</v>
      </c>
      <c r="DD87" s="1496">
        <f t="shared" si="75"/>
        <v>0</v>
      </c>
      <c r="DF87" s="1747">
        <f t="shared" si="65"/>
        <v>15143</v>
      </c>
      <c r="DI87" s="1747">
        <f t="shared" si="66"/>
        <v>15143</v>
      </c>
    </row>
    <row r="88" spans="1:113" x14ac:dyDescent="0.25">
      <c r="A88" s="1471">
        <v>1</v>
      </c>
      <c r="B88" s="480" t="s">
        <v>2221</v>
      </c>
      <c r="C88" s="480">
        <v>203905</v>
      </c>
      <c r="D88" s="480" t="s">
        <v>3427</v>
      </c>
      <c r="E88" s="1784" t="s">
        <v>1606</v>
      </c>
      <c r="F88" s="1165">
        <v>422865</v>
      </c>
      <c r="G88" s="480" t="s">
        <v>3447</v>
      </c>
      <c r="H88" s="480" t="s">
        <v>3448</v>
      </c>
      <c r="I88" s="963">
        <v>39887</v>
      </c>
      <c r="J88" s="1803">
        <v>6</v>
      </c>
      <c r="K88" s="1039">
        <f t="shared" ca="1" si="27"/>
        <v>16.522929500342233</v>
      </c>
      <c r="L88" s="963" t="s">
        <v>1886</v>
      </c>
      <c r="M88" s="963" t="s">
        <v>56</v>
      </c>
      <c r="N88" s="480" t="s">
        <v>1894</v>
      </c>
      <c r="O88" s="1362"/>
      <c r="P88" s="1362"/>
      <c r="Q88" s="1476">
        <v>31017</v>
      </c>
      <c r="R88" s="1476">
        <v>0</v>
      </c>
      <c r="S88" s="963">
        <v>45017</v>
      </c>
      <c r="T88" s="1716">
        <v>1</v>
      </c>
      <c r="U88" s="963">
        <v>45382</v>
      </c>
      <c r="V88" s="1716">
        <v>192</v>
      </c>
      <c r="W88" s="1716">
        <f t="shared" si="55"/>
        <v>192</v>
      </c>
      <c r="X88" s="1717">
        <f t="shared" si="56"/>
        <v>1</v>
      </c>
      <c r="Y88" s="1716">
        <v>1</v>
      </c>
      <c r="Z88" s="1716">
        <f t="shared" si="57"/>
        <v>1</v>
      </c>
      <c r="AA88" s="1047">
        <f t="shared" si="58"/>
        <v>31017</v>
      </c>
      <c r="AB88" s="1037" t="s">
        <v>2797</v>
      </c>
      <c r="AC88" s="1037" t="s">
        <v>2797</v>
      </c>
      <c r="AD88" s="1471"/>
      <c r="AE88" s="1471"/>
      <c r="AF88" s="1471"/>
      <c r="AG88" s="1476">
        <v>31017</v>
      </c>
      <c r="AH88" s="1476"/>
      <c r="AI88" s="1476">
        <v>31017</v>
      </c>
      <c r="AJ88" s="1476"/>
      <c r="AK88" s="1476" t="str">
        <f t="shared" si="78"/>
        <v>no</v>
      </c>
      <c r="AL88" s="1476" t="str">
        <f t="shared" si="79"/>
        <v>no</v>
      </c>
      <c r="AM88" s="1476" t="str">
        <f t="shared" si="80"/>
        <v>yes</v>
      </c>
      <c r="AN88" s="1471"/>
      <c r="AO88" s="1476"/>
      <c r="AP88" s="1471"/>
      <c r="AQ88" s="1471"/>
      <c r="AR88" s="1471"/>
      <c r="AS88" s="1471"/>
      <c r="AT88" s="1471"/>
      <c r="AU88" s="1471"/>
      <c r="AV88" s="1471"/>
      <c r="AW88" s="1471"/>
      <c r="AX88" s="1471"/>
      <c r="AY88" s="1471"/>
      <c r="AZ88" s="1476"/>
      <c r="BA88" s="1476"/>
      <c r="BB88" s="1471"/>
      <c r="BC88" s="1471"/>
      <c r="BD88" s="1471"/>
      <c r="BE88" s="1471"/>
      <c r="BF88" s="1471"/>
      <c r="BG88" s="1471"/>
      <c r="BH88" s="1476">
        <f t="shared" si="59"/>
        <v>0</v>
      </c>
      <c r="BI88" s="1625">
        <f t="shared" si="60"/>
        <v>0</v>
      </c>
      <c r="BJ88" s="1471">
        <v>31017</v>
      </c>
      <c r="BK88" s="1471"/>
      <c r="BL88" s="1473"/>
      <c r="BM88" s="1489">
        <f t="shared" si="39"/>
        <v>31017</v>
      </c>
      <c r="BN88" s="1489">
        <v>31017</v>
      </c>
      <c r="BO88" s="1773">
        <f t="shared" si="81"/>
        <v>0</v>
      </c>
      <c r="BP88" s="1773">
        <v>0</v>
      </c>
      <c r="BQ88" s="1774">
        <f t="shared" si="82"/>
        <v>31017</v>
      </c>
      <c r="BZ88" s="1493"/>
      <c r="CF88" s="1795">
        <f t="shared" si="61"/>
        <v>31017</v>
      </c>
      <c r="CG88" s="1796">
        <f t="shared" si="83"/>
        <v>31017</v>
      </c>
      <c r="CH88" s="1796">
        <f t="shared" si="62"/>
        <v>0</v>
      </c>
      <c r="CN88" s="1797">
        <f t="shared" si="73"/>
        <v>31017</v>
      </c>
      <c r="CO88" s="1797">
        <f t="shared" si="45"/>
        <v>0</v>
      </c>
      <c r="CR88" s="1494">
        <f t="shared" si="64"/>
        <v>31017</v>
      </c>
      <c r="CS88" s="1797">
        <f t="shared" si="71"/>
        <v>0</v>
      </c>
      <c r="CV88" s="1678">
        <f t="shared" si="69"/>
        <v>31017</v>
      </c>
      <c r="CW88" s="1795">
        <f t="shared" si="72"/>
        <v>0</v>
      </c>
      <c r="CX88" s="1496">
        <v>0</v>
      </c>
      <c r="CY88" s="1496">
        <f t="shared" si="76"/>
        <v>31017</v>
      </c>
      <c r="CZ88" s="1496">
        <f t="shared" si="74"/>
        <v>0</v>
      </c>
      <c r="DC88" s="1747">
        <f t="shared" si="70"/>
        <v>31017</v>
      </c>
      <c r="DD88" s="1496">
        <f t="shared" si="75"/>
        <v>0</v>
      </c>
      <c r="DF88" s="1747">
        <f t="shared" si="65"/>
        <v>31017</v>
      </c>
      <c r="DI88" s="1747">
        <f t="shared" si="66"/>
        <v>31017</v>
      </c>
    </row>
    <row r="89" spans="1:113" x14ac:dyDescent="0.25">
      <c r="A89" s="1471">
        <v>1</v>
      </c>
      <c r="B89" s="480" t="s">
        <v>2221</v>
      </c>
      <c r="C89" s="480">
        <v>203905</v>
      </c>
      <c r="D89" s="480" t="s">
        <v>3427</v>
      </c>
      <c r="E89" s="1784" t="s">
        <v>1606</v>
      </c>
      <c r="F89" s="1165">
        <v>429542</v>
      </c>
      <c r="G89" s="480" t="s">
        <v>3449</v>
      </c>
      <c r="H89" s="480" t="s">
        <v>3450</v>
      </c>
      <c r="I89" s="1038">
        <v>42016</v>
      </c>
      <c r="J89" s="1803">
        <v>3</v>
      </c>
      <c r="K89" s="1039">
        <f ca="1">(TODAY()-I89)/365.25</f>
        <v>10.694045174537989</v>
      </c>
      <c r="L89" s="963" t="s">
        <v>1885</v>
      </c>
      <c r="M89" s="963" t="s">
        <v>56</v>
      </c>
      <c r="N89" s="480" t="s">
        <v>1894</v>
      </c>
      <c r="O89" s="1362"/>
      <c r="P89" s="1362"/>
      <c r="Q89" s="1476">
        <v>31017</v>
      </c>
      <c r="R89" s="1476">
        <v>0</v>
      </c>
      <c r="S89" s="963">
        <v>45017</v>
      </c>
      <c r="T89" s="1716">
        <v>1</v>
      </c>
      <c r="U89" s="963">
        <v>45382</v>
      </c>
      <c r="V89" s="1716">
        <v>192</v>
      </c>
      <c r="W89" s="1716">
        <f t="shared" si="55"/>
        <v>192</v>
      </c>
      <c r="X89" s="1717">
        <f t="shared" si="56"/>
        <v>1</v>
      </c>
      <c r="Y89" s="1716">
        <v>1</v>
      </c>
      <c r="Z89" s="1716">
        <f t="shared" si="57"/>
        <v>1</v>
      </c>
      <c r="AA89" s="1047">
        <f t="shared" si="58"/>
        <v>31017</v>
      </c>
      <c r="AB89" s="1037" t="s">
        <v>2797</v>
      </c>
      <c r="AC89" s="1037" t="s">
        <v>2797</v>
      </c>
      <c r="AD89" s="1471"/>
      <c r="AE89" s="1471"/>
      <c r="AF89" s="1471"/>
      <c r="AG89" s="1476">
        <v>31017</v>
      </c>
      <c r="AH89" s="1476"/>
      <c r="AI89" s="1476">
        <v>31017</v>
      </c>
      <c r="AJ89" s="1476"/>
      <c r="AK89" s="1476" t="str">
        <f t="shared" ref="AK89:AK93" si="84">IF(AI89&lt;=15000,"yes","no")</f>
        <v>no</v>
      </c>
      <c r="AL89" s="1476" t="str">
        <f t="shared" si="79"/>
        <v>no</v>
      </c>
      <c r="AM89" s="1476" t="str">
        <f t="shared" si="80"/>
        <v>yes</v>
      </c>
      <c r="AN89" s="1471"/>
      <c r="AO89" s="1476"/>
      <c r="AP89" s="1471"/>
      <c r="AQ89" s="1471"/>
      <c r="AR89" s="1471"/>
      <c r="AS89" s="1471"/>
      <c r="AT89" s="1471"/>
      <c r="AU89" s="1471"/>
      <c r="AV89" s="1471"/>
      <c r="AW89" s="1471"/>
      <c r="AX89" s="1471"/>
      <c r="AY89" s="1471"/>
      <c r="AZ89" s="1476"/>
      <c r="BA89" s="1476"/>
      <c r="BB89" s="1471"/>
      <c r="BC89" s="1471"/>
      <c r="BD89" s="1471"/>
      <c r="BE89" s="1471"/>
      <c r="BF89" s="1471"/>
      <c r="BG89" s="1471"/>
      <c r="BH89" s="1476">
        <f t="shared" si="59"/>
        <v>0</v>
      </c>
      <c r="BI89" s="1625">
        <f t="shared" si="60"/>
        <v>0</v>
      </c>
      <c r="BJ89" s="1471">
        <v>31017</v>
      </c>
      <c r="BK89" s="1471"/>
      <c r="BL89" s="1473"/>
      <c r="BM89" s="1489">
        <f t="shared" si="39"/>
        <v>31017</v>
      </c>
      <c r="BN89" s="1489">
        <v>31017</v>
      </c>
      <c r="BO89" s="1773">
        <f t="shared" si="81"/>
        <v>0</v>
      </c>
      <c r="BP89" s="1773">
        <v>0</v>
      </c>
      <c r="BQ89" s="1774">
        <f t="shared" si="82"/>
        <v>31017</v>
      </c>
      <c r="BZ89" s="1493"/>
      <c r="CF89" s="1795">
        <f t="shared" si="61"/>
        <v>31017</v>
      </c>
      <c r="CG89" s="1796">
        <f t="shared" si="83"/>
        <v>31017</v>
      </c>
      <c r="CH89" s="1796">
        <f t="shared" si="62"/>
        <v>0</v>
      </c>
      <c r="CN89" s="1797">
        <f t="shared" si="73"/>
        <v>31017</v>
      </c>
      <c r="CO89" s="1797">
        <f t="shared" si="45"/>
        <v>0</v>
      </c>
      <c r="CR89" s="1494">
        <f t="shared" si="64"/>
        <v>31017</v>
      </c>
      <c r="CS89" s="1797">
        <f t="shared" si="71"/>
        <v>0</v>
      </c>
      <c r="CV89" s="1678">
        <f t="shared" si="69"/>
        <v>31017</v>
      </c>
      <c r="CW89" s="1795">
        <f t="shared" si="72"/>
        <v>0</v>
      </c>
      <c r="CX89" s="1496">
        <v>0</v>
      </c>
      <c r="CY89" s="1496">
        <f t="shared" si="76"/>
        <v>31017</v>
      </c>
      <c r="CZ89" s="1496">
        <f t="shared" si="74"/>
        <v>0</v>
      </c>
      <c r="DC89" s="1747">
        <f t="shared" si="70"/>
        <v>31017</v>
      </c>
      <c r="DD89" s="1496">
        <f t="shared" si="75"/>
        <v>0</v>
      </c>
      <c r="DF89" s="1747">
        <f t="shared" si="65"/>
        <v>31017</v>
      </c>
      <c r="DI89" s="1747">
        <f t="shared" si="66"/>
        <v>31017</v>
      </c>
    </row>
    <row r="90" spans="1:113" x14ac:dyDescent="0.25">
      <c r="A90" s="1471">
        <v>1</v>
      </c>
      <c r="B90" s="480" t="s">
        <v>2221</v>
      </c>
      <c r="C90" s="480">
        <v>203905</v>
      </c>
      <c r="D90" s="480" t="s">
        <v>3427</v>
      </c>
      <c r="E90" s="1784" t="s">
        <v>1606</v>
      </c>
      <c r="F90" s="1165">
        <v>434606</v>
      </c>
      <c r="G90" s="480" t="s">
        <v>3451</v>
      </c>
      <c r="H90" s="480" t="s">
        <v>1042</v>
      </c>
      <c r="I90" s="1038">
        <v>43188</v>
      </c>
      <c r="J90" s="1803">
        <v>0</v>
      </c>
      <c r="K90" s="1039">
        <f ca="1">(TODAY()-I90)/365.25</f>
        <v>7.485284052019165</v>
      </c>
      <c r="L90" s="963" t="s">
        <v>1885</v>
      </c>
      <c r="M90" s="963" t="s">
        <v>56</v>
      </c>
      <c r="N90" s="480" t="s">
        <v>1894</v>
      </c>
      <c r="O90" s="1362"/>
      <c r="P90" s="1362"/>
      <c r="Q90" s="1476">
        <v>31017</v>
      </c>
      <c r="R90" s="1476">
        <v>0</v>
      </c>
      <c r="S90" s="963">
        <v>45017</v>
      </c>
      <c r="T90" s="1716">
        <v>1</v>
      </c>
      <c r="U90" s="963">
        <v>45382</v>
      </c>
      <c r="V90" s="1716">
        <v>192</v>
      </c>
      <c r="W90" s="1716">
        <f t="shared" si="55"/>
        <v>192</v>
      </c>
      <c r="X90" s="1717">
        <f t="shared" si="56"/>
        <v>1</v>
      </c>
      <c r="Y90" s="1716">
        <v>1</v>
      </c>
      <c r="Z90" s="1716">
        <f t="shared" si="57"/>
        <v>1</v>
      </c>
      <c r="AA90" s="1047">
        <f t="shared" si="58"/>
        <v>31017</v>
      </c>
      <c r="AB90" s="1037" t="s">
        <v>2797</v>
      </c>
      <c r="AC90" s="1037" t="s">
        <v>2797</v>
      </c>
      <c r="AD90" s="1471"/>
      <c r="AE90" s="1471"/>
      <c r="AF90" s="1471"/>
      <c r="AG90" s="1476">
        <v>31017</v>
      </c>
      <c r="AH90" s="1476"/>
      <c r="AI90" s="1476">
        <v>31017</v>
      </c>
      <c r="AJ90" s="1476"/>
      <c r="AK90" s="1476" t="str">
        <f t="shared" si="84"/>
        <v>no</v>
      </c>
      <c r="AL90" s="1476" t="str">
        <f t="shared" si="79"/>
        <v>no</v>
      </c>
      <c r="AM90" s="1476" t="str">
        <f t="shared" si="80"/>
        <v>yes</v>
      </c>
      <c r="AN90" s="1471"/>
      <c r="AO90" s="1476"/>
      <c r="AP90" s="1471"/>
      <c r="AQ90" s="1471"/>
      <c r="AR90" s="1471"/>
      <c r="AS90" s="1471"/>
      <c r="AT90" s="1471"/>
      <c r="AU90" s="1471"/>
      <c r="AV90" s="1471"/>
      <c r="AW90" s="1471"/>
      <c r="AX90" s="1471"/>
      <c r="AY90" s="1471"/>
      <c r="AZ90" s="1476"/>
      <c r="BA90" s="1476"/>
      <c r="BB90" s="1471"/>
      <c r="BC90" s="1471"/>
      <c r="BD90" s="1471"/>
      <c r="BE90" s="1471"/>
      <c r="BF90" s="1471"/>
      <c r="BG90" s="1471"/>
      <c r="BH90" s="1476">
        <f t="shared" si="59"/>
        <v>0</v>
      </c>
      <c r="BI90" s="1625">
        <f t="shared" si="60"/>
        <v>0</v>
      </c>
      <c r="BJ90" s="1471">
        <v>31017</v>
      </c>
      <c r="BK90" s="1471"/>
      <c r="BL90" s="1473"/>
      <c r="BM90" s="1489">
        <f t="shared" si="39"/>
        <v>31017</v>
      </c>
      <c r="BN90" s="1489">
        <v>31017</v>
      </c>
      <c r="BO90" s="1773">
        <f t="shared" si="81"/>
        <v>0</v>
      </c>
      <c r="BP90" s="1773">
        <v>0</v>
      </c>
      <c r="BQ90" s="1774">
        <f t="shared" si="82"/>
        <v>31017</v>
      </c>
      <c r="BZ90" s="1493"/>
      <c r="CF90" s="1795">
        <f t="shared" si="61"/>
        <v>31017</v>
      </c>
      <c r="CG90" s="1796">
        <f t="shared" si="83"/>
        <v>31017</v>
      </c>
      <c r="CH90" s="1796">
        <f t="shared" si="62"/>
        <v>0</v>
      </c>
      <c r="CN90" s="1797">
        <f t="shared" si="73"/>
        <v>31017</v>
      </c>
      <c r="CO90" s="1797">
        <f t="shared" si="45"/>
        <v>0</v>
      </c>
      <c r="CR90" s="1494">
        <f t="shared" si="64"/>
        <v>31017</v>
      </c>
      <c r="CS90" s="1797">
        <f t="shared" si="71"/>
        <v>0</v>
      </c>
      <c r="CV90" s="1678">
        <f t="shared" si="69"/>
        <v>31017</v>
      </c>
      <c r="CW90" s="1795">
        <f t="shared" si="72"/>
        <v>0</v>
      </c>
      <c r="CX90" s="1496">
        <v>0</v>
      </c>
      <c r="CY90" s="1496">
        <f t="shared" si="76"/>
        <v>31017</v>
      </c>
      <c r="CZ90" s="1496">
        <f t="shared" si="74"/>
        <v>0</v>
      </c>
      <c r="DC90" s="1747">
        <f t="shared" si="70"/>
        <v>31017</v>
      </c>
      <c r="DD90" s="1496">
        <f t="shared" si="75"/>
        <v>0</v>
      </c>
      <c r="DF90" s="1747">
        <f t="shared" si="65"/>
        <v>31017</v>
      </c>
      <c r="DI90" s="1747">
        <f t="shared" si="66"/>
        <v>31017</v>
      </c>
    </row>
    <row r="91" spans="1:113" x14ac:dyDescent="0.25">
      <c r="A91" s="1471">
        <v>1</v>
      </c>
      <c r="B91" s="480" t="s">
        <v>2221</v>
      </c>
      <c r="C91" s="480">
        <v>203905</v>
      </c>
      <c r="D91" s="480" t="s">
        <v>3427</v>
      </c>
      <c r="E91" s="1784" t="s">
        <v>1606</v>
      </c>
      <c r="F91" s="1165">
        <v>432652</v>
      </c>
      <c r="G91" s="480" t="s">
        <v>1319</v>
      </c>
      <c r="H91" s="480" t="s">
        <v>427</v>
      </c>
      <c r="I91" s="1038">
        <v>42861</v>
      </c>
      <c r="J91" s="1044">
        <v>1</v>
      </c>
      <c r="K91" s="1039">
        <f ca="1">(TODAY()-I91)/365.25</f>
        <v>8.3805612594113619</v>
      </c>
      <c r="L91" s="963" t="s">
        <v>1885</v>
      </c>
      <c r="M91" s="963" t="s">
        <v>3435</v>
      </c>
      <c r="N91" s="480" t="s">
        <v>91</v>
      </c>
      <c r="O91" s="1362">
        <v>29038</v>
      </c>
      <c r="P91" s="1362"/>
      <c r="Q91" s="1476">
        <v>20810</v>
      </c>
      <c r="R91" s="1476">
        <v>0</v>
      </c>
      <c r="S91" s="963">
        <v>45173</v>
      </c>
      <c r="T91" s="1716">
        <v>66</v>
      </c>
      <c r="U91" s="963">
        <v>45382</v>
      </c>
      <c r="V91" s="1716">
        <v>192</v>
      </c>
      <c r="W91" s="1716">
        <f t="shared" si="55"/>
        <v>127</v>
      </c>
      <c r="X91" s="1717">
        <f t="shared" si="56"/>
        <v>0.66145833333333337</v>
      </c>
      <c r="Y91" s="1716">
        <v>1</v>
      </c>
      <c r="Z91" s="1716">
        <f t="shared" si="57"/>
        <v>0.66145833333333337</v>
      </c>
      <c r="AA91" s="1047">
        <f t="shared" si="58"/>
        <v>13764.947916666668</v>
      </c>
      <c r="AB91" s="1037" t="s">
        <v>2797</v>
      </c>
      <c r="AC91" s="1037" t="s">
        <v>2797</v>
      </c>
      <c r="AD91" s="1471"/>
      <c r="AE91" s="1471"/>
      <c r="AF91" s="1471"/>
      <c r="AG91" s="1476"/>
      <c r="AH91" s="1476"/>
      <c r="AI91" s="1476"/>
      <c r="AJ91" s="1476"/>
      <c r="AK91" s="1476"/>
      <c r="AL91" s="1476"/>
      <c r="AM91" s="1476"/>
      <c r="AN91" s="1471"/>
      <c r="AO91" s="1476"/>
      <c r="AP91" s="1471"/>
      <c r="AQ91" s="1471"/>
      <c r="AR91" s="1471"/>
      <c r="AS91" s="1471"/>
      <c r="AT91" s="1471"/>
      <c r="AU91" s="1471"/>
      <c r="AV91" s="1471"/>
      <c r="AW91" s="1471"/>
      <c r="AX91" s="1471"/>
      <c r="AY91" s="1471"/>
      <c r="AZ91" s="1476"/>
      <c r="BA91" s="1476"/>
      <c r="BB91" s="1471"/>
      <c r="BC91" s="1471"/>
      <c r="BD91" s="1471"/>
      <c r="BE91" s="1471"/>
      <c r="BF91" s="1471"/>
      <c r="BG91" s="1471"/>
      <c r="BH91" s="1476"/>
      <c r="BI91" s="1625"/>
      <c r="BJ91" s="1471">
        <v>0</v>
      </c>
      <c r="BK91" s="1471"/>
      <c r="BL91" s="1473"/>
      <c r="BM91" s="1489"/>
      <c r="BN91" s="1489"/>
      <c r="BO91" s="1773"/>
      <c r="BP91" s="1773"/>
      <c r="BQ91" s="1774"/>
      <c r="BZ91" s="1493"/>
      <c r="CF91" s="1795"/>
      <c r="CG91" s="1796"/>
      <c r="CH91" s="1796"/>
      <c r="CN91" s="1797"/>
      <c r="CO91" s="1797"/>
      <c r="CR91" s="1494"/>
      <c r="CS91" s="1797"/>
      <c r="CT91" s="1652">
        <f>Q91</f>
        <v>20810</v>
      </c>
      <c r="CV91" s="1678">
        <f t="shared" si="69"/>
        <v>20810</v>
      </c>
      <c r="CW91" s="1795">
        <f t="shared" si="72"/>
        <v>20810</v>
      </c>
      <c r="CX91" s="1496">
        <v>-1300</v>
      </c>
      <c r="CY91" s="1496">
        <f t="shared" si="76"/>
        <v>19510</v>
      </c>
      <c r="CZ91" s="1496">
        <f t="shared" si="74"/>
        <v>-1300</v>
      </c>
      <c r="DB91" s="1798">
        <v>0</v>
      </c>
      <c r="DC91" s="1747">
        <f t="shared" si="70"/>
        <v>19510</v>
      </c>
      <c r="DD91" s="1496">
        <f t="shared" si="75"/>
        <v>0</v>
      </c>
      <c r="DF91" s="1747">
        <f t="shared" si="65"/>
        <v>19510</v>
      </c>
      <c r="DI91" s="1747">
        <f t="shared" si="66"/>
        <v>19510</v>
      </c>
    </row>
    <row r="92" spans="1:113" x14ac:dyDescent="0.25">
      <c r="A92" s="1471">
        <v>1</v>
      </c>
      <c r="B92" s="480" t="s">
        <v>2221</v>
      </c>
      <c r="C92" s="480">
        <v>203905</v>
      </c>
      <c r="D92" s="480" t="s">
        <v>3427</v>
      </c>
      <c r="E92" s="1784" t="s">
        <v>1606</v>
      </c>
      <c r="F92" s="1165">
        <v>427904</v>
      </c>
      <c r="G92" s="480" t="s">
        <v>3452</v>
      </c>
      <c r="H92" s="480" t="s">
        <v>427</v>
      </c>
      <c r="I92" s="1038">
        <v>42010</v>
      </c>
      <c r="J92" s="1803">
        <v>3</v>
      </c>
      <c r="K92" s="1039">
        <f t="shared" ca="1" si="27"/>
        <v>10.710472279260781</v>
      </c>
      <c r="L92" s="963" t="s">
        <v>1885</v>
      </c>
      <c r="M92" s="963" t="s">
        <v>56</v>
      </c>
      <c r="N92" s="480" t="s">
        <v>1893</v>
      </c>
      <c r="O92" s="1362"/>
      <c r="P92" s="1362"/>
      <c r="Q92" s="1476">
        <v>15143</v>
      </c>
      <c r="R92" s="1476">
        <v>0</v>
      </c>
      <c r="S92" s="963">
        <v>45017</v>
      </c>
      <c r="T92" s="1716">
        <v>1</v>
      </c>
      <c r="U92" s="963">
        <v>45382</v>
      </c>
      <c r="V92" s="1716">
        <v>192</v>
      </c>
      <c r="W92" s="1716">
        <f t="shared" si="55"/>
        <v>192</v>
      </c>
      <c r="X92" s="1717">
        <f t="shared" si="56"/>
        <v>1</v>
      </c>
      <c r="Y92" s="1716">
        <v>1</v>
      </c>
      <c r="Z92" s="1716">
        <f t="shared" si="57"/>
        <v>1</v>
      </c>
      <c r="AA92" s="1047">
        <f t="shared" si="58"/>
        <v>15143</v>
      </c>
      <c r="AB92" s="1037" t="s">
        <v>2797</v>
      </c>
      <c r="AC92" s="1037" t="s">
        <v>2797</v>
      </c>
      <c r="AD92" s="1471"/>
      <c r="AE92" s="1471"/>
      <c r="AF92" s="1471"/>
      <c r="AG92" s="1476">
        <v>15143</v>
      </c>
      <c r="AH92" s="1476"/>
      <c r="AI92" s="1476">
        <v>15143</v>
      </c>
      <c r="AJ92" s="1476"/>
      <c r="AK92" s="1476" t="str">
        <f t="shared" si="84"/>
        <v>no</v>
      </c>
      <c r="AL92" s="1476" t="str">
        <f t="shared" si="79"/>
        <v>yes</v>
      </c>
      <c r="AM92" s="1476" t="str">
        <f t="shared" si="80"/>
        <v>no</v>
      </c>
      <c r="AN92" s="1471"/>
      <c r="AO92" s="1476"/>
      <c r="AP92" s="1471"/>
      <c r="AQ92" s="1471"/>
      <c r="AR92" s="1471"/>
      <c r="AS92" s="1471"/>
      <c r="AT92" s="1471"/>
      <c r="AU92" s="1471"/>
      <c r="AV92" s="1471"/>
      <c r="AW92" s="1471"/>
      <c r="AX92" s="1471"/>
      <c r="AY92" s="1471"/>
      <c r="AZ92" s="1476"/>
      <c r="BA92" s="1476"/>
      <c r="BB92" s="1471"/>
      <c r="BC92" s="1471"/>
      <c r="BD92" s="1471"/>
      <c r="BE92" s="1471"/>
      <c r="BF92" s="1471"/>
      <c r="BG92" s="1471"/>
      <c r="BH92" s="1476">
        <f>AO92+AS92+AW92</f>
        <v>0</v>
      </c>
      <c r="BI92" s="1625">
        <f>BC92</f>
        <v>0</v>
      </c>
      <c r="BJ92" s="1471">
        <v>15143</v>
      </c>
      <c r="BK92" s="1471"/>
      <c r="BL92" s="1473"/>
      <c r="BM92" s="1489">
        <f t="shared" si="39"/>
        <v>15143</v>
      </c>
      <c r="BN92" s="1489">
        <v>15143</v>
      </c>
      <c r="BO92" s="1773">
        <f t="shared" si="81"/>
        <v>0</v>
      </c>
      <c r="BP92" s="1773">
        <v>0</v>
      </c>
      <c r="BQ92" s="1774">
        <f t="shared" si="82"/>
        <v>15143</v>
      </c>
      <c r="BZ92" s="1493"/>
      <c r="CF92" s="1795">
        <f>BQ92+CB92+CD92</f>
        <v>15143</v>
      </c>
      <c r="CG92" s="1796">
        <f t="shared" si="83"/>
        <v>15143</v>
      </c>
      <c r="CH92" s="1796">
        <f>CG92-BQ92</f>
        <v>0</v>
      </c>
      <c r="CN92" s="1797">
        <f t="shared" si="73"/>
        <v>15143</v>
      </c>
      <c r="CO92" s="1797">
        <f t="shared" si="45"/>
        <v>0</v>
      </c>
      <c r="CR92" s="1494">
        <f t="shared" si="64"/>
        <v>15143</v>
      </c>
      <c r="CS92" s="1797">
        <f t="shared" si="71"/>
        <v>0</v>
      </c>
      <c r="CV92" s="1678">
        <f t="shared" si="69"/>
        <v>15143</v>
      </c>
      <c r="CW92" s="1795">
        <f t="shared" si="72"/>
        <v>0</v>
      </c>
      <c r="CX92" s="1496">
        <v>0</v>
      </c>
      <c r="CY92" s="1496">
        <f t="shared" si="76"/>
        <v>15143</v>
      </c>
      <c r="CZ92" s="1496">
        <f t="shared" si="74"/>
        <v>0</v>
      </c>
      <c r="DC92" s="1747">
        <f t="shared" si="70"/>
        <v>15143</v>
      </c>
      <c r="DD92" s="1496">
        <f t="shared" si="75"/>
        <v>0</v>
      </c>
      <c r="DF92" s="1747">
        <f t="shared" si="65"/>
        <v>15143</v>
      </c>
      <c r="DI92" s="1747">
        <f t="shared" si="66"/>
        <v>15143</v>
      </c>
    </row>
    <row r="93" spans="1:113" x14ac:dyDescent="0.25">
      <c r="A93" s="1471">
        <v>1</v>
      </c>
      <c r="B93" s="480" t="s">
        <v>2221</v>
      </c>
      <c r="C93" s="480">
        <v>203905</v>
      </c>
      <c r="D93" s="480" t="s">
        <v>3427</v>
      </c>
      <c r="E93" s="1784" t="s">
        <v>1606</v>
      </c>
      <c r="F93" s="1165">
        <v>437773</v>
      </c>
      <c r="G93" s="480" t="s">
        <v>1627</v>
      </c>
      <c r="H93" s="480" t="s">
        <v>3453</v>
      </c>
      <c r="I93" s="1038">
        <v>43100</v>
      </c>
      <c r="J93" s="1803">
        <v>0</v>
      </c>
      <c r="K93" s="1039">
        <f ca="1">(TODAY()-I93)/365.25</f>
        <v>7.7262149212867897</v>
      </c>
      <c r="L93" s="963" t="s">
        <v>1885</v>
      </c>
      <c r="M93" s="963" t="s">
        <v>3435</v>
      </c>
      <c r="N93" s="480" t="s">
        <v>1894</v>
      </c>
      <c r="O93" s="1362"/>
      <c r="P93" s="1362"/>
      <c r="Q93" s="1476">
        <v>31017</v>
      </c>
      <c r="R93" s="1476">
        <v>0</v>
      </c>
      <c r="S93" s="963">
        <v>45017</v>
      </c>
      <c r="T93" s="1716">
        <v>1</v>
      </c>
      <c r="U93" s="963">
        <v>45382</v>
      </c>
      <c r="V93" s="1716">
        <v>192</v>
      </c>
      <c r="W93" s="1716">
        <f t="shared" si="55"/>
        <v>192</v>
      </c>
      <c r="X93" s="1717">
        <f t="shared" si="56"/>
        <v>1</v>
      </c>
      <c r="Y93" s="1716">
        <v>1</v>
      </c>
      <c r="Z93" s="1716">
        <f t="shared" si="57"/>
        <v>1</v>
      </c>
      <c r="AA93" s="1047">
        <f t="shared" si="58"/>
        <v>31017</v>
      </c>
      <c r="AB93" s="1037" t="s">
        <v>2797</v>
      </c>
      <c r="AC93" s="1037" t="s">
        <v>2797</v>
      </c>
      <c r="AD93" s="1471"/>
      <c r="AE93" s="1471"/>
      <c r="AF93" s="1471"/>
      <c r="AG93" s="1476">
        <v>31017</v>
      </c>
      <c r="AH93" s="1476"/>
      <c r="AI93" s="1476">
        <v>31017</v>
      </c>
      <c r="AJ93" s="1476"/>
      <c r="AK93" s="1476" t="str">
        <f t="shared" si="84"/>
        <v>no</v>
      </c>
      <c r="AL93" s="1476" t="str">
        <f t="shared" si="79"/>
        <v>no</v>
      </c>
      <c r="AM93" s="1476" t="str">
        <f t="shared" si="80"/>
        <v>yes</v>
      </c>
      <c r="AN93" s="1471"/>
      <c r="AO93" s="1476"/>
      <c r="AP93" s="1471"/>
      <c r="AQ93" s="1471"/>
      <c r="AR93" s="1471"/>
      <c r="AS93" s="1471"/>
      <c r="AT93" s="1471"/>
      <c r="AU93" s="1471"/>
      <c r="AV93" s="1471"/>
      <c r="AW93" s="1471"/>
      <c r="AX93" s="1471"/>
      <c r="AY93" s="1471"/>
      <c r="AZ93" s="1476"/>
      <c r="BA93" s="1476"/>
      <c r="BB93" s="1471"/>
      <c r="BC93" s="1471"/>
      <c r="BD93" s="1471"/>
      <c r="BE93" s="1471"/>
      <c r="BF93" s="1471"/>
      <c r="BG93" s="1471"/>
      <c r="BH93" s="1476">
        <f>AO93+AS93+AW93</f>
        <v>0</v>
      </c>
      <c r="BI93" s="1625">
        <f>BC93</f>
        <v>0</v>
      </c>
      <c r="BJ93" s="1471">
        <v>31017</v>
      </c>
      <c r="BK93" s="1471"/>
      <c r="BL93" s="1473"/>
      <c r="BM93" s="1489">
        <f t="shared" si="39"/>
        <v>31017</v>
      </c>
      <c r="BN93" s="1489">
        <v>31017</v>
      </c>
      <c r="BO93" s="1773">
        <f t="shared" si="81"/>
        <v>0</v>
      </c>
      <c r="BP93" s="1773">
        <v>0</v>
      </c>
      <c r="BQ93" s="1774">
        <f t="shared" si="82"/>
        <v>31017</v>
      </c>
      <c r="BZ93" s="1493"/>
      <c r="CF93" s="1795">
        <f>BQ93+CB93+CD93</f>
        <v>31017</v>
      </c>
      <c r="CG93" s="1796">
        <f t="shared" si="83"/>
        <v>31017</v>
      </c>
      <c r="CH93" s="1796">
        <f>CG93-BQ93</f>
        <v>0</v>
      </c>
      <c r="CN93" s="1797">
        <f t="shared" si="73"/>
        <v>31017</v>
      </c>
      <c r="CO93" s="1797">
        <f t="shared" si="45"/>
        <v>0</v>
      </c>
      <c r="CR93" s="1494">
        <f t="shared" si="64"/>
        <v>31017</v>
      </c>
      <c r="CS93" s="1797">
        <f t="shared" si="71"/>
        <v>0</v>
      </c>
      <c r="CV93" s="1678">
        <f t="shared" si="69"/>
        <v>31017</v>
      </c>
      <c r="CW93" s="1795">
        <f t="shared" si="72"/>
        <v>0</v>
      </c>
      <c r="CX93" s="1496">
        <v>0</v>
      </c>
      <c r="CY93" s="1496">
        <f t="shared" si="76"/>
        <v>31017</v>
      </c>
      <c r="CZ93" s="1496">
        <f t="shared" si="74"/>
        <v>0</v>
      </c>
      <c r="DC93" s="1747">
        <f t="shared" si="70"/>
        <v>31017</v>
      </c>
      <c r="DD93" s="1496">
        <f t="shared" si="75"/>
        <v>0</v>
      </c>
      <c r="DF93" s="1747">
        <f t="shared" si="65"/>
        <v>31017</v>
      </c>
      <c r="DI93" s="1747">
        <f t="shared" si="66"/>
        <v>31017</v>
      </c>
    </row>
    <row r="94" spans="1:113" x14ac:dyDescent="0.25">
      <c r="A94" s="1471">
        <v>1</v>
      </c>
      <c r="B94" s="480" t="s">
        <v>2221</v>
      </c>
      <c r="C94" s="480">
        <v>203905</v>
      </c>
      <c r="D94" s="480" t="s">
        <v>3427</v>
      </c>
      <c r="E94" s="1784" t="s">
        <v>1606</v>
      </c>
      <c r="F94" s="1165">
        <v>415134</v>
      </c>
      <c r="G94" s="480" t="s">
        <v>3454</v>
      </c>
      <c r="H94" s="480" t="s">
        <v>3455</v>
      </c>
      <c r="I94" s="1038">
        <v>37968</v>
      </c>
      <c r="J94" s="1803">
        <v>13</v>
      </c>
      <c r="K94" s="1039">
        <f t="shared" ca="1" si="27"/>
        <v>21.776865160848732</v>
      </c>
      <c r="L94" s="963" t="s">
        <v>270</v>
      </c>
      <c r="M94" s="963" t="s">
        <v>56</v>
      </c>
      <c r="N94" s="480" t="s">
        <v>1893</v>
      </c>
      <c r="O94" s="1362"/>
      <c r="P94" s="1362"/>
      <c r="Q94" s="1476">
        <v>15143</v>
      </c>
      <c r="R94" s="1476">
        <v>0</v>
      </c>
      <c r="S94" s="963">
        <v>45017</v>
      </c>
      <c r="T94" s="1716">
        <v>1</v>
      </c>
      <c r="U94" s="963">
        <v>45382</v>
      </c>
      <c r="V94" s="1716">
        <v>192</v>
      </c>
      <c r="W94" s="1716">
        <f t="shared" si="55"/>
        <v>192</v>
      </c>
      <c r="X94" s="1717">
        <f t="shared" si="56"/>
        <v>1</v>
      </c>
      <c r="Y94" s="1716">
        <v>1</v>
      </c>
      <c r="Z94" s="1716">
        <f t="shared" si="57"/>
        <v>1</v>
      </c>
      <c r="AA94" s="1047">
        <f t="shared" si="58"/>
        <v>15143</v>
      </c>
      <c r="AB94" s="1037" t="s">
        <v>2797</v>
      </c>
      <c r="AC94" s="1037" t="s">
        <v>2797</v>
      </c>
      <c r="AD94" s="1471"/>
      <c r="AE94" s="1471"/>
      <c r="AF94" s="1471"/>
      <c r="AG94" s="1476">
        <v>15143</v>
      </c>
      <c r="AH94" s="1476"/>
      <c r="AI94" s="1476">
        <v>15143</v>
      </c>
      <c r="AJ94" s="1476"/>
      <c r="AK94" s="1476" t="str">
        <f t="shared" si="78"/>
        <v>no</v>
      </c>
      <c r="AL94" s="1476" t="str">
        <f t="shared" si="79"/>
        <v>yes</v>
      </c>
      <c r="AM94" s="1476" t="str">
        <f t="shared" si="80"/>
        <v>no</v>
      </c>
      <c r="AN94" s="1471"/>
      <c r="AO94" s="1476"/>
      <c r="AP94" s="1471"/>
      <c r="AQ94" s="1471"/>
      <c r="AR94" s="1471"/>
      <c r="AS94" s="1471"/>
      <c r="AT94" s="1471"/>
      <c r="AU94" s="1471"/>
      <c r="AV94" s="1471"/>
      <c r="AW94" s="1471"/>
      <c r="AX94" s="1471"/>
      <c r="AY94" s="1471"/>
      <c r="AZ94" s="1476"/>
      <c r="BA94" s="1476"/>
      <c r="BB94" s="1471"/>
      <c r="BC94" s="1471"/>
      <c r="BD94" s="1471"/>
      <c r="BE94" s="1471"/>
      <c r="BF94" s="1471"/>
      <c r="BG94" s="1471"/>
      <c r="BH94" s="1476">
        <f>AO94+AS94+AW94</f>
        <v>0</v>
      </c>
      <c r="BI94" s="1625">
        <f>BC94</f>
        <v>0</v>
      </c>
      <c r="BJ94" s="1471">
        <v>15143</v>
      </c>
      <c r="BK94" s="1471"/>
      <c r="BL94" s="1473"/>
      <c r="BM94" s="1489">
        <f t="shared" si="39"/>
        <v>15143</v>
      </c>
      <c r="BN94" s="1489">
        <v>15143</v>
      </c>
      <c r="BO94" s="1773">
        <f t="shared" si="81"/>
        <v>0</v>
      </c>
      <c r="BP94" s="1773">
        <v>0</v>
      </c>
      <c r="BQ94" s="1774">
        <f t="shared" si="82"/>
        <v>15143</v>
      </c>
      <c r="BZ94" s="1493"/>
      <c r="CF94" s="1795">
        <f>BQ94+CB94+CD94</f>
        <v>15143</v>
      </c>
      <c r="CG94" s="1796">
        <f t="shared" si="83"/>
        <v>15143</v>
      </c>
      <c r="CH94" s="1796">
        <f>CG94-BQ94</f>
        <v>0</v>
      </c>
      <c r="CN94" s="1797">
        <f t="shared" si="73"/>
        <v>15143</v>
      </c>
      <c r="CO94" s="1797">
        <f t="shared" si="45"/>
        <v>0</v>
      </c>
      <c r="CR94" s="1494">
        <f t="shared" si="64"/>
        <v>15143</v>
      </c>
      <c r="CS94" s="1797">
        <f t="shared" si="71"/>
        <v>0</v>
      </c>
      <c r="CV94" s="1678">
        <f t="shared" si="69"/>
        <v>15143</v>
      </c>
      <c r="CW94" s="1795">
        <f t="shared" si="72"/>
        <v>0</v>
      </c>
      <c r="CX94" s="1496">
        <v>0</v>
      </c>
      <c r="CY94" s="1496">
        <f t="shared" si="76"/>
        <v>15143</v>
      </c>
      <c r="CZ94" s="1496">
        <f t="shared" si="74"/>
        <v>0</v>
      </c>
      <c r="DC94" s="1747">
        <f t="shared" si="70"/>
        <v>15143</v>
      </c>
      <c r="DD94" s="1496">
        <f t="shared" si="75"/>
        <v>0</v>
      </c>
      <c r="DF94" s="1747">
        <f t="shared" si="65"/>
        <v>15143</v>
      </c>
      <c r="DI94" s="1747">
        <f t="shared" si="66"/>
        <v>15143</v>
      </c>
    </row>
    <row r="95" spans="1:113" x14ac:dyDescent="0.25">
      <c r="A95" s="1471">
        <v>1</v>
      </c>
      <c r="B95" s="480" t="s">
        <v>3138</v>
      </c>
      <c r="C95" s="480">
        <v>203787</v>
      </c>
      <c r="D95" s="480" t="s">
        <v>3456</v>
      </c>
      <c r="E95" s="1784" t="s">
        <v>1876</v>
      </c>
      <c r="F95" s="1165">
        <v>402096</v>
      </c>
      <c r="G95" s="480" t="s">
        <v>1632</v>
      </c>
      <c r="H95" s="480" t="s">
        <v>935</v>
      </c>
      <c r="I95" s="1038">
        <v>41279</v>
      </c>
      <c r="J95" s="1803">
        <v>5</v>
      </c>
      <c r="K95" s="1039">
        <f t="shared" ref="K95:K130" ca="1" si="85">(TODAY()-I95)/365.25</f>
        <v>12.711841204654347</v>
      </c>
      <c r="L95" s="963" t="s">
        <v>1885</v>
      </c>
      <c r="M95" s="963" t="s">
        <v>43</v>
      </c>
      <c r="N95" s="480"/>
      <c r="O95" s="1362">
        <v>27009.82</v>
      </c>
      <c r="P95" s="1362"/>
      <c r="Q95" s="1476">
        <v>27010</v>
      </c>
      <c r="R95" s="1476">
        <v>0</v>
      </c>
      <c r="S95" s="963">
        <v>45017</v>
      </c>
      <c r="T95" s="1716">
        <v>1</v>
      </c>
      <c r="U95" s="963">
        <v>45382</v>
      </c>
      <c r="V95" s="1716">
        <v>192</v>
      </c>
      <c r="W95" s="1716">
        <f t="shared" si="55"/>
        <v>192</v>
      </c>
      <c r="X95" s="1717">
        <f t="shared" si="56"/>
        <v>1</v>
      </c>
      <c r="Y95" s="1716">
        <v>1</v>
      </c>
      <c r="Z95" s="1716">
        <f t="shared" si="57"/>
        <v>1</v>
      </c>
      <c r="AA95" s="1047">
        <f t="shared" si="58"/>
        <v>27010</v>
      </c>
      <c r="AB95" s="1037" t="s">
        <v>2797</v>
      </c>
      <c r="AC95" s="1037" t="s">
        <v>2797</v>
      </c>
      <c r="AD95" s="1471"/>
      <c r="AE95" s="1471"/>
      <c r="AF95" s="1471"/>
      <c r="AG95" s="1476">
        <v>27010</v>
      </c>
      <c r="AH95" s="1476"/>
      <c r="AI95" s="1476">
        <v>27010</v>
      </c>
      <c r="AJ95" s="1476"/>
      <c r="AK95" s="1476" t="str">
        <f t="shared" ref="AK95" si="86">IF(AI95&lt;=15000,"yes","no")</f>
        <v>no</v>
      </c>
      <c r="AL95" s="1476" t="str">
        <f t="shared" si="79"/>
        <v>no</v>
      </c>
      <c r="AM95" s="1476" t="str">
        <f t="shared" si="80"/>
        <v>yes</v>
      </c>
      <c r="AN95" s="1471" t="s">
        <v>3457</v>
      </c>
      <c r="AO95" s="1476">
        <v>8390</v>
      </c>
      <c r="AP95" s="1477">
        <v>45044</v>
      </c>
      <c r="AQ95" s="1471"/>
      <c r="AR95" s="1471"/>
      <c r="AS95" s="1471"/>
      <c r="AT95" s="1471"/>
      <c r="AU95" s="1471"/>
      <c r="AV95" s="1471"/>
      <c r="AW95" s="1471"/>
      <c r="AX95" s="1471"/>
      <c r="AY95" s="1471"/>
      <c r="AZ95" s="1476"/>
      <c r="BA95" s="1476"/>
      <c r="BB95" s="1471"/>
      <c r="BC95" s="1471"/>
      <c r="BD95" s="1471">
        <v>8071671</v>
      </c>
      <c r="BE95" s="1471"/>
      <c r="BF95" s="1471"/>
      <c r="BG95" s="1471"/>
      <c r="BH95" s="1476">
        <v>0</v>
      </c>
      <c r="BI95" s="1625">
        <f>BC95</f>
        <v>0</v>
      </c>
      <c r="BJ95" s="1471">
        <v>27010</v>
      </c>
      <c r="BK95" s="1471"/>
      <c r="BL95" s="1473"/>
      <c r="BM95" s="1489">
        <f t="shared" si="39"/>
        <v>27010</v>
      </c>
      <c r="BN95" s="1489">
        <v>27010</v>
      </c>
      <c r="BO95" s="1773">
        <f t="shared" si="81"/>
        <v>0</v>
      </c>
      <c r="BP95" s="1773">
        <v>0</v>
      </c>
      <c r="BQ95" s="1774">
        <f t="shared" si="82"/>
        <v>27010</v>
      </c>
      <c r="BZ95" s="1493"/>
      <c r="CF95" s="1795">
        <f>BQ95+CB95+CD95</f>
        <v>27010</v>
      </c>
      <c r="CG95" s="1796">
        <f t="shared" si="83"/>
        <v>27010</v>
      </c>
      <c r="CH95" s="1796">
        <f>CG95-BQ95</f>
        <v>0</v>
      </c>
      <c r="CN95" s="1797">
        <f t="shared" si="73"/>
        <v>27010</v>
      </c>
      <c r="CO95" s="1797">
        <f t="shared" si="45"/>
        <v>0</v>
      </c>
      <c r="CR95" s="1494">
        <f t="shared" si="64"/>
        <v>27010</v>
      </c>
      <c r="CS95" s="1797">
        <f t="shared" si="71"/>
        <v>0</v>
      </c>
      <c r="CV95" s="1678">
        <f t="shared" si="69"/>
        <v>27010</v>
      </c>
      <c r="CW95" s="1795">
        <f t="shared" si="72"/>
        <v>0</v>
      </c>
      <c r="CX95" s="1496">
        <v>0</v>
      </c>
      <c r="CY95" s="1496">
        <f>CV95+CX95</f>
        <v>27010</v>
      </c>
      <c r="CZ95" s="1496">
        <f t="shared" si="74"/>
        <v>0</v>
      </c>
      <c r="DC95" s="1747">
        <f t="shared" si="70"/>
        <v>27010</v>
      </c>
      <c r="DD95" s="1496">
        <f t="shared" si="75"/>
        <v>0</v>
      </c>
      <c r="DF95" s="1747">
        <f t="shared" si="65"/>
        <v>27010</v>
      </c>
      <c r="DI95" s="1747">
        <f t="shared" si="66"/>
        <v>27010</v>
      </c>
    </row>
    <row r="96" spans="1:113" x14ac:dyDescent="0.25">
      <c r="A96" s="1471">
        <v>1</v>
      </c>
      <c r="B96" s="480" t="s">
        <v>3414</v>
      </c>
      <c r="C96" s="480"/>
      <c r="D96" s="480" t="s">
        <v>3458</v>
      </c>
      <c r="E96" s="1784" t="s">
        <v>1606</v>
      </c>
      <c r="F96" s="1165">
        <v>454716</v>
      </c>
      <c r="G96" s="480" t="s">
        <v>3416</v>
      </c>
      <c r="H96" s="480" t="s">
        <v>151</v>
      </c>
      <c r="I96" s="963">
        <v>41023</v>
      </c>
      <c r="J96" s="1044"/>
      <c r="K96" s="1039">
        <f t="shared" ca="1" si="85"/>
        <v>13.412731006160165</v>
      </c>
      <c r="L96" s="963" t="s">
        <v>1886</v>
      </c>
      <c r="M96" s="963" t="s">
        <v>56</v>
      </c>
      <c r="N96" s="480"/>
      <c r="O96" s="1362">
        <v>15000</v>
      </c>
      <c r="P96" s="1362"/>
      <c r="Q96" s="1476">
        <v>10000</v>
      </c>
      <c r="R96" s="1476"/>
      <c r="S96" s="963">
        <v>45170</v>
      </c>
      <c r="T96" s="1716">
        <v>65</v>
      </c>
      <c r="U96" s="963">
        <v>45382</v>
      </c>
      <c r="V96" s="1716">
        <v>192</v>
      </c>
      <c r="W96" s="1716">
        <f t="shared" si="55"/>
        <v>128</v>
      </c>
      <c r="X96" s="1717">
        <f t="shared" si="56"/>
        <v>0.66666666666666663</v>
      </c>
      <c r="Y96" s="1716">
        <v>1</v>
      </c>
      <c r="Z96" s="1716">
        <f t="shared" si="57"/>
        <v>0.66666666666666663</v>
      </c>
      <c r="AA96" s="1047">
        <f t="shared" si="58"/>
        <v>6666.6666666666661</v>
      </c>
      <c r="AB96" s="1037" t="s">
        <v>2797</v>
      </c>
      <c r="AC96" s="1037" t="s">
        <v>2797</v>
      </c>
      <c r="AD96" s="1471"/>
      <c r="AE96" s="1471"/>
      <c r="AF96" s="1471"/>
      <c r="AG96" s="1476"/>
      <c r="AH96" s="1476"/>
      <c r="AI96" s="1476"/>
      <c r="AJ96" s="1476"/>
      <c r="AK96" s="1476"/>
      <c r="AL96" s="1476"/>
      <c r="AM96" s="1476"/>
      <c r="AN96" s="1471"/>
      <c r="AO96" s="1476"/>
      <c r="AP96" s="1477"/>
      <c r="AQ96" s="1471"/>
      <c r="AR96" s="1471"/>
      <c r="AS96" s="1471"/>
      <c r="AT96" s="1471"/>
      <c r="AU96" s="1471"/>
      <c r="AV96" s="1471"/>
      <c r="AW96" s="1471"/>
      <c r="AX96" s="1471"/>
      <c r="AY96" s="1471"/>
      <c r="AZ96" s="1476"/>
      <c r="BA96" s="1476"/>
      <c r="BB96" s="1471"/>
      <c r="BC96" s="1471"/>
      <c r="BD96" s="1471"/>
      <c r="BE96" s="1471"/>
      <c r="BF96" s="1471"/>
      <c r="BG96" s="1471"/>
      <c r="BH96" s="1476"/>
      <c r="BI96" s="1473"/>
      <c r="BJ96" s="1471">
        <v>0</v>
      </c>
      <c r="BK96" s="1471"/>
      <c r="BL96" s="1473"/>
      <c r="BM96" s="1489"/>
      <c r="BN96" s="1489"/>
      <c r="BO96" s="1773"/>
      <c r="BP96" s="1773"/>
      <c r="BQ96" s="1774"/>
      <c r="BZ96" s="1493"/>
      <c r="CF96" s="1795"/>
      <c r="CG96" s="1796"/>
      <c r="CH96" s="1796"/>
      <c r="CN96" s="1797"/>
      <c r="CO96" s="1797"/>
      <c r="CR96" s="1494"/>
      <c r="CS96" s="1797"/>
      <c r="CT96" s="1652">
        <f>Q96</f>
        <v>10000</v>
      </c>
      <c r="CV96" s="1678">
        <f t="shared" si="69"/>
        <v>10000</v>
      </c>
      <c r="CW96" s="1795">
        <f t="shared" si="72"/>
        <v>10000</v>
      </c>
      <c r="CX96" s="1496">
        <v>0</v>
      </c>
      <c r="CY96" s="1496">
        <f>CV96+CX96</f>
        <v>10000</v>
      </c>
      <c r="CZ96" s="1496">
        <f t="shared" si="74"/>
        <v>0</v>
      </c>
      <c r="DB96" s="1798">
        <v>0</v>
      </c>
      <c r="DC96" s="1747">
        <f t="shared" si="70"/>
        <v>10000</v>
      </c>
      <c r="DD96" s="1496">
        <f t="shared" si="75"/>
        <v>0</v>
      </c>
      <c r="DF96" s="1747">
        <f t="shared" si="65"/>
        <v>10000</v>
      </c>
      <c r="DI96" s="1747">
        <f t="shared" si="66"/>
        <v>10000</v>
      </c>
    </row>
    <row r="97" spans="1:113" x14ac:dyDescent="0.25">
      <c r="A97" s="1471">
        <v>1</v>
      </c>
      <c r="B97" s="480" t="s">
        <v>3459</v>
      </c>
      <c r="C97" s="480">
        <v>201260</v>
      </c>
      <c r="D97" s="480" t="s">
        <v>3460</v>
      </c>
      <c r="E97" s="1784" t="s">
        <v>1606</v>
      </c>
      <c r="F97" s="1165">
        <v>364942</v>
      </c>
      <c r="G97" s="480" t="s">
        <v>3461</v>
      </c>
      <c r="H97" s="480" t="s">
        <v>1034</v>
      </c>
      <c r="I97" s="1038">
        <v>38839</v>
      </c>
      <c r="J97" s="1803">
        <v>9</v>
      </c>
      <c r="K97" s="1039">
        <f t="shared" ca="1" si="85"/>
        <v>19.392197125256672</v>
      </c>
      <c r="L97" s="963" t="s">
        <v>1886</v>
      </c>
      <c r="M97" s="963" t="s">
        <v>56</v>
      </c>
      <c r="N97" s="480" t="s">
        <v>1892</v>
      </c>
      <c r="O97" s="1362"/>
      <c r="P97" s="1362"/>
      <c r="Q97" s="1476">
        <v>6270</v>
      </c>
      <c r="R97" s="1476">
        <v>0</v>
      </c>
      <c r="S97" s="963">
        <v>45017</v>
      </c>
      <c r="T97" s="1716">
        <v>1</v>
      </c>
      <c r="U97" s="963">
        <v>45382</v>
      </c>
      <c r="V97" s="1716">
        <v>192</v>
      </c>
      <c r="W97" s="1716">
        <f t="shared" si="55"/>
        <v>192</v>
      </c>
      <c r="X97" s="1717">
        <f t="shared" si="56"/>
        <v>1</v>
      </c>
      <c r="Y97" s="1716">
        <v>1</v>
      </c>
      <c r="Z97" s="1716">
        <f t="shared" si="57"/>
        <v>1</v>
      </c>
      <c r="AA97" s="1047">
        <f t="shared" si="58"/>
        <v>6270</v>
      </c>
      <c r="AB97" s="1037" t="s">
        <v>2797</v>
      </c>
      <c r="AC97" s="1037" t="s">
        <v>2797</v>
      </c>
      <c r="AD97" s="1471"/>
      <c r="AE97" s="1471"/>
      <c r="AF97" s="1471"/>
      <c r="AG97" s="1476">
        <v>6270</v>
      </c>
      <c r="AH97" s="1476"/>
      <c r="AI97" s="1476">
        <v>6270</v>
      </c>
      <c r="AJ97" s="1476"/>
      <c r="AK97" s="1476" t="str">
        <f t="shared" si="78"/>
        <v>yes</v>
      </c>
      <c r="AL97" s="1476" t="str">
        <f t="shared" si="79"/>
        <v>no</v>
      </c>
      <c r="AM97" s="1476" t="str">
        <f t="shared" si="80"/>
        <v>no</v>
      </c>
      <c r="AN97" s="1471"/>
      <c r="AO97" s="1476"/>
      <c r="AP97" s="1471"/>
      <c r="AQ97" s="1471"/>
      <c r="AR97" s="1471"/>
      <c r="AS97" s="1471"/>
      <c r="AT97" s="1471"/>
      <c r="AU97" s="1471"/>
      <c r="AV97" s="1471"/>
      <c r="AW97" s="1471"/>
      <c r="AX97" s="1471"/>
      <c r="AY97" s="1471"/>
      <c r="AZ97" s="1206"/>
      <c r="BA97" s="1881"/>
      <c r="BB97" s="1471"/>
      <c r="BC97" s="1471"/>
      <c r="BD97" s="1471"/>
      <c r="BE97" s="1471"/>
      <c r="BF97" s="1471"/>
      <c r="BG97" s="1471"/>
      <c r="BH97" s="1476">
        <f>AO97+AS97+AW97</f>
        <v>0</v>
      </c>
      <c r="BI97" s="1625">
        <f>BC97</f>
        <v>0</v>
      </c>
      <c r="BJ97" s="1471">
        <v>6270</v>
      </c>
      <c r="BK97" s="1471"/>
      <c r="BL97" s="1473"/>
      <c r="BM97" s="1489">
        <f t="shared" si="39"/>
        <v>6270</v>
      </c>
      <c r="BN97" s="1489">
        <v>6270</v>
      </c>
      <c r="BO97" s="1773">
        <f t="shared" si="81"/>
        <v>0</v>
      </c>
      <c r="BP97" s="1773">
        <v>0</v>
      </c>
      <c r="BQ97" s="1774">
        <f t="shared" si="82"/>
        <v>6270</v>
      </c>
      <c r="BZ97" s="1493"/>
      <c r="CF97" s="1795">
        <f t="shared" ref="CF97:CF110" si="87">BQ97+CB97+CD97</f>
        <v>6270</v>
      </c>
      <c r="CG97" s="1796">
        <f t="shared" si="83"/>
        <v>6270</v>
      </c>
      <c r="CH97" s="1796">
        <f t="shared" ref="CH97:CH110" si="88">CG97-BQ97</f>
        <v>0</v>
      </c>
      <c r="CN97" s="1797">
        <f t="shared" si="73"/>
        <v>6270</v>
      </c>
      <c r="CO97" s="1797">
        <f t="shared" si="45"/>
        <v>0</v>
      </c>
      <c r="CR97" s="1494">
        <f t="shared" si="64"/>
        <v>6270</v>
      </c>
      <c r="CS97" s="1797">
        <f t="shared" si="71"/>
        <v>0</v>
      </c>
      <c r="CV97" s="1678">
        <f t="shared" si="69"/>
        <v>6270</v>
      </c>
      <c r="CW97" s="1795">
        <f t="shared" si="72"/>
        <v>0</v>
      </c>
      <c r="CX97" s="1496">
        <v>-3851</v>
      </c>
      <c r="CY97" s="1496">
        <f>CV97+CX97</f>
        <v>2419</v>
      </c>
      <c r="CZ97" s="1496">
        <f t="shared" si="74"/>
        <v>-3851</v>
      </c>
      <c r="DC97" s="1747">
        <f t="shared" si="70"/>
        <v>2419</v>
      </c>
      <c r="DD97" s="1496">
        <f t="shared" si="75"/>
        <v>0</v>
      </c>
      <c r="DF97" s="1747">
        <f t="shared" si="65"/>
        <v>2419</v>
      </c>
      <c r="DI97" s="1747">
        <f t="shared" si="66"/>
        <v>2419</v>
      </c>
    </row>
    <row r="98" spans="1:113" x14ac:dyDescent="0.25">
      <c r="A98" s="1471">
        <v>1</v>
      </c>
      <c r="B98" s="480" t="s">
        <v>3459</v>
      </c>
      <c r="C98" s="480">
        <v>201260</v>
      </c>
      <c r="D98" s="480" t="s">
        <v>3460</v>
      </c>
      <c r="E98" s="1784" t="s">
        <v>1606</v>
      </c>
      <c r="F98" s="1165">
        <v>449623</v>
      </c>
      <c r="G98" s="480" t="s">
        <v>3462</v>
      </c>
      <c r="H98" s="480" t="s">
        <v>556</v>
      </c>
      <c r="I98" s="1038">
        <v>40225</v>
      </c>
      <c r="J98" s="1803">
        <v>8</v>
      </c>
      <c r="K98" s="1039">
        <f t="shared" ca="1" si="85"/>
        <v>15.597535934291582</v>
      </c>
      <c r="L98" s="963" t="s">
        <v>1886</v>
      </c>
      <c r="M98" s="963" t="s">
        <v>3463</v>
      </c>
      <c r="N98" s="480"/>
      <c r="O98" s="1362">
        <v>20000</v>
      </c>
      <c r="P98" s="1362"/>
      <c r="Q98" s="1476">
        <v>20000</v>
      </c>
      <c r="R98" s="1476">
        <v>0</v>
      </c>
      <c r="S98" s="963">
        <v>45017</v>
      </c>
      <c r="T98" s="1716">
        <v>1</v>
      </c>
      <c r="U98" s="963">
        <v>45382</v>
      </c>
      <c r="V98" s="1716">
        <v>192</v>
      </c>
      <c r="W98" s="1716">
        <f t="shared" si="55"/>
        <v>192</v>
      </c>
      <c r="X98" s="1717">
        <f t="shared" si="56"/>
        <v>1</v>
      </c>
      <c r="Y98" s="1716">
        <v>1</v>
      </c>
      <c r="Z98" s="1716">
        <f t="shared" si="57"/>
        <v>1</v>
      </c>
      <c r="AA98" s="1047">
        <f t="shared" si="58"/>
        <v>20000</v>
      </c>
      <c r="AB98" s="1037" t="s">
        <v>2797</v>
      </c>
      <c r="AC98" s="1037" t="s">
        <v>2797</v>
      </c>
      <c r="AD98" s="1471"/>
      <c r="AE98" s="1471"/>
      <c r="AF98" s="1471"/>
      <c r="AG98" s="1476">
        <v>20000</v>
      </c>
      <c r="AH98" s="1476"/>
      <c r="AI98" s="1476">
        <v>20000</v>
      </c>
      <c r="AJ98" s="1476"/>
      <c r="AK98" s="1476" t="str">
        <f t="shared" si="78"/>
        <v>no</v>
      </c>
      <c r="AL98" s="1476" t="str">
        <f t="shared" si="79"/>
        <v>yes</v>
      </c>
      <c r="AM98" s="1476" t="str">
        <f t="shared" si="80"/>
        <v>no</v>
      </c>
      <c r="AN98" s="1471"/>
      <c r="AO98" s="1476"/>
      <c r="AP98" s="1471"/>
      <c r="AQ98" s="1471"/>
      <c r="AR98" s="1471"/>
      <c r="AS98" s="1471"/>
      <c r="AT98" s="1471"/>
      <c r="AU98" s="1471"/>
      <c r="AV98" s="1471"/>
      <c r="AW98" s="1471"/>
      <c r="AX98" s="1471"/>
      <c r="AY98" s="1471"/>
      <c r="AZ98" s="1476"/>
      <c r="BA98" s="1476"/>
      <c r="BB98" s="1471"/>
      <c r="BC98" s="1471"/>
      <c r="BD98" s="1471"/>
      <c r="BE98" s="1471"/>
      <c r="BF98" s="1471"/>
      <c r="BG98" s="1471"/>
      <c r="BH98" s="1476">
        <f>AO98+AS98+AW98</f>
        <v>0</v>
      </c>
      <c r="BI98" s="1625">
        <f>BC98</f>
        <v>0</v>
      </c>
      <c r="BJ98" s="1471">
        <v>20000</v>
      </c>
      <c r="BK98" s="1471"/>
      <c r="BL98" s="1473"/>
      <c r="BM98" s="1489">
        <f t="shared" si="39"/>
        <v>20000</v>
      </c>
      <c r="BN98" s="1489">
        <v>20000</v>
      </c>
      <c r="BO98" s="1773">
        <f t="shared" si="81"/>
        <v>0</v>
      </c>
      <c r="BP98" s="1773">
        <v>0</v>
      </c>
      <c r="BQ98" s="1774">
        <f t="shared" si="82"/>
        <v>20000</v>
      </c>
      <c r="BZ98" s="1493"/>
      <c r="CF98" s="1795">
        <f t="shared" si="87"/>
        <v>20000</v>
      </c>
      <c r="CG98" s="1796">
        <f t="shared" si="83"/>
        <v>20000</v>
      </c>
      <c r="CH98" s="1796">
        <f t="shared" si="88"/>
        <v>0</v>
      </c>
      <c r="CN98" s="1797">
        <f t="shared" si="73"/>
        <v>20000</v>
      </c>
      <c r="CO98" s="1797">
        <f t="shared" si="45"/>
        <v>0</v>
      </c>
      <c r="CR98" s="1494">
        <f t="shared" si="64"/>
        <v>20000</v>
      </c>
      <c r="CS98" s="1797">
        <f t="shared" si="71"/>
        <v>0</v>
      </c>
      <c r="CV98" s="1678">
        <f t="shared" si="69"/>
        <v>20000</v>
      </c>
      <c r="CW98" s="1795">
        <f t="shared" si="72"/>
        <v>0</v>
      </c>
      <c r="CX98" s="1496">
        <v>0</v>
      </c>
      <c r="CY98" s="1496">
        <f t="shared" ref="CY98:CY115" si="89">CV98+CX98</f>
        <v>20000</v>
      </c>
      <c r="CZ98" s="1496">
        <f t="shared" si="74"/>
        <v>0</v>
      </c>
      <c r="DC98" s="1747">
        <f t="shared" si="70"/>
        <v>20000</v>
      </c>
      <c r="DD98" s="1496">
        <f t="shared" si="75"/>
        <v>0</v>
      </c>
      <c r="DF98" s="1747">
        <f t="shared" si="65"/>
        <v>20000</v>
      </c>
      <c r="DI98" s="1747">
        <f t="shared" si="66"/>
        <v>20000</v>
      </c>
    </row>
    <row r="99" spans="1:113" x14ac:dyDescent="0.25">
      <c r="A99" s="1471">
        <v>1</v>
      </c>
      <c r="B99" s="480" t="s">
        <v>3459</v>
      </c>
      <c r="C99" s="480">
        <v>201260</v>
      </c>
      <c r="D99" s="480" t="s">
        <v>3460</v>
      </c>
      <c r="E99" s="1784" t="s">
        <v>1606</v>
      </c>
      <c r="F99" s="1165">
        <v>383030</v>
      </c>
      <c r="G99" s="480" t="s">
        <v>1625</v>
      </c>
      <c r="H99" s="480" t="s">
        <v>3464</v>
      </c>
      <c r="I99" s="1038">
        <v>40015</v>
      </c>
      <c r="J99" s="1803">
        <v>6</v>
      </c>
      <c r="K99" s="1039">
        <f t="shared" ca="1" si="85"/>
        <v>16.172484599589321</v>
      </c>
      <c r="L99" s="963" t="s">
        <v>1886</v>
      </c>
      <c r="M99" s="963" t="s">
        <v>43</v>
      </c>
      <c r="N99" s="480" t="s">
        <v>3465</v>
      </c>
      <c r="O99" s="1362"/>
      <c r="P99" s="1362"/>
      <c r="Q99" s="1476">
        <v>15675</v>
      </c>
      <c r="R99" s="1476">
        <v>0</v>
      </c>
      <c r="S99" s="963">
        <v>45017</v>
      </c>
      <c r="T99" s="1716">
        <v>1</v>
      </c>
      <c r="U99" s="963">
        <v>45382</v>
      </c>
      <c r="V99" s="1716">
        <v>192</v>
      </c>
      <c r="W99" s="1716">
        <f t="shared" si="55"/>
        <v>192</v>
      </c>
      <c r="X99" s="1717">
        <f t="shared" si="56"/>
        <v>1</v>
      </c>
      <c r="Y99" s="1716">
        <v>1</v>
      </c>
      <c r="Z99" s="1716">
        <f t="shared" si="57"/>
        <v>1</v>
      </c>
      <c r="AA99" s="1047">
        <f t="shared" si="58"/>
        <v>15675</v>
      </c>
      <c r="AB99" s="1037" t="s">
        <v>2797</v>
      </c>
      <c r="AC99" s="1037" t="s">
        <v>2797</v>
      </c>
      <c r="AD99" s="1471"/>
      <c r="AE99" s="1471"/>
      <c r="AF99" s="1471"/>
      <c r="AG99" s="1476">
        <v>15675</v>
      </c>
      <c r="AH99" s="1476"/>
      <c r="AI99" s="1476">
        <v>15675</v>
      </c>
      <c r="AJ99" s="1476"/>
      <c r="AK99" s="1476" t="str">
        <f t="shared" si="78"/>
        <v>no</v>
      </c>
      <c r="AL99" s="1476" t="str">
        <f t="shared" si="79"/>
        <v>yes</v>
      </c>
      <c r="AM99" s="1476" t="str">
        <f t="shared" si="80"/>
        <v>no</v>
      </c>
      <c r="AN99" s="1471"/>
      <c r="AO99" s="1476"/>
      <c r="AP99" s="1471"/>
      <c r="AQ99" s="1471"/>
      <c r="AR99" s="1471"/>
      <c r="AS99" s="1471"/>
      <c r="AT99" s="1471"/>
      <c r="AU99" s="1471"/>
      <c r="AV99" s="1471"/>
      <c r="AW99" s="1471"/>
      <c r="AX99" s="1471"/>
      <c r="AY99" s="1471"/>
      <c r="AZ99" s="1476"/>
      <c r="BA99" s="1476"/>
      <c r="BB99" s="1471"/>
      <c r="BC99" s="1471"/>
      <c r="BD99" s="1471"/>
      <c r="BE99" s="1471"/>
      <c r="BF99" s="1471"/>
      <c r="BG99" s="1471"/>
      <c r="BH99" s="1476">
        <f>AO99+AS99+AW99</f>
        <v>0</v>
      </c>
      <c r="BI99" s="1625">
        <f>BC99</f>
        <v>0</v>
      </c>
      <c r="BJ99" s="1471">
        <v>15675</v>
      </c>
      <c r="BK99" s="1471"/>
      <c r="BL99" s="1473"/>
      <c r="BM99" s="1489">
        <f t="shared" si="39"/>
        <v>15675</v>
      </c>
      <c r="BN99" s="1489">
        <v>15675</v>
      </c>
      <c r="BO99" s="1773">
        <f t="shared" si="81"/>
        <v>0</v>
      </c>
      <c r="BP99" s="1773">
        <v>0</v>
      </c>
      <c r="BQ99" s="1774">
        <f t="shared" si="82"/>
        <v>15675</v>
      </c>
      <c r="BZ99" s="1493"/>
      <c r="CF99" s="1795">
        <f t="shared" si="87"/>
        <v>15675</v>
      </c>
      <c r="CG99" s="1796">
        <f t="shared" si="83"/>
        <v>15675</v>
      </c>
      <c r="CH99" s="1796">
        <f t="shared" si="88"/>
        <v>0</v>
      </c>
      <c r="CN99" s="1797">
        <f t="shared" si="73"/>
        <v>15675</v>
      </c>
      <c r="CO99" s="1797">
        <f t="shared" si="45"/>
        <v>0</v>
      </c>
      <c r="CR99" s="1494">
        <f t="shared" si="64"/>
        <v>15675</v>
      </c>
      <c r="CS99" s="1797">
        <f t="shared" si="71"/>
        <v>0</v>
      </c>
      <c r="CV99" s="1678">
        <f t="shared" si="69"/>
        <v>15675</v>
      </c>
      <c r="CW99" s="1795">
        <f t="shared" si="72"/>
        <v>0</v>
      </c>
      <c r="CX99" s="1496">
        <v>10372</v>
      </c>
      <c r="CY99" s="1496">
        <f t="shared" si="89"/>
        <v>26047</v>
      </c>
      <c r="CZ99" s="1496">
        <f t="shared" si="74"/>
        <v>10372</v>
      </c>
      <c r="DC99" s="1747">
        <f t="shared" si="70"/>
        <v>26047</v>
      </c>
      <c r="DD99" s="1496">
        <f t="shared" si="75"/>
        <v>0</v>
      </c>
      <c r="DF99" s="1747">
        <f t="shared" si="65"/>
        <v>26047</v>
      </c>
      <c r="DI99" s="1747">
        <f t="shared" si="66"/>
        <v>26047</v>
      </c>
    </row>
    <row r="100" spans="1:113" hidden="1" x14ac:dyDescent="0.25">
      <c r="A100" s="1471">
        <v>0</v>
      </c>
      <c r="B100" s="480" t="s">
        <v>3459</v>
      </c>
      <c r="C100" s="480">
        <v>201260</v>
      </c>
      <c r="D100" s="480" t="s">
        <v>3460</v>
      </c>
      <c r="E100" s="1784" t="s">
        <v>1606</v>
      </c>
      <c r="F100" s="1165">
        <v>432578</v>
      </c>
      <c r="G100" s="480" t="s">
        <v>3466</v>
      </c>
      <c r="H100" s="480" t="s">
        <v>3467</v>
      </c>
      <c r="I100" s="1038">
        <v>39620</v>
      </c>
      <c r="J100" s="1803"/>
      <c r="K100" s="1039">
        <f t="shared" ca="1" si="85"/>
        <v>17.253935660506503</v>
      </c>
      <c r="L100" s="963" t="s">
        <v>1886</v>
      </c>
      <c r="M100" s="963" t="s">
        <v>56</v>
      </c>
      <c r="N100" s="480"/>
      <c r="O100" s="1362"/>
      <c r="P100" s="1362"/>
      <c r="Q100" s="1476"/>
      <c r="R100" s="1476"/>
      <c r="S100" s="963"/>
      <c r="T100" s="1716" t="e">
        <v>#N/A</v>
      </c>
      <c r="U100" s="963"/>
      <c r="V100" s="1716" t="e">
        <v>#N/A</v>
      </c>
      <c r="W100" s="1716" t="e">
        <f t="shared" si="55"/>
        <v>#N/A</v>
      </c>
      <c r="X100" s="1717" t="e">
        <f t="shared" si="56"/>
        <v>#N/A</v>
      </c>
      <c r="Y100" s="1716">
        <v>1</v>
      </c>
      <c r="Z100" s="1716" t="e">
        <f t="shared" si="57"/>
        <v>#N/A</v>
      </c>
      <c r="AA100" s="1047" t="e">
        <f t="shared" si="58"/>
        <v>#N/A</v>
      </c>
      <c r="AB100" s="1037" t="s">
        <v>2797</v>
      </c>
      <c r="AC100" s="1037" t="s">
        <v>2797</v>
      </c>
      <c r="AD100" s="1471"/>
      <c r="AE100" s="1471"/>
      <c r="AF100" s="1471"/>
      <c r="AG100" s="1476"/>
      <c r="AH100" s="1476"/>
      <c r="AI100" s="1476"/>
      <c r="AJ100" s="1476"/>
      <c r="AK100" s="1476" t="str">
        <f t="shared" si="78"/>
        <v>yes</v>
      </c>
      <c r="AL100" s="1476" t="str">
        <f t="shared" si="79"/>
        <v>no</v>
      </c>
      <c r="AM100" s="1476" t="str">
        <f t="shared" si="80"/>
        <v>no</v>
      </c>
      <c r="AN100" s="1471"/>
      <c r="AO100" s="1476"/>
      <c r="AP100" s="1471"/>
      <c r="AQ100" s="1471"/>
      <c r="AR100" s="1471"/>
      <c r="AS100" s="1471"/>
      <c r="AT100" s="1471"/>
      <c r="AU100" s="1471"/>
      <c r="AV100" s="1471"/>
      <c r="AW100" s="1471"/>
      <c r="AX100" s="1471"/>
      <c r="AY100" s="1471"/>
      <c r="AZ100" s="1487">
        <v>23895</v>
      </c>
      <c r="BA100" s="1476"/>
      <c r="BB100" s="1471"/>
      <c r="BC100" s="1471"/>
      <c r="BD100" s="1471"/>
      <c r="BE100" s="1471"/>
      <c r="BF100" s="1471"/>
      <c r="BG100" s="1471"/>
      <c r="BH100" s="1476">
        <v>0</v>
      </c>
      <c r="BI100" s="1473">
        <v>0</v>
      </c>
      <c r="BJ100" s="1471">
        <v>0</v>
      </c>
      <c r="BK100" s="1471"/>
      <c r="BL100" s="1793">
        <v>23895</v>
      </c>
      <c r="BM100" s="1489">
        <f>BJ100+BK100-BL100</f>
        <v>-23895</v>
      </c>
      <c r="BN100" s="1489">
        <v>-23895</v>
      </c>
      <c r="BO100" s="1773">
        <f t="shared" si="81"/>
        <v>0</v>
      </c>
      <c r="BP100" s="1773">
        <v>0</v>
      </c>
      <c r="BQ100" s="1774">
        <f t="shared" si="82"/>
        <v>-23895</v>
      </c>
      <c r="BZ100" s="1493"/>
      <c r="CF100" s="1795">
        <f t="shared" si="87"/>
        <v>-23895</v>
      </c>
      <c r="CG100" s="1796">
        <f t="shared" si="83"/>
        <v>-23895</v>
      </c>
      <c r="CH100" s="1796">
        <f t="shared" si="88"/>
        <v>0</v>
      </c>
      <c r="CI100" s="1490" t="s">
        <v>3468</v>
      </c>
      <c r="CN100" s="1797">
        <f t="shared" si="73"/>
        <v>-23895</v>
      </c>
      <c r="CO100" s="1797">
        <f t="shared" si="45"/>
        <v>0</v>
      </c>
      <c r="CR100" s="1494">
        <f t="shared" ref="CR100:CR131" si="90">CN100+CP100</f>
        <v>-23895</v>
      </c>
      <c r="CS100" s="1797">
        <f t="shared" si="71"/>
        <v>0</v>
      </c>
      <c r="CV100" s="1678">
        <v>0</v>
      </c>
      <c r="CW100" s="1795">
        <f t="shared" si="72"/>
        <v>23895</v>
      </c>
      <c r="CX100" s="1496">
        <v>0</v>
      </c>
      <c r="CY100" s="1496">
        <v>0</v>
      </c>
      <c r="CZ100" s="1496">
        <f t="shared" si="74"/>
        <v>0</v>
      </c>
      <c r="DC100" s="1747">
        <f t="shared" si="70"/>
        <v>0</v>
      </c>
      <c r="DD100" s="1496">
        <f t="shared" si="75"/>
        <v>0</v>
      </c>
      <c r="DF100" s="1747">
        <f t="shared" si="65"/>
        <v>0</v>
      </c>
      <c r="DI100" s="1747">
        <f t="shared" si="66"/>
        <v>0</v>
      </c>
    </row>
    <row r="101" spans="1:113" x14ac:dyDescent="0.25">
      <c r="A101" s="1471">
        <v>1</v>
      </c>
      <c r="B101" s="480" t="s">
        <v>3459</v>
      </c>
      <c r="C101" s="480">
        <v>201260</v>
      </c>
      <c r="D101" s="480" t="s">
        <v>3460</v>
      </c>
      <c r="E101" s="1784" t="s">
        <v>1606</v>
      </c>
      <c r="F101" s="1165">
        <v>371832</v>
      </c>
      <c r="G101" s="480" t="s">
        <v>1252</v>
      </c>
      <c r="H101" s="480" t="s">
        <v>3469</v>
      </c>
      <c r="I101" s="963">
        <v>39250</v>
      </c>
      <c r="J101" s="1803">
        <v>8</v>
      </c>
      <c r="K101" s="1039">
        <f t="shared" ca="1" si="85"/>
        <v>18.266940451745381</v>
      </c>
      <c r="L101" s="963" t="s">
        <v>1886</v>
      </c>
      <c r="M101" s="963" t="s">
        <v>43</v>
      </c>
      <c r="N101" s="480" t="s">
        <v>1895</v>
      </c>
      <c r="O101" s="1362"/>
      <c r="P101" s="1362"/>
      <c r="Q101" s="1476">
        <v>10450</v>
      </c>
      <c r="R101" s="1476">
        <v>0</v>
      </c>
      <c r="S101" s="963">
        <v>45017</v>
      </c>
      <c r="T101" s="1716">
        <v>1</v>
      </c>
      <c r="U101" s="963">
        <v>45382</v>
      </c>
      <c r="V101" s="1716">
        <v>192</v>
      </c>
      <c r="W101" s="1716">
        <f t="shared" si="55"/>
        <v>192</v>
      </c>
      <c r="X101" s="1717">
        <f t="shared" si="56"/>
        <v>1</v>
      </c>
      <c r="Y101" s="1716">
        <v>1</v>
      </c>
      <c r="Z101" s="1716">
        <f t="shared" si="57"/>
        <v>1</v>
      </c>
      <c r="AA101" s="1047">
        <f t="shared" si="58"/>
        <v>10450</v>
      </c>
      <c r="AB101" s="1037" t="s">
        <v>2797</v>
      </c>
      <c r="AC101" s="1037" t="s">
        <v>2797</v>
      </c>
      <c r="AD101" s="1471"/>
      <c r="AE101" s="1471"/>
      <c r="AF101" s="1471"/>
      <c r="AG101" s="1476">
        <v>10450</v>
      </c>
      <c r="AH101" s="1476"/>
      <c r="AI101" s="1476">
        <v>10450</v>
      </c>
      <c r="AJ101" s="1476"/>
      <c r="AK101" s="1476" t="str">
        <f t="shared" si="78"/>
        <v>yes</v>
      </c>
      <c r="AL101" s="1476" t="str">
        <f t="shared" si="79"/>
        <v>no</v>
      </c>
      <c r="AM101" s="1476" t="str">
        <f t="shared" si="80"/>
        <v>no</v>
      </c>
      <c r="AN101" s="1471"/>
      <c r="AO101" s="1476"/>
      <c r="AP101" s="1471"/>
      <c r="AQ101" s="1471"/>
      <c r="AR101" s="1471"/>
      <c r="AS101" s="1471"/>
      <c r="AT101" s="1471"/>
      <c r="AU101" s="1471"/>
      <c r="AV101" s="1471"/>
      <c r="AW101" s="1471"/>
      <c r="AX101" s="1471"/>
      <c r="AY101" s="1471"/>
      <c r="AZ101" s="1476"/>
      <c r="BA101" s="1476"/>
      <c r="BB101" s="1471"/>
      <c r="BC101" s="1471"/>
      <c r="BD101" s="1471"/>
      <c r="BE101" s="1471"/>
      <c r="BF101" s="1471"/>
      <c r="BG101" s="1471"/>
      <c r="BH101" s="1476">
        <f t="shared" ref="BH101:BH110" si="91">AO101+AS101+AW101</f>
        <v>0</v>
      </c>
      <c r="BI101" s="1625">
        <f t="shared" ref="BI101:BI110" si="92">BC101</f>
        <v>0</v>
      </c>
      <c r="BJ101" s="1471">
        <v>10450</v>
      </c>
      <c r="BK101" s="1471"/>
      <c r="BL101" s="1473"/>
      <c r="BM101" s="1489">
        <f t="shared" si="39"/>
        <v>10450</v>
      </c>
      <c r="BN101" s="1489">
        <v>10450</v>
      </c>
      <c r="BO101" s="1773">
        <f t="shared" si="81"/>
        <v>-6966.666666666667</v>
      </c>
      <c r="BP101" s="1773">
        <v>-6966.666666666667</v>
      </c>
      <c r="BQ101" s="1774">
        <f t="shared" si="82"/>
        <v>3483.333333333333</v>
      </c>
      <c r="BW101" s="1794" t="s">
        <v>2871</v>
      </c>
      <c r="BX101" s="1839">
        <v>45013</v>
      </c>
      <c r="BZ101" s="1877">
        <f>BN101/3*2*-1</f>
        <v>-6966.666666666667</v>
      </c>
      <c r="CF101" s="1795">
        <f t="shared" si="87"/>
        <v>3483.333333333333</v>
      </c>
      <c r="CG101" s="1796">
        <f t="shared" si="83"/>
        <v>3483.333333333333</v>
      </c>
      <c r="CH101" s="1796">
        <f t="shared" si="88"/>
        <v>0</v>
      </c>
      <c r="CN101" s="1797">
        <f t="shared" si="73"/>
        <v>3483.333333333333</v>
      </c>
      <c r="CO101" s="1797">
        <f t="shared" si="45"/>
        <v>0</v>
      </c>
      <c r="CR101" s="1494">
        <f t="shared" ref="CR101:CR103" si="93">CN101+CP101+CQ101</f>
        <v>3483.333333333333</v>
      </c>
      <c r="CS101" s="1797">
        <f t="shared" si="71"/>
        <v>0</v>
      </c>
      <c r="CV101" s="1678">
        <f t="shared" si="69"/>
        <v>3483.333333333333</v>
      </c>
      <c r="CW101" s="1795">
        <f t="shared" si="72"/>
        <v>0</v>
      </c>
      <c r="CX101" s="1496">
        <v>3663.67</v>
      </c>
      <c r="CY101" s="1496">
        <f t="shared" si="89"/>
        <v>7147.0033333333331</v>
      </c>
      <c r="CZ101" s="1496">
        <f t="shared" si="74"/>
        <v>3663.67</v>
      </c>
      <c r="DC101" s="1747">
        <f t="shared" si="70"/>
        <v>7147.0033333333331</v>
      </c>
      <c r="DD101" s="1496">
        <f t="shared" si="75"/>
        <v>0</v>
      </c>
      <c r="DF101" s="1747">
        <f t="shared" si="65"/>
        <v>7147.0033333333331</v>
      </c>
      <c r="DI101" s="1747">
        <f t="shared" si="66"/>
        <v>7147.0033333333331</v>
      </c>
    </row>
    <row r="102" spans="1:113" x14ac:dyDescent="0.25">
      <c r="A102" s="1471">
        <v>1</v>
      </c>
      <c r="B102" s="480" t="s">
        <v>3459</v>
      </c>
      <c r="C102" s="480">
        <v>201260</v>
      </c>
      <c r="D102" s="480" t="s">
        <v>3460</v>
      </c>
      <c r="E102" s="1784" t="s">
        <v>1606</v>
      </c>
      <c r="F102" s="1165">
        <v>351302</v>
      </c>
      <c r="G102" s="480" t="s">
        <v>3470</v>
      </c>
      <c r="H102" s="480" t="s">
        <v>858</v>
      </c>
      <c r="I102" s="1038">
        <v>38151</v>
      </c>
      <c r="J102" s="1803">
        <v>11</v>
      </c>
      <c r="K102" s="1039">
        <f t="shared" ca="1" si="85"/>
        <v>21.27583846680356</v>
      </c>
      <c r="L102" s="963" t="s">
        <v>270</v>
      </c>
      <c r="M102" s="963" t="s">
        <v>3471</v>
      </c>
      <c r="N102" s="480" t="s">
        <v>1895</v>
      </c>
      <c r="O102" s="1362"/>
      <c r="P102" s="1362"/>
      <c r="Q102" s="1476">
        <v>10450</v>
      </c>
      <c r="R102" s="1476">
        <v>0</v>
      </c>
      <c r="S102" s="963">
        <v>45017</v>
      </c>
      <c r="T102" s="1716">
        <v>1</v>
      </c>
      <c r="U102" s="963">
        <v>45382</v>
      </c>
      <c r="V102" s="1716">
        <v>192</v>
      </c>
      <c r="W102" s="1716">
        <f t="shared" si="55"/>
        <v>192</v>
      </c>
      <c r="X102" s="1717">
        <f t="shared" si="56"/>
        <v>1</v>
      </c>
      <c r="Y102" s="1716">
        <v>1</v>
      </c>
      <c r="Z102" s="1716">
        <f t="shared" si="57"/>
        <v>1</v>
      </c>
      <c r="AA102" s="1047">
        <f t="shared" si="58"/>
        <v>10450</v>
      </c>
      <c r="AB102" s="1037" t="s">
        <v>2797</v>
      </c>
      <c r="AC102" s="1037" t="s">
        <v>2797</v>
      </c>
      <c r="AD102" s="1471"/>
      <c r="AE102" s="1471"/>
      <c r="AF102" s="1471"/>
      <c r="AG102" s="1476">
        <v>10450</v>
      </c>
      <c r="AH102" s="1476"/>
      <c r="AI102" s="1476">
        <v>10450</v>
      </c>
      <c r="AJ102" s="1476"/>
      <c r="AK102" s="1476" t="str">
        <f t="shared" si="78"/>
        <v>yes</v>
      </c>
      <c r="AL102" s="1476" t="str">
        <f t="shared" si="79"/>
        <v>no</v>
      </c>
      <c r="AM102" s="1476" t="str">
        <f t="shared" si="80"/>
        <v>no</v>
      </c>
      <c r="AN102" s="1471"/>
      <c r="AO102" s="1476"/>
      <c r="AP102" s="1471"/>
      <c r="AQ102" s="1471"/>
      <c r="AR102" s="1471"/>
      <c r="AS102" s="1471"/>
      <c r="AT102" s="1471"/>
      <c r="AU102" s="1471"/>
      <c r="AV102" s="1471"/>
      <c r="AW102" s="1471"/>
      <c r="AX102" s="1471"/>
      <c r="AY102" s="1471"/>
      <c r="AZ102" s="1476"/>
      <c r="BA102" s="1476"/>
      <c r="BB102" s="1471"/>
      <c r="BC102" s="1471"/>
      <c r="BD102" s="1471"/>
      <c r="BE102" s="1471"/>
      <c r="BF102" s="1471"/>
      <c r="BG102" s="1471"/>
      <c r="BH102" s="1476">
        <f t="shared" si="91"/>
        <v>0</v>
      </c>
      <c r="BI102" s="1625">
        <f t="shared" si="92"/>
        <v>0</v>
      </c>
      <c r="BJ102" s="1471">
        <v>10450</v>
      </c>
      <c r="BK102" s="1471"/>
      <c r="BL102" s="1473"/>
      <c r="BM102" s="1489">
        <f>BJ102+BK102-BL102</f>
        <v>10450</v>
      </c>
      <c r="BN102" s="1489">
        <v>10450</v>
      </c>
      <c r="BO102" s="1773">
        <f t="shared" si="81"/>
        <v>0</v>
      </c>
      <c r="BP102" s="1773">
        <v>0</v>
      </c>
      <c r="BQ102" s="1774">
        <f t="shared" si="82"/>
        <v>10450</v>
      </c>
      <c r="BZ102" s="1493"/>
      <c r="CF102" s="1795">
        <f t="shared" si="87"/>
        <v>10450</v>
      </c>
      <c r="CG102" s="1796">
        <f t="shared" si="83"/>
        <v>10450</v>
      </c>
      <c r="CH102" s="1796">
        <f t="shared" si="88"/>
        <v>0</v>
      </c>
      <c r="CN102" s="1797">
        <f t="shared" si="73"/>
        <v>10450</v>
      </c>
      <c r="CO102" s="1797">
        <f t="shared" si="45"/>
        <v>0</v>
      </c>
      <c r="CR102" s="1494">
        <f t="shared" si="93"/>
        <v>10450</v>
      </c>
      <c r="CS102" s="1797">
        <f t="shared" si="71"/>
        <v>0</v>
      </c>
      <c r="CV102" s="1678">
        <f t="shared" si="69"/>
        <v>10450</v>
      </c>
      <c r="CW102" s="1795">
        <f t="shared" si="72"/>
        <v>0</v>
      </c>
      <c r="CX102" s="1496">
        <v>-3303</v>
      </c>
      <c r="CY102" s="1496">
        <f t="shared" si="89"/>
        <v>7147</v>
      </c>
      <c r="CZ102" s="1496">
        <f t="shared" si="74"/>
        <v>-3303</v>
      </c>
      <c r="DC102" s="1747">
        <f t="shared" si="70"/>
        <v>7147</v>
      </c>
      <c r="DD102" s="1496">
        <f t="shared" si="75"/>
        <v>0</v>
      </c>
      <c r="DF102" s="1747">
        <f t="shared" si="65"/>
        <v>7147</v>
      </c>
      <c r="DI102" s="1747">
        <f t="shared" si="66"/>
        <v>7147</v>
      </c>
    </row>
    <row r="103" spans="1:113" s="1825" customFormat="1" x14ac:dyDescent="0.25">
      <c r="A103" s="1792">
        <v>1</v>
      </c>
      <c r="B103" s="1224" t="s">
        <v>3459</v>
      </c>
      <c r="C103" s="1224">
        <v>201260</v>
      </c>
      <c r="D103" s="1224" t="s">
        <v>3460</v>
      </c>
      <c r="E103" s="1815" t="s">
        <v>1606</v>
      </c>
      <c r="F103" s="1816">
        <v>411811</v>
      </c>
      <c r="G103" s="1224" t="s">
        <v>581</v>
      </c>
      <c r="H103" s="1224" t="s">
        <v>3472</v>
      </c>
      <c r="I103" s="1225">
        <v>39953</v>
      </c>
      <c r="J103" s="1817">
        <v>8</v>
      </c>
      <c r="K103" s="1226">
        <f t="shared" ca="1" si="85"/>
        <v>16.342231348391511</v>
      </c>
      <c r="L103" s="1229" t="s">
        <v>1886</v>
      </c>
      <c r="M103" s="1229" t="s">
        <v>56</v>
      </c>
      <c r="N103" s="1224" t="s">
        <v>3465</v>
      </c>
      <c r="O103" s="1818">
        <v>15000</v>
      </c>
      <c r="P103" s="1818"/>
      <c r="Q103" s="1819">
        <v>15675</v>
      </c>
      <c r="R103" s="1819">
        <v>0</v>
      </c>
      <c r="S103" s="1229">
        <v>45017</v>
      </c>
      <c r="T103" s="1716">
        <v>1</v>
      </c>
      <c r="U103" s="1229">
        <v>45382</v>
      </c>
      <c r="V103" s="1716">
        <v>192</v>
      </c>
      <c r="W103" s="1716">
        <f t="shared" si="55"/>
        <v>192</v>
      </c>
      <c r="X103" s="1717">
        <f t="shared" si="56"/>
        <v>1</v>
      </c>
      <c r="Y103" s="1716">
        <v>1</v>
      </c>
      <c r="Z103" s="1716">
        <f t="shared" si="57"/>
        <v>1</v>
      </c>
      <c r="AA103" s="1882">
        <f t="shared" si="58"/>
        <v>15675</v>
      </c>
      <c r="AB103" s="1822" t="s">
        <v>2797</v>
      </c>
      <c r="AC103" s="1822" t="s">
        <v>2797</v>
      </c>
      <c r="AD103" s="1792"/>
      <c r="AE103" s="1792"/>
      <c r="AF103" s="1792"/>
      <c r="AG103" s="1819">
        <v>15675</v>
      </c>
      <c r="AH103" s="1819"/>
      <c r="AI103" s="1819">
        <v>15675</v>
      </c>
      <c r="AJ103" s="1819"/>
      <c r="AK103" s="1819" t="str">
        <f t="shared" si="78"/>
        <v>no</v>
      </c>
      <c r="AL103" s="1819" t="str">
        <f t="shared" si="79"/>
        <v>yes</v>
      </c>
      <c r="AM103" s="1819" t="str">
        <f t="shared" si="80"/>
        <v>no</v>
      </c>
      <c r="AN103" s="1792"/>
      <c r="AO103" s="1819"/>
      <c r="AP103" s="1792"/>
      <c r="AQ103" s="1792"/>
      <c r="AR103" s="1792"/>
      <c r="AS103" s="1792"/>
      <c r="AT103" s="1792"/>
      <c r="AU103" s="1792"/>
      <c r="AV103" s="1792"/>
      <c r="AW103" s="1792"/>
      <c r="AX103" s="1792"/>
      <c r="AY103" s="1792"/>
      <c r="AZ103" s="1819"/>
      <c r="BA103" s="1819">
        <v>5685</v>
      </c>
      <c r="BB103" s="1792"/>
      <c r="BC103" s="1792"/>
      <c r="BD103" s="1792"/>
      <c r="BE103" s="1792"/>
      <c r="BF103" s="1792"/>
      <c r="BG103" s="1792"/>
      <c r="BH103" s="1819">
        <f t="shared" si="91"/>
        <v>0</v>
      </c>
      <c r="BI103" s="1823">
        <f t="shared" si="92"/>
        <v>0</v>
      </c>
      <c r="BJ103" s="1792">
        <v>15675</v>
      </c>
      <c r="BK103" s="1792"/>
      <c r="BL103" s="1823">
        <v>5685</v>
      </c>
      <c r="BM103" s="1824">
        <f t="shared" si="39"/>
        <v>9990</v>
      </c>
      <c r="BN103" s="1824">
        <v>9990</v>
      </c>
      <c r="BO103" s="1735">
        <f t="shared" si="81"/>
        <v>0</v>
      </c>
      <c r="BP103" s="1735">
        <v>0</v>
      </c>
      <c r="BQ103" s="1736">
        <f t="shared" si="82"/>
        <v>9990</v>
      </c>
      <c r="BW103" s="1826"/>
      <c r="BX103" s="1826"/>
      <c r="BZ103" s="1883"/>
      <c r="CF103" s="1827">
        <f t="shared" si="87"/>
        <v>9990</v>
      </c>
      <c r="CG103" s="1828">
        <f t="shared" si="83"/>
        <v>9990</v>
      </c>
      <c r="CH103" s="1828">
        <f t="shared" si="88"/>
        <v>0</v>
      </c>
      <c r="CL103" s="1490"/>
      <c r="CM103" s="1490"/>
      <c r="CN103" s="1829">
        <f t="shared" si="73"/>
        <v>9990</v>
      </c>
      <c r="CO103" s="1829">
        <f t="shared" si="45"/>
        <v>0</v>
      </c>
      <c r="CR103" s="1830">
        <f t="shared" si="93"/>
        <v>9990</v>
      </c>
      <c r="CS103" s="1829">
        <f t="shared" si="71"/>
        <v>0</v>
      </c>
      <c r="CV103" s="1831">
        <f t="shared" si="69"/>
        <v>9990</v>
      </c>
      <c r="CW103" s="1827">
        <f t="shared" si="72"/>
        <v>0</v>
      </c>
      <c r="CX103" s="1832">
        <v>16057</v>
      </c>
      <c r="CY103" s="1832">
        <f t="shared" si="89"/>
        <v>26047</v>
      </c>
      <c r="CZ103" s="1496">
        <f t="shared" si="74"/>
        <v>16057</v>
      </c>
      <c r="DA103" s="1825" t="s">
        <v>3473</v>
      </c>
      <c r="DB103" s="1833"/>
      <c r="DC103" s="1747">
        <f t="shared" si="70"/>
        <v>26047</v>
      </c>
      <c r="DD103" s="1496">
        <f t="shared" si="75"/>
        <v>0</v>
      </c>
      <c r="DE103" s="1496"/>
      <c r="DF103" s="1747">
        <f t="shared" si="65"/>
        <v>26047</v>
      </c>
      <c r="DG103" s="1490"/>
      <c r="DH103" s="1490"/>
      <c r="DI103" s="1747">
        <f t="shared" si="66"/>
        <v>26047</v>
      </c>
    </row>
    <row r="104" spans="1:113" hidden="1" x14ac:dyDescent="0.25">
      <c r="A104" s="1471">
        <v>0</v>
      </c>
      <c r="B104" s="480" t="s">
        <v>3459</v>
      </c>
      <c r="C104" s="480">
        <v>201260</v>
      </c>
      <c r="D104" s="480" t="s">
        <v>3460</v>
      </c>
      <c r="E104" s="1784" t="s">
        <v>1606</v>
      </c>
      <c r="F104" s="1596">
        <v>434581</v>
      </c>
      <c r="G104" s="1402" t="s">
        <v>428</v>
      </c>
      <c r="H104" s="1402" t="s">
        <v>575</v>
      </c>
      <c r="I104" s="1600">
        <v>43165</v>
      </c>
      <c r="J104" s="1803">
        <v>0</v>
      </c>
      <c r="K104" s="1039">
        <f t="shared" ca="1" si="85"/>
        <v>7.5482546201232035</v>
      </c>
      <c r="L104" s="963" t="s">
        <v>1885</v>
      </c>
      <c r="M104" s="963" t="s">
        <v>3471</v>
      </c>
      <c r="N104" s="1290"/>
      <c r="O104" s="1291">
        <v>40000</v>
      </c>
      <c r="P104" s="1291" t="s">
        <v>3474</v>
      </c>
      <c r="Q104" s="1476">
        <v>0</v>
      </c>
      <c r="R104" s="1476">
        <v>0</v>
      </c>
      <c r="S104" s="963">
        <v>45017</v>
      </c>
      <c r="T104" s="1716">
        <v>1</v>
      </c>
      <c r="U104" s="963">
        <v>45382</v>
      </c>
      <c r="V104" s="1716">
        <v>192</v>
      </c>
      <c r="W104" s="1716">
        <f t="shared" si="55"/>
        <v>192</v>
      </c>
      <c r="X104" s="1717">
        <f t="shared" si="56"/>
        <v>1</v>
      </c>
      <c r="Y104" s="1716">
        <v>1</v>
      </c>
      <c r="Z104" s="1716">
        <f t="shared" si="57"/>
        <v>1</v>
      </c>
      <c r="AA104" s="1047">
        <f t="shared" si="58"/>
        <v>0</v>
      </c>
      <c r="AB104" s="1383" t="s">
        <v>2806</v>
      </c>
      <c r="AC104" s="1037" t="s">
        <v>2797</v>
      </c>
      <c r="AD104" s="1471"/>
      <c r="AE104" s="1471"/>
      <c r="AF104" s="1471"/>
      <c r="AG104" s="1476">
        <v>0</v>
      </c>
      <c r="AH104" s="1476" t="s">
        <v>3475</v>
      </c>
      <c r="AI104" s="1476"/>
      <c r="AJ104" s="1476"/>
      <c r="AK104" s="1476" t="str">
        <f>IF(AI104&lt;=15000,"yes","no")</f>
        <v>yes</v>
      </c>
      <c r="AL104" s="1476" t="str">
        <f t="shared" si="79"/>
        <v>no</v>
      </c>
      <c r="AM104" s="1476" t="str">
        <f t="shared" si="80"/>
        <v>no</v>
      </c>
      <c r="AN104" s="1471"/>
      <c r="AO104" s="1476"/>
      <c r="AP104" s="1471"/>
      <c r="AQ104" s="1471"/>
      <c r="AR104" s="1471"/>
      <c r="AS104" s="1471"/>
      <c r="AT104" s="1471"/>
      <c r="AU104" s="1471"/>
      <c r="AV104" s="1471"/>
      <c r="AW104" s="1471"/>
      <c r="AX104" s="1471"/>
      <c r="AY104" s="1471"/>
      <c r="AZ104" s="1476"/>
      <c r="BA104" s="1476"/>
      <c r="BB104" s="1471"/>
      <c r="BC104" s="1471"/>
      <c r="BD104" s="1471"/>
      <c r="BE104" s="1471"/>
      <c r="BF104" s="1471"/>
      <c r="BG104" s="1471"/>
      <c r="BH104" s="1476">
        <f t="shared" si="91"/>
        <v>0</v>
      </c>
      <c r="BI104" s="1473">
        <f t="shared" si="92"/>
        <v>0</v>
      </c>
      <c r="BJ104" s="1471">
        <v>0</v>
      </c>
      <c r="BK104" s="1471"/>
      <c r="BL104" s="1473"/>
      <c r="BM104" s="1489">
        <f t="shared" si="39"/>
        <v>0</v>
      </c>
      <c r="BN104" s="1489">
        <v>0</v>
      </c>
      <c r="BO104" s="1773">
        <f t="shared" si="81"/>
        <v>0</v>
      </c>
      <c r="BP104" s="1773">
        <v>0</v>
      </c>
      <c r="BQ104" s="1774">
        <f t="shared" si="82"/>
        <v>0</v>
      </c>
      <c r="BZ104" s="1493"/>
      <c r="CF104" s="1795">
        <f t="shared" si="87"/>
        <v>0</v>
      </c>
      <c r="CG104" s="1796">
        <f t="shared" si="83"/>
        <v>0</v>
      </c>
      <c r="CH104" s="1796">
        <f t="shared" si="88"/>
        <v>0</v>
      </c>
      <c r="CI104" s="1490" t="s">
        <v>3476</v>
      </c>
      <c r="CN104" s="1797">
        <f t="shared" si="73"/>
        <v>0</v>
      </c>
      <c r="CO104" s="1797">
        <f t="shared" si="45"/>
        <v>0</v>
      </c>
      <c r="CR104" s="1494">
        <f t="shared" si="90"/>
        <v>0</v>
      </c>
      <c r="CS104" s="1797">
        <f t="shared" si="71"/>
        <v>0</v>
      </c>
      <c r="CV104" s="1678">
        <f t="shared" si="69"/>
        <v>0</v>
      </c>
      <c r="CW104" s="1795">
        <f t="shared" si="72"/>
        <v>0</v>
      </c>
      <c r="CX104" s="1496">
        <v>0</v>
      </c>
      <c r="CY104" s="1496">
        <f t="shared" si="89"/>
        <v>0</v>
      </c>
      <c r="CZ104" s="1496">
        <f t="shared" si="74"/>
        <v>0</v>
      </c>
      <c r="DC104" s="1747">
        <f t="shared" si="70"/>
        <v>0</v>
      </c>
      <c r="DD104" s="1496">
        <f t="shared" si="75"/>
        <v>0</v>
      </c>
      <c r="DF104" s="1747">
        <f t="shared" si="65"/>
        <v>0</v>
      </c>
      <c r="DI104" s="1747">
        <f t="shared" si="66"/>
        <v>0</v>
      </c>
    </row>
    <row r="105" spans="1:113" x14ac:dyDescent="0.25">
      <c r="A105" s="1471">
        <v>1</v>
      </c>
      <c r="B105" s="480" t="s">
        <v>3459</v>
      </c>
      <c r="C105" s="480">
        <v>201260</v>
      </c>
      <c r="D105" s="480" t="s">
        <v>3460</v>
      </c>
      <c r="E105" s="1784" t="s">
        <v>1606</v>
      </c>
      <c r="F105" s="1165">
        <v>415128</v>
      </c>
      <c r="G105" s="480" t="s">
        <v>2418</v>
      </c>
      <c r="H105" s="480" t="s">
        <v>1264</v>
      </c>
      <c r="I105" s="1038">
        <v>40253</v>
      </c>
      <c r="J105" s="1803">
        <v>5</v>
      </c>
      <c r="K105" s="1039">
        <f t="shared" ca="1" si="85"/>
        <v>15.520876112251882</v>
      </c>
      <c r="L105" s="963" t="s">
        <v>1886</v>
      </c>
      <c r="M105" s="963" t="s">
        <v>3343</v>
      </c>
      <c r="N105" s="480" t="s">
        <v>3477</v>
      </c>
      <c r="O105" s="1362"/>
      <c r="P105" s="1362"/>
      <c r="Q105" s="1476">
        <v>20900</v>
      </c>
      <c r="R105" s="1476">
        <v>0</v>
      </c>
      <c r="S105" s="963">
        <v>45017</v>
      </c>
      <c r="T105" s="1716">
        <v>1</v>
      </c>
      <c r="U105" s="963">
        <v>45382</v>
      </c>
      <c r="V105" s="1716">
        <v>192</v>
      </c>
      <c r="W105" s="1716">
        <f t="shared" si="55"/>
        <v>192</v>
      </c>
      <c r="X105" s="1717">
        <f t="shared" si="56"/>
        <v>1</v>
      </c>
      <c r="Y105" s="1716">
        <v>1</v>
      </c>
      <c r="Z105" s="1716">
        <f t="shared" si="57"/>
        <v>1</v>
      </c>
      <c r="AA105" s="1047">
        <f t="shared" si="58"/>
        <v>20900</v>
      </c>
      <c r="AB105" s="1037" t="s">
        <v>2797</v>
      </c>
      <c r="AC105" s="1037" t="s">
        <v>2797</v>
      </c>
      <c r="AD105" s="1471"/>
      <c r="AE105" s="1471"/>
      <c r="AF105" s="1471"/>
      <c r="AG105" s="1476">
        <v>20900</v>
      </c>
      <c r="AH105" s="1476"/>
      <c r="AI105" s="1476">
        <v>20900</v>
      </c>
      <c r="AJ105" s="1476"/>
      <c r="AK105" s="1476" t="str">
        <f t="shared" si="78"/>
        <v>no</v>
      </c>
      <c r="AL105" s="1476" t="str">
        <f t="shared" si="79"/>
        <v>no</v>
      </c>
      <c r="AM105" s="1476" t="str">
        <f t="shared" si="80"/>
        <v>yes</v>
      </c>
      <c r="AN105" s="1471"/>
      <c r="AO105" s="1476"/>
      <c r="AP105" s="1471"/>
      <c r="AQ105" s="1471"/>
      <c r="AR105" s="1471"/>
      <c r="AS105" s="1471"/>
      <c r="AT105" s="1471"/>
      <c r="AU105" s="1471"/>
      <c r="AV105" s="1471"/>
      <c r="AW105" s="1471"/>
      <c r="AX105" s="1471"/>
      <c r="AY105" s="1471"/>
      <c r="AZ105" s="1476"/>
      <c r="BA105" s="1476"/>
      <c r="BB105" s="1471"/>
      <c r="BC105" s="1471"/>
      <c r="BD105" s="1471"/>
      <c r="BE105" s="1471"/>
      <c r="BF105" s="1471"/>
      <c r="BG105" s="1471"/>
      <c r="BH105" s="1476">
        <f t="shared" si="91"/>
        <v>0</v>
      </c>
      <c r="BI105" s="1625">
        <f t="shared" si="92"/>
        <v>0</v>
      </c>
      <c r="BJ105" s="1471">
        <v>20900</v>
      </c>
      <c r="BK105" s="1471"/>
      <c r="BL105" s="1473"/>
      <c r="BM105" s="1489">
        <f t="shared" si="39"/>
        <v>20900</v>
      </c>
      <c r="BN105" s="1489">
        <v>20900</v>
      </c>
      <c r="BO105" s="1773">
        <f t="shared" si="81"/>
        <v>0</v>
      </c>
      <c r="BP105" s="1773">
        <v>0</v>
      </c>
      <c r="BQ105" s="1774">
        <f>BN105+BP105</f>
        <v>20900</v>
      </c>
      <c r="BZ105" s="1493"/>
      <c r="CF105" s="1795">
        <f t="shared" si="87"/>
        <v>20900</v>
      </c>
      <c r="CG105" s="1796">
        <f t="shared" si="83"/>
        <v>20900</v>
      </c>
      <c r="CH105" s="1796">
        <f t="shared" si="88"/>
        <v>0</v>
      </c>
      <c r="CN105" s="1797">
        <f t="shared" si="73"/>
        <v>20900</v>
      </c>
      <c r="CO105" s="1797">
        <f t="shared" si="45"/>
        <v>0</v>
      </c>
      <c r="CR105" s="1494">
        <f t="shared" ref="CR105:CR108" si="94">CN105+CP105+CQ105</f>
        <v>20900</v>
      </c>
      <c r="CS105" s="1797">
        <f t="shared" si="71"/>
        <v>0</v>
      </c>
      <c r="CV105" s="1678">
        <f t="shared" si="69"/>
        <v>20900</v>
      </c>
      <c r="CW105" s="1795">
        <f t="shared" si="72"/>
        <v>0</v>
      </c>
      <c r="CX105" s="1496">
        <v>14551</v>
      </c>
      <c r="CY105" s="1496">
        <f t="shared" si="89"/>
        <v>35451</v>
      </c>
      <c r="CZ105" s="1496">
        <f t="shared" si="74"/>
        <v>14551</v>
      </c>
      <c r="DC105" s="1747">
        <f t="shared" si="70"/>
        <v>35451</v>
      </c>
      <c r="DD105" s="1496">
        <f t="shared" si="75"/>
        <v>0</v>
      </c>
      <c r="DF105" s="1747">
        <f t="shared" si="65"/>
        <v>35451</v>
      </c>
      <c r="DI105" s="1747">
        <f t="shared" si="66"/>
        <v>35451</v>
      </c>
    </row>
    <row r="106" spans="1:113" x14ac:dyDescent="0.25">
      <c r="A106" s="1471">
        <v>1</v>
      </c>
      <c r="B106" s="480" t="s">
        <v>3459</v>
      </c>
      <c r="C106" s="480">
        <v>201260</v>
      </c>
      <c r="D106" s="480" t="s">
        <v>3460</v>
      </c>
      <c r="E106" s="1784" t="s">
        <v>1606</v>
      </c>
      <c r="F106" s="1165">
        <v>377249</v>
      </c>
      <c r="G106" s="480" t="s">
        <v>764</v>
      </c>
      <c r="H106" s="480" t="s">
        <v>189</v>
      </c>
      <c r="I106" s="1038">
        <v>39659</v>
      </c>
      <c r="J106" s="1803">
        <v>7</v>
      </c>
      <c r="K106" s="1039">
        <f t="shared" ca="1" si="85"/>
        <v>17.147159479808352</v>
      </c>
      <c r="L106" s="963" t="s">
        <v>1886</v>
      </c>
      <c r="M106" s="963" t="s">
        <v>56</v>
      </c>
      <c r="N106" s="480" t="s">
        <v>1895</v>
      </c>
      <c r="O106" s="1362"/>
      <c r="P106" s="1362"/>
      <c r="Q106" s="1476">
        <v>10450</v>
      </c>
      <c r="R106" s="1476">
        <v>0</v>
      </c>
      <c r="S106" s="963">
        <v>45017</v>
      </c>
      <c r="T106" s="1716">
        <v>1</v>
      </c>
      <c r="U106" s="963">
        <v>45382</v>
      </c>
      <c r="V106" s="1716">
        <v>192</v>
      </c>
      <c r="W106" s="1716">
        <f t="shared" si="55"/>
        <v>192</v>
      </c>
      <c r="X106" s="1717">
        <f t="shared" si="56"/>
        <v>1</v>
      </c>
      <c r="Y106" s="1716">
        <v>1</v>
      </c>
      <c r="Z106" s="1716">
        <f t="shared" si="57"/>
        <v>1</v>
      </c>
      <c r="AA106" s="1047">
        <f t="shared" si="58"/>
        <v>10450</v>
      </c>
      <c r="AB106" s="1037" t="s">
        <v>2797</v>
      </c>
      <c r="AC106" s="1037" t="s">
        <v>2797</v>
      </c>
      <c r="AD106" s="1471"/>
      <c r="AE106" s="1471"/>
      <c r="AF106" s="1471"/>
      <c r="AG106" s="1476">
        <v>10450</v>
      </c>
      <c r="AH106" s="1476"/>
      <c r="AI106" s="1476">
        <v>10450</v>
      </c>
      <c r="AJ106" s="1476"/>
      <c r="AK106" s="1476" t="str">
        <f t="shared" si="78"/>
        <v>yes</v>
      </c>
      <c r="AL106" s="1476" t="str">
        <f t="shared" si="79"/>
        <v>no</v>
      </c>
      <c r="AM106" s="1476" t="str">
        <f t="shared" si="80"/>
        <v>no</v>
      </c>
      <c r="AN106" s="1471"/>
      <c r="AO106" s="1476"/>
      <c r="AP106" s="1471"/>
      <c r="AQ106" s="1471"/>
      <c r="AR106" s="1471"/>
      <c r="AS106" s="1471"/>
      <c r="AT106" s="1471"/>
      <c r="AU106" s="1471"/>
      <c r="AV106" s="1471"/>
      <c r="AW106" s="1471"/>
      <c r="AX106" s="1471"/>
      <c r="AY106" s="1471"/>
      <c r="AZ106" s="1476"/>
      <c r="BA106" s="1476"/>
      <c r="BB106" s="1471"/>
      <c r="BC106" s="1471"/>
      <c r="BD106" s="1471"/>
      <c r="BE106" s="1471"/>
      <c r="BF106" s="1471"/>
      <c r="BG106" s="1471"/>
      <c r="BH106" s="1476">
        <f t="shared" si="91"/>
        <v>0</v>
      </c>
      <c r="BI106" s="1625">
        <f t="shared" si="92"/>
        <v>0</v>
      </c>
      <c r="BJ106" s="1471">
        <v>10450</v>
      </c>
      <c r="BK106" s="1471"/>
      <c r="BL106" s="1473"/>
      <c r="BM106" s="1489">
        <f t="shared" si="39"/>
        <v>10450</v>
      </c>
      <c r="BN106" s="1489">
        <v>10450</v>
      </c>
      <c r="BO106" s="1773">
        <f t="shared" si="81"/>
        <v>0</v>
      </c>
      <c r="BP106" s="1773">
        <v>0</v>
      </c>
      <c r="BQ106" s="1774">
        <f t="shared" si="82"/>
        <v>10450</v>
      </c>
      <c r="BZ106" s="1493"/>
      <c r="CF106" s="1795">
        <f t="shared" si="87"/>
        <v>10450</v>
      </c>
      <c r="CG106" s="1796">
        <f t="shared" si="83"/>
        <v>10450</v>
      </c>
      <c r="CH106" s="1796">
        <f t="shared" si="88"/>
        <v>0</v>
      </c>
      <c r="CN106" s="1797">
        <f t="shared" si="73"/>
        <v>10450</v>
      </c>
      <c r="CO106" s="1797">
        <f t="shared" si="45"/>
        <v>0</v>
      </c>
      <c r="CR106" s="1494">
        <f t="shared" si="94"/>
        <v>10450</v>
      </c>
      <c r="CS106" s="1797">
        <f t="shared" si="71"/>
        <v>0</v>
      </c>
      <c r="CV106" s="1678">
        <f t="shared" si="69"/>
        <v>10450</v>
      </c>
      <c r="CW106" s="1795">
        <f t="shared" si="72"/>
        <v>0</v>
      </c>
      <c r="CX106" s="1496">
        <v>10876</v>
      </c>
      <c r="CY106" s="1496">
        <f t="shared" si="89"/>
        <v>21326</v>
      </c>
      <c r="CZ106" s="1496">
        <f t="shared" si="74"/>
        <v>10876</v>
      </c>
      <c r="DC106" s="1747">
        <f t="shared" si="70"/>
        <v>21326</v>
      </c>
      <c r="DD106" s="1496">
        <f t="shared" si="75"/>
        <v>0</v>
      </c>
      <c r="DF106" s="1747">
        <f t="shared" si="65"/>
        <v>21326</v>
      </c>
      <c r="DI106" s="1747">
        <f t="shared" si="66"/>
        <v>21326</v>
      </c>
    </row>
    <row r="107" spans="1:113" x14ac:dyDescent="0.25">
      <c r="A107" s="1471">
        <v>1</v>
      </c>
      <c r="B107" s="480" t="s">
        <v>3459</v>
      </c>
      <c r="C107" s="480">
        <v>201260</v>
      </c>
      <c r="D107" s="480" t="s">
        <v>3460</v>
      </c>
      <c r="E107" s="1784" t="s">
        <v>1606</v>
      </c>
      <c r="F107" s="1165">
        <v>396743</v>
      </c>
      <c r="G107" s="480" t="s">
        <v>1205</v>
      </c>
      <c r="H107" s="480" t="s">
        <v>1016</v>
      </c>
      <c r="I107" s="1038">
        <v>40691</v>
      </c>
      <c r="J107" s="1803">
        <v>7</v>
      </c>
      <c r="K107" s="1039">
        <f t="shared" ca="1" si="85"/>
        <v>14.321697467488022</v>
      </c>
      <c r="L107" s="963" t="s">
        <v>1886</v>
      </c>
      <c r="M107" s="963" t="s">
        <v>185</v>
      </c>
      <c r="N107" s="480" t="s">
        <v>1895</v>
      </c>
      <c r="O107" s="1362"/>
      <c r="P107" s="1362"/>
      <c r="Q107" s="1476">
        <v>10450</v>
      </c>
      <c r="R107" s="1476">
        <v>0</v>
      </c>
      <c r="S107" s="963">
        <v>45017</v>
      </c>
      <c r="T107" s="1716">
        <v>1</v>
      </c>
      <c r="U107" s="963">
        <v>45382</v>
      </c>
      <c r="V107" s="1716">
        <v>192</v>
      </c>
      <c r="W107" s="1716">
        <f t="shared" si="55"/>
        <v>192</v>
      </c>
      <c r="X107" s="1717">
        <f t="shared" si="56"/>
        <v>1</v>
      </c>
      <c r="Y107" s="1716">
        <v>1</v>
      </c>
      <c r="Z107" s="1716">
        <f t="shared" si="57"/>
        <v>1</v>
      </c>
      <c r="AA107" s="1047">
        <f t="shared" si="58"/>
        <v>10450</v>
      </c>
      <c r="AB107" s="1037" t="s">
        <v>2797</v>
      </c>
      <c r="AC107" s="1037" t="s">
        <v>2797</v>
      </c>
      <c r="AD107" s="1471"/>
      <c r="AE107" s="1471"/>
      <c r="AF107" s="1471"/>
      <c r="AG107" s="1476">
        <v>10450</v>
      </c>
      <c r="AH107" s="1476"/>
      <c r="AI107" s="1476">
        <v>10450</v>
      </c>
      <c r="AJ107" s="1476"/>
      <c r="AK107" s="1476" t="str">
        <f t="shared" si="78"/>
        <v>yes</v>
      </c>
      <c r="AL107" s="1476" t="str">
        <f t="shared" si="79"/>
        <v>no</v>
      </c>
      <c r="AM107" s="1476" t="str">
        <f t="shared" si="80"/>
        <v>no</v>
      </c>
      <c r="AN107" s="1471"/>
      <c r="AO107" s="1476"/>
      <c r="AP107" s="1471"/>
      <c r="AQ107" s="1471"/>
      <c r="AR107" s="1471"/>
      <c r="AS107" s="1471"/>
      <c r="AT107" s="1471"/>
      <c r="AU107" s="1471"/>
      <c r="AV107" s="1471"/>
      <c r="AW107" s="1471"/>
      <c r="AX107" s="1471"/>
      <c r="AY107" s="1471"/>
      <c r="AZ107" s="1476"/>
      <c r="BA107" s="1476"/>
      <c r="BB107" s="1471"/>
      <c r="BC107" s="1471"/>
      <c r="BD107" s="1471"/>
      <c r="BE107" s="1471"/>
      <c r="BF107" s="1471"/>
      <c r="BG107" s="1471"/>
      <c r="BH107" s="1476">
        <f t="shared" si="91"/>
        <v>0</v>
      </c>
      <c r="BI107" s="1625">
        <f t="shared" si="92"/>
        <v>0</v>
      </c>
      <c r="BJ107" s="1471">
        <v>10450</v>
      </c>
      <c r="BK107" s="1471"/>
      <c r="BL107" s="1473"/>
      <c r="BM107" s="1489">
        <f t="shared" si="39"/>
        <v>10450</v>
      </c>
      <c r="BN107" s="1489">
        <v>10450</v>
      </c>
      <c r="BO107" s="1773">
        <f t="shared" si="81"/>
        <v>0</v>
      </c>
      <c r="BP107" s="1773">
        <v>0</v>
      </c>
      <c r="BQ107" s="1774">
        <f t="shared" si="82"/>
        <v>10450</v>
      </c>
      <c r="BZ107" s="1493"/>
      <c r="CF107" s="1795">
        <f t="shared" si="87"/>
        <v>10450</v>
      </c>
      <c r="CG107" s="1796">
        <f t="shared" si="83"/>
        <v>10450</v>
      </c>
      <c r="CH107" s="1796">
        <f t="shared" si="88"/>
        <v>0</v>
      </c>
      <c r="CN107" s="1797">
        <f t="shared" si="73"/>
        <v>10450</v>
      </c>
      <c r="CO107" s="1797">
        <f t="shared" si="45"/>
        <v>0</v>
      </c>
      <c r="CR107" s="1494">
        <f t="shared" si="94"/>
        <v>10450</v>
      </c>
      <c r="CS107" s="1797">
        <f t="shared" si="71"/>
        <v>0</v>
      </c>
      <c r="CV107" s="1678">
        <f t="shared" si="69"/>
        <v>10450</v>
      </c>
      <c r="CW107" s="1795">
        <f t="shared" si="72"/>
        <v>0</v>
      </c>
      <c r="CX107" s="1496">
        <v>10876</v>
      </c>
      <c r="CY107" s="1496">
        <f t="shared" si="89"/>
        <v>21326</v>
      </c>
      <c r="CZ107" s="1496">
        <f t="shared" si="74"/>
        <v>10876</v>
      </c>
      <c r="DC107" s="1747">
        <f t="shared" si="70"/>
        <v>21326</v>
      </c>
      <c r="DD107" s="1496">
        <f t="shared" si="75"/>
        <v>0</v>
      </c>
      <c r="DF107" s="1747">
        <f t="shared" si="65"/>
        <v>21326</v>
      </c>
      <c r="DI107" s="1747">
        <f t="shared" si="66"/>
        <v>21326</v>
      </c>
    </row>
    <row r="108" spans="1:113" x14ac:dyDescent="0.25">
      <c r="A108" s="1471">
        <v>1</v>
      </c>
      <c r="B108" s="480" t="s">
        <v>3459</v>
      </c>
      <c r="C108" s="480">
        <v>201260</v>
      </c>
      <c r="D108" s="480" t="s">
        <v>3478</v>
      </c>
      <c r="E108" s="1784" t="s">
        <v>1606</v>
      </c>
      <c r="F108" s="1165">
        <v>442948</v>
      </c>
      <c r="G108" s="480" t="s">
        <v>3479</v>
      </c>
      <c r="H108" s="480" t="s">
        <v>3480</v>
      </c>
      <c r="I108" s="1038">
        <v>41883</v>
      </c>
      <c r="J108" s="1803">
        <v>7</v>
      </c>
      <c r="K108" s="1039">
        <f ca="1">(TODAY()-I108)/365.25</f>
        <v>11.058179329226558</v>
      </c>
      <c r="L108" s="963" t="s">
        <v>1886</v>
      </c>
      <c r="M108" s="963" t="s">
        <v>56</v>
      </c>
      <c r="N108" s="480"/>
      <c r="O108" s="1362">
        <v>11369</v>
      </c>
      <c r="P108" s="1362"/>
      <c r="Q108" s="1476">
        <v>11369</v>
      </c>
      <c r="R108" s="1476">
        <v>0</v>
      </c>
      <c r="S108" s="963">
        <v>45017</v>
      </c>
      <c r="T108" s="1716">
        <v>1</v>
      </c>
      <c r="U108" s="963">
        <v>45382</v>
      </c>
      <c r="V108" s="1716">
        <v>192</v>
      </c>
      <c r="W108" s="1716">
        <f t="shared" si="55"/>
        <v>192</v>
      </c>
      <c r="X108" s="1717">
        <f t="shared" si="56"/>
        <v>1</v>
      </c>
      <c r="Y108" s="1716">
        <v>1</v>
      </c>
      <c r="Z108" s="1716">
        <f t="shared" si="57"/>
        <v>1</v>
      </c>
      <c r="AA108" s="1047">
        <f t="shared" si="58"/>
        <v>11369</v>
      </c>
      <c r="AB108" s="1037" t="s">
        <v>2797</v>
      </c>
      <c r="AC108" s="1037" t="s">
        <v>2797</v>
      </c>
      <c r="AD108" s="1471"/>
      <c r="AE108" s="1471"/>
      <c r="AF108" s="1471"/>
      <c r="AG108" s="1476">
        <v>11369</v>
      </c>
      <c r="AH108" s="1476"/>
      <c r="AI108" s="1476">
        <v>11369</v>
      </c>
      <c r="AJ108" s="1476"/>
      <c r="AK108" s="1476" t="str">
        <f t="shared" si="78"/>
        <v>yes</v>
      </c>
      <c r="AL108" s="1476" t="str">
        <f t="shared" si="79"/>
        <v>no</v>
      </c>
      <c r="AM108" s="1476" t="str">
        <f t="shared" si="80"/>
        <v>no</v>
      </c>
      <c r="AN108" s="1471"/>
      <c r="AO108" s="1476"/>
      <c r="AP108" s="1471"/>
      <c r="AQ108" s="1471"/>
      <c r="AR108" s="1471"/>
      <c r="AS108" s="1471"/>
      <c r="AT108" s="1471"/>
      <c r="AU108" s="1471"/>
      <c r="AV108" s="1471"/>
      <c r="AW108" s="1471"/>
      <c r="AX108" s="1471"/>
      <c r="AY108" s="1471"/>
      <c r="AZ108" s="1476"/>
      <c r="BA108" s="1881" t="s">
        <v>3481</v>
      </c>
      <c r="BB108" s="1471" t="s">
        <v>3482</v>
      </c>
      <c r="BC108" s="1476">
        <f>3790+1895+1895</f>
        <v>7580</v>
      </c>
      <c r="BD108" s="1471">
        <v>8071672</v>
      </c>
      <c r="BE108" s="1477">
        <v>45051</v>
      </c>
      <c r="BF108" s="1471"/>
      <c r="BG108" s="1471"/>
      <c r="BH108" s="1476">
        <f t="shared" si="91"/>
        <v>0</v>
      </c>
      <c r="BI108" s="1625">
        <f t="shared" si="92"/>
        <v>7580</v>
      </c>
      <c r="BJ108" s="1471">
        <v>11369</v>
      </c>
      <c r="BK108" s="1471">
        <v>3790</v>
      </c>
      <c r="BL108" s="1473">
        <v>3790</v>
      </c>
      <c r="BM108" s="1489">
        <f t="shared" si="39"/>
        <v>11369</v>
      </c>
      <c r="BN108" s="1489">
        <v>11369</v>
      </c>
      <c r="BO108" s="1773">
        <f t="shared" si="81"/>
        <v>0</v>
      </c>
      <c r="BP108" s="1773">
        <v>0</v>
      </c>
      <c r="BQ108" s="1774">
        <f t="shared" si="82"/>
        <v>11369</v>
      </c>
      <c r="BZ108" s="1493"/>
      <c r="CF108" s="1795">
        <f t="shared" si="87"/>
        <v>11369</v>
      </c>
      <c r="CG108" s="1796">
        <f t="shared" si="83"/>
        <v>11369</v>
      </c>
      <c r="CH108" s="1796">
        <f t="shared" si="88"/>
        <v>0</v>
      </c>
      <c r="CN108" s="1797">
        <f t="shared" si="73"/>
        <v>11369</v>
      </c>
      <c r="CO108" s="1797">
        <f t="shared" si="45"/>
        <v>0</v>
      </c>
      <c r="CR108" s="1494">
        <f t="shared" si="94"/>
        <v>11369</v>
      </c>
      <c r="CS108" s="1797">
        <f t="shared" si="71"/>
        <v>0</v>
      </c>
      <c r="CV108" s="1678">
        <f t="shared" si="69"/>
        <v>11369</v>
      </c>
      <c r="CW108" s="1795">
        <f t="shared" si="72"/>
        <v>0</v>
      </c>
      <c r="CX108" s="1496">
        <v>0</v>
      </c>
      <c r="CY108" s="1496">
        <f t="shared" si="89"/>
        <v>11369</v>
      </c>
      <c r="CZ108" s="1496">
        <f t="shared" si="74"/>
        <v>0</v>
      </c>
      <c r="DC108" s="1747">
        <f t="shared" si="70"/>
        <v>11369</v>
      </c>
      <c r="DD108" s="1496">
        <f t="shared" si="75"/>
        <v>0</v>
      </c>
      <c r="DF108" s="1747">
        <f t="shared" si="65"/>
        <v>11369</v>
      </c>
      <c r="DI108" s="1747">
        <f t="shared" si="66"/>
        <v>11369</v>
      </c>
    </row>
    <row r="109" spans="1:113" hidden="1" x14ac:dyDescent="0.25">
      <c r="A109" s="1471">
        <v>0</v>
      </c>
      <c r="B109" s="480" t="s">
        <v>3459</v>
      </c>
      <c r="C109" s="480">
        <v>201260</v>
      </c>
      <c r="D109" s="480" t="s">
        <v>3483</v>
      </c>
      <c r="E109" s="1784" t="s">
        <v>1606</v>
      </c>
      <c r="F109" s="1165">
        <v>370994</v>
      </c>
      <c r="G109" s="480" t="s">
        <v>2606</v>
      </c>
      <c r="H109" s="480" t="s">
        <v>575</v>
      </c>
      <c r="I109" s="1038">
        <v>39303</v>
      </c>
      <c r="J109" s="1803">
        <v>11</v>
      </c>
      <c r="K109" s="1039">
        <f t="shared" ca="1" si="85"/>
        <v>18.121834360027378</v>
      </c>
      <c r="L109" s="963" t="s">
        <v>1886</v>
      </c>
      <c r="M109" s="963" t="s">
        <v>1495</v>
      </c>
      <c r="N109" s="480"/>
      <c r="O109" s="1362"/>
      <c r="P109" s="1362"/>
      <c r="Q109" s="1476"/>
      <c r="R109" s="1476"/>
      <c r="S109" s="963"/>
      <c r="T109" s="1716" t="e">
        <v>#N/A</v>
      </c>
      <c r="U109" s="1846">
        <v>44997</v>
      </c>
      <c r="V109" s="1716" t="e">
        <v>#N/A</v>
      </c>
      <c r="W109" s="1716" t="e">
        <f t="shared" si="55"/>
        <v>#N/A</v>
      </c>
      <c r="X109" s="1717" t="e">
        <f t="shared" si="56"/>
        <v>#N/A</v>
      </c>
      <c r="Y109" s="1716">
        <v>1</v>
      </c>
      <c r="Z109" s="1716" t="e">
        <f t="shared" si="57"/>
        <v>#N/A</v>
      </c>
      <c r="AA109" s="1884" t="e">
        <f t="shared" si="58"/>
        <v>#N/A</v>
      </c>
      <c r="AB109" s="1037" t="s">
        <v>2797</v>
      </c>
      <c r="AC109" s="1037" t="s">
        <v>2797</v>
      </c>
      <c r="AD109" s="1471"/>
      <c r="AE109" s="1471"/>
      <c r="AF109" s="1471"/>
      <c r="AG109" s="1476"/>
      <c r="AH109" s="1476"/>
      <c r="AI109" s="1476"/>
      <c r="AJ109" s="1476"/>
      <c r="AK109" s="1476" t="str">
        <f t="shared" si="78"/>
        <v>yes</v>
      </c>
      <c r="AL109" s="1476" t="str">
        <f t="shared" si="79"/>
        <v>no</v>
      </c>
      <c r="AM109" s="1476" t="str">
        <f t="shared" si="80"/>
        <v>no</v>
      </c>
      <c r="AN109" s="1471"/>
      <c r="AO109" s="1476"/>
      <c r="AP109" s="1471"/>
      <c r="AQ109" s="1471"/>
      <c r="AR109" s="1471"/>
      <c r="AS109" s="1471"/>
      <c r="AT109" s="1471"/>
      <c r="AU109" s="1471"/>
      <c r="AV109" s="1471"/>
      <c r="AW109" s="1471"/>
      <c r="AX109" s="1471"/>
      <c r="AY109" s="1471"/>
      <c r="AZ109" s="1206"/>
      <c r="BA109" s="1885" t="s">
        <v>3481</v>
      </c>
      <c r="BB109" s="1471" t="s">
        <v>3484</v>
      </c>
      <c r="BC109" s="1206">
        <f>2000+2000+2000</f>
        <v>6000</v>
      </c>
      <c r="BD109" s="1471">
        <v>8071672</v>
      </c>
      <c r="BE109" s="1477">
        <v>45051</v>
      </c>
      <c r="BF109" s="1471"/>
      <c r="BG109" s="1471"/>
      <c r="BH109" s="1476">
        <f t="shared" si="91"/>
        <v>0</v>
      </c>
      <c r="BI109" s="1473">
        <f t="shared" si="92"/>
        <v>6000</v>
      </c>
      <c r="BJ109" s="1471">
        <v>0</v>
      </c>
      <c r="BK109" s="1471">
        <v>4000</v>
      </c>
      <c r="BL109" s="1473">
        <v>4000</v>
      </c>
      <c r="BM109" s="1489">
        <f t="shared" si="39"/>
        <v>0</v>
      </c>
      <c r="BN109" s="1489">
        <v>0</v>
      </c>
      <c r="BO109" s="1773">
        <f t="shared" si="81"/>
        <v>0</v>
      </c>
      <c r="BP109" s="1773">
        <v>0</v>
      </c>
      <c r="BQ109" s="1774">
        <f t="shared" si="82"/>
        <v>0</v>
      </c>
      <c r="BZ109" s="1493"/>
      <c r="CF109" s="1795">
        <f t="shared" si="87"/>
        <v>0</v>
      </c>
      <c r="CG109" s="1796">
        <f t="shared" si="83"/>
        <v>0</v>
      </c>
      <c r="CH109" s="1796">
        <f t="shared" si="88"/>
        <v>0</v>
      </c>
      <c r="CI109" s="1490" t="s">
        <v>3485</v>
      </c>
      <c r="CN109" s="1797">
        <f t="shared" si="73"/>
        <v>0</v>
      </c>
      <c r="CO109" s="1797">
        <f t="shared" si="45"/>
        <v>0</v>
      </c>
      <c r="CR109" s="1494">
        <f t="shared" si="90"/>
        <v>0</v>
      </c>
      <c r="CS109" s="1797">
        <f t="shared" si="71"/>
        <v>0</v>
      </c>
      <c r="CV109" s="1678">
        <f t="shared" si="69"/>
        <v>0</v>
      </c>
      <c r="CW109" s="1795">
        <f t="shared" si="72"/>
        <v>0</v>
      </c>
      <c r="CX109" s="1496">
        <v>0</v>
      </c>
      <c r="CY109" s="1496">
        <f t="shared" si="89"/>
        <v>0</v>
      </c>
      <c r="CZ109" s="1496">
        <f t="shared" si="74"/>
        <v>0</v>
      </c>
      <c r="DC109" s="1747">
        <f t="shared" si="70"/>
        <v>0</v>
      </c>
      <c r="DD109" s="1496">
        <f t="shared" si="75"/>
        <v>0</v>
      </c>
      <c r="DF109" s="1747">
        <f t="shared" si="65"/>
        <v>0</v>
      </c>
      <c r="DI109" s="1747">
        <f t="shared" si="66"/>
        <v>0</v>
      </c>
    </row>
    <row r="110" spans="1:113" x14ac:dyDescent="0.25">
      <c r="A110" s="1471">
        <v>1</v>
      </c>
      <c r="B110" s="480" t="s">
        <v>3459</v>
      </c>
      <c r="C110" s="480">
        <v>201260</v>
      </c>
      <c r="D110" s="480" t="s">
        <v>3486</v>
      </c>
      <c r="E110" s="1784" t="s">
        <v>1606</v>
      </c>
      <c r="F110" s="1165">
        <v>410465</v>
      </c>
      <c r="G110" s="480" t="s">
        <v>3487</v>
      </c>
      <c r="H110" s="480" t="s">
        <v>3488</v>
      </c>
      <c r="I110" s="1038">
        <v>39530</v>
      </c>
      <c r="J110" s="1803">
        <v>10</v>
      </c>
      <c r="K110" s="1039">
        <f t="shared" ca="1" si="85"/>
        <v>17.500342231348391</v>
      </c>
      <c r="L110" s="963" t="s">
        <v>1886</v>
      </c>
      <c r="M110" s="963" t="s">
        <v>56</v>
      </c>
      <c r="N110" s="480"/>
      <c r="O110" s="1362">
        <v>30000</v>
      </c>
      <c r="P110" s="1362"/>
      <c r="Q110" s="1476">
        <v>30000</v>
      </c>
      <c r="R110" s="1476">
        <v>0</v>
      </c>
      <c r="S110" s="963">
        <v>45017</v>
      </c>
      <c r="T110" s="1716">
        <v>1</v>
      </c>
      <c r="U110" s="963">
        <v>45382</v>
      </c>
      <c r="V110" s="1716">
        <v>192</v>
      </c>
      <c r="W110" s="1716">
        <f t="shared" si="55"/>
        <v>192</v>
      </c>
      <c r="X110" s="1717">
        <f t="shared" si="56"/>
        <v>1</v>
      </c>
      <c r="Y110" s="1716">
        <v>1</v>
      </c>
      <c r="Z110" s="1716">
        <f t="shared" si="57"/>
        <v>1</v>
      </c>
      <c r="AA110" s="1047">
        <f t="shared" si="58"/>
        <v>30000</v>
      </c>
      <c r="AB110" s="1037" t="s">
        <v>2797</v>
      </c>
      <c r="AC110" s="1748" t="s">
        <v>2797</v>
      </c>
      <c r="AD110" s="1471"/>
      <c r="AE110" s="1471"/>
      <c r="AF110" s="1471"/>
      <c r="AG110" s="1476">
        <v>30000</v>
      </c>
      <c r="AH110" s="1476"/>
      <c r="AI110" s="1476">
        <v>30000</v>
      </c>
      <c r="AJ110" s="1476"/>
      <c r="AK110" s="1476" t="str">
        <f t="shared" si="78"/>
        <v>no</v>
      </c>
      <c r="AL110" s="1476" t="str">
        <f t="shared" si="79"/>
        <v>no</v>
      </c>
      <c r="AM110" s="1476" t="str">
        <f t="shared" si="80"/>
        <v>yes</v>
      </c>
      <c r="AN110" s="1471"/>
      <c r="AO110" s="1476"/>
      <c r="AP110" s="1471"/>
      <c r="AQ110" s="1471"/>
      <c r="AR110" s="1471"/>
      <c r="AS110" s="1471"/>
      <c r="AT110" s="1471"/>
      <c r="AU110" s="1471"/>
      <c r="AV110" s="1471"/>
      <c r="AW110" s="1471"/>
      <c r="AX110" s="1471"/>
      <c r="AY110" s="1471"/>
      <c r="AZ110" s="1206"/>
      <c r="BA110" s="1881" t="s">
        <v>3481</v>
      </c>
      <c r="BB110" s="1471" t="s">
        <v>3489</v>
      </c>
      <c r="BC110" s="1206">
        <f>5000+5000+5000</f>
        <v>15000</v>
      </c>
      <c r="BD110" s="1471">
        <v>8071672</v>
      </c>
      <c r="BE110" s="1477">
        <v>45051</v>
      </c>
      <c r="BF110" s="1471"/>
      <c r="BG110" s="1471"/>
      <c r="BH110" s="1476">
        <f t="shared" si="91"/>
        <v>0</v>
      </c>
      <c r="BI110" s="1625">
        <f t="shared" si="92"/>
        <v>15000</v>
      </c>
      <c r="BJ110" s="1471">
        <v>30000</v>
      </c>
      <c r="BK110" s="1471">
        <v>10000</v>
      </c>
      <c r="BL110" s="1473">
        <v>10000</v>
      </c>
      <c r="BM110" s="1489">
        <f t="shared" si="39"/>
        <v>30000</v>
      </c>
      <c r="BN110" s="1489">
        <v>30000</v>
      </c>
      <c r="BO110" s="1773">
        <f t="shared" si="81"/>
        <v>0</v>
      </c>
      <c r="BP110" s="1773">
        <v>0</v>
      </c>
      <c r="BQ110" s="1774">
        <f t="shared" si="82"/>
        <v>30000</v>
      </c>
      <c r="BZ110" s="1493"/>
      <c r="CF110" s="1795">
        <f t="shared" si="87"/>
        <v>30000</v>
      </c>
      <c r="CG110" s="1796">
        <f t="shared" si="83"/>
        <v>30000</v>
      </c>
      <c r="CH110" s="1796">
        <f t="shared" si="88"/>
        <v>0</v>
      </c>
      <c r="CN110" s="1797">
        <f t="shared" si="73"/>
        <v>30000</v>
      </c>
      <c r="CO110" s="1797">
        <f t="shared" si="45"/>
        <v>0</v>
      </c>
      <c r="CR110" s="1494">
        <f t="shared" ref="CR110:CR116" si="95">CN110+CP110+CQ110</f>
        <v>30000</v>
      </c>
      <c r="CS110" s="1797">
        <f t="shared" si="71"/>
        <v>0</v>
      </c>
      <c r="CV110" s="1678">
        <f t="shared" si="69"/>
        <v>30000</v>
      </c>
      <c r="CW110" s="1795">
        <f t="shared" si="72"/>
        <v>0</v>
      </c>
      <c r="CX110" s="1496">
        <v>0</v>
      </c>
      <c r="CY110" s="1496">
        <f t="shared" si="89"/>
        <v>30000</v>
      </c>
      <c r="CZ110" s="1496">
        <f t="shared" si="74"/>
        <v>0</v>
      </c>
      <c r="DC110" s="1747">
        <f t="shared" si="70"/>
        <v>30000</v>
      </c>
      <c r="DD110" s="1496">
        <f t="shared" si="75"/>
        <v>0</v>
      </c>
      <c r="DF110" s="1747">
        <f t="shared" si="65"/>
        <v>30000</v>
      </c>
      <c r="DI110" s="1747">
        <f t="shared" si="66"/>
        <v>30000</v>
      </c>
    </row>
    <row r="111" spans="1:113" x14ac:dyDescent="0.25">
      <c r="A111" s="1471">
        <v>1</v>
      </c>
      <c r="B111" s="480" t="s">
        <v>3459</v>
      </c>
      <c r="C111" s="480">
        <v>201260</v>
      </c>
      <c r="D111" s="480" t="s">
        <v>3490</v>
      </c>
      <c r="E111" s="1784" t="s">
        <v>1606</v>
      </c>
      <c r="F111" s="1165">
        <v>371048</v>
      </c>
      <c r="G111" s="480" t="s">
        <v>3491</v>
      </c>
      <c r="H111" s="480" t="s">
        <v>2604</v>
      </c>
      <c r="I111" s="1038">
        <v>39162</v>
      </c>
      <c r="J111" s="1044">
        <v>11</v>
      </c>
      <c r="K111" s="1039">
        <f t="shared" ca="1" si="85"/>
        <v>18.507871321013006</v>
      </c>
      <c r="L111" s="963" t="s">
        <v>1886</v>
      </c>
      <c r="M111" s="963" t="s">
        <v>56</v>
      </c>
      <c r="N111" s="480"/>
      <c r="O111" s="1362">
        <v>30000</v>
      </c>
      <c r="P111" s="1362"/>
      <c r="Q111" s="1476">
        <v>20000</v>
      </c>
      <c r="R111" s="1476"/>
      <c r="S111" s="963">
        <v>45183</v>
      </c>
      <c r="T111" s="1716">
        <v>74</v>
      </c>
      <c r="U111" s="963">
        <v>45382</v>
      </c>
      <c r="V111" s="1716">
        <v>192</v>
      </c>
      <c r="W111" s="1716">
        <f t="shared" si="55"/>
        <v>119</v>
      </c>
      <c r="X111" s="1717">
        <f t="shared" si="56"/>
        <v>0.61979166666666663</v>
      </c>
      <c r="Y111" s="1716">
        <v>1</v>
      </c>
      <c r="Z111" s="1716">
        <f t="shared" si="57"/>
        <v>0.61979166666666663</v>
      </c>
      <c r="AA111" s="1047">
        <f t="shared" si="58"/>
        <v>12395.833333333332</v>
      </c>
      <c r="AB111" s="1748" t="s">
        <v>2797</v>
      </c>
      <c r="AC111" s="1748" t="s">
        <v>2797</v>
      </c>
      <c r="AD111" s="1471"/>
      <c r="AE111" s="1471"/>
      <c r="AF111" s="1471"/>
      <c r="AG111" s="1476"/>
      <c r="AH111" s="1476"/>
      <c r="AI111" s="1476"/>
      <c r="AJ111" s="1476"/>
      <c r="AK111" s="1476"/>
      <c r="AL111" s="1476"/>
      <c r="AM111" s="1476"/>
      <c r="AN111" s="1471"/>
      <c r="AO111" s="1476"/>
      <c r="AP111" s="1471"/>
      <c r="AQ111" s="1471"/>
      <c r="AR111" s="1471"/>
      <c r="AS111" s="1471"/>
      <c r="AT111" s="1471"/>
      <c r="AU111" s="1471"/>
      <c r="AV111" s="1471"/>
      <c r="AW111" s="1471"/>
      <c r="AX111" s="1471"/>
      <c r="AY111" s="1471"/>
      <c r="AZ111" s="1206"/>
      <c r="BA111" s="1885"/>
      <c r="BB111" s="1471"/>
      <c r="BC111" s="1206"/>
      <c r="BD111" s="1471"/>
      <c r="BE111" s="1477"/>
      <c r="BF111" s="1471"/>
      <c r="BG111" s="1471"/>
      <c r="BH111" s="1476"/>
      <c r="BI111" s="1473"/>
      <c r="BJ111" s="1471">
        <v>0</v>
      </c>
      <c r="BK111" s="1471"/>
      <c r="BL111" s="1473"/>
      <c r="BM111" s="1489"/>
      <c r="BN111" s="1489"/>
      <c r="BO111" s="1773"/>
      <c r="BP111" s="1773"/>
      <c r="BQ111" s="1774"/>
      <c r="BZ111" s="1493"/>
      <c r="CF111" s="1795"/>
      <c r="CG111" s="1796"/>
      <c r="CH111" s="1796"/>
      <c r="CN111" s="1797"/>
      <c r="CO111" s="1797"/>
      <c r="CR111" s="1494"/>
      <c r="CS111" s="1797"/>
      <c r="CT111" s="1652">
        <f>Q111</f>
        <v>20000</v>
      </c>
      <c r="CV111" s="1678">
        <f t="shared" si="69"/>
        <v>20000</v>
      </c>
      <c r="CW111" s="1795">
        <f t="shared" si="72"/>
        <v>20000</v>
      </c>
      <c r="CX111" s="1496">
        <v>0</v>
      </c>
      <c r="CY111" s="1496">
        <f t="shared" si="89"/>
        <v>20000</v>
      </c>
      <c r="CZ111" s="1496">
        <f t="shared" si="74"/>
        <v>0</v>
      </c>
      <c r="DC111" s="1747">
        <f t="shared" si="70"/>
        <v>20000</v>
      </c>
      <c r="DD111" s="1496">
        <f t="shared" si="75"/>
        <v>0</v>
      </c>
      <c r="DF111" s="1747">
        <f t="shared" si="65"/>
        <v>20000</v>
      </c>
      <c r="DI111" s="1747">
        <f t="shared" si="66"/>
        <v>20000</v>
      </c>
    </row>
    <row r="112" spans="1:113" x14ac:dyDescent="0.25">
      <c r="A112" s="1471">
        <v>1</v>
      </c>
      <c r="B112" s="480" t="s">
        <v>3459</v>
      </c>
      <c r="C112" s="480">
        <v>201260</v>
      </c>
      <c r="D112" s="480" t="s">
        <v>3492</v>
      </c>
      <c r="E112" s="1784" t="s">
        <v>2804</v>
      </c>
      <c r="F112" s="1165">
        <v>417403</v>
      </c>
      <c r="G112" s="480" t="s">
        <v>490</v>
      </c>
      <c r="H112" s="480" t="s">
        <v>2225</v>
      </c>
      <c r="I112" s="1038">
        <v>39172</v>
      </c>
      <c r="J112" s="1803">
        <v>11</v>
      </c>
      <c r="K112" s="1039">
        <f t="shared" ca="1" si="85"/>
        <v>18.480492813141684</v>
      </c>
      <c r="L112" s="963" t="s">
        <v>1886</v>
      </c>
      <c r="M112" s="963" t="s">
        <v>56</v>
      </c>
      <c r="N112" s="480"/>
      <c r="O112" s="1362">
        <v>30000</v>
      </c>
      <c r="P112" s="1362"/>
      <c r="Q112" s="1476">
        <v>30000</v>
      </c>
      <c r="R112" s="1476">
        <v>0</v>
      </c>
      <c r="S112" s="963">
        <v>45017</v>
      </c>
      <c r="T112" s="1716">
        <v>1</v>
      </c>
      <c r="U112" s="963">
        <v>45382</v>
      </c>
      <c r="V112" s="1716">
        <v>192</v>
      </c>
      <c r="W112" s="1716">
        <f t="shared" si="55"/>
        <v>192</v>
      </c>
      <c r="X112" s="1717">
        <f t="shared" si="56"/>
        <v>1</v>
      </c>
      <c r="Y112" s="1716">
        <v>1</v>
      </c>
      <c r="Z112" s="1716">
        <f t="shared" si="57"/>
        <v>1</v>
      </c>
      <c r="AA112" s="1047">
        <f t="shared" si="58"/>
        <v>30000</v>
      </c>
      <c r="AB112" s="1037" t="s">
        <v>2797</v>
      </c>
      <c r="AC112" s="1748" t="s">
        <v>2797</v>
      </c>
      <c r="AD112" s="1471"/>
      <c r="AE112" s="1471"/>
      <c r="AF112" s="1471"/>
      <c r="AG112" s="1476">
        <v>30000</v>
      </c>
      <c r="AH112" s="1476"/>
      <c r="AI112" s="1476">
        <v>30000</v>
      </c>
      <c r="AJ112" s="1476"/>
      <c r="AK112" s="1476" t="str">
        <f t="shared" si="78"/>
        <v>no</v>
      </c>
      <c r="AL112" s="1476" t="str">
        <f t="shared" si="79"/>
        <v>no</v>
      </c>
      <c r="AM112" s="1476" t="str">
        <f t="shared" si="80"/>
        <v>yes</v>
      </c>
      <c r="AN112" s="1471"/>
      <c r="AO112" s="1476"/>
      <c r="AP112" s="1471"/>
      <c r="AQ112" s="1471"/>
      <c r="AR112" s="1471"/>
      <c r="AS112" s="1471"/>
      <c r="AT112" s="1471"/>
      <c r="AU112" s="1471"/>
      <c r="AV112" s="1471"/>
      <c r="AW112" s="1471"/>
      <c r="AX112" s="1471"/>
      <c r="AY112" s="1471"/>
      <c r="AZ112" s="1206"/>
      <c r="BA112" s="1881" t="s">
        <v>3481</v>
      </c>
      <c r="BB112" s="1471" t="s">
        <v>3493</v>
      </c>
      <c r="BC112" s="1206">
        <f>5000+5000</f>
        <v>10000</v>
      </c>
      <c r="BD112" s="1471">
        <v>8071672</v>
      </c>
      <c r="BE112" s="1477">
        <v>45051</v>
      </c>
      <c r="BF112" s="1471"/>
      <c r="BG112" s="1471"/>
      <c r="BH112" s="1476">
        <f>AO112+AS112+AW112</f>
        <v>0</v>
      </c>
      <c r="BI112" s="1625">
        <f>BC112</f>
        <v>10000</v>
      </c>
      <c r="BJ112" s="1471">
        <v>30000</v>
      </c>
      <c r="BK112" s="1471">
        <v>10000</v>
      </c>
      <c r="BL112" s="1473">
        <v>10000</v>
      </c>
      <c r="BM112" s="1489">
        <f t="shared" si="39"/>
        <v>30000</v>
      </c>
      <c r="BN112" s="1489">
        <v>30000</v>
      </c>
      <c r="BO112" s="1773">
        <f t="shared" si="81"/>
        <v>0</v>
      </c>
      <c r="BP112" s="1773">
        <v>0</v>
      </c>
      <c r="BQ112" s="1774">
        <f t="shared" si="82"/>
        <v>30000</v>
      </c>
      <c r="BZ112" s="1493"/>
      <c r="CF112" s="1795">
        <f t="shared" ref="CF112:CF126" si="96">BQ112+CB112+CD112</f>
        <v>30000</v>
      </c>
      <c r="CG112" s="1796">
        <f t="shared" si="83"/>
        <v>30000</v>
      </c>
      <c r="CH112" s="1796">
        <f t="shared" ref="CH112:CH126" si="97">CG112-BQ112</f>
        <v>0</v>
      </c>
      <c r="CN112" s="1797">
        <f t="shared" si="73"/>
        <v>30000</v>
      </c>
      <c r="CO112" s="1797">
        <f t="shared" si="45"/>
        <v>0</v>
      </c>
      <c r="CR112" s="1494">
        <f t="shared" si="95"/>
        <v>30000</v>
      </c>
      <c r="CS112" s="1797">
        <f t="shared" si="71"/>
        <v>0</v>
      </c>
      <c r="CV112" s="1678">
        <f t="shared" si="69"/>
        <v>30000</v>
      </c>
      <c r="CW112" s="1795">
        <f t="shared" si="72"/>
        <v>0</v>
      </c>
      <c r="CX112" s="1496">
        <v>-20000</v>
      </c>
      <c r="CY112" s="1496">
        <f>CV112+CX112</f>
        <v>10000</v>
      </c>
      <c r="CZ112" s="1496">
        <f t="shared" si="74"/>
        <v>-20000</v>
      </c>
      <c r="DC112" s="1747">
        <f t="shared" si="70"/>
        <v>10000</v>
      </c>
      <c r="DD112" s="1496">
        <f t="shared" si="75"/>
        <v>0</v>
      </c>
      <c r="DF112" s="1747">
        <f t="shared" si="65"/>
        <v>10000</v>
      </c>
      <c r="DI112" s="1747">
        <f t="shared" si="66"/>
        <v>10000</v>
      </c>
    </row>
    <row r="113" spans="1:113" x14ac:dyDescent="0.25">
      <c r="A113" s="1471">
        <v>1</v>
      </c>
      <c r="B113" s="480" t="s">
        <v>3459</v>
      </c>
      <c r="C113" s="480">
        <v>201261</v>
      </c>
      <c r="D113" s="480" t="s">
        <v>3494</v>
      </c>
      <c r="E113" s="1784" t="s">
        <v>2804</v>
      </c>
      <c r="F113" s="1165">
        <v>427570</v>
      </c>
      <c r="G113" s="480" t="s">
        <v>3495</v>
      </c>
      <c r="H113" s="480" t="s">
        <v>2822</v>
      </c>
      <c r="I113" s="1038">
        <v>39651</v>
      </c>
      <c r="J113" s="1803">
        <v>10</v>
      </c>
      <c r="K113" s="1039">
        <f t="shared" ca="1" si="85"/>
        <v>17.169062286105408</v>
      </c>
      <c r="L113" s="963" t="s">
        <v>1886</v>
      </c>
      <c r="M113" s="963" t="s">
        <v>43</v>
      </c>
      <c r="N113" s="480"/>
      <c r="O113" s="1362">
        <v>30000</v>
      </c>
      <c r="P113" s="1362"/>
      <c r="Q113" s="1476">
        <v>30000</v>
      </c>
      <c r="R113" s="1476">
        <v>0</v>
      </c>
      <c r="S113" s="963">
        <v>45017</v>
      </c>
      <c r="T113" s="1716">
        <v>1</v>
      </c>
      <c r="U113" s="963">
        <v>45382</v>
      </c>
      <c r="V113" s="1716">
        <v>192</v>
      </c>
      <c r="W113" s="1716">
        <f t="shared" si="55"/>
        <v>192</v>
      </c>
      <c r="X113" s="1717">
        <f t="shared" si="56"/>
        <v>1</v>
      </c>
      <c r="Y113" s="1716">
        <v>1</v>
      </c>
      <c r="Z113" s="1716">
        <f t="shared" si="57"/>
        <v>1</v>
      </c>
      <c r="AA113" s="1047">
        <f t="shared" si="58"/>
        <v>30000</v>
      </c>
      <c r="AB113" s="1037" t="s">
        <v>2797</v>
      </c>
      <c r="AC113" s="1037" t="s">
        <v>2797</v>
      </c>
      <c r="AD113" s="1471"/>
      <c r="AE113" s="1471"/>
      <c r="AF113" s="1471"/>
      <c r="AG113" s="1476">
        <v>30000</v>
      </c>
      <c r="AH113" s="1476"/>
      <c r="AI113" s="1476">
        <v>30000</v>
      </c>
      <c r="AJ113" s="1476"/>
      <c r="AK113" s="1476" t="str">
        <f t="shared" si="78"/>
        <v>no</v>
      </c>
      <c r="AL113" s="1476" t="str">
        <f t="shared" si="79"/>
        <v>no</v>
      </c>
      <c r="AM113" s="1476" t="str">
        <f t="shared" si="80"/>
        <v>yes</v>
      </c>
      <c r="AN113" s="1471"/>
      <c r="AO113" s="1476"/>
      <c r="AP113" s="1471"/>
      <c r="AQ113" s="1471"/>
      <c r="AR113" s="1471"/>
      <c r="AS113" s="1471"/>
      <c r="AT113" s="1471"/>
      <c r="AU113" s="1471"/>
      <c r="AV113" s="1471"/>
      <c r="AW113" s="1471"/>
      <c r="AX113" s="1471"/>
      <c r="AY113" s="1471"/>
      <c r="AZ113" s="1206"/>
      <c r="BA113" s="1881" t="s">
        <v>3496</v>
      </c>
      <c r="BB113" s="1471" t="s">
        <v>3497</v>
      </c>
      <c r="BC113" s="1206">
        <v>5000</v>
      </c>
      <c r="BD113" s="1471">
        <v>8071672</v>
      </c>
      <c r="BE113" s="1477">
        <v>45051</v>
      </c>
      <c r="BF113" s="1471"/>
      <c r="BG113" s="1471"/>
      <c r="BH113" s="1476">
        <f>AO113+AS113+AW113</f>
        <v>0</v>
      </c>
      <c r="BI113" s="1625">
        <f>BC113</f>
        <v>5000</v>
      </c>
      <c r="BJ113" s="1471">
        <v>30000</v>
      </c>
      <c r="BK113" s="1471">
        <v>5000</v>
      </c>
      <c r="BL113" s="1473">
        <v>5000</v>
      </c>
      <c r="BM113" s="1489">
        <f t="shared" si="39"/>
        <v>30000</v>
      </c>
      <c r="BN113" s="1489">
        <v>30000</v>
      </c>
      <c r="BO113" s="1773">
        <f t="shared" si="81"/>
        <v>0</v>
      </c>
      <c r="BP113" s="1773">
        <v>0</v>
      </c>
      <c r="BQ113" s="1774">
        <f t="shared" si="82"/>
        <v>30000</v>
      </c>
      <c r="BZ113" s="1493"/>
      <c r="CF113" s="1795">
        <f t="shared" si="96"/>
        <v>30000</v>
      </c>
      <c r="CG113" s="1796">
        <f t="shared" si="83"/>
        <v>30000</v>
      </c>
      <c r="CH113" s="1796">
        <f t="shared" si="97"/>
        <v>0</v>
      </c>
      <c r="CN113" s="1797">
        <f t="shared" si="73"/>
        <v>30000</v>
      </c>
      <c r="CO113" s="1797">
        <f t="shared" si="45"/>
        <v>0</v>
      </c>
      <c r="CR113" s="1494">
        <f t="shared" si="95"/>
        <v>30000</v>
      </c>
      <c r="CS113" s="1797">
        <f t="shared" si="71"/>
        <v>0</v>
      </c>
      <c r="CV113" s="1678">
        <f t="shared" si="69"/>
        <v>30000</v>
      </c>
      <c r="CW113" s="1795">
        <f t="shared" si="72"/>
        <v>0</v>
      </c>
      <c r="CX113" s="1496">
        <v>0</v>
      </c>
      <c r="CY113" s="1496">
        <f t="shared" si="89"/>
        <v>30000</v>
      </c>
      <c r="CZ113" s="1496">
        <f t="shared" si="74"/>
        <v>0</v>
      </c>
      <c r="DC113" s="1747">
        <f t="shared" si="70"/>
        <v>30000</v>
      </c>
      <c r="DD113" s="1496">
        <f t="shared" si="75"/>
        <v>0</v>
      </c>
      <c r="DF113" s="1747">
        <f t="shared" si="65"/>
        <v>30000</v>
      </c>
      <c r="DI113" s="1747">
        <f t="shared" si="66"/>
        <v>30000</v>
      </c>
    </row>
    <row r="114" spans="1:113" x14ac:dyDescent="0.25">
      <c r="A114" s="1471">
        <v>1</v>
      </c>
      <c r="B114" s="480" t="s">
        <v>3459</v>
      </c>
      <c r="C114" s="480">
        <v>201260</v>
      </c>
      <c r="D114" s="480" t="s">
        <v>3498</v>
      </c>
      <c r="E114" s="1784" t="s">
        <v>1606</v>
      </c>
      <c r="F114" s="1165">
        <v>371003</v>
      </c>
      <c r="G114" s="480" t="s">
        <v>3499</v>
      </c>
      <c r="H114" s="480" t="s">
        <v>3500</v>
      </c>
      <c r="I114" s="1038">
        <v>39249</v>
      </c>
      <c r="J114" s="1803">
        <v>11</v>
      </c>
      <c r="K114" s="1039">
        <f t="shared" ca="1" si="85"/>
        <v>18.269678302532512</v>
      </c>
      <c r="L114" s="963" t="s">
        <v>1886</v>
      </c>
      <c r="M114" s="963" t="s">
        <v>56</v>
      </c>
      <c r="N114" s="480"/>
      <c r="O114" s="1362">
        <v>30000</v>
      </c>
      <c r="P114" s="1362"/>
      <c r="Q114" s="1476">
        <v>30000</v>
      </c>
      <c r="R114" s="1476">
        <v>0</v>
      </c>
      <c r="S114" s="963">
        <v>45017</v>
      </c>
      <c r="T114" s="1716">
        <v>1</v>
      </c>
      <c r="U114" s="963">
        <v>45382</v>
      </c>
      <c r="V114" s="1716">
        <v>192</v>
      </c>
      <c r="W114" s="1716">
        <f t="shared" si="55"/>
        <v>192</v>
      </c>
      <c r="X114" s="1717">
        <f t="shared" si="56"/>
        <v>1</v>
      </c>
      <c r="Y114" s="1716">
        <v>1</v>
      </c>
      <c r="Z114" s="1716">
        <f t="shared" si="57"/>
        <v>1</v>
      </c>
      <c r="AA114" s="1047">
        <f t="shared" si="58"/>
        <v>30000</v>
      </c>
      <c r="AB114" s="1037" t="s">
        <v>2797</v>
      </c>
      <c r="AC114" s="1037" t="s">
        <v>2797</v>
      </c>
      <c r="AD114" s="1471"/>
      <c r="AE114" s="1471"/>
      <c r="AF114" s="1471"/>
      <c r="AG114" s="1476">
        <v>30000</v>
      </c>
      <c r="AH114" s="1476"/>
      <c r="AI114" s="1476">
        <v>30000</v>
      </c>
      <c r="AJ114" s="1476"/>
      <c r="AK114" s="1476" t="str">
        <f t="shared" si="78"/>
        <v>no</v>
      </c>
      <c r="AL114" s="1476" t="str">
        <f t="shared" si="79"/>
        <v>no</v>
      </c>
      <c r="AM114" s="1476" t="str">
        <f t="shared" si="80"/>
        <v>yes</v>
      </c>
      <c r="AN114" s="1471"/>
      <c r="AO114" s="1476"/>
      <c r="AP114" s="1471"/>
      <c r="AQ114" s="1471"/>
      <c r="AR114" s="1471"/>
      <c r="AS114" s="1471"/>
      <c r="AT114" s="1471"/>
      <c r="AU114" s="1471"/>
      <c r="AV114" s="1471"/>
      <c r="AW114" s="1471"/>
      <c r="AX114" s="1471"/>
      <c r="AY114" s="1471"/>
      <c r="AZ114" s="1206"/>
      <c r="BA114" s="1881" t="s">
        <v>3481</v>
      </c>
      <c r="BB114" s="1471" t="s">
        <v>3497</v>
      </c>
      <c r="BC114" s="1206">
        <f>5000+5000+5000</f>
        <v>15000</v>
      </c>
      <c r="BD114" s="1471">
        <v>8071672</v>
      </c>
      <c r="BE114" s="1477">
        <v>45051</v>
      </c>
      <c r="BF114" s="1471"/>
      <c r="BG114" s="1471"/>
      <c r="BH114" s="1476">
        <f>AO114+AS114+AW114</f>
        <v>0</v>
      </c>
      <c r="BI114" s="1625">
        <f>BC114</f>
        <v>15000</v>
      </c>
      <c r="BJ114" s="1471">
        <v>30000</v>
      </c>
      <c r="BK114" s="1471">
        <v>1895</v>
      </c>
      <c r="BL114" s="1473">
        <v>1895</v>
      </c>
      <c r="BM114" s="1489">
        <f t="shared" si="39"/>
        <v>30000</v>
      </c>
      <c r="BN114" s="1489">
        <v>30000</v>
      </c>
      <c r="BO114" s="1773">
        <f t="shared" si="81"/>
        <v>0</v>
      </c>
      <c r="BP114" s="1773" t="s">
        <v>3007</v>
      </c>
      <c r="BQ114" s="1774">
        <v>30000</v>
      </c>
      <c r="BW114" s="1794" t="s">
        <v>3501</v>
      </c>
      <c r="BX114" s="1839">
        <v>44993</v>
      </c>
      <c r="BZ114" s="1493"/>
      <c r="CF114" s="1795">
        <f t="shared" si="96"/>
        <v>30000</v>
      </c>
      <c r="CG114" s="1796">
        <f t="shared" si="83"/>
        <v>30000</v>
      </c>
      <c r="CH114" s="1796">
        <f t="shared" si="97"/>
        <v>0</v>
      </c>
      <c r="CN114" s="1797">
        <f t="shared" si="73"/>
        <v>30000</v>
      </c>
      <c r="CO114" s="1797">
        <f t="shared" si="45"/>
        <v>0</v>
      </c>
      <c r="CR114" s="1494">
        <f t="shared" si="95"/>
        <v>30000</v>
      </c>
      <c r="CS114" s="1797">
        <f t="shared" si="71"/>
        <v>0</v>
      </c>
      <c r="CV114" s="1678">
        <f t="shared" si="69"/>
        <v>30000</v>
      </c>
      <c r="CW114" s="1795">
        <f t="shared" si="72"/>
        <v>0</v>
      </c>
      <c r="CX114" s="1496">
        <v>0</v>
      </c>
      <c r="CY114" s="1496">
        <f t="shared" si="89"/>
        <v>30000</v>
      </c>
      <c r="CZ114" s="1496">
        <f t="shared" si="74"/>
        <v>0</v>
      </c>
      <c r="DC114" s="1747">
        <f t="shared" si="70"/>
        <v>30000</v>
      </c>
      <c r="DD114" s="1496">
        <f t="shared" si="75"/>
        <v>0</v>
      </c>
      <c r="DF114" s="1747">
        <f t="shared" si="65"/>
        <v>30000</v>
      </c>
      <c r="DI114" s="1747">
        <f t="shared" si="66"/>
        <v>30000</v>
      </c>
    </row>
    <row r="115" spans="1:113" s="1859" customFormat="1" x14ac:dyDescent="0.25">
      <c r="A115" s="1751">
        <v>1</v>
      </c>
      <c r="B115" s="1135" t="s">
        <v>3459</v>
      </c>
      <c r="C115" s="1135">
        <v>201260</v>
      </c>
      <c r="D115" s="1135" t="s">
        <v>3502</v>
      </c>
      <c r="E115" s="1749" t="s">
        <v>2804</v>
      </c>
      <c r="F115" s="1852">
        <v>376036</v>
      </c>
      <c r="G115" s="1135" t="s">
        <v>2417</v>
      </c>
      <c r="H115" s="1135" t="s">
        <v>797</v>
      </c>
      <c r="I115" s="1182">
        <v>39530</v>
      </c>
      <c r="J115" s="1853">
        <v>10</v>
      </c>
      <c r="K115" s="1147">
        <f t="shared" ca="1" si="85"/>
        <v>17.500342231348391</v>
      </c>
      <c r="L115" s="1146" t="s">
        <v>1886</v>
      </c>
      <c r="M115" s="1146" t="s">
        <v>173</v>
      </c>
      <c r="N115" s="1135"/>
      <c r="O115" s="1813"/>
      <c r="P115" s="1813"/>
      <c r="Q115" s="1762">
        <v>30000</v>
      </c>
      <c r="R115" s="1762">
        <v>0</v>
      </c>
      <c r="S115" s="1146">
        <v>45170</v>
      </c>
      <c r="T115" s="1716">
        <v>65</v>
      </c>
      <c r="U115" s="1146">
        <v>45382</v>
      </c>
      <c r="V115" s="1716">
        <v>192</v>
      </c>
      <c r="W115" s="1716">
        <f t="shared" si="55"/>
        <v>128</v>
      </c>
      <c r="X115" s="1717">
        <f t="shared" si="56"/>
        <v>0.66666666666666663</v>
      </c>
      <c r="Y115" s="1716">
        <v>1</v>
      </c>
      <c r="Z115" s="1716">
        <f t="shared" si="57"/>
        <v>0.66666666666666663</v>
      </c>
      <c r="AA115" s="1865">
        <f t="shared" si="58"/>
        <v>20000</v>
      </c>
      <c r="AB115" s="1748" t="s">
        <v>2797</v>
      </c>
      <c r="AC115" s="1748" t="s">
        <v>2797</v>
      </c>
      <c r="AD115" s="1751"/>
      <c r="AE115" s="1751"/>
      <c r="AF115" s="1751"/>
      <c r="AG115" s="1762">
        <f>Q115/3*2</f>
        <v>20000</v>
      </c>
      <c r="AH115" s="1762"/>
      <c r="AI115" s="1762">
        <v>30000</v>
      </c>
      <c r="AJ115" s="1762"/>
      <c r="AK115" s="1762" t="str">
        <f t="shared" si="78"/>
        <v>no</v>
      </c>
      <c r="AL115" s="1762" t="str">
        <f t="shared" si="79"/>
        <v>no</v>
      </c>
      <c r="AM115" s="1762" t="str">
        <f t="shared" si="80"/>
        <v>yes</v>
      </c>
      <c r="AN115" s="1751"/>
      <c r="AO115" s="1762"/>
      <c r="AP115" s="1751"/>
      <c r="AQ115" s="1751"/>
      <c r="AR115" s="1751"/>
      <c r="AS115" s="1751"/>
      <c r="AT115" s="1751"/>
      <c r="AU115" s="1751"/>
      <c r="AV115" s="1751"/>
      <c r="AW115" s="1751"/>
      <c r="AX115" s="1751"/>
      <c r="AY115" s="1751"/>
      <c r="AZ115" s="1759"/>
      <c r="BA115" s="1881"/>
      <c r="BB115" s="1751"/>
      <c r="BC115" s="1759"/>
      <c r="BD115" s="1751"/>
      <c r="BE115" s="1866"/>
      <c r="BF115" s="1751"/>
      <c r="BG115" s="1751"/>
      <c r="BH115" s="1762"/>
      <c r="BI115" s="1886"/>
      <c r="BJ115" s="1751">
        <v>20000</v>
      </c>
      <c r="BK115" s="1751"/>
      <c r="BL115" s="1858"/>
      <c r="BM115" s="1771"/>
      <c r="BN115" s="1771"/>
      <c r="BO115" s="1773">
        <f t="shared" si="81"/>
        <v>0</v>
      </c>
      <c r="BP115" s="1773">
        <v>0</v>
      </c>
      <c r="BQ115" s="1774">
        <f t="shared" si="82"/>
        <v>0</v>
      </c>
      <c r="BR115" s="1887">
        <v>30000</v>
      </c>
      <c r="BS115" s="1859" t="s">
        <v>2989</v>
      </c>
      <c r="BT115" s="1888" t="s">
        <v>3503</v>
      </c>
      <c r="BZ115" s="1889"/>
      <c r="CD115" s="1867">
        <v>20000</v>
      </c>
      <c r="CF115" s="1890">
        <f t="shared" si="96"/>
        <v>20000</v>
      </c>
      <c r="CG115" s="1891">
        <f t="shared" si="83"/>
        <v>20000</v>
      </c>
      <c r="CH115" s="1892">
        <f t="shared" si="97"/>
        <v>20000</v>
      </c>
      <c r="CI115" s="1859" t="s">
        <v>3504</v>
      </c>
      <c r="CN115" s="1781">
        <f t="shared" si="73"/>
        <v>20000</v>
      </c>
      <c r="CO115" s="1781">
        <f t="shared" si="45"/>
        <v>0</v>
      </c>
      <c r="CR115" s="1494">
        <f t="shared" si="95"/>
        <v>20000</v>
      </c>
      <c r="CS115" s="1797">
        <f t="shared" si="71"/>
        <v>0</v>
      </c>
      <c r="CV115" s="1678">
        <f t="shared" si="69"/>
        <v>20000</v>
      </c>
      <c r="CW115" s="1795">
        <f t="shared" si="72"/>
        <v>0</v>
      </c>
      <c r="CX115" s="1497">
        <v>0</v>
      </c>
      <c r="CY115" s="1496">
        <f t="shared" si="89"/>
        <v>20000</v>
      </c>
      <c r="CZ115" s="1496">
        <f t="shared" si="74"/>
        <v>0</v>
      </c>
      <c r="DB115" s="1863">
        <v>0</v>
      </c>
      <c r="DC115" s="1747">
        <f t="shared" si="70"/>
        <v>20000</v>
      </c>
      <c r="DD115" s="1496">
        <f t="shared" si="75"/>
        <v>0</v>
      </c>
      <c r="DE115" s="1497"/>
      <c r="DF115" s="1747">
        <f t="shared" si="65"/>
        <v>20000</v>
      </c>
      <c r="DI115" s="1747">
        <f t="shared" si="66"/>
        <v>20000</v>
      </c>
    </row>
    <row r="116" spans="1:113" x14ac:dyDescent="0.25">
      <c r="A116" s="1471">
        <v>1</v>
      </c>
      <c r="B116" s="480" t="s">
        <v>3418</v>
      </c>
      <c r="C116" s="480">
        <v>202989</v>
      </c>
      <c r="D116" s="480" t="s">
        <v>3505</v>
      </c>
      <c r="E116" s="1784" t="s">
        <v>1606</v>
      </c>
      <c r="F116" s="1399">
        <v>368036</v>
      </c>
      <c r="G116" s="480" t="s">
        <v>3506</v>
      </c>
      <c r="H116" s="480" t="s">
        <v>105</v>
      </c>
      <c r="I116" s="1400">
        <v>39189</v>
      </c>
      <c r="J116" s="1803">
        <v>8</v>
      </c>
      <c r="K116" s="1039">
        <f t="shared" ca="1" si="85"/>
        <v>18.433949349760439</v>
      </c>
      <c r="L116" s="963" t="s">
        <v>1886</v>
      </c>
      <c r="M116" s="963" t="s">
        <v>56</v>
      </c>
      <c r="N116" s="480"/>
      <c r="O116" s="1362"/>
      <c r="P116" s="1893"/>
      <c r="Q116" s="1476">
        <v>1887</v>
      </c>
      <c r="R116" s="1476">
        <v>1258</v>
      </c>
      <c r="S116" s="963">
        <v>45017</v>
      </c>
      <c r="T116" s="1716">
        <v>1</v>
      </c>
      <c r="U116" s="963">
        <v>45382</v>
      </c>
      <c r="V116" s="1716">
        <v>192</v>
      </c>
      <c r="W116" s="1716">
        <f t="shared" si="55"/>
        <v>192</v>
      </c>
      <c r="X116" s="1717">
        <f t="shared" si="56"/>
        <v>1</v>
      </c>
      <c r="Y116" s="1716">
        <v>1</v>
      </c>
      <c r="Z116" s="1716">
        <f t="shared" si="57"/>
        <v>1</v>
      </c>
      <c r="AA116" s="1047">
        <f t="shared" si="58"/>
        <v>1887</v>
      </c>
      <c r="AB116" s="1037" t="s">
        <v>2797</v>
      </c>
      <c r="AC116" s="1037" t="s">
        <v>2797</v>
      </c>
      <c r="AD116" s="1471"/>
      <c r="AE116" s="1471"/>
      <c r="AF116" s="1471"/>
      <c r="AG116" s="1476">
        <f>1258+1887</f>
        <v>3145</v>
      </c>
      <c r="AH116" s="1476" t="s">
        <v>3507</v>
      </c>
      <c r="AI116" s="1476">
        <v>1887</v>
      </c>
      <c r="AJ116" s="1476">
        <v>1258</v>
      </c>
      <c r="AK116" s="1476" t="str">
        <f t="shared" si="78"/>
        <v>yes</v>
      </c>
      <c r="AL116" s="1476" t="str">
        <f t="shared" si="79"/>
        <v>no</v>
      </c>
      <c r="AM116" s="1476" t="str">
        <f t="shared" si="80"/>
        <v>no</v>
      </c>
      <c r="AN116" s="1471"/>
      <c r="AO116" s="1476"/>
      <c r="AP116" s="1471"/>
      <c r="AQ116" s="1471"/>
      <c r="AR116" s="1471"/>
      <c r="AS116" s="1471"/>
      <c r="AT116" s="1471"/>
      <c r="AU116" s="1471"/>
      <c r="AV116" s="1471"/>
      <c r="AW116" s="1471"/>
      <c r="AX116" s="1471"/>
      <c r="AY116" s="1471"/>
      <c r="AZ116" s="1487">
        <v>1258</v>
      </c>
      <c r="BA116" s="1476"/>
      <c r="BB116" s="1471"/>
      <c r="BC116" s="1471"/>
      <c r="BD116" s="1471">
        <v>8071638</v>
      </c>
      <c r="BE116" s="1471"/>
      <c r="BF116" s="1471"/>
      <c r="BG116" s="1471"/>
      <c r="BH116" s="1476">
        <f t="shared" ref="BH116:BH126" si="98">AO116+AS116+AW116</f>
        <v>0</v>
      </c>
      <c r="BI116" s="1625">
        <f t="shared" ref="BI116:BI126" si="99">BC116</f>
        <v>0</v>
      </c>
      <c r="BJ116" s="1471">
        <v>3145</v>
      </c>
      <c r="BK116" s="1471"/>
      <c r="BL116" s="1793">
        <v>1258</v>
      </c>
      <c r="BM116" s="1489">
        <f t="shared" si="39"/>
        <v>1887</v>
      </c>
      <c r="BN116" s="1489">
        <v>1887</v>
      </c>
      <c r="BO116" s="1773">
        <f t="shared" si="81"/>
        <v>-1258</v>
      </c>
      <c r="BP116" s="1773">
        <v>-1258</v>
      </c>
      <c r="BQ116" s="1774">
        <f t="shared" si="82"/>
        <v>629</v>
      </c>
      <c r="BW116" s="1794" t="s">
        <v>2266</v>
      </c>
      <c r="BX116" s="1839">
        <v>44992</v>
      </c>
      <c r="BZ116" s="1877">
        <f>BN116/3*2*-1</f>
        <v>-1258</v>
      </c>
      <c r="CF116" s="1795">
        <f t="shared" si="96"/>
        <v>629</v>
      </c>
      <c r="CG116" s="1796">
        <f t="shared" si="83"/>
        <v>629</v>
      </c>
      <c r="CH116" s="1796">
        <f t="shared" si="97"/>
        <v>0</v>
      </c>
      <c r="CN116" s="1797">
        <f t="shared" si="73"/>
        <v>629</v>
      </c>
      <c r="CO116" s="1797">
        <f t="shared" si="45"/>
        <v>0</v>
      </c>
      <c r="CR116" s="1494">
        <f t="shared" si="95"/>
        <v>629</v>
      </c>
      <c r="CS116" s="1797">
        <f t="shared" si="71"/>
        <v>0</v>
      </c>
      <c r="CV116" s="1678">
        <f t="shared" si="69"/>
        <v>629</v>
      </c>
      <c r="CW116" s="1795">
        <f t="shared" si="72"/>
        <v>0</v>
      </c>
      <c r="CX116" s="1496">
        <v>1726</v>
      </c>
      <c r="CY116" s="1496">
        <f>CV116+CX116</f>
        <v>2355</v>
      </c>
      <c r="CZ116" s="1496">
        <f t="shared" si="74"/>
        <v>1726</v>
      </c>
      <c r="DC116" s="1747">
        <f t="shared" si="70"/>
        <v>2355</v>
      </c>
      <c r="DD116" s="1496">
        <f t="shared" si="75"/>
        <v>0</v>
      </c>
      <c r="DF116" s="1747">
        <f t="shared" si="65"/>
        <v>2355</v>
      </c>
      <c r="DI116" s="1747">
        <f t="shared" si="66"/>
        <v>2355</v>
      </c>
    </row>
    <row r="117" spans="1:113" hidden="1" x14ac:dyDescent="0.25">
      <c r="A117" s="1471">
        <v>0</v>
      </c>
      <c r="B117" s="480" t="s">
        <v>3418</v>
      </c>
      <c r="C117" s="480">
        <v>202989</v>
      </c>
      <c r="D117" s="480" t="s">
        <v>3505</v>
      </c>
      <c r="E117" s="1784" t="s">
        <v>1606</v>
      </c>
      <c r="F117" s="1401">
        <v>384576</v>
      </c>
      <c r="G117" s="1402" t="s">
        <v>3508</v>
      </c>
      <c r="H117" s="1402" t="s">
        <v>343</v>
      </c>
      <c r="I117" s="1400">
        <v>38290</v>
      </c>
      <c r="J117" s="1803">
        <v>0</v>
      </c>
      <c r="K117" s="1039">
        <f t="shared" ca="1" si="85"/>
        <v>20.895277207392198</v>
      </c>
      <c r="L117" s="963" t="s">
        <v>270</v>
      </c>
      <c r="M117" s="963" t="s">
        <v>43</v>
      </c>
      <c r="N117" s="480"/>
      <c r="O117" s="1362"/>
      <c r="P117" s="1893"/>
      <c r="Q117" s="1476">
        <v>0</v>
      </c>
      <c r="R117" s="1476">
        <v>0</v>
      </c>
      <c r="S117" s="963">
        <v>45017</v>
      </c>
      <c r="T117" s="1716">
        <v>1</v>
      </c>
      <c r="U117" s="963">
        <v>45382</v>
      </c>
      <c r="V117" s="1716">
        <v>192</v>
      </c>
      <c r="W117" s="1716">
        <f t="shared" si="55"/>
        <v>192</v>
      </c>
      <c r="X117" s="1717">
        <f t="shared" si="56"/>
        <v>1</v>
      </c>
      <c r="Y117" s="1716">
        <v>1</v>
      </c>
      <c r="Z117" s="1716">
        <f t="shared" si="57"/>
        <v>1</v>
      </c>
      <c r="AA117" s="1047">
        <f t="shared" si="58"/>
        <v>0</v>
      </c>
      <c r="AB117" s="1383" t="s">
        <v>3509</v>
      </c>
      <c r="AC117" s="1403" t="s">
        <v>2975</v>
      </c>
      <c r="AD117" s="1471"/>
      <c r="AE117" s="1471"/>
      <c r="AF117" s="1471"/>
      <c r="AG117" s="1476">
        <v>0</v>
      </c>
      <c r="AH117" s="1476" t="s">
        <v>3510</v>
      </c>
      <c r="AI117" s="1476"/>
      <c r="AJ117" s="1476"/>
      <c r="AK117" s="1476" t="str">
        <f t="shared" si="78"/>
        <v>yes</v>
      </c>
      <c r="AL117" s="1476" t="str">
        <f t="shared" si="79"/>
        <v>no</v>
      </c>
      <c r="AM117" s="1476" t="str">
        <f t="shared" si="80"/>
        <v>no</v>
      </c>
      <c r="AN117" s="1471"/>
      <c r="AO117" s="1476"/>
      <c r="AP117" s="1471"/>
      <c r="AQ117" s="1471"/>
      <c r="AR117" s="1471"/>
      <c r="AS117" s="1471"/>
      <c r="AT117" s="1471"/>
      <c r="AU117" s="1471"/>
      <c r="AV117" s="1471"/>
      <c r="AW117" s="1471"/>
      <c r="AX117" s="1471"/>
      <c r="AY117" s="1471"/>
      <c r="AZ117" s="1487">
        <v>1258</v>
      </c>
      <c r="BA117" s="1476"/>
      <c r="BB117" s="1471"/>
      <c r="BC117" s="1471"/>
      <c r="BD117" s="1471"/>
      <c r="BE117" s="1471"/>
      <c r="BF117" s="1471"/>
      <c r="BG117" s="1471"/>
      <c r="BH117" s="1476">
        <f t="shared" si="98"/>
        <v>0</v>
      </c>
      <c r="BI117" s="1473">
        <f t="shared" si="99"/>
        <v>0</v>
      </c>
      <c r="BJ117" s="1471">
        <v>0</v>
      </c>
      <c r="BK117" s="1471"/>
      <c r="BL117" s="1793">
        <v>1258</v>
      </c>
      <c r="BM117" s="1489">
        <f t="shared" si="39"/>
        <v>-1258</v>
      </c>
      <c r="BN117" s="1489">
        <v>-1258</v>
      </c>
      <c r="BO117" s="1773">
        <f t="shared" si="81"/>
        <v>0</v>
      </c>
      <c r="BP117" s="1773">
        <v>0</v>
      </c>
      <c r="BQ117" s="1774">
        <f t="shared" si="82"/>
        <v>-1258</v>
      </c>
      <c r="BZ117" s="1493"/>
      <c r="CF117" s="1795">
        <f t="shared" si="96"/>
        <v>-1258</v>
      </c>
      <c r="CG117" s="1796">
        <f t="shared" si="83"/>
        <v>-1258</v>
      </c>
      <c r="CH117" s="1796">
        <f t="shared" si="97"/>
        <v>0</v>
      </c>
      <c r="CI117" s="1490" t="s">
        <v>3511</v>
      </c>
      <c r="CN117" s="1797">
        <f t="shared" si="73"/>
        <v>-1258</v>
      </c>
      <c r="CO117" s="1797">
        <f t="shared" si="45"/>
        <v>0</v>
      </c>
      <c r="CR117" s="1494">
        <f t="shared" si="90"/>
        <v>-1258</v>
      </c>
      <c r="CS117" s="1797">
        <f t="shared" si="71"/>
        <v>0</v>
      </c>
      <c r="CV117" s="1678">
        <v>0</v>
      </c>
      <c r="CW117" s="1795">
        <f t="shared" si="72"/>
        <v>1258</v>
      </c>
      <c r="CX117" s="1496">
        <v>0</v>
      </c>
      <c r="CY117" s="1496">
        <v>0</v>
      </c>
      <c r="CZ117" s="1496">
        <f t="shared" si="74"/>
        <v>0</v>
      </c>
      <c r="DC117" s="1747">
        <f t="shared" si="70"/>
        <v>0</v>
      </c>
      <c r="DD117" s="1496">
        <f t="shared" si="75"/>
        <v>0</v>
      </c>
      <c r="DF117" s="1747">
        <f t="shared" si="65"/>
        <v>0</v>
      </c>
      <c r="DI117" s="1747">
        <f t="shared" si="66"/>
        <v>0</v>
      </c>
    </row>
    <row r="118" spans="1:113" x14ac:dyDescent="0.25">
      <c r="A118" s="1471">
        <v>1</v>
      </c>
      <c r="B118" s="480" t="s">
        <v>2787</v>
      </c>
      <c r="C118" s="480">
        <v>206237</v>
      </c>
      <c r="D118" s="480" t="s">
        <v>3512</v>
      </c>
      <c r="E118" s="1784" t="s">
        <v>1876</v>
      </c>
      <c r="F118" s="1401">
        <v>445232</v>
      </c>
      <c r="G118" s="1402" t="s">
        <v>2179</v>
      </c>
      <c r="H118" s="1402" t="s">
        <v>657</v>
      </c>
      <c r="I118" s="1400">
        <v>39653</v>
      </c>
      <c r="J118" s="1803">
        <v>9</v>
      </c>
      <c r="K118" s="1039">
        <f t="shared" ca="1" si="85"/>
        <v>17.163586584531142</v>
      </c>
      <c r="L118" s="963" t="s">
        <v>1886</v>
      </c>
      <c r="M118" s="480" t="s">
        <v>56</v>
      </c>
      <c r="N118" s="1894"/>
      <c r="O118" s="1291">
        <f>41966+1623</f>
        <v>43589</v>
      </c>
      <c r="P118" s="1404" t="s">
        <v>3513</v>
      </c>
      <c r="Q118" s="1476">
        <v>44483.96</v>
      </c>
      <c r="R118" s="1476">
        <v>0</v>
      </c>
      <c r="S118" s="963">
        <v>45017</v>
      </c>
      <c r="T118" s="1716">
        <v>1</v>
      </c>
      <c r="U118" s="963">
        <v>45382</v>
      </c>
      <c r="V118" s="1716">
        <v>192</v>
      </c>
      <c r="W118" s="1716">
        <f t="shared" si="55"/>
        <v>192</v>
      </c>
      <c r="X118" s="1717">
        <f t="shared" si="56"/>
        <v>1</v>
      </c>
      <c r="Y118" s="1716">
        <v>1</v>
      </c>
      <c r="Z118" s="1716">
        <f t="shared" si="57"/>
        <v>1</v>
      </c>
      <c r="AA118" s="1047">
        <f t="shared" si="58"/>
        <v>44483.96</v>
      </c>
      <c r="AB118" s="1037" t="s">
        <v>2797</v>
      </c>
      <c r="AC118" s="1037" t="s">
        <v>2797</v>
      </c>
      <c r="AD118" s="1471"/>
      <c r="AE118" s="1471"/>
      <c r="AF118" s="1471"/>
      <c r="AG118" s="1476">
        <v>44483.96</v>
      </c>
      <c r="AH118" s="1476" t="s">
        <v>3514</v>
      </c>
      <c r="AI118" s="1476">
        <v>44483.96</v>
      </c>
      <c r="AJ118" s="1476"/>
      <c r="AK118" s="1476" t="str">
        <f t="shared" si="78"/>
        <v>no</v>
      </c>
      <c r="AL118" s="1476" t="str">
        <f t="shared" si="79"/>
        <v>no</v>
      </c>
      <c r="AM118" s="1476" t="str">
        <f t="shared" si="80"/>
        <v>yes</v>
      </c>
      <c r="AN118" s="1471"/>
      <c r="AO118" s="1476"/>
      <c r="AP118" s="1471"/>
      <c r="AQ118" s="1471"/>
      <c r="AR118" s="1471"/>
      <c r="AS118" s="1471"/>
      <c r="AT118" s="1471"/>
      <c r="AU118" s="1471"/>
      <c r="AV118" s="1471"/>
      <c r="AW118" s="1471"/>
      <c r="AX118" s="1471"/>
      <c r="AY118" s="1471"/>
      <c r="AZ118" s="1476"/>
      <c r="BA118" s="1476">
        <v>839.92020000000002</v>
      </c>
      <c r="BB118" s="1471"/>
      <c r="BC118" s="1471"/>
      <c r="BD118" s="1471">
        <v>8074101</v>
      </c>
      <c r="BE118" s="1471"/>
      <c r="BF118" s="1471"/>
      <c r="BG118" s="1471"/>
      <c r="BH118" s="1476">
        <f t="shared" si="98"/>
        <v>0</v>
      </c>
      <c r="BI118" s="1625">
        <f t="shared" si="99"/>
        <v>0</v>
      </c>
      <c r="BJ118" s="1471">
        <v>44483.96</v>
      </c>
      <c r="BK118" s="1471">
        <v>839.9</v>
      </c>
      <c r="BL118" s="1473">
        <v>839.9</v>
      </c>
      <c r="BM118" s="1489">
        <f t="shared" si="39"/>
        <v>44483.96</v>
      </c>
      <c r="BN118" s="1489">
        <v>44483.96</v>
      </c>
      <c r="BO118" s="1773">
        <f t="shared" si="81"/>
        <v>0</v>
      </c>
      <c r="BP118" s="1773">
        <v>0</v>
      </c>
      <c r="BQ118" s="1774">
        <f t="shared" si="82"/>
        <v>44483.96</v>
      </c>
      <c r="BZ118" s="1493"/>
      <c r="CF118" s="1795">
        <f t="shared" si="96"/>
        <v>44483.96</v>
      </c>
      <c r="CG118" s="1796">
        <f t="shared" si="83"/>
        <v>44483.96</v>
      </c>
      <c r="CH118" s="1796">
        <f t="shared" si="97"/>
        <v>0</v>
      </c>
      <c r="CN118" s="1797">
        <f t="shared" si="73"/>
        <v>44483.96</v>
      </c>
      <c r="CO118" s="1797">
        <f t="shared" si="45"/>
        <v>0</v>
      </c>
      <c r="CR118" s="1494">
        <f t="shared" ref="CR118:CR120" si="100">CN118+CP118+CQ118</f>
        <v>44483.96</v>
      </c>
      <c r="CS118" s="1797">
        <f t="shared" si="71"/>
        <v>0</v>
      </c>
      <c r="CV118" s="1678">
        <f t="shared" si="69"/>
        <v>44483.96</v>
      </c>
      <c r="CW118" s="1795">
        <f t="shared" si="72"/>
        <v>0</v>
      </c>
      <c r="CX118" s="1496">
        <v>0</v>
      </c>
      <c r="CY118" s="1496">
        <f>CV118+CX118</f>
        <v>44483.96</v>
      </c>
      <c r="CZ118" s="1496">
        <f t="shared" si="74"/>
        <v>0</v>
      </c>
      <c r="DC118" s="1747">
        <f t="shared" si="70"/>
        <v>44483.96</v>
      </c>
      <c r="DD118" s="1496">
        <f t="shared" si="75"/>
        <v>0</v>
      </c>
      <c r="DF118" s="1747">
        <f t="shared" si="65"/>
        <v>44483.96</v>
      </c>
      <c r="DI118" s="1747">
        <f t="shared" si="66"/>
        <v>44483.96</v>
      </c>
    </row>
    <row r="119" spans="1:113" x14ac:dyDescent="0.25">
      <c r="A119" s="1471">
        <v>1</v>
      </c>
      <c r="B119" s="480" t="s">
        <v>2787</v>
      </c>
      <c r="C119" s="480">
        <v>206237</v>
      </c>
      <c r="D119" s="480" t="s">
        <v>3512</v>
      </c>
      <c r="E119" s="1784" t="s">
        <v>1876</v>
      </c>
      <c r="F119" s="1401">
        <v>394712</v>
      </c>
      <c r="G119" s="1402" t="s">
        <v>3515</v>
      </c>
      <c r="H119" s="1402" t="s">
        <v>2485</v>
      </c>
      <c r="I119" s="1400">
        <v>40779</v>
      </c>
      <c r="J119" s="1803">
        <v>6</v>
      </c>
      <c r="K119" s="1039">
        <f t="shared" ca="1" si="85"/>
        <v>14.080766598220396</v>
      </c>
      <c r="L119" s="963" t="s">
        <v>1886</v>
      </c>
      <c r="M119" s="480" t="s">
        <v>56</v>
      </c>
      <c r="N119" s="1894"/>
      <c r="O119" s="1291">
        <f>51282+2251.28</f>
        <v>53533.279999999999</v>
      </c>
      <c r="P119" s="1404" t="s">
        <v>3513</v>
      </c>
      <c r="Q119" s="1476">
        <v>54358.92</v>
      </c>
      <c r="R119" s="1476">
        <v>0</v>
      </c>
      <c r="S119" s="963">
        <v>45017</v>
      </c>
      <c r="T119" s="1716">
        <v>1</v>
      </c>
      <c r="U119" s="963">
        <v>45382</v>
      </c>
      <c r="V119" s="1716">
        <v>192</v>
      </c>
      <c r="W119" s="1716">
        <f t="shared" si="55"/>
        <v>192</v>
      </c>
      <c r="X119" s="1717">
        <f t="shared" si="56"/>
        <v>1</v>
      </c>
      <c r="Y119" s="1716">
        <v>1</v>
      </c>
      <c r="Z119" s="1716">
        <f t="shared" si="57"/>
        <v>1</v>
      </c>
      <c r="AA119" s="1047">
        <f t="shared" si="58"/>
        <v>54358.92</v>
      </c>
      <c r="AB119" s="1037" t="s">
        <v>2797</v>
      </c>
      <c r="AC119" s="1037" t="s">
        <v>2797</v>
      </c>
      <c r="AD119" s="1471"/>
      <c r="AE119" s="1471"/>
      <c r="AF119" s="1471"/>
      <c r="AG119" s="1476">
        <v>54358.92</v>
      </c>
      <c r="AH119" s="1476" t="s">
        <v>3514</v>
      </c>
      <c r="AI119" s="1476">
        <v>54358.92</v>
      </c>
      <c r="AJ119" s="1476"/>
      <c r="AK119" s="1476" t="str">
        <f t="shared" si="78"/>
        <v>no</v>
      </c>
      <c r="AL119" s="1476" t="str">
        <f t="shared" si="79"/>
        <v>no</v>
      </c>
      <c r="AM119" s="1476" t="str">
        <f t="shared" si="80"/>
        <v>yes</v>
      </c>
      <c r="AN119" s="1471"/>
      <c r="AO119" s="1476"/>
      <c r="AP119" s="1471"/>
      <c r="AQ119" s="1471"/>
      <c r="AR119" s="1471"/>
      <c r="AS119" s="1471"/>
      <c r="AT119" s="1471"/>
      <c r="AU119" s="1471"/>
      <c r="AV119" s="1471"/>
      <c r="AW119" s="1471"/>
      <c r="AX119" s="1471"/>
      <c r="AY119" s="1471"/>
      <c r="AZ119" s="1476"/>
      <c r="BA119" s="1476">
        <v>825.64019999999994</v>
      </c>
      <c r="BB119" s="1471"/>
      <c r="BC119" s="1471"/>
      <c r="BD119" s="1471">
        <v>8074102</v>
      </c>
      <c r="BE119" s="1471"/>
      <c r="BF119" s="1471"/>
      <c r="BG119" s="1471"/>
      <c r="BH119" s="1476">
        <f t="shared" si="98"/>
        <v>0</v>
      </c>
      <c r="BI119" s="1625">
        <f t="shared" si="99"/>
        <v>0</v>
      </c>
      <c r="BJ119" s="1471">
        <v>54358.92</v>
      </c>
      <c r="BK119" s="1471">
        <v>825.64</v>
      </c>
      <c r="BL119" s="1473">
        <v>825.64</v>
      </c>
      <c r="BM119" s="1489">
        <f t="shared" si="39"/>
        <v>54358.92</v>
      </c>
      <c r="BN119" s="1489">
        <v>54358.92</v>
      </c>
      <c r="BO119" s="1773">
        <f t="shared" si="81"/>
        <v>0</v>
      </c>
      <c r="BP119" s="1773">
        <v>0</v>
      </c>
      <c r="BQ119" s="1774">
        <f t="shared" si="82"/>
        <v>54358.92</v>
      </c>
      <c r="BZ119" s="1493"/>
      <c r="CF119" s="1795">
        <f t="shared" si="96"/>
        <v>54358.92</v>
      </c>
      <c r="CG119" s="1796">
        <f t="shared" si="83"/>
        <v>54358.92</v>
      </c>
      <c r="CH119" s="1796">
        <f t="shared" si="97"/>
        <v>0</v>
      </c>
      <c r="CN119" s="1797">
        <f t="shared" si="73"/>
        <v>54358.92</v>
      </c>
      <c r="CO119" s="1797">
        <f t="shared" si="45"/>
        <v>0</v>
      </c>
      <c r="CR119" s="1494">
        <f t="shared" si="100"/>
        <v>54358.92</v>
      </c>
      <c r="CS119" s="1797">
        <f t="shared" si="71"/>
        <v>0</v>
      </c>
      <c r="CV119" s="1678">
        <f t="shared" si="69"/>
        <v>54358.92</v>
      </c>
      <c r="CW119" s="1795">
        <f t="shared" si="72"/>
        <v>0</v>
      </c>
      <c r="CX119" s="1496">
        <v>0</v>
      </c>
      <c r="CY119" s="1496">
        <f t="shared" ref="CY119:CY136" si="101">CV119+CX119</f>
        <v>54358.92</v>
      </c>
      <c r="CZ119" s="1496">
        <f t="shared" si="74"/>
        <v>0</v>
      </c>
      <c r="DC119" s="1747">
        <f t="shared" si="70"/>
        <v>54358.92</v>
      </c>
      <c r="DD119" s="1496">
        <f t="shared" si="75"/>
        <v>0</v>
      </c>
      <c r="DF119" s="1747">
        <f t="shared" si="65"/>
        <v>54358.92</v>
      </c>
      <c r="DI119" s="1747">
        <f t="shared" si="66"/>
        <v>54358.92</v>
      </c>
    </row>
    <row r="120" spans="1:113" x14ac:dyDescent="0.25">
      <c r="A120" s="1471">
        <v>1</v>
      </c>
      <c r="B120" s="480" t="s">
        <v>2787</v>
      </c>
      <c r="C120" s="480">
        <v>206238</v>
      </c>
      <c r="D120" s="480" t="s">
        <v>3512</v>
      </c>
      <c r="E120" s="1784" t="s">
        <v>1876</v>
      </c>
      <c r="F120" s="1401">
        <v>395380</v>
      </c>
      <c r="G120" s="1402" t="s">
        <v>3516</v>
      </c>
      <c r="H120" s="1402" t="s">
        <v>412</v>
      </c>
      <c r="I120" s="1400">
        <v>40649</v>
      </c>
      <c r="J120" s="1803">
        <v>7</v>
      </c>
      <c r="K120" s="1039">
        <f t="shared" ca="1" si="85"/>
        <v>14.436687200547571</v>
      </c>
      <c r="L120" s="963" t="s">
        <v>1886</v>
      </c>
      <c r="M120" s="480" t="s">
        <v>56</v>
      </c>
      <c r="N120" s="1894"/>
      <c r="O120" s="1291">
        <f>38090+1685.4</f>
        <v>39775.4</v>
      </c>
      <c r="P120" s="1404" t="s">
        <v>3513</v>
      </c>
      <c r="Q120" s="1476">
        <v>40375.4</v>
      </c>
      <c r="R120" s="1476">
        <v>0</v>
      </c>
      <c r="S120" s="963">
        <v>45017</v>
      </c>
      <c r="T120" s="1716">
        <v>1</v>
      </c>
      <c r="U120" s="963">
        <v>45382</v>
      </c>
      <c r="V120" s="1716">
        <v>192</v>
      </c>
      <c r="W120" s="1716">
        <f t="shared" si="55"/>
        <v>192</v>
      </c>
      <c r="X120" s="1717">
        <f t="shared" si="56"/>
        <v>1</v>
      </c>
      <c r="Y120" s="1716">
        <v>1</v>
      </c>
      <c r="Z120" s="1716">
        <f t="shared" si="57"/>
        <v>1</v>
      </c>
      <c r="AA120" s="1047">
        <f t="shared" si="58"/>
        <v>40375.4</v>
      </c>
      <c r="AB120" s="1037" t="s">
        <v>2797</v>
      </c>
      <c r="AC120" s="1037" t="s">
        <v>2797</v>
      </c>
      <c r="AD120" s="1471"/>
      <c r="AE120" s="1471"/>
      <c r="AF120" s="1471"/>
      <c r="AG120" s="1476">
        <v>40375.4</v>
      </c>
      <c r="AH120" s="1476" t="s">
        <v>3514</v>
      </c>
      <c r="AI120" s="1476">
        <v>40375.4</v>
      </c>
      <c r="AJ120" s="1476"/>
      <c r="AK120" s="1476" t="str">
        <f t="shared" si="78"/>
        <v>no</v>
      </c>
      <c r="AL120" s="1476" t="str">
        <f t="shared" si="79"/>
        <v>no</v>
      </c>
      <c r="AM120" s="1476" t="str">
        <f t="shared" si="80"/>
        <v>yes</v>
      </c>
      <c r="AN120" s="1471"/>
      <c r="AO120" s="1476"/>
      <c r="AP120" s="1471"/>
      <c r="AQ120" s="1471"/>
      <c r="AR120" s="1471"/>
      <c r="AS120" s="1471"/>
      <c r="AT120" s="1471"/>
      <c r="AU120" s="1471"/>
      <c r="AV120" s="1471"/>
      <c r="AW120" s="1471"/>
      <c r="AX120" s="1471"/>
      <c r="AY120" s="1471"/>
      <c r="AZ120" s="1476"/>
      <c r="BA120" s="1476">
        <v>561.7998</v>
      </c>
      <c r="BB120" s="1471"/>
      <c r="BC120" s="1471"/>
      <c r="BD120" s="1471">
        <v>8074094</v>
      </c>
      <c r="BE120" s="1471"/>
      <c r="BF120" s="1471"/>
      <c r="BG120" s="1471"/>
      <c r="BH120" s="1476">
        <f t="shared" si="98"/>
        <v>0</v>
      </c>
      <c r="BI120" s="1625">
        <f t="shared" si="99"/>
        <v>0</v>
      </c>
      <c r="BJ120" s="1471">
        <v>40375.4</v>
      </c>
      <c r="BK120" s="1471">
        <v>561.79999999999995</v>
      </c>
      <c r="BL120" s="1473">
        <v>561.79999999999995</v>
      </c>
      <c r="BM120" s="1489">
        <f t="shared" si="39"/>
        <v>40375.4</v>
      </c>
      <c r="BN120" s="1489">
        <v>40375.4</v>
      </c>
      <c r="BO120" s="1773">
        <f t="shared" si="81"/>
        <v>0</v>
      </c>
      <c r="BP120" s="1773">
        <v>0</v>
      </c>
      <c r="BQ120" s="1774">
        <f t="shared" si="82"/>
        <v>40375.4</v>
      </c>
      <c r="BZ120" s="1493"/>
      <c r="CF120" s="1795">
        <f t="shared" si="96"/>
        <v>40375.4</v>
      </c>
      <c r="CG120" s="1796">
        <f t="shared" si="83"/>
        <v>40375.4</v>
      </c>
      <c r="CH120" s="1796">
        <f t="shared" si="97"/>
        <v>0</v>
      </c>
      <c r="CN120" s="1797">
        <f t="shared" si="73"/>
        <v>40375.4</v>
      </c>
      <c r="CO120" s="1797">
        <f t="shared" si="45"/>
        <v>0</v>
      </c>
      <c r="CR120" s="1494">
        <f t="shared" si="100"/>
        <v>40375.4</v>
      </c>
      <c r="CS120" s="1797">
        <f t="shared" si="71"/>
        <v>0</v>
      </c>
      <c r="CV120" s="1678">
        <f t="shared" si="69"/>
        <v>40375.4</v>
      </c>
      <c r="CW120" s="1795">
        <f t="shared" si="72"/>
        <v>0</v>
      </c>
      <c r="CX120" s="1496">
        <v>0</v>
      </c>
      <c r="CY120" s="1496">
        <f t="shared" si="101"/>
        <v>40375.4</v>
      </c>
      <c r="CZ120" s="1496">
        <f t="shared" si="74"/>
        <v>0</v>
      </c>
      <c r="DC120" s="1747">
        <f t="shared" si="70"/>
        <v>40375.4</v>
      </c>
      <c r="DD120" s="1496">
        <f t="shared" si="75"/>
        <v>0</v>
      </c>
      <c r="DF120" s="1747">
        <f t="shared" si="65"/>
        <v>40375.4</v>
      </c>
      <c r="DI120" s="1747">
        <f t="shared" si="66"/>
        <v>40375.4</v>
      </c>
    </row>
    <row r="121" spans="1:113" hidden="1" x14ac:dyDescent="0.25">
      <c r="A121" s="1471">
        <v>0</v>
      </c>
      <c r="B121" s="480" t="s">
        <v>2787</v>
      </c>
      <c r="C121" s="480">
        <v>206237</v>
      </c>
      <c r="D121" s="480" t="s">
        <v>3512</v>
      </c>
      <c r="E121" s="1784" t="s">
        <v>1876</v>
      </c>
      <c r="F121" s="1401">
        <v>397422</v>
      </c>
      <c r="G121" s="1402" t="s">
        <v>532</v>
      </c>
      <c r="H121" s="1402" t="s">
        <v>519</v>
      </c>
      <c r="I121" s="1405">
        <v>41109</v>
      </c>
      <c r="J121" s="1803">
        <v>6</v>
      </c>
      <c r="K121" s="1039">
        <f ca="1">(TODAY()-I121)/365.25</f>
        <v>13.177275838466803</v>
      </c>
      <c r="L121" s="963" t="s">
        <v>1885</v>
      </c>
      <c r="M121" s="480" t="s">
        <v>56</v>
      </c>
      <c r="N121" s="1206"/>
      <c r="O121" s="1291">
        <v>40097</v>
      </c>
      <c r="P121" s="1404"/>
      <c r="Q121" s="1476">
        <v>0</v>
      </c>
      <c r="R121" s="1476">
        <v>0</v>
      </c>
      <c r="S121" s="963">
        <v>45050</v>
      </c>
      <c r="T121" s="1716">
        <v>14</v>
      </c>
      <c r="U121" s="963">
        <v>45128</v>
      </c>
      <c r="V121" s="1716">
        <v>63</v>
      </c>
      <c r="W121" s="1716">
        <f t="shared" si="55"/>
        <v>50</v>
      </c>
      <c r="X121" s="1717">
        <f t="shared" si="56"/>
        <v>0.26041666666666669</v>
      </c>
      <c r="Y121" s="1716">
        <v>1</v>
      </c>
      <c r="Z121" s="1716">
        <f t="shared" si="57"/>
        <v>0.26041666666666669</v>
      </c>
      <c r="AA121" s="1047">
        <f t="shared" si="58"/>
        <v>0</v>
      </c>
      <c r="AB121" s="1037" t="s">
        <v>2797</v>
      </c>
      <c r="AC121" s="1037" t="s">
        <v>2797</v>
      </c>
      <c r="AD121" s="1471"/>
      <c r="AE121" s="1471"/>
      <c r="AF121" s="1471"/>
      <c r="AG121" s="1476">
        <v>9000</v>
      </c>
      <c r="AH121" s="1476" t="s">
        <v>3517</v>
      </c>
      <c r="AI121" s="1476">
        <v>9000</v>
      </c>
      <c r="AJ121" s="1476"/>
      <c r="AK121" s="1476" t="str">
        <f>IF(AI121&lt;=15000,"yes","no")</f>
        <v>yes</v>
      </c>
      <c r="AL121" s="1476" t="str">
        <f t="shared" si="79"/>
        <v>no</v>
      </c>
      <c r="AM121" s="1476" t="str">
        <f t="shared" si="80"/>
        <v>no</v>
      </c>
      <c r="AN121" s="1471"/>
      <c r="AO121" s="1476"/>
      <c r="AP121" s="1471"/>
      <c r="AQ121" s="1471"/>
      <c r="AR121" s="1471"/>
      <c r="AS121" s="1471"/>
      <c r="AT121" s="1471"/>
      <c r="AU121" s="1471"/>
      <c r="AV121" s="1471"/>
      <c r="AW121" s="1471"/>
      <c r="AX121" s="1471"/>
      <c r="AY121" s="1471"/>
      <c r="AZ121" s="1487">
        <v>13365.67</v>
      </c>
      <c r="BA121" s="1476"/>
      <c r="BB121" s="1471"/>
      <c r="BC121" s="1471"/>
      <c r="BD121" s="1471"/>
      <c r="BE121" s="1471"/>
      <c r="BF121" s="1471"/>
      <c r="BG121" s="1471"/>
      <c r="BH121" s="1476">
        <f t="shared" si="98"/>
        <v>0</v>
      </c>
      <c r="BI121" s="1473">
        <f t="shared" si="99"/>
        <v>0</v>
      </c>
      <c r="BJ121" s="1471">
        <v>9000</v>
      </c>
      <c r="BK121" s="1471"/>
      <c r="BL121" s="1473">
        <v>13365.67</v>
      </c>
      <c r="BM121" s="1489">
        <f>BJ121+BK121-BL121</f>
        <v>-4365.67</v>
      </c>
      <c r="BN121" s="1489">
        <v>-4365.67</v>
      </c>
      <c r="BO121" s="1773">
        <f t="shared" si="81"/>
        <v>0</v>
      </c>
      <c r="BP121" s="1773">
        <v>0</v>
      </c>
      <c r="BQ121" s="1774">
        <f t="shared" si="82"/>
        <v>-4365.67</v>
      </c>
      <c r="BZ121" s="1493"/>
      <c r="CF121" s="1795">
        <f t="shared" si="96"/>
        <v>-4365.67</v>
      </c>
      <c r="CG121" s="1796">
        <f t="shared" si="83"/>
        <v>-4365.67</v>
      </c>
      <c r="CH121" s="1796">
        <f t="shared" si="97"/>
        <v>0</v>
      </c>
      <c r="CI121" s="1490" t="s">
        <v>3518</v>
      </c>
      <c r="CN121" s="1797">
        <f t="shared" si="73"/>
        <v>-4365.67</v>
      </c>
      <c r="CO121" s="1797">
        <f t="shared" si="45"/>
        <v>0</v>
      </c>
      <c r="CR121" s="1494">
        <f t="shared" si="90"/>
        <v>-4365.67</v>
      </c>
      <c r="CS121" s="1797">
        <f t="shared" si="71"/>
        <v>0</v>
      </c>
      <c r="CT121" s="1490">
        <v>-4365.67</v>
      </c>
      <c r="CV121" s="1678">
        <v>0</v>
      </c>
      <c r="CW121" s="1795">
        <f t="shared" si="72"/>
        <v>4365.67</v>
      </c>
      <c r="CX121" s="1496">
        <v>0</v>
      </c>
      <c r="CY121" s="1496">
        <f t="shared" si="101"/>
        <v>0</v>
      </c>
      <c r="CZ121" s="1496">
        <f t="shared" si="74"/>
        <v>0</v>
      </c>
      <c r="DC121" s="1747">
        <f t="shared" si="70"/>
        <v>0</v>
      </c>
      <c r="DD121" s="1496">
        <f t="shared" si="75"/>
        <v>0</v>
      </c>
      <c r="DF121" s="1747">
        <f t="shared" si="65"/>
        <v>0</v>
      </c>
      <c r="DI121" s="1747">
        <f t="shared" si="66"/>
        <v>0</v>
      </c>
    </row>
    <row r="122" spans="1:113" x14ac:dyDescent="0.25">
      <c r="A122" s="1471">
        <v>1</v>
      </c>
      <c r="B122" s="480" t="s">
        <v>2787</v>
      </c>
      <c r="C122" s="480">
        <v>206237</v>
      </c>
      <c r="D122" s="480" t="s">
        <v>3512</v>
      </c>
      <c r="E122" s="1784" t="s">
        <v>1876</v>
      </c>
      <c r="F122" s="1401">
        <v>396742</v>
      </c>
      <c r="G122" s="1402" t="s">
        <v>3519</v>
      </c>
      <c r="H122" s="1402" t="s">
        <v>3520</v>
      </c>
      <c r="I122" s="1400">
        <v>40732</v>
      </c>
      <c r="J122" s="1803">
        <v>7</v>
      </c>
      <c r="K122" s="1039">
        <f t="shared" ca="1" si="85"/>
        <v>14.209445585215606</v>
      </c>
      <c r="L122" s="963" t="s">
        <v>1886</v>
      </c>
      <c r="M122" s="480" t="s">
        <v>43</v>
      </c>
      <c r="N122" s="1894"/>
      <c r="O122" s="1291">
        <v>30097</v>
      </c>
      <c r="P122" s="1404"/>
      <c r="Q122" s="1476">
        <v>31902</v>
      </c>
      <c r="R122" s="1476">
        <v>0</v>
      </c>
      <c r="S122" s="963">
        <v>45017</v>
      </c>
      <c r="T122" s="1716">
        <v>1</v>
      </c>
      <c r="U122" s="963">
        <v>45382</v>
      </c>
      <c r="V122" s="1716">
        <v>192</v>
      </c>
      <c r="W122" s="1716">
        <f t="shared" si="55"/>
        <v>192</v>
      </c>
      <c r="X122" s="1717">
        <f t="shared" si="56"/>
        <v>1</v>
      </c>
      <c r="Y122" s="1716">
        <v>1</v>
      </c>
      <c r="Z122" s="1716">
        <f t="shared" si="57"/>
        <v>1</v>
      </c>
      <c r="AA122" s="1047">
        <f t="shared" si="58"/>
        <v>31902</v>
      </c>
      <c r="AB122" s="1037" t="s">
        <v>2797</v>
      </c>
      <c r="AC122" s="1037" t="s">
        <v>2797</v>
      </c>
      <c r="AD122" s="1471"/>
      <c r="AE122" s="1471"/>
      <c r="AF122" s="1471"/>
      <c r="AG122" s="1476">
        <v>31902</v>
      </c>
      <c r="AH122" s="1476" t="s">
        <v>3514</v>
      </c>
      <c r="AI122" s="1476">
        <v>31902</v>
      </c>
      <c r="AJ122" s="1476"/>
      <c r="AK122" s="1476" t="str">
        <f t="shared" si="78"/>
        <v>no</v>
      </c>
      <c r="AL122" s="1476" t="str">
        <f t="shared" si="79"/>
        <v>no</v>
      </c>
      <c r="AM122" s="1476" t="str">
        <f t="shared" si="80"/>
        <v>yes</v>
      </c>
      <c r="AN122" s="1471"/>
      <c r="AO122" s="1476"/>
      <c r="AP122" s="1471"/>
      <c r="AQ122" s="1471"/>
      <c r="AR122" s="1471"/>
      <c r="AS122" s="1471"/>
      <c r="AT122" s="1471"/>
      <c r="AU122" s="1471"/>
      <c r="AV122" s="1471"/>
      <c r="AW122" s="1471"/>
      <c r="AX122" s="1471"/>
      <c r="AY122" s="1471"/>
      <c r="AZ122" s="1476"/>
      <c r="BA122" s="1476"/>
      <c r="BB122" s="1471"/>
      <c r="BC122" s="1471"/>
      <c r="BD122" s="1471">
        <v>8074091</v>
      </c>
      <c r="BE122" s="1471"/>
      <c r="BF122" s="1471"/>
      <c r="BG122" s="1471"/>
      <c r="BH122" s="1476">
        <f t="shared" si="98"/>
        <v>0</v>
      </c>
      <c r="BI122" s="1625">
        <f t="shared" si="99"/>
        <v>0</v>
      </c>
      <c r="BJ122" s="1471">
        <v>31902</v>
      </c>
      <c r="BK122" s="1471"/>
      <c r="BL122" s="1473"/>
      <c r="BM122" s="1489">
        <f t="shared" ref="BM122:BM131" si="102">BJ122+BK122-BL122</f>
        <v>31902</v>
      </c>
      <c r="BN122" s="1489">
        <v>31902</v>
      </c>
      <c r="BO122" s="1773">
        <f t="shared" si="81"/>
        <v>0</v>
      </c>
      <c r="BP122" s="1773">
        <v>0</v>
      </c>
      <c r="BQ122" s="1774">
        <f t="shared" si="82"/>
        <v>31902</v>
      </c>
      <c r="BZ122" s="1493"/>
      <c r="CF122" s="1795">
        <f t="shared" si="96"/>
        <v>31902</v>
      </c>
      <c r="CG122" s="1796">
        <f t="shared" si="83"/>
        <v>31902</v>
      </c>
      <c r="CH122" s="1796">
        <f t="shared" si="97"/>
        <v>0</v>
      </c>
      <c r="CN122" s="1797">
        <f t="shared" si="73"/>
        <v>31902</v>
      </c>
      <c r="CO122" s="1797">
        <f t="shared" si="45"/>
        <v>0</v>
      </c>
      <c r="CR122" s="1494">
        <f t="shared" ref="CR122:CR127" si="103">CN122+CP122+CQ122</f>
        <v>31902</v>
      </c>
      <c r="CS122" s="1797">
        <f t="shared" si="71"/>
        <v>0</v>
      </c>
      <c r="CV122" s="1678">
        <f t="shared" si="69"/>
        <v>31902</v>
      </c>
      <c r="CW122" s="1795">
        <f t="shared" si="72"/>
        <v>0</v>
      </c>
      <c r="CX122" s="1496">
        <v>0</v>
      </c>
      <c r="CY122" s="1496">
        <f t="shared" si="101"/>
        <v>31902</v>
      </c>
      <c r="CZ122" s="1496">
        <f t="shared" si="74"/>
        <v>0</v>
      </c>
      <c r="DC122" s="1747">
        <f t="shared" si="70"/>
        <v>31902</v>
      </c>
      <c r="DD122" s="1496">
        <f t="shared" si="75"/>
        <v>0</v>
      </c>
      <c r="DF122" s="1747">
        <f t="shared" si="65"/>
        <v>31902</v>
      </c>
      <c r="DI122" s="1747">
        <f t="shared" si="66"/>
        <v>31902</v>
      </c>
    </row>
    <row r="123" spans="1:113" s="1825" customFormat="1" x14ac:dyDescent="0.25">
      <c r="A123" s="1792">
        <v>1</v>
      </c>
      <c r="B123" s="1224" t="s">
        <v>2787</v>
      </c>
      <c r="C123" s="1224">
        <v>206237</v>
      </c>
      <c r="D123" s="1224" t="s">
        <v>3512</v>
      </c>
      <c r="E123" s="1815" t="s">
        <v>1876</v>
      </c>
      <c r="F123" s="1895">
        <v>440020</v>
      </c>
      <c r="G123" s="1896" t="s">
        <v>3521</v>
      </c>
      <c r="H123" s="1896" t="s">
        <v>95</v>
      </c>
      <c r="I123" s="1897">
        <v>39930</v>
      </c>
      <c r="J123" s="1817">
        <v>9</v>
      </c>
      <c r="K123" s="1226">
        <f t="shared" ca="1" si="85"/>
        <v>16.40520191649555</v>
      </c>
      <c r="L123" s="1229" t="s">
        <v>1886</v>
      </c>
      <c r="M123" s="1224" t="s">
        <v>56</v>
      </c>
      <c r="N123" s="1898"/>
      <c r="O123" s="1899">
        <v>23211</v>
      </c>
      <c r="P123" s="1900"/>
      <c r="Q123" s="1819">
        <v>24603.66</v>
      </c>
      <c r="R123" s="1819">
        <v>0</v>
      </c>
      <c r="S123" s="1229">
        <v>45017</v>
      </c>
      <c r="T123" s="1716">
        <v>1</v>
      </c>
      <c r="U123" s="1229">
        <v>45382</v>
      </c>
      <c r="V123" s="1716">
        <v>192</v>
      </c>
      <c r="W123" s="1716">
        <f t="shared" si="55"/>
        <v>192</v>
      </c>
      <c r="X123" s="1717">
        <f t="shared" si="56"/>
        <v>1</v>
      </c>
      <c r="Y123" s="1716">
        <v>1</v>
      </c>
      <c r="Z123" s="1716">
        <f t="shared" si="57"/>
        <v>1</v>
      </c>
      <c r="AA123" s="1882">
        <f t="shared" si="58"/>
        <v>24603.66</v>
      </c>
      <c r="AB123" s="1822" t="s">
        <v>2797</v>
      </c>
      <c r="AC123" s="1822" t="s">
        <v>2797</v>
      </c>
      <c r="AD123" s="1792"/>
      <c r="AE123" s="1792"/>
      <c r="AF123" s="1792"/>
      <c r="AG123" s="1819">
        <v>24603.66</v>
      </c>
      <c r="AH123" s="1819" t="s">
        <v>3514</v>
      </c>
      <c r="AI123" s="1819">
        <v>24603.66</v>
      </c>
      <c r="AJ123" s="1819"/>
      <c r="AK123" s="1819" t="str">
        <f t="shared" si="78"/>
        <v>no</v>
      </c>
      <c r="AL123" s="1819" t="str">
        <f t="shared" si="79"/>
        <v>no</v>
      </c>
      <c r="AM123" s="1819" t="str">
        <f t="shared" si="80"/>
        <v>yes</v>
      </c>
      <c r="AN123" s="1792"/>
      <c r="AO123" s="1819"/>
      <c r="AP123" s="1792"/>
      <c r="AQ123" s="1792"/>
      <c r="AR123" s="1792"/>
      <c r="AS123" s="1792"/>
      <c r="AT123" s="1792"/>
      <c r="AU123" s="1792"/>
      <c r="AV123" s="1792"/>
      <c r="AW123" s="1792"/>
      <c r="AX123" s="1792"/>
      <c r="AY123" s="1792"/>
      <c r="AZ123" s="1819"/>
      <c r="BA123" s="1819">
        <v>464.21999999999997</v>
      </c>
      <c r="BB123" s="1792"/>
      <c r="BC123" s="1792"/>
      <c r="BD123" s="1792">
        <v>8074100</v>
      </c>
      <c r="BE123" s="1792"/>
      <c r="BF123" s="1792"/>
      <c r="BG123" s="1792"/>
      <c r="BH123" s="1819">
        <f t="shared" si="98"/>
        <v>0</v>
      </c>
      <c r="BI123" s="1823">
        <f t="shared" si="99"/>
        <v>0</v>
      </c>
      <c r="BJ123" s="1792">
        <v>24603.66</v>
      </c>
      <c r="BK123" s="1792">
        <v>464.21999999999997</v>
      </c>
      <c r="BL123" s="1823">
        <v>464.21999999999997</v>
      </c>
      <c r="BM123" s="1824">
        <f t="shared" si="102"/>
        <v>24603.66</v>
      </c>
      <c r="BN123" s="1824">
        <v>24603.66</v>
      </c>
      <c r="BO123" s="1735">
        <f t="shared" si="81"/>
        <v>-21268</v>
      </c>
      <c r="BP123" s="1735">
        <v>-21268</v>
      </c>
      <c r="BQ123" s="1736">
        <f>BN123+BP123</f>
        <v>3335.66</v>
      </c>
      <c r="BR123" s="1901">
        <v>39360</v>
      </c>
      <c r="BS123" s="1902" t="s">
        <v>2989</v>
      </c>
      <c r="BT123" s="1903" t="s">
        <v>3522</v>
      </c>
      <c r="BU123" s="1904">
        <v>45077</v>
      </c>
      <c r="BW123" s="1826"/>
      <c r="BX123" s="1826"/>
      <c r="BZ123" s="1905">
        <f>BN122/3*2*-1</f>
        <v>-21268</v>
      </c>
      <c r="CD123" s="1906"/>
      <c r="CF123" s="1827">
        <f t="shared" si="96"/>
        <v>3335.66</v>
      </c>
      <c r="CG123" s="1828">
        <f t="shared" si="83"/>
        <v>3335.66</v>
      </c>
      <c r="CH123" s="1828">
        <f t="shared" si="97"/>
        <v>0</v>
      </c>
      <c r="CL123" s="1490"/>
      <c r="CM123" s="1490"/>
      <c r="CN123" s="1829">
        <f t="shared" si="73"/>
        <v>3335.66</v>
      </c>
      <c r="CO123" s="1829">
        <f t="shared" ref="CO123:CO131" si="104">CN123-CG123</f>
        <v>0</v>
      </c>
      <c r="CP123" s="1825">
        <v>21268.1</v>
      </c>
      <c r="CR123" s="1830">
        <f t="shared" si="103"/>
        <v>24603.759999999998</v>
      </c>
      <c r="CS123" s="1829">
        <f t="shared" si="71"/>
        <v>21268.1</v>
      </c>
      <c r="CV123" s="1831">
        <f t="shared" si="69"/>
        <v>24603.759999999998</v>
      </c>
      <c r="CW123" s="1827">
        <f t="shared" si="72"/>
        <v>0</v>
      </c>
      <c r="CX123" s="1832">
        <v>0</v>
      </c>
      <c r="CY123" s="1832">
        <f t="shared" si="101"/>
        <v>24603.759999999998</v>
      </c>
      <c r="CZ123" s="1832">
        <f t="shared" si="74"/>
        <v>0</v>
      </c>
      <c r="DA123" s="1825" t="s">
        <v>3523</v>
      </c>
      <c r="DB123" s="1833"/>
      <c r="DC123" s="1747">
        <f t="shared" si="70"/>
        <v>24603.759999999998</v>
      </c>
      <c r="DD123" s="1496">
        <f t="shared" si="75"/>
        <v>0</v>
      </c>
      <c r="DE123" s="1496"/>
      <c r="DF123" s="1747">
        <f t="shared" si="65"/>
        <v>24603.759999999998</v>
      </c>
      <c r="DG123" s="1490"/>
      <c r="DH123" s="1490"/>
      <c r="DI123" s="1747">
        <f t="shared" si="66"/>
        <v>24603.759999999998</v>
      </c>
    </row>
    <row r="124" spans="1:113" x14ac:dyDescent="0.25">
      <c r="A124" s="1471">
        <v>1</v>
      </c>
      <c r="B124" s="480" t="s">
        <v>2787</v>
      </c>
      <c r="C124" s="480">
        <v>206237</v>
      </c>
      <c r="D124" s="480" t="s">
        <v>3512</v>
      </c>
      <c r="E124" s="1784" t="s">
        <v>1876</v>
      </c>
      <c r="F124" s="1401">
        <v>391737</v>
      </c>
      <c r="G124" s="1402" t="s">
        <v>3524</v>
      </c>
      <c r="H124" s="1402" t="s">
        <v>3525</v>
      </c>
      <c r="I124" s="1405" t="s">
        <v>3526</v>
      </c>
      <c r="J124" s="1803">
        <v>7</v>
      </c>
      <c r="K124" s="1039">
        <f t="shared" ca="1" si="85"/>
        <v>15.028062970568104</v>
      </c>
      <c r="L124" s="963" t="s">
        <v>1886</v>
      </c>
      <c r="M124" s="480" t="s">
        <v>56</v>
      </c>
      <c r="N124" s="1894"/>
      <c r="O124" s="1291">
        <f>38090+1723.6</f>
        <v>39813.599999999999</v>
      </c>
      <c r="P124" s="1404" t="s">
        <v>3513</v>
      </c>
      <c r="Q124" s="1476">
        <v>40375.4</v>
      </c>
      <c r="R124" s="1476">
        <v>0</v>
      </c>
      <c r="S124" s="963">
        <v>45017</v>
      </c>
      <c r="T124" s="1716">
        <v>1</v>
      </c>
      <c r="U124" s="963">
        <v>45382</v>
      </c>
      <c r="V124" s="1716">
        <v>192</v>
      </c>
      <c r="W124" s="1716">
        <f t="shared" si="55"/>
        <v>192</v>
      </c>
      <c r="X124" s="1717">
        <f t="shared" si="56"/>
        <v>1</v>
      </c>
      <c r="Y124" s="1716">
        <v>1</v>
      </c>
      <c r="Z124" s="1716">
        <f t="shared" si="57"/>
        <v>1</v>
      </c>
      <c r="AA124" s="1047">
        <f t="shared" si="58"/>
        <v>40375.4</v>
      </c>
      <c r="AB124" s="1037" t="s">
        <v>2797</v>
      </c>
      <c r="AC124" s="1037" t="s">
        <v>2797</v>
      </c>
      <c r="AD124" s="1471"/>
      <c r="AE124" s="1471"/>
      <c r="AF124" s="1471"/>
      <c r="AG124" s="1476">
        <v>40375.4</v>
      </c>
      <c r="AH124" s="1476" t="s">
        <v>3514</v>
      </c>
      <c r="AI124" s="1476">
        <v>40375.4</v>
      </c>
      <c r="AJ124" s="1476"/>
      <c r="AK124" s="1476" t="str">
        <f t="shared" si="78"/>
        <v>no</v>
      </c>
      <c r="AL124" s="1476" t="str">
        <f t="shared" si="79"/>
        <v>no</v>
      </c>
      <c r="AM124" s="1476" t="str">
        <f t="shared" si="80"/>
        <v>yes</v>
      </c>
      <c r="AN124" s="1471"/>
      <c r="AO124" s="1476"/>
      <c r="AP124" s="1471"/>
      <c r="AQ124" s="1471"/>
      <c r="AR124" s="1471"/>
      <c r="AS124" s="1471"/>
      <c r="AT124" s="1471"/>
      <c r="AU124" s="1471"/>
      <c r="AV124" s="1471"/>
      <c r="AW124" s="1471"/>
      <c r="AX124" s="1471"/>
      <c r="AY124" s="1471"/>
      <c r="AZ124" s="1476"/>
      <c r="BA124" s="1476">
        <v>561.7998</v>
      </c>
      <c r="BB124" s="1471"/>
      <c r="BC124" s="1471"/>
      <c r="BD124" s="1471">
        <v>8074099</v>
      </c>
      <c r="BE124" s="1471"/>
      <c r="BF124" s="1471"/>
      <c r="BG124" s="1471"/>
      <c r="BH124" s="1476">
        <f t="shared" si="98"/>
        <v>0</v>
      </c>
      <c r="BI124" s="1625">
        <f t="shared" si="99"/>
        <v>0</v>
      </c>
      <c r="BJ124" s="1471">
        <v>40375.4</v>
      </c>
      <c r="BK124" s="1471">
        <v>561.79999999999995</v>
      </c>
      <c r="BL124" s="1473">
        <v>561.79999999999995</v>
      </c>
      <c r="BM124" s="1489">
        <f t="shared" si="102"/>
        <v>40375.4</v>
      </c>
      <c r="BN124" s="1489">
        <v>40375.4</v>
      </c>
      <c r="BO124" s="1773">
        <f t="shared" si="81"/>
        <v>0</v>
      </c>
      <c r="BP124" s="1773">
        <v>0</v>
      </c>
      <c r="BQ124" s="1774">
        <f t="shared" si="82"/>
        <v>40375.4</v>
      </c>
      <c r="BZ124" s="1493"/>
      <c r="CF124" s="1795">
        <f t="shared" si="96"/>
        <v>40375.4</v>
      </c>
      <c r="CG124" s="1796">
        <f t="shared" si="83"/>
        <v>40375.4</v>
      </c>
      <c r="CH124" s="1796">
        <f t="shared" si="97"/>
        <v>0</v>
      </c>
      <c r="CN124" s="1797">
        <f t="shared" si="73"/>
        <v>40375.4</v>
      </c>
      <c r="CO124" s="1797">
        <f t="shared" si="104"/>
        <v>0</v>
      </c>
      <c r="CR124" s="1494">
        <f t="shared" si="103"/>
        <v>40375.4</v>
      </c>
      <c r="CS124" s="1797">
        <f t="shared" si="71"/>
        <v>0</v>
      </c>
      <c r="CV124" s="1678">
        <f t="shared" si="69"/>
        <v>40375.4</v>
      </c>
      <c r="CW124" s="1795">
        <f t="shared" si="72"/>
        <v>0</v>
      </c>
      <c r="CX124" s="1496">
        <v>0</v>
      </c>
      <c r="CY124" s="1496">
        <f t="shared" si="101"/>
        <v>40375.4</v>
      </c>
      <c r="CZ124" s="1496">
        <f t="shared" si="74"/>
        <v>0</v>
      </c>
      <c r="DC124" s="1747">
        <f t="shared" si="70"/>
        <v>40375.4</v>
      </c>
      <c r="DD124" s="1496">
        <f t="shared" si="75"/>
        <v>0</v>
      </c>
      <c r="DF124" s="1747">
        <f t="shared" si="65"/>
        <v>40375.4</v>
      </c>
      <c r="DI124" s="1747">
        <f t="shared" si="66"/>
        <v>40375.4</v>
      </c>
    </row>
    <row r="125" spans="1:113" x14ac:dyDescent="0.25">
      <c r="A125" s="1471">
        <v>1</v>
      </c>
      <c r="B125" s="480" t="s">
        <v>2787</v>
      </c>
      <c r="C125" s="480">
        <v>206237</v>
      </c>
      <c r="D125" s="480" t="s">
        <v>3512</v>
      </c>
      <c r="E125" s="1784" t="s">
        <v>1876</v>
      </c>
      <c r="F125" s="1401">
        <v>407834</v>
      </c>
      <c r="G125" s="1402" t="s">
        <v>2147</v>
      </c>
      <c r="H125" s="1402" t="s">
        <v>657</v>
      </c>
      <c r="I125" s="1405" t="s">
        <v>570</v>
      </c>
      <c r="J125" s="1803">
        <v>5</v>
      </c>
      <c r="K125" s="1039">
        <f t="shared" ca="1" si="85"/>
        <v>12.646132785763175</v>
      </c>
      <c r="L125" s="963" t="s">
        <v>1885</v>
      </c>
      <c r="M125" s="480" t="s">
        <v>43</v>
      </c>
      <c r="N125" s="1894"/>
      <c r="O125" s="1291">
        <v>29775</v>
      </c>
      <c r="P125" s="1404"/>
      <c r="Q125" s="1476">
        <v>29775</v>
      </c>
      <c r="R125" s="1476">
        <v>0</v>
      </c>
      <c r="S125" s="963">
        <v>45017</v>
      </c>
      <c r="T125" s="1716">
        <v>1</v>
      </c>
      <c r="U125" s="963">
        <v>45382</v>
      </c>
      <c r="V125" s="1716">
        <v>192</v>
      </c>
      <c r="W125" s="1716">
        <f t="shared" si="55"/>
        <v>192</v>
      </c>
      <c r="X125" s="1717">
        <f t="shared" si="56"/>
        <v>1</v>
      </c>
      <c r="Y125" s="1716">
        <v>1</v>
      </c>
      <c r="Z125" s="1716">
        <f t="shared" si="57"/>
        <v>1</v>
      </c>
      <c r="AA125" s="1047">
        <f t="shared" si="58"/>
        <v>29775</v>
      </c>
      <c r="AB125" s="1037" t="s">
        <v>2797</v>
      </c>
      <c r="AC125" s="1037" t="s">
        <v>2797</v>
      </c>
      <c r="AD125" s="1471"/>
      <c r="AE125" s="1471"/>
      <c r="AF125" s="1471"/>
      <c r="AG125" s="1476">
        <v>29775</v>
      </c>
      <c r="AH125" s="1476" t="s">
        <v>3514</v>
      </c>
      <c r="AI125" s="1476">
        <v>29775</v>
      </c>
      <c r="AJ125" s="1476"/>
      <c r="AK125" s="1476" t="str">
        <f t="shared" ref="AK125:AK128" si="105">IF(AI125&lt;=15000,"yes","no")</f>
        <v>no</v>
      </c>
      <c r="AL125" s="1476" t="str">
        <f t="shared" si="79"/>
        <v>no</v>
      </c>
      <c r="AM125" s="1476" t="str">
        <f t="shared" si="80"/>
        <v>yes</v>
      </c>
      <c r="AN125" s="1471"/>
      <c r="AO125" s="1476"/>
      <c r="AP125" s="1471"/>
      <c r="AQ125" s="1471"/>
      <c r="AR125" s="1471"/>
      <c r="AS125" s="1471"/>
      <c r="AT125" s="1471"/>
      <c r="AU125" s="1471"/>
      <c r="AV125" s="1471"/>
      <c r="AW125" s="1471"/>
      <c r="AX125" s="1471"/>
      <c r="AY125" s="1471"/>
      <c r="AZ125" s="1476"/>
      <c r="BA125" s="1476">
        <v>561.7998</v>
      </c>
      <c r="BB125" s="1471"/>
      <c r="BC125" s="1471"/>
      <c r="BD125" s="1471">
        <v>8074103</v>
      </c>
      <c r="BE125" s="1471"/>
      <c r="BF125" s="1471"/>
      <c r="BG125" s="1471"/>
      <c r="BH125" s="1476">
        <f t="shared" si="98"/>
        <v>0</v>
      </c>
      <c r="BI125" s="1625">
        <f t="shared" si="99"/>
        <v>0</v>
      </c>
      <c r="BJ125" s="1471">
        <v>29775</v>
      </c>
      <c r="BK125" s="1471">
        <v>561.79999999999995</v>
      </c>
      <c r="BL125" s="1473">
        <v>561.79999999999995</v>
      </c>
      <c r="BM125" s="1489">
        <f t="shared" si="102"/>
        <v>29775</v>
      </c>
      <c r="BN125" s="1489">
        <v>29775</v>
      </c>
      <c r="BO125" s="1773">
        <f t="shared" si="81"/>
        <v>0</v>
      </c>
      <c r="BP125" s="1773">
        <v>0</v>
      </c>
      <c r="BQ125" s="1774">
        <f t="shared" si="82"/>
        <v>29775</v>
      </c>
      <c r="BZ125" s="1493"/>
      <c r="CF125" s="1795">
        <f t="shared" si="96"/>
        <v>29775</v>
      </c>
      <c r="CG125" s="1796">
        <f t="shared" si="83"/>
        <v>29775</v>
      </c>
      <c r="CH125" s="1796">
        <f t="shared" si="97"/>
        <v>0</v>
      </c>
      <c r="CN125" s="1797">
        <f t="shared" si="73"/>
        <v>29775</v>
      </c>
      <c r="CO125" s="1797">
        <f t="shared" si="104"/>
        <v>0</v>
      </c>
      <c r="CR125" s="1494">
        <f t="shared" si="103"/>
        <v>29775</v>
      </c>
      <c r="CS125" s="1797">
        <f t="shared" si="71"/>
        <v>0</v>
      </c>
      <c r="CV125" s="1678">
        <f t="shared" si="69"/>
        <v>29775</v>
      </c>
      <c r="CW125" s="1795">
        <f t="shared" si="72"/>
        <v>0</v>
      </c>
      <c r="CX125" s="1496">
        <v>0</v>
      </c>
      <c r="CY125" s="1496">
        <f t="shared" si="101"/>
        <v>29775</v>
      </c>
      <c r="CZ125" s="1496">
        <f t="shared" si="74"/>
        <v>0</v>
      </c>
      <c r="DC125" s="1747">
        <f t="shared" si="70"/>
        <v>29775</v>
      </c>
      <c r="DD125" s="1496">
        <f t="shared" si="75"/>
        <v>0</v>
      </c>
      <c r="DF125" s="1747">
        <f t="shared" si="65"/>
        <v>29775</v>
      </c>
      <c r="DI125" s="1747">
        <f t="shared" si="66"/>
        <v>29775</v>
      </c>
    </row>
    <row r="126" spans="1:113" x14ac:dyDescent="0.25">
      <c r="A126" s="1471">
        <v>1</v>
      </c>
      <c r="B126" s="480" t="s">
        <v>2787</v>
      </c>
      <c r="C126" s="480">
        <v>206237</v>
      </c>
      <c r="D126" s="480" t="s">
        <v>3512</v>
      </c>
      <c r="E126" s="1784" t="s">
        <v>1876</v>
      </c>
      <c r="F126" s="1401">
        <v>399360</v>
      </c>
      <c r="G126" s="1402" t="s">
        <v>3527</v>
      </c>
      <c r="H126" s="1402" t="s">
        <v>1686</v>
      </c>
      <c r="I126" s="1405" t="s">
        <v>3528</v>
      </c>
      <c r="J126" s="1803">
        <v>6</v>
      </c>
      <c r="K126" s="1039">
        <f t="shared" ca="1" si="85"/>
        <v>13.927446954140999</v>
      </c>
      <c r="L126" s="963" t="s">
        <v>1885</v>
      </c>
      <c r="M126" s="480" t="s">
        <v>56</v>
      </c>
      <c r="N126" s="1894"/>
      <c r="O126" s="1291">
        <f>25893.34+1553.6</f>
        <v>27446.94</v>
      </c>
      <c r="P126" s="1404" t="s">
        <v>3513</v>
      </c>
      <c r="Q126" s="1476">
        <v>41170.410000000003</v>
      </c>
      <c r="R126" s="1476">
        <v>0</v>
      </c>
      <c r="S126" s="963">
        <v>45017</v>
      </c>
      <c r="T126" s="1716">
        <v>1</v>
      </c>
      <c r="U126" s="963">
        <v>45382</v>
      </c>
      <c r="V126" s="1716">
        <v>192</v>
      </c>
      <c r="W126" s="1716">
        <f t="shared" si="55"/>
        <v>192</v>
      </c>
      <c r="X126" s="1717">
        <f t="shared" si="56"/>
        <v>1</v>
      </c>
      <c r="Y126" s="1716">
        <v>1</v>
      </c>
      <c r="Z126" s="1716">
        <f t="shared" si="57"/>
        <v>1</v>
      </c>
      <c r="AA126" s="1047">
        <f t="shared" si="58"/>
        <v>41170.410000000003</v>
      </c>
      <c r="AB126" s="1037" t="s">
        <v>2797</v>
      </c>
      <c r="AC126" s="1037" t="s">
        <v>2797</v>
      </c>
      <c r="AD126" s="1471"/>
      <c r="AE126" s="1471"/>
      <c r="AF126" s="1471"/>
      <c r="AG126" s="1476">
        <v>41170.410000000003</v>
      </c>
      <c r="AH126" s="1476" t="s">
        <v>3514</v>
      </c>
      <c r="AI126" s="1476">
        <v>41170.410000000003</v>
      </c>
      <c r="AJ126" s="1476"/>
      <c r="AK126" s="1476" t="str">
        <f t="shared" si="105"/>
        <v>no</v>
      </c>
      <c r="AL126" s="1476" t="str">
        <f t="shared" si="79"/>
        <v>no</v>
      </c>
      <c r="AM126" s="1476" t="str">
        <f t="shared" si="80"/>
        <v>yes</v>
      </c>
      <c r="AN126" s="1471"/>
      <c r="AO126" s="1476"/>
      <c r="AP126" s="1471"/>
      <c r="AQ126" s="1471"/>
      <c r="AR126" s="1471"/>
      <c r="AS126" s="1471"/>
      <c r="AT126" s="1471"/>
      <c r="AU126" s="1471"/>
      <c r="AV126" s="1471"/>
      <c r="AW126" s="1471"/>
      <c r="AX126" s="1471"/>
      <c r="AY126" s="1471"/>
      <c r="AZ126" s="1476"/>
      <c r="BA126" s="1476">
        <v>776.80020000000002</v>
      </c>
      <c r="BB126" s="1471"/>
      <c r="BC126" s="1471"/>
      <c r="BD126" s="1471">
        <v>8074093</v>
      </c>
      <c r="BE126" s="1471"/>
      <c r="BF126" s="1471"/>
      <c r="BG126" s="1471"/>
      <c r="BH126" s="1476">
        <f t="shared" si="98"/>
        <v>0</v>
      </c>
      <c r="BI126" s="1625">
        <f t="shared" si="99"/>
        <v>0</v>
      </c>
      <c r="BJ126" s="1471">
        <v>41170.410000000003</v>
      </c>
      <c r="BK126" s="1471">
        <v>776.8</v>
      </c>
      <c r="BL126" s="1473">
        <v>776.8</v>
      </c>
      <c r="BM126" s="1489">
        <f t="shared" si="102"/>
        <v>41170.410000000003</v>
      </c>
      <c r="BN126" s="1489">
        <v>41170.410000000003</v>
      </c>
      <c r="BO126" s="1773">
        <f t="shared" si="81"/>
        <v>0</v>
      </c>
      <c r="BP126" s="1773">
        <v>0</v>
      </c>
      <c r="BQ126" s="1774">
        <f>BN126+BP126</f>
        <v>41170.410000000003</v>
      </c>
      <c r="BZ126" s="1493"/>
      <c r="CF126" s="1795">
        <f t="shared" si="96"/>
        <v>41170.410000000003</v>
      </c>
      <c r="CG126" s="1796">
        <f t="shared" si="83"/>
        <v>41170.410000000003</v>
      </c>
      <c r="CH126" s="1796">
        <f t="shared" si="97"/>
        <v>0</v>
      </c>
      <c r="CN126" s="1797">
        <f t="shared" si="73"/>
        <v>41170.410000000003</v>
      </c>
      <c r="CO126" s="1797">
        <f t="shared" si="104"/>
        <v>0</v>
      </c>
      <c r="CR126" s="1494">
        <f t="shared" si="103"/>
        <v>41170.410000000003</v>
      </c>
      <c r="CS126" s="1797">
        <f t="shared" si="71"/>
        <v>0</v>
      </c>
      <c r="CV126" s="1678">
        <f t="shared" si="69"/>
        <v>41170.410000000003</v>
      </c>
      <c r="CW126" s="1795">
        <f t="shared" si="72"/>
        <v>0</v>
      </c>
      <c r="CX126" s="1496">
        <v>0</v>
      </c>
      <c r="CY126" s="1496">
        <f t="shared" si="101"/>
        <v>41170.410000000003</v>
      </c>
      <c r="CZ126" s="1496">
        <f t="shared" si="74"/>
        <v>0</v>
      </c>
      <c r="DC126" s="1747">
        <f t="shared" si="70"/>
        <v>41170.410000000003</v>
      </c>
      <c r="DD126" s="1496">
        <f t="shared" si="75"/>
        <v>0</v>
      </c>
      <c r="DF126" s="1747">
        <f t="shared" si="65"/>
        <v>41170.410000000003</v>
      </c>
      <c r="DI126" s="1747">
        <f t="shared" si="66"/>
        <v>41170.410000000003</v>
      </c>
    </row>
    <row r="127" spans="1:113" x14ac:dyDescent="0.25">
      <c r="A127" s="1471">
        <v>1</v>
      </c>
      <c r="B127" s="480" t="s">
        <v>3529</v>
      </c>
      <c r="C127" s="480">
        <v>210599</v>
      </c>
      <c r="D127" s="480" t="s">
        <v>3530</v>
      </c>
      <c r="E127" s="1784" t="s">
        <v>1876</v>
      </c>
      <c r="F127" s="1401">
        <v>383267</v>
      </c>
      <c r="G127" s="1402" t="s">
        <v>1166</v>
      </c>
      <c r="H127" s="1402" t="s">
        <v>1165</v>
      </c>
      <c r="I127" s="1405">
        <v>39966</v>
      </c>
      <c r="J127" s="1803">
        <v>9</v>
      </c>
      <c r="K127" s="1039">
        <v>14.2</v>
      </c>
      <c r="L127" s="963" t="s">
        <v>1886</v>
      </c>
      <c r="M127" s="480" t="s">
        <v>43</v>
      </c>
      <c r="N127" s="1894"/>
      <c r="O127" s="1291"/>
      <c r="P127" s="1404"/>
      <c r="Q127" s="1476">
        <v>46884</v>
      </c>
      <c r="R127" s="1476">
        <v>0</v>
      </c>
      <c r="S127" s="963">
        <v>45117</v>
      </c>
      <c r="T127" s="1716">
        <v>55</v>
      </c>
      <c r="U127" s="963">
        <v>45016</v>
      </c>
      <c r="V127" s="1716" t="e">
        <v>#N/A</v>
      </c>
      <c r="W127" s="1716" t="e">
        <f t="shared" si="55"/>
        <v>#N/A</v>
      </c>
      <c r="X127" s="1717" t="e">
        <f t="shared" si="56"/>
        <v>#N/A</v>
      </c>
      <c r="Y127" s="1716">
        <v>1</v>
      </c>
      <c r="Z127" s="1716" t="e">
        <f t="shared" si="57"/>
        <v>#N/A</v>
      </c>
      <c r="AA127" s="1047" t="e">
        <f t="shared" si="58"/>
        <v>#N/A</v>
      </c>
      <c r="AB127" s="1037" t="s">
        <v>2797</v>
      </c>
      <c r="AC127" s="1037" t="s">
        <v>2797</v>
      </c>
      <c r="AD127" s="1471"/>
      <c r="AE127" s="1471"/>
      <c r="AF127" s="1471"/>
      <c r="AG127" s="1476">
        <v>46884</v>
      </c>
      <c r="AH127" s="1476"/>
      <c r="AI127" s="1476">
        <v>46884</v>
      </c>
      <c r="AJ127" s="1476"/>
      <c r="AK127" s="1476" t="str">
        <f t="shared" si="105"/>
        <v>no</v>
      </c>
      <c r="AL127" s="1476" t="str">
        <f t="shared" si="79"/>
        <v>no</v>
      </c>
      <c r="AM127" s="1476" t="str">
        <f t="shared" si="80"/>
        <v>yes</v>
      </c>
      <c r="AN127" s="1471"/>
      <c r="AO127" s="1476"/>
      <c r="AP127" s="1471"/>
      <c r="AQ127" s="1471"/>
      <c r="AR127" s="1471"/>
      <c r="AS127" s="1471"/>
      <c r="AT127" s="1471"/>
      <c r="AU127" s="1471"/>
      <c r="AV127" s="1471"/>
      <c r="AW127" s="1471"/>
      <c r="AX127" s="1471"/>
      <c r="AY127" s="1471"/>
      <c r="AZ127" s="1476"/>
      <c r="BA127" s="1476"/>
      <c r="BB127" s="1471"/>
      <c r="BC127" s="1471"/>
      <c r="BD127" s="1471"/>
      <c r="BE127" s="1471"/>
      <c r="BF127" s="1471"/>
      <c r="BG127" s="1471"/>
      <c r="BH127" s="1476"/>
      <c r="BI127" s="1625"/>
      <c r="BJ127" s="1471">
        <v>46884</v>
      </c>
      <c r="BK127" s="1471"/>
      <c r="BL127" s="1473"/>
      <c r="BM127" s="1489"/>
      <c r="BN127" s="1489"/>
      <c r="BO127" s="1773"/>
      <c r="BP127" s="1773"/>
      <c r="BQ127" s="1774"/>
      <c r="BZ127" s="1493"/>
      <c r="CF127" s="1795"/>
      <c r="CG127" s="1796"/>
      <c r="CH127" s="1796"/>
      <c r="CN127" s="1797"/>
      <c r="CO127" s="1797"/>
      <c r="CP127" s="1652">
        <f>Q127</f>
        <v>46884</v>
      </c>
      <c r="CR127" s="1494">
        <f t="shared" si="103"/>
        <v>46884</v>
      </c>
      <c r="CS127" s="1797">
        <f t="shared" si="71"/>
        <v>46884</v>
      </c>
      <c r="CV127" s="1678">
        <f t="shared" si="69"/>
        <v>46884</v>
      </c>
      <c r="CW127" s="1795">
        <f t="shared" si="72"/>
        <v>0</v>
      </c>
      <c r="CX127" s="1496">
        <v>-12942</v>
      </c>
      <c r="CY127" s="1496">
        <f t="shared" si="101"/>
        <v>33942</v>
      </c>
      <c r="CZ127" s="1496">
        <f t="shared" si="74"/>
        <v>-12942</v>
      </c>
      <c r="DC127" s="1747">
        <f t="shared" si="70"/>
        <v>33942</v>
      </c>
      <c r="DD127" s="1496">
        <f t="shared" si="75"/>
        <v>0</v>
      </c>
      <c r="DF127" s="1747">
        <f t="shared" si="65"/>
        <v>33942</v>
      </c>
      <c r="DI127" s="1747">
        <f t="shared" si="66"/>
        <v>33942</v>
      </c>
    </row>
    <row r="128" spans="1:113" x14ac:dyDescent="0.25">
      <c r="A128" s="1471">
        <v>1</v>
      </c>
      <c r="B128" s="480" t="s">
        <v>3317</v>
      </c>
      <c r="C128" s="1135">
        <v>211235</v>
      </c>
      <c r="D128" s="1135" t="s">
        <v>3318</v>
      </c>
      <c r="E128" s="1749" t="s">
        <v>1876</v>
      </c>
      <c r="F128" s="1401">
        <v>434563</v>
      </c>
      <c r="G128" s="1402" t="s">
        <v>1212</v>
      </c>
      <c r="H128" s="1402" t="s">
        <v>241</v>
      </c>
      <c r="I128" s="1405">
        <v>42840</v>
      </c>
      <c r="J128" s="1803">
        <v>3</v>
      </c>
      <c r="K128" s="1039">
        <f t="shared" ca="1" si="85"/>
        <v>8.4380561259411362</v>
      </c>
      <c r="L128" s="963" t="s">
        <v>1885</v>
      </c>
      <c r="M128" s="480" t="s">
        <v>37</v>
      </c>
      <c r="N128" s="1894"/>
      <c r="O128" s="1291"/>
      <c r="P128" s="1404"/>
      <c r="Q128" s="1476">
        <v>13500</v>
      </c>
      <c r="R128" s="1476">
        <v>0</v>
      </c>
      <c r="S128" s="1846">
        <v>45170</v>
      </c>
      <c r="T128" s="1716">
        <v>65</v>
      </c>
      <c r="U128" s="963">
        <v>45382</v>
      </c>
      <c r="V128" s="1716">
        <v>192</v>
      </c>
      <c r="W128" s="1716">
        <f t="shared" si="55"/>
        <v>128</v>
      </c>
      <c r="X128" s="1717">
        <f t="shared" si="56"/>
        <v>0.66666666666666663</v>
      </c>
      <c r="Y128" s="1716">
        <v>1</v>
      </c>
      <c r="Z128" s="1716">
        <f t="shared" si="57"/>
        <v>0.66666666666666663</v>
      </c>
      <c r="AA128" s="1047">
        <f t="shared" si="58"/>
        <v>9000</v>
      </c>
      <c r="AB128" s="1037" t="s">
        <v>2797</v>
      </c>
      <c r="AC128" s="1037" t="s">
        <v>2797</v>
      </c>
      <c r="AD128" s="1471"/>
      <c r="AE128" s="1471"/>
      <c r="AF128" s="1471"/>
      <c r="AG128" s="1476">
        <f>Q128/3*2</f>
        <v>9000</v>
      </c>
      <c r="AH128" s="1476"/>
      <c r="AI128" s="1476"/>
      <c r="AJ128" s="1476"/>
      <c r="AK128" s="1476" t="str">
        <f t="shared" si="105"/>
        <v>yes</v>
      </c>
      <c r="AL128" s="1476" t="str">
        <f t="shared" si="79"/>
        <v>no</v>
      </c>
      <c r="AM128" s="1476" t="str">
        <f t="shared" si="80"/>
        <v>no</v>
      </c>
      <c r="AN128" s="1471"/>
      <c r="AO128" s="1476"/>
      <c r="AP128" s="1471"/>
      <c r="AQ128" s="1471"/>
      <c r="AR128" s="1471"/>
      <c r="AS128" s="1471"/>
      <c r="AT128" s="1471"/>
      <c r="AU128" s="1471"/>
      <c r="AV128" s="1471"/>
      <c r="AW128" s="1471"/>
      <c r="AX128" s="1471"/>
      <c r="AY128" s="1471"/>
      <c r="AZ128" s="1476"/>
      <c r="BA128" s="1476"/>
      <c r="BB128" s="1471"/>
      <c r="BC128" s="1471"/>
      <c r="BD128" s="1471"/>
      <c r="BE128" s="1471"/>
      <c r="BF128" s="1471"/>
      <c r="BG128" s="1471"/>
      <c r="BH128" s="1476"/>
      <c r="BI128" s="1625"/>
      <c r="BJ128" s="1471">
        <v>9000</v>
      </c>
      <c r="BK128" s="1471"/>
      <c r="BL128" s="1473"/>
      <c r="BM128" s="1489">
        <f>BJ128</f>
        <v>9000</v>
      </c>
      <c r="BN128" s="1489">
        <v>9000</v>
      </c>
      <c r="BO128" s="1773"/>
      <c r="BP128" s="1773"/>
      <c r="BQ128" s="1774"/>
      <c r="BW128" s="1794" t="s">
        <v>3531</v>
      </c>
      <c r="BX128" s="1794" t="s">
        <v>3532</v>
      </c>
      <c r="BZ128" s="1493"/>
      <c r="CD128" s="1490">
        <v>9000</v>
      </c>
      <c r="CF128" s="1795">
        <f>BQ128+CB128+CD128</f>
        <v>9000</v>
      </c>
      <c r="CG128" s="1796">
        <f t="shared" si="83"/>
        <v>9000</v>
      </c>
      <c r="CH128" s="1879">
        <f>CG128-BQ128</f>
        <v>9000</v>
      </c>
      <c r="CI128" s="1490" t="s">
        <v>3533</v>
      </c>
      <c r="CN128" s="1797">
        <f t="shared" si="73"/>
        <v>9000</v>
      </c>
      <c r="CO128" s="1797">
        <f t="shared" si="104"/>
        <v>0</v>
      </c>
      <c r="CR128" s="1494">
        <f t="shared" si="90"/>
        <v>9000</v>
      </c>
      <c r="CS128" s="1797">
        <f t="shared" si="71"/>
        <v>0</v>
      </c>
      <c r="CV128" s="1678">
        <f t="shared" si="69"/>
        <v>9000</v>
      </c>
      <c r="CW128" s="1795">
        <f t="shared" si="72"/>
        <v>0</v>
      </c>
      <c r="CX128" s="1496">
        <v>0</v>
      </c>
      <c r="CY128" s="1496">
        <f t="shared" si="101"/>
        <v>9000</v>
      </c>
      <c r="CZ128" s="1496">
        <f t="shared" si="74"/>
        <v>0</v>
      </c>
      <c r="DB128" s="1798">
        <v>4500</v>
      </c>
      <c r="DC128" s="1747">
        <f t="shared" si="70"/>
        <v>13500</v>
      </c>
      <c r="DD128" s="1496">
        <f t="shared" si="75"/>
        <v>4500</v>
      </c>
      <c r="DF128" s="1747">
        <f t="shared" si="65"/>
        <v>13500</v>
      </c>
      <c r="DI128" s="1747">
        <f t="shared" si="66"/>
        <v>13500</v>
      </c>
    </row>
    <row r="129" spans="1:113" hidden="1" x14ac:dyDescent="0.25">
      <c r="A129" s="1471">
        <v>0</v>
      </c>
      <c r="B129" s="480" t="s">
        <v>3317</v>
      </c>
      <c r="C129" s="1135">
        <v>211236</v>
      </c>
      <c r="D129" s="1135" t="s">
        <v>3318</v>
      </c>
      <c r="E129" s="1749" t="s">
        <v>1876</v>
      </c>
      <c r="F129" s="1165">
        <v>345897</v>
      </c>
      <c r="G129" s="480" t="s">
        <v>2149</v>
      </c>
      <c r="H129" s="480" t="s">
        <v>2148</v>
      </c>
      <c r="I129" s="1038">
        <v>38274</v>
      </c>
      <c r="J129" s="1803"/>
      <c r="K129" s="1039">
        <f t="shared" ca="1" si="85"/>
        <v>20.939082819986311</v>
      </c>
      <c r="L129" s="963" t="s">
        <v>1886</v>
      </c>
      <c r="M129" s="480" t="s">
        <v>56</v>
      </c>
      <c r="N129" s="480"/>
      <c r="O129" s="1362"/>
      <c r="P129" s="1362"/>
      <c r="Q129" s="1476">
        <v>0</v>
      </c>
      <c r="R129" s="1476">
        <v>5000</v>
      </c>
      <c r="S129" s="963"/>
      <c r="T129" s="1716" t="e">
        <v>#N/A</v>
      </c>
      <c r="U129" s="963"/>
      <c r="V129" s="1716" t="e">
        <v>#N/A</v>
      </c>
      <c r="W129" s="1716" t="e">
        <f t="shared" si="55"/>
        <v>#N/A</v>
      </c>
      <c r="X129" s="1717" t="e">
        <f t="shared" si="56"/>
        <v>#N/A</v>
      </c>
      <c r="Y129" s="1716">
        <v>1</v>
      </c>
      <c r="Z129" s="1716" t="e">
        <f t="shared" si="57"/>
        <v>#N/A</v>
      </c>
      <c r="AA129" s="1047" t="e">
        <f t="shared" si="58"/>
        <v>#N/A</v>
      </c>
      <c r="AB129" s="1037" t="s">
        <v>2797</v>
      </c>
      <c r="AC129" s="1037" t="s">
        <v>2797</v>
      </c>
      <c r="AD129" s="1471" t="s">
        <v>2954</v>
      </c>
      <c r="AE129" s="1471"/>
      <c r="AF129" s="1471"/>
      <c r="AG129" s="1476">
        <v>5000</v>
      </c>
      <c r="AH129" s="1206">
        <v>5000</v>
      </c>
      <c r="AI129" s="1206"/>
      <c r="AJ129" s="1206">
        <v>5000</v>
      </c>
      <c r="AK129" s="1476" t="str">
        <f t="shared" si="78"/>
        <v>yes</v>
      </c>
      <c r="AL129" s="1476" t="str">
        <f t="shared" si="79"/>
        <v>no</v>
      </c>
      <c r="AM129" s="1476" t="str">
        <f t="shared" si="80"/>
        <v>no</v>
      </c>
      <c r="AN129" s="1471"/>
      <c r="AO129" s="1476"/>
      <c r="AP129" s="1471"/>
      <c r="AQ129" s="1471"/>
      <c r="AR129" s="1471"/>
      <c r="AS129" s="1471"/>
      <c r="AT129" s="1471"/>
      <c r="AU129" s="1471"/>
      <c r="AV129" s="1471"/>
      <c r="AW129" s="1471"/>
      <c r="AX129" s="1471"/>
      <c r="AY129" s="1471"/>
      <c r="AZ129" s="1789">
        <v>5000</v>
      </c>
      <c r="BA129" s="1476"/>
      <c r="BB129" s="1471"/>
      <c r="BC129" s="1471"/>
      <c r="BD129" s="1471"/>
      <c r="BE129" s="1471"/>
      <c r="BF129" s="1471"/>
      <c r="BG129" s="1471"/>
      <c r="BH129" s="1476">
        <f>AO129+AS129+AW129</f>
        <v>0</v>
      </c>
      <c r="BI129" s="1625">
        <f>BC129</f>
        <v>0</v>
      </c>
      <c r="BJ129" s="1471">
        <v>5000</v>
      </c>
      <c r="BK129" s="1471"/>
      <c r="BL129" s="1793">
        <v>5000</v>
      </c>
      <c r="BM129" s="1489">
        <f t="shared" si="102"/>
        <v>0</v>
      </c>
      <c r="BN129" s="1489">
        <v>0</v>
      </c>
      <c r="BO129" s="1773">
        <f t="shared" si="81"/>
        <v>0</v>
      </c>
      <c r="BP129" s="1773">
        <v>0</v>
      </c>
      <c r="BQ129" s="1774">
        <f t="shared" si="82"/>
        <v>0</v>
      </c>
      <c r="BZ129" s="1493"/>
      <c r="CF129" s="1795">
        <f>BQ129+CB129+CD129</f>
        <v>0</v>
      </c>
      <c r="CG129" s="1796">
        <f t="shared" si="83"/>
        <v>0</v>
      </c>
      <c r="CH129" s="1796">
        <f>CG129-BQ129</f>
        <v>0</v>
      </c>
      <c r="CI129" s="1490" t="s">
        <v>3534</v>
      </c>
      <c r="CN129" s="1797">
        <f t="shared" si="73"/>
        <v>0</v>
      </c>
      <c r="CO129" s="1797">
        <f t="shared" si="104"/>
        <v>0</v>
      </c>
      <c r="CR129" s="1494">
        <f t="shared" si="90"/>
        <v>0</v>
      </c>
      <c r="CS129" s="1797">
        <f t="shared" si="71"/>
        <v>0</v>
      </c>
      <c r="CV129" s="1678">
        <f t="shared" si="69"/>
        <v>0</v>
      </c>
      <c r="CW129" s="1795">
        <f t="shared" si="72"/>
        <v>0</v>
      </c>
      <c r="CX129" s="1496">
        <v>0</v>
      </c>
      <c r="CY129" s="1496">
        <f t="shared" si="101"/>
        <v>0</v>
      </c>
      <c r="CZ129" s="1496">
        <f t="shared" si="74"/>
        <v>0</v>
      </c>
      <c r="DC129" s="1747">
        <f t="shared" si="70"/>
        <v>0</v>
      </c>
      <c r="DD129" s="1496">
        <f t="shared" si="75"/>
        <v>0</v>
      </c>
      <c r="DF129" s="1747">
        <f t="shared" si="65"/>
        <v>0</v>
      </c>
      <c r="DI129" s="1747">
        <f t="shared" si="66"/>
        <v>0</v>
      </c>
    </row>
    <row r="130" spans="1:113" x14ac:dyDescent="0.25">
      <c r="A130" s="1471">
        <v>1</v>
      </c>
      <c r="B130" s="480" t="s">
        <v>3317</v>
      </c>
      <c r="C130" s="1135">
        <v>211236</v>
      </c>
      <c r="D130" s="1135" t="s">
        <v>3318</v>
      </c>
      <c r="E130" s="1749" t="s">
        <v>1876</v>
      </c>
      <c r="F130" s="1165">
        <v>428575</v>
      </c>
      <c r="G130" s="480" t="s">
        <v>1404</v>
      </c>
      <c r="H130" s="480" t="s">
        <v>1102</v>
      </c>
      <c r="I130" s="1038">
        <v>42377</v>
      </c>
      <c r="J130" s="1803">
        <v>3</v>
      </c>
      <c r="K130" s="1039">
        <f t="shared" ca="1" si="85"/>
        <v>9.7056810403832987</v>
      </c>
      <c r="L130" s="963" t="s">
        <v>1885</v>
      </c>
      <c r="M130" s="480" t="s">
        <v>56</v>
      </c>
      <c r="N130" s="480"/>
      <c r="O130" s="1362"/>
      <c r="P130" s="1362"/>
      <c r="Q130" s="1476">
        <v>13500</v>
      </c>
      <c r="R130" s="1476">
        <v>0</v>
      </c>
      <c r="S130" s="1846">
        <v>45170</v>
      </c>
      <c r="T130" s="1716">
        <v>65</v>
      </c>
      <c r="U130" s="963">
        <v>45382</v>
      </c>
      <c r="V130" s="1716">
        <v>192</v>
      </c>
      <c r="W130" s="1716">
        <f t="shared" si="55"/>
        <v>128</v>
      </c>
      <c r="X130" s="1717">
        <f t="shared" si="56"/>
        <v>0.66666666666666663</v>
      </c>
      <c r="Y130" s="1716">
        <v>1</v>
      </c>
      <c r="Z130" s="1716">
        <f t="shared" si="57"/>
        <v>0.66666666666666663</v>
      </c>
      <c r="AA130" s="1047">
        <f t="shared" si="58"/>
        <v>9000</v>
      </c>
      <c r="AB130" s="1037" t="s">
        <v>2797</v>
      </c>
      <c r="AC130" s="1037" t="s">
        <v>2797</v>
      </c>
      <c r="AD130" s="1471"/>
      <c r="AE130" s="1471"/>
      <c r="AF130" s="1471"/>
      <c r="AG130" s="1476">
        <f>13500/3*2</f>
        <v>9000</v>
      </c>
      <c r="AH130" s="1206"/>
      <c r="AI130" s="1206">
        <v>13500</v>
      </c>
      <c r="AJ130" s="1206"/>
      <c r="AK130" s="1476" t="str">
        <f t="shared" ref="AK130:AK131" si="106">IF(AI130&lt;=15000,"yes","no")</f>
        <v>yes</v>
      </c>
      <c r="AL130" s="1476" t="str">
        <f t="shared" si="79"/>
        <v>no</v>
      </c>
      <c r="AM130" s="1476" t="str">
        <f t="shared" si="80"/>
        <v>no</v>
      </c>
      <c r="AN130" s="1471"/>
      <c r="AO130" s="1476"/>
      <c r="AP130" s="1471"/>
      <c r="AQ130" s="1471"/>
      <c r="AR130" s="1471"/>
      <c r="AS130" s="1471"/>
      <c r="AT130" s="1471"/>
      <c r="AU130" s="1471"/>
      <c r="AV130" s="1471"/>
      <c r="AW130" s="1471"/>
      <c r="AX130" s="1471"/>
      <c r="AY130" s="1471"/>
      <c r="AZ130" s="1206"/>
      <c r="BA130" s="1476"/>
      <c r="BB130" s="1471"/>
      <c r="BC130" s="1471"/>
      <c r="BD130" s="1471"/>
      <c r="BE130" s="1471"/>
      <c r="BF130" s="1471"/>
      <c r="BG130" s="1471"/>
      <c r="BH130" s="1476"/>
      <c r="BI130" s="1473"/>
      <c r="BJ130" s="1471">
        <v>9000</v>
      </c>
      <c r="BK130" s="1471"/>
      <c r="BL130" s="1473"/>
      <c r="BM130" s="1489">
        <f t="shared" si="102"/>
        <v>9000</v>
      </c>
      <c r="BN130" s="1489">
        <v>9000</v>
      </c>
      <c r="BO130" s="1773"/>
      <c r="BP130" s="1773"/>
      <c r="BQ130" s="1774"/>
      <c r="BW130" s="1794" t="s">
        <v>3535</v>
      </c>
      <c r="BX130" s="1794" t="s">
        <v>3532</v>
      </c>
      <c r="BZ130" s="1493"/>
      <c r="CD130" s="1490">
        <v>9000</v>
      </c>
      <c r="CF130" s="1795">
        <f>BQ130+CB130+CD130</f>
        <v>9000</v>
      </c>
      <c r="CG130" s="1796">
        <f t="shared" si="83"/>
        <v>9000</v>
      </c>
      <c r="CH130" s="1796">
        <f>CG130-BQ130</f>
        <v>9000</v>
      </c>
      <c r="CI130" s="1490" t="s">
        <v>3533</v>
      </c>
      <c r="CN130" s="1797">
        <f t="shared" si="73"/>
        <v>9000</v>
      </c>
      <c r="CO130" s="1797">
        <f t="shared" si="104"/>
        <v>0</v>
      </c>
      <c r="CR130" s="1494">
        <f t="shared" si="90"/>
        <v>9000</v>
      </c>
      <c r="CS130" s="1797">
        <f t="shared" si="71"/>
        <v>0</v>
      </c>
      <c r="CV130" s="1678">
        <f t="shared" si="69"/>
        <v>9000</v>
      </c>
      <c r="CW130" s="1795">
        <f t="shared" si="72"/>
        <v>0</v>
      </c>
      <c r="CX130" s="1496">
        <v>-9000</v>
      </c>
      <c r="CY130" s="1496">
        <f t="shared" si="101"/>
        <v>0</v>
      </c>
      <c r="CZ130" s="1496">
        <f t="shared" si="74"/>
        <v>-9000</v>
      </c>
      <c r="DB130" s="1798">
        <v>0</v>
      </c>
      <c r="DC130" s="1747">
        <f t="shared" si="70"/>
        <v>0</v>
      </c>
      <c r="DD130" s="1496">
        <f t="shared" si="75"/>
        <v>0</v>
      </c>
      <c r="DF130" s="1747">
        <f t="shared" si="65"/>
        <v>0</v>
      </c>
      <c r="DI130" s="1747">
        <f t="shared" si="66"/>
        <v>0</v>
      </c>
    </row>
    <row r="131" spans="1:113" hidden="1" x14ac:dyDescent="0.25">
      <c r="A131" s="1638">
        <v>0</v>
      </c>
      <c r="B131" s="1297" t="s">
        <v>3317</v>
      </c>
      <c r="C131" s="1302">
        <v>211236</v>
      </c>
      <c r="D131" s="1302" t="s">
        <v>3318</v>
      </c>
      <c r="E131" s="1907" t="s">
        <v>1876</v>
      </c>
      <c r="F131" s="1908">
        <v>438797</v>
      </c>
      <c r="G131" s="1297" t="s">
        <v>1017</v>
      </c>
      <c r="H131" s="1297" t="s">
        <v>392</v>
      </c>
      <c r="I131" s="1909">
        <v>41844</v>
      </c>
      <c r="J131" s="1910">
        <v>3</v>
      </c>
      <c r="K131" s="1301">
        <f ca="1">(TODAY()-I131)/365.25</f>
        <v>11.16495550992471</v>
      </c>
      <c r="L131" s="1270" t="s">
        <v>1885</v>
      </c>
      <c r="M131" s="1270" t="s">
        <v>3343</v>
      </c>
      <c r="N131" s="1297"/>
      <c r="O131" s="1911">
        <v>13500</v>
      </c>
      <c r="P131" s="1911" t="s">
        <v>3536</v>
      </c>
      <c r="Q131" s="1912">
        <v>0</v>
      </c>
      <c r="R131" s="1912">
        <v>27000</v>
      </c>
      <c r="S131" s="1913"/>
      <c r="T131" s="1716" t="e">
        <v>#N/A</v>
      </c>
      <c r="U131" s="1913"/>
      <c r="V131" s="1716" t="e">
        <v>#N/A</v>
      </c>
      <c r="W131" s="1716" t="e">
        <f t="shared" si="55"/>
        <v>#N/A</v>
      </c>
      <c r="X131" s="1717" t="e">
        <f t="shared" si="56"/>
        <v>#N/A</v>
      </c>
      <c r="Y131" s="1716">
        <v>1</v>
      </c>
      <c r="Z131" s="1716" t="e">
        <f t="shared" si="57"/>
        <v>#N/A</v>
      </c>
      <c r="AA131" s="1914" t="e">
        <f t="shared" si="58"/>
        <v>#N/A</v>
      </c>
      <c r="AB131" s="1915" t="s">
        <v>2787</v>
      </c>
      <c r="AC131" s="1915" t="s">
        <v>2787</v>
      </c>
      <c r="AD131" s="1638" t="s">
        <v>2954</v>
      </c>
      <c r="AE131" s="1638"/>
      <c r="AF131" s="1638"/>
      <c r="AG131" s="1912">
        <v>27000</v>
      </c>
      <c r="AH131" s="1305">
        <v>27000</v>
      </c>
      <c r="AI131" s="1305"/>
      <c r="AJ131" s="1305">
        <v>27000</v>
      </c>
      <c r="AK131" s="1476" t="str">
        <f t="shared" si="106"/>
        <v>yes</v>
      </c>
      <c r="AL131" s="1476" t="str">
        <f t="shared" si="79"/>
        <v>no</v>
      </c>
      <c r="AM131" s="1476" t="str">
        <f t="shared" si="80"/>
        <v>no</v>
      </c>
      <c r="AN131" s="1638"/>
      <c r="AO131" s="1912"/>
      <c r="AP131" s="1638"/>
      <c r="AQ131" s="1638"/>
      <c r="AR131" s="1638"/>
      <c r="AS131" s="1638"/>
      <c r="AT131" s="1638"/>
      <c r="AU131" s="1638"/>
      <c r="AV131" s="1638"/>
      <c r="AW131" s="1638"/>
      <c r="AX131" s="1638"/>
      <c r="AY131" s="1638"/>
      <c r="AZ131" s="1916">
        <v>27000</v>
      </c>
      <c r="BA131" s="1912"/>
      <c r="BB131" s="1638"/>
      <c r="BC131" s="1638"/>
      <c r="BD131" s="1638"/>
      <c r="BE131" s="1638"/>
      <c r="BF131" s="1638"/>
      <c r="BG131" s="1638"/>
      <c r="BH131" s="1912">
        <f>AO131+AS131+AW131</f>
        <v>0</v>
      </c>
      <c r="BI131" s="1917">
        <f>BC131</f>
        <v>0</v>
      </c>
      <c r="BJ131" s="1638">
        <v>27000</v>
      </c>
      <c r="BK131" s="1638"/>
      <c r="BL131" s="1918">
        <v>27000</v>
      </c>
      <c r="BM131" s="1919">
        <f t="shared" si="102"/>
        <v>0</v>
      </c>
      <c r="BN131" s="1919">
        <v>0</v>
      </c>
      <c r="BO131" s="1920">
        <f t="shared" si="81"/>
        <v>0</v>
      </c>
      <c r="BP131" s="1920">
        <v>0</v>
      </c>
      <c r="BQ131" s="1921">
        <f t="shared" si="82"/>
        <v>0</v>
      </c>
      <c r="BZ131" s="1493"/>
      <c r="CF131" s="1795">
        <f>BQ131+CB131+CD131</f>
        <v>0</v>
      </c>
      <c r="CG131" s="1796">
        <f t="shared" si="83"/>
        <v>0</v>
      </c>
      <c r="CH131" s="1796">
        <f>CG131-BQ131</f>
        <v>0</v>
      </c>
      <c r="CI131" s="1490" t="s">
        <v>3537</v>
      </c>
      <c r="CN131" s="1922">
        <f t="shared" si="73"/>
        <v>0</v>
      </c>
      <c r="CO131" s="1922">
        <f t="shared" si="104"/>
        <v>0</v>
      </c>
      <c r="CR131" s="1494">
        <f t="shared" si="90"/>
        <v>0</v>
      </c>
      <c r="CS131" s="1797">
        <f t="shared" si="71"/>
        <v>0</v>
      </c>
      <c r="CV131" s="1678">
        <f t="shared" si="69"/>
        <v>0</v>
      </c>
      <c r="CW131" s="1795">
        <f t="shared" si="72"/>
        <v>0</v>
      </c>
      <c r="CX131" s="1496">
        <v>0</v>
      </c>
      <c r="CY131" s="1496">
        <f t="shared" si="101"/>
        <v>0</v>
      </c>
      <c r="CZ131" s="1496">
        <f t="shared" si="74"/>
        <v>0</v>
      </c>
      <c r="DC131" s="1747">
        <f t="shared" si="70"/>
        <v>0</v>
      </c>
      <c r="DD131" s="1496">
        <f t="shared" si="75"/>
        <v>0</v>
      </c>
      <c r="DF131" s="1747">
        <f t="shared" si="65"/>
        <v>0</v>
      </c>
      <c r="DI131" s="1747">
        <f t="shared" si="66"/>
        <v>0</v>
      </c>
    </row>
    <row r="132" spans="1:113" ht="15.75" hidden="1" x14ac:dyDescent="0.25">
      <c r="A132" s="1923">
        <v>0</v>
      </c>
      <c r="B132" s="1297" t="s">
        <v>3538</v>
      </c>
      <c r="C132" s="1924"/>
      <c r="D132" s="1924" t="s">
        <v>3539</v>
      </c>
      <c r="E132" s="1925"/>
      <c r="F132" s="1926">
        <v>439669</v>
      </c>
      <c r="G132" s="1927" t="s">
        <v>3540</v>
      </c>
      <c r="H132" s="1927" t="s">
        <v>3541</v>
      </c>
      <c r="I132" s="1928">
        <v>42286</v>
      </c>
      <c r="J132" s="1929"/>
      <c r="K132" s="1930">
        <f ca="1">(TODAY()-I132)/365.25</f>
        <v>9.9548254620123195</v>
      </c>
      <c r="L132" s="1931" t="s">
        <v>1885</v>
      </c>
      <c r="M132" s="1931"/>
      <c r="N132" s="1932"/>
      <c r="O132" s="1933"/>
      <c r="P132" s="1933"/>
      <c r="Q132" s="1934">
        <v>0</v>
      </c>
      <c r="R132" s="1934">
        <v>0</v>
      </c>
      <c r="S132" s="1935" t="s">
        <v>3542</v>
      </c>
      <c r="T132" s="1716" t="e">
        <v>#N/A</v>
      </c>
      <c r="U132" s="1935" t="s">
        <v>3542</v>
      </c>
      <c r="V132" s="1716" t="e">
        <v>#N/A</v>
      </c>
      <c r="W132" s="1716" t="e">
        <f t="shared" ref="W132:W137" si="107">V132-T132+1</f>
        <v>#N/A</v>
      </c>
      <c r="X132" s="1717" t="e">
        <f t="shared" ref="X132:X137" si="108">W132/192</f>
        <v>#N/A</v>
      </c>
      <c r="Y132" s="1716">
        <v>1</v>
      </c>
      <c r="Z132" s="1716" t="e">
        <f t="shared" ref="Z132:Z137" si="109">Y132*X132</f>
        <v>#N/A</v>
      </c>
      <c r="AA132" s="1936" t="e">
        <f t="shared" ref="AA132:AA136" si="110">Z132*Q132</f>
        <v>#N/A</v>
      </c>
      <c r="AB132" s="1937" t="s">
        <v>2797</v>
      </c>
      <c r="AC132" s="1937" t="s">
        <v>2797</v>
      </c>
      <c r="AD132" s="1923"/>
      <c r="AE132" s="1923"/>
      <c r="AF132" s="1923"/>
      <c r="AG132" s="1934"/>
      <c r="AH132" s="1938"/>
      <c r="AI132" s="1938"/>
      <c r="AJ132" s="1938"/>
      <c r="AK132" s="1934"/>
      <c r="AL132" s="1934"/>
      <c r="AM132" s="1934"/>
      <c r="AN132" s="1923"/>
      <c r="AO132" s="1934"/>
      <c r="AP132" s="1923"/>
      <c r="AQ132" s="1923"/>
      <c r="AR132" s="1923"/>
      <c r="AS132" s="1923"/>
      <c r="AT132" s="1923"/>
      <c r="AU132" s="1923"/>
      <c r="AV132" s="1923"/>
      <c r="AW132" s="1923"/>
      <c r="AX132" s="1923"/>
      <c r="AY132" s="1923"/>
      <c r="AZ132" s="1938"/>
      <c r="BA132" s="1934"/>
      <c r="BB132" s="1923"/>
      <c r="BC132" s="1923"/>
      <c r="BD132" s="1923"/>
      <c r="BE132" s="1923"/>
      <c r="BF132" s="1923"/>
      <c r="BG132" s="1923"/>
      <c r="BH132" s="1934"/>
      <c r="BI132" s="1939"/>
      <c r="BJ132" s="1923"/>
      <c r="BK132" s="1923"/>
      <c r="BL132" s="1940"/>
      <c r="BM132" s="1941"/>
      <c r="BN132" s="1941"/>
      <c r="BO132" s="1942"/>
      <c r="BP132" s="1942"/>
      <c r="BQ132" s="1943"/>
      <c r="BZ132" s="1493"/>
      <c r="CF132" s="1795"/>
      <c r="CG132" s="1796"/>
      <c r="CH132" s="1796"/>
      <c r="CN132" s="1797"/>
      <c r="CO132" s="1797"/>
      <c r="CQ132" s="1490">
        <v>66000</v>
      </c>
      <c r="CR132" s="1494">
        <f>CN132+CP132+CQ132</f>
        <v>66000</v>
      </c>
      <c r="CS132" s="1797">
        <f t="shared" si="71"/>
        <v>66000</v>
      </c>
      <c r="CU132" s="1490">
        <v>-66000</v>
      </c>
      <c r="CV132" s="1678">
        <f t="shared" si="69"/>
        <v>0</v>
      </c>
      <c r="CW132" s="1795">
        <f t="shared" si="72"/>
        <v>-66000</v>
      </c>
      <c r="CX132" s="1496">
        <v>0</v>
      </c>
      <c r="CY132" s="1496">
        <f t="shared" si="101"/>
        <v>0</v>
      </c>
      <c r="CZ132" s="1496">
        <f t="shared" si="74"/>
        <v>0</v>
      </c>
      <c r="DC132" s="1747">
        <f t="shared" si="70"/>
        <v>0</v>
      </c>
      <c r="DD132" s="1496">
        <f t="shared" si="75"/>
        <v>0</v>
      </c>
      <c r="DF132" s="1747">
        <f t="shared" si="65"/>
        <v>0</v>
      </c>
      <c r="DI132" s="1747">
        <f t="shared" ref="DI132:DI137" si="111">DH132+DF132</f>
        <v>0</v>
      </c>
    </row>
    <row r="133" spans="1:113" ht="15.75" hidden="1" x14ac:dyDescent="0.25">
      <c r="A133" s="1923">
        <v>0</v>
      </c>
      <c r="B133" s="1297"/>
      <c r="C133" s="1924"/>
      <c r="D133" s="1924" t="s">
        <v>3543</v>
      </c>
      <c r="E133" s="1925"/>
      <c r="F133" s="1944">
        <v>403564</v>
      </c>
      <c r="G133" s="1945" t="s">
        <v>410</v>
      </c>
      <c r="H133" s="1945" t="s">
        <v>1282</v>
      </c>
      <c r="I133" s="1928">
        <v>41011</v>
      </c>
      <c r="J133" s="1929"/>
      <c r="K133" s="1930">
        <f ca="1">(TODAY()-I133)/365.25</f>
        <v>13.44558521560575</v>
      </c>
      <c r="L133" s="1931" t="s">
        <v>1886</v>
      </c>
      <c r="M133" s="1931"/>
      <c r="N133" s="1932"/>
      <c r="O133" s="1933"/>
      <c r="P133" s="1933"/>
      <c r="Q133" s="1934">
        <v>0</v>
      </c>
      <c r="R133" s="1934"/>
      <c r="S133" s="1935" t="s">
        <v>3542</v>
      </c>
      <c r="T133" s="1716" t="e">
        <v>#N/A</v>
      </c>
      <c r="U133" s="1935" t="s">
        <v>3542</v>
      </c>
      <c r="V133" s="1716" t="e">
        <v>#N/A</v>
      </c>
      <c r="W133" s="1716" t="e">
        <f t="shared" si="107"/>
        <v>#N/A</v>
      </c>
      <c r="X133" s="1717" t="e">
        <f t="shared" si="108"/>
        <v>#N/A</v>
      </c>
      <c r="Y133" s="1716">
        <v>1</v>
      </c>
      <c r="Z133" s="1716" t="e">
        <f t="shared" si="109"/>
        <v>#N/A</v>
      </c>
      <c r="AA133" s="1936" t="e">
        <f t="shared" si="110"/>
        <v>#N/A</v>
      </c>
      <c r="AB133" s="1937" t="s">
        <v>2797</v>
      </c>
      <c r="AC133" s="1937" t="s">
        <v>2797</v>
      </c>
      <c r="AD133" s="1923"/>
      <c r="AE133" s="1923"/>
      <c r="AF133" s="1923"/>
      <c r="AG133" s="1934"/>
      <c r="AH133" s="1938"/>
      <c r="AI133" s="1938"/>
      <c r="AJ133" s="1938"/>
      <c r="AK133" s="1934"/>
      <c r="AL133" s="1934"/>
      <c r="AM133" s="1934"/>
      <c r="AN133" s="1923"/>
      <c r="AO133" s="1934"/>
      <c r="AP133" s="1923"/>
      <c r="AQ133" s="1923"/>
      <c r="AR133" s="1923"/>
      <c r="AS133" s="1923"/>
      <c r="AT133" s="1923"/>
      <c r="AU133" s="1923"/>
      <c r="AV133" s="1923"/>
      <c r="AW133" s="1923"/>
      <c r="AX133" s="1923"/>
      <c r="AY133" s="1923"/>
      <c r="AZ133" s="1938"/>
      <c r="BA133" s="1934"/>
      <c r="BB133" s="1923"/>
      <c r="BC133" s="1923"/>
      <c r="BD133" s="1923"/>
      <c r="BE133" s="1923"/>
      <c r="BF133" s="1923"/>
      <c r="BG133" s="1923"/>
      <c r="BH133" s="1934"/>
      <c r="BI133" s="1939"/>
      <c r="BJ133" s="1923"/>
      <c r="BK133" s="1923"/>
      <c r="BL133" s="1940"/>
      <c r="BM133" s="1941"/>
      <c r="BN133" s="1941"/>
      <c r="BO133" s="1942"/>
      <c r="BP133" s="1942"/>
      <c r="BQ133" s="1943"/>
      <c r="BZ133" s="1493"/>
      <c r="CF133" s="1795"/>
      <c r="CG133" s="1796"/>
      <c r="CH133" s="1796"/>
      <c r="CN133" s="1797"/>
      <c r="CO133" s="1797"/>
      <c r="CQ133" s="1490">
        <v>85000</v>
      </c>
      <c r="CR133" s="1494">
        <f>CN133+CP133+CQ133</f>
        <v>85000</v>
      </c>
      <c r="CS133" s="1797">
        <f t="shared" si="71"/>
        <v>85000</v>
      </c>
      <c r="CU133" s="1490">
        <v>-85000</v>
      </c>
      <c r="CV133" s="1678">
        <f t="shared" si="69"/>
        <v>0</v>
      </c>
      <c r="CW133" s="1795">
        <f t="shared" si="72"/>
        <v>-85000</v>
      </c>
      <c r="CX133" s="1496">
        <v>0</v>
      </c>
      <c r="CY133" s="1496">
        <f t="shared" si="101"/>
        <v>0</v>
      </c>
      <c r="CZ133" s="1496">
        <f t="shared" si="74"/>
        <v>0</v>
      </c>
      <c r="DC133" s="1747">
        <f t="shared" si="70"/>
        <v>0</v>
      </c>
      <c r="DD133" s="1496">
        <f t="shared" si="75"/>
        <v>0</v>
      </c>
      <c r="DF133" s="1747">
        <f t="shared" ref="DF133:DF136" si="112">DC133+DE133</f>
        <v>0</v>
      </c>
      <c r="DI133" s="1747">
        <f t="shared" si="111"/>
        <v>0</v>
      </c>
    </row>
    <row r="134" spans="1:113" ht="15.75" x14ac:dyDescent="0.25">
      <c r="A134" s="1923" t="s">
        <v>32</v>
      </c>
      <c r="B134" s="1297"/>
      <c r="C134" s="1924"/>
      <c r="D134" s="1924" t="s">
        <v>2561</v>
      </c>
      <c r="E134" s="1925" t="s">
        <v>1876</v>
      </c>
      <c r="F134" s="1944">
        <v>445714</v>
      </c>
      <c r="G134" s="1945" t="s">
        <v>1389</v>
      </c>
      <c r="H134" s="1945" t="s">
        <v>1388</v>
      </c>
      <c r="I134" s="1928">
        <v>43068</v>
      </c>
      <c r="J134" s="1929"/>
      <c r="K134" s="1930">
        <f ca="1">(TODAY()-I134)/365.25</f>
        <v>7.8138261464750167</v>
      </c>
      <c r="L134" s="1931" t="s">
        <v>1885</v>
      </c>
      <c r="M134" s="1931"/>
      <c r="N134" s="1932"/>
      <c r="O134" s="1933"/>
      <c r="P134" s="1933"/>
      <c r="Q134" s="1934"/>
      <c r="R134" s="1934"/>
      <c r="S134" s="1935" t="s">
        <v>3542</v>
      </c>
      <c r="T134" s="1716" t="e">
        <v>#N/A</v>
      </c>
      <c r="U134" s="1935" t="s">
        <v>3542</v>
      </c>
      <c r="V134" s="1716" t="e">
        <v>#N/A</v>
      </c>
      <c r="W134" s="1716" t="e">
        <f t="shared" si="107"/>
        <v>#N/A</v>
      </c>
      <c r="X134" s="1717" t="e">
        <f t="shared" si="108"/>
        <v>#N/A</v>
      </c>
      <c r="Y134" s="1716">
        <v>1</v>
      </c>
      <c r="Z134" s="1716" t="e">
        <f t="shared" si="109"/>
        <v>#N/A</v>
      </c>
      <c r="AA134" s="1936" t="e">
        <f t="shared" si="110"/>
        <v>#N/A</v>
      </c>
      <c r="AB134" s="1937" t="s">
        <v>2797</v>
      </c>
      <c r="AC134" s="1937" t="s">
        <v>2797</v>
      </c>
      <c r="AD134" s="1923"/>
      <c r="AE134" s="1923"/>
      <c r="AF134" s="1923"/>
      <c r="AG134" s="1934"/>
      <c r="AH134" s="1938"/>
      <c r="AI134" s="1938"/>
      <c r="AJ134" s="1938"/>
      <c r="AK134" s="1934"/>
      <c r="AL134" s="1934"/>
      <c r="AM134" s="1934"/>
      <c r="AN134" s="1923"/>
      <c r="AO134" s="1934"/>
      <c r="AP134" s="1923"/>
      <c r="AQ134" s="1923"/>
      <c r="AR134" s="1923"/>
      <c r="AS134" s="1923"/>
      <c r="AT134" s="1923"/>
      <c r="AU134" s="1923"/>
      <c r="AV134" s="1923"/>
      <c r="AW134" s="1923"/>
      <c r="AX134" s="1923"/>
      <c r="AY134" s="1923"/>
      <c r="AZ134" s="1938"/>
      <c r="BA134" s="1934"/>
      <c r="BB134" s="1923"/>
      <c r="BC134" s="1923"/>
      <c r="BD134" s="1923"/>
      <c r="BE134" s="1923"/>
      <c r="BF134" s="1923"/>
      <c r="BG134" s="1923"/>
      <c r="BH134" s="1934"/>
      <c r="BI134" s="1939"/>
      <c r="BJ134" s="1923"/>
      <c r="BK134" s="1923"/>
      <c r="BL134" s="1940"/>
      <c r="BM134" s="1941"/>
      <c r="BN134" s="1941"/>
      <c r="BO134" s="1942"/>
      <c r="BP134" s="1942"/>
      <c r="BQ134" s="1943"/>
      <c r="BZ134" s="1493"/>
      <c r="CF134" s="1795"/>
      <c r="CG134" s="1796"/>
      <c r="CH134" s="1796"/>
      <c r="CN134" s="1797"/>
      <c r="CO134" s="1797"/>
      <c r="CQ134" s="1490">
        <v>33123</v>
      </c>
      <c r="CR134" s="1494">
        <f>CN134+CP134+CQ134</f>
        <v>33123</v>
      </c>
      <c r="CS134" s="1797">
        <f t="shared" si="71"/>
        <v>33123</v>
      </c>
      <c r="CV134" s="1678">
        <f t="shared" si="69"/>
        <v>33123</v>
      </c>
      <c r="CW134" s="1795">
        <f t="shared" si="72"/>
        <v>0</v>
      </c>
      <c r="CX134" s="1496">
        <v>0</v>
      </c>
      <c r="CY134" s="1496">
        <f t="shared" si="101"/>
        <v>33123</v>
      </c>
      <c r="CZ134" s="1496">
        <f t="shared" si="74"/>
        <v>0</v>
      </c>
      <c r="DB134" s="1798">
        <v>-33123</v>
      </c>
      <c r="DC134" s="1747">
        <f t="shared" si="70"/>
        <v>0</v>
      </c>
      <c r="DD134" s="1496">
        <f t="shared" si="75"/>
        <v>-33123</v>
      </c>
      <c r="DF134" s="1747">
        <f t="shared" si="112"/>
        <v>0</v>
      </c>
      <c r="DI134" s="1747">
        <f t="shared" si="111"/>
        <v>0</v>
      </c>
    </row>
    <row r="135" spans="1:113" ht="15.75" x14ac:dyDescent="0.25">
      <c r="A135" s="1923" t="s">
        <v>32</v>
      </c>
      <c r="B135" s="1297"/>
      <c r="C135" s="1924"/>
      <c r="D135" s="1924" t="s">
        <v>2561</v>
      </c>
      <c r="E135" s="1925" t="s">
        <v>1876</v>
      </c>
      <c r="F135" s="1944">
        <v>434305</v>
      </c>
      <c r="G135" s="1945" t="s">
        <v>1683</v>
      </c>
      <c r="H135" s="1945" t="s">
        <v>1682</v>
      </c>
      <c r="I135" s="1928">
        <v>42754</v>
      </c>
      <c r="J135" s="1929"/>
      <c r="K135" s="1930">
        <f ca="1">(TODAY()-I135)/365.25</f>
        <v>8.6735112936344976</v>
      </c>
      <c r="L135" s="1931" t="s">
        <v>1885</v>
      </c>
      <c r="M135" s="1931"/>
      <c r="N135" s="1932"/>
      <c r="O135" s="1933"/>
      <c r="P135" s="1933"/>
      <c r="Q135" s="1934"/>
      <c r="R135" s="1934"/>
      <c r="S135" s="1935" t="s">
        <v>3542</v>
      </c>
      <c r="T135" s="1716" t="e">
        <v>#N/A</v>
      </c>
      <c r="U135" s="1935" t="s">
        <v>3542</v>
      </c>
      <c r="V135" s="1716" t="e">
        <v>#N/A</v>
      </c>
      <c r="W135" s="1716" t="e">
        <f t="shared" si="107"/>
        <v>#N/A</v>
      </c>
      <c r="X135" s="1717" t="e">
        <f t="shared" si="108"/>
        <v>#N/A</v>
      </c>
      <c r="Y135" s="1716">
        <v>1</v>
      </c>
      <c r="Z135" s="1716" t="e">
        <f t="shared" si="109"/>
        <v>#N/A</v>
      </c>
      <c r="AA135" s="1936" t="e">
        <f t="shared" si="110"/>
        <v>#N/A</v>
      </c>
      <c r="AB135" s="1937" t="s">
        <v>2797</v>
      </c>
      <c r="AC135" s="1937" t="s">
        <v>2797</v>
      </c>
      <c r="AD135" s="1923"/>
      <c r="AE135" s="1923"/>
      <c r="AF135" s="1923"/>
      <c r="AG135" s="1934"/>
      <c r="AH135" s="1938"/>
      <c r="AI135" s="1938"/>
      <c r="AJ135" s="1938"/>
      <c r="AK135" s="1934"/>
      <c r="AL135" s="1934"/>
      <c r="AM135" s="1934"/>
      <c r="AN135" s="1923"/>
      <c r="AO135" s="1934"/>
      <c r="AP135" s="1923"/>
      <c r="AQ135" s="1923"/>
      <c r="AR135" s="1923"/>
      <c r="AS135" s="1923"/>
      <c r="AT135" s="1923"/>
      <c r="AU135" s="1923"/>
      <c r="AV135" s="1923"/>
      <c r="AW135" s="1923"/>
      <c r="AX135" s="1923"/>
      <c r="AY135" s="1923"/>
      <c r="AZ135" s="1938"/>
      <c r="BA135" s="1934"/>
      <c r="BB135" s="1923"/>
      <c r="BC135" s="1923"/>
      <c r="BD135" s="1923"/>
      <c r="BE135" s="1923"/>
      <c r="BF135" s="1923"/>
      <c r="BG135" s="1923"/>
      <c r="BH135" s="1934"/>
      <c r="BI135" s="1939"/>
      <c r="BJ135" s="1923"/>
      <c r="BK135" s="1923"/>
      <c r="BL135" s="1940"/>
      <c r="BM135" s="1941"/>
      <c r="BN135" s="1941"/>
      <c r="BO135" s="1942"/>
      <c r="BP135" s="1942"/>
      <c r="BQ135" s="1943"/>
      <c r="BZ135" s="1493"/>
      <c r="CF135" s="1795"/>
      <c r="CG135" s="1796"/>
      <c r="CH135" s="1796"/>
      <c r="CN135" s="1797"/>
      <c r="CO135" s="1797"/>
      <c r="CQ135" s="1490">
        <v>40465</v>
      </c>
      <c r="CR135" s="1494">
        <f>CN135+CP135+CQ135</f>
        <v>40465</v>
      </c>
      <c r="CS135" s="1797">
        <f t="shared" si="71"/>
        <v>40465</v>
      </c>
      <c r="CV135" s="1678">
        <f t="shared" si="69"/>
        <v>40465</v>
      </c>
      <c r="CW135" s="1795">
        <f t="shared" si="72"/>
        <v>0</v>
      </c>
      <c r="CX135" s="1496">
        <v>0</v>
      </c>
      <c r="CY135" s="1496">
        <f t="shared" si="101"/>
        <v>40465</v>
      </c>
      <c r="CZ135" s="1496">
        <f t="shared" si="74"/>
        <v>0</v>
      </c>
      <c r="DC135" s="1747">
        <f t="shared" si="70"/>
        <v>40465</v>
      </c>
      <c r="DD135" s="1496">
        <f t="shared" si="75"/>
        <v>0</v>
      </c>
      <c r="DF135" s="1747">
        <f t="shared" si="112"/>
        <v>40465</v>
      </c>
      <c r="DI135" s="1747">
        <f t="shared" si="111"/>
        <v>40465</v>
      </c>
    </row>
    <row r="136" spans="1:113" x14ac:dyDescent="0.25">
      <c r="A136" s="1923" t="s">
        <v>32</v>
      </c>
      <c r="B136" s="1297"/>
      <c r="C136" s="1135">
        <v>201339</v>
      </c>
      <c r="D136" s="1924" t="s">
        <v>3388</v>
      </c>
      <c r="E136" s="1925" t="s">
        <v>1876</v>
      </c>
      <c r="F136" s="1946">
        <v>421085</v>
      </c>
      <c r="G136" s="1947" t="s">
        <v>513</v>
      </c>
      <c r="H136" s="1947" t="s">
        <v>512</v>
      </c>
      <c r="I136" s="1928"/>
      <c r="J136" s="1929">
        <v>8</v>
      </c>
      <c r="K136" s="1930"/>
      <c r="L136" s="1931" t="s">
        <v>1886</v>
      </c>
      <c r="M136" s="1931"/>
      <c r="N136" s="1932"/>
      <c r="O136" s="1933"/>
      <c r="P136" s="1948">
        <v>51554</v>
      </c>
      <c r="Q136" s="1934">
        <f>P136/12*6</f>
        <v>25777</v>
      </c>
      <c r="R136" s="1934"/>
      <c r="S136" s="1935">
        <v>45200</v>
      </c>
      <c r="T136" s="1716">
        <v>85</v>
      </c>
      <c r="U136" s="1935"/>
      <c r="V136" s="1716" t="e">
        <v>#N/A</v>
      </c>
      <c r="W136" s="1716" t="e">
        <f t="shared" si="107"/>
        <v>#N/A</v>
      </c>
      <c r="X136" s="1717" t="e">
        <f t="shared" si="108"/>
        <v>#N/A</v>
      </c>
      <c r="Y136" s="1716">
        <v>1</v>
      </c>
      <c r="Z136" s="1716" t="e">
        <f t="shared" si="109"/>
        <v>#N/A</v>
      </c>
      <c r="AA136" s="1936" t="e">
        <f t="shared" si="110"/>
        <v>#N/A</v>
      </c>
      <c r="AB136" s="1937"/>
      <c r="AC136" s="1937"/>
      <c r="AD136" s="1923"/>
      <c r="AE136" s="1923"/>
      <c r="AF136" s="1923"/>
      <c r="AG136" s="1934"/>
      <c r="AH136" s="1938"/>
      <c r="AI136" s="1938"/>
      <c r="AJ136" s="1938"/>
      <c r="AK136" s="1934"/>
      <c r="AL136" s="1934"/>
      <c r="AM136" s="1934"/>
      <c r="AN136" s="1923"/>
      <c r="AO136" s="1934"/>
      <c r="AP136" s="1923"/>
      <c r="AQ136" s="1923"/>
      <c r="AR136" s="1923"/>
      <c r="AS136" s="1923"/>
      <c r="AT136" s="1923"/>
      <c r="AU136" s="1923"/>
      <c r="AV136" s="1923"/>
      <c r="AW136" s="1923"/>
      <c r="AX136" s="1923"/>
      <c r="AY136" s="1923"/>
      <c r="AZ136" s="1938"/>
      <c r="BA136" s="1934"/>
      <c r="BB136" s="1923"/>
      <c r="BC136" s="1923"/>
      <c r="BD136" s="1923"/>
      <c r="BE136" s="1923"/>
      <c r="BF136" s="1923"/>
      <c r="BG136" s="1923"/>
      <c r="BH136" s="1934"/>
      <c r="BI136" s="1939"/>
      <c r="BJ136" s="1923"/>
      <c r="BK136" s="1923"/>
      <c r="BL136" s="1940"/>
      <c r="BM136" s="1941"/>
      <c r="BN136" s="1941"/>
      <c r="BO136" s="1942"/>
      <c r="BP136" s="1942"/>
      <c r="BQ136" s="1943"/>
      <c r="BZ136" s="1493"/>
      <c r="CF136" s="1795"/>
      <c r="CG136" s="1796"/>
      <c r="CH136" s="1796"/>
      <c r="CN136" s="1797"/>
      <c r="CO136" s="1797"/>
      <c r="CR136" s="1494"/>
      <c r="CS136" s="1797"/>
      <c r="CV136" s="1678"/>
      <c r="CW136" s="1795"/>
      <c r="CX136" s="1496">
        <f>Q136</f>
        <v>25777</v>
      </c>
      <c r="CY136" s="1496">
        <f t="shared" si="101"/>
        <v>25777</v>
      </c>
      <c r="CZ136" s="1496">
        <f t="shared" si="74"/>
        <v>25777</v>
      </c>
      <c r="DC136" s="1747">
        <f t="shared" si="70"/>
        <v>25777</v>
      </c>
      <c r="DD136" s="1496">
        <f t="shared" si="75"/>
        <v>0</v>
      </c>
      <c r="DF136" s="1747">
        <f t="shared" si="112"/>
        <v>25777</v>
      </c>
      <c r="DI136" s="1747">
        <f t="shared" si="111"/>
        <v>25777</v>
      </c>
    </row>
    <row r="137" spans="1:113" x14ac:dyDescent="0.25">
      <c r="A137" s="1923">
        <v>1</v>
      </c>
      <c r="B137" s="1297" t="s">
        <v>3529</v>
      </c>
      <c r="C137" s="1924">
        <v>211847</v>
      </c>
      <c r="D137" s="1924" t="s">
        <v>3544</v>
      </c>
      <c r="E137" s="1925" t="s">
        <v>1876</v>
      </c>
      <c r="F137" s="1946">
        <v>425924</v>
      </c>
      <c r="G137" s="1949" t="s">
        <v>146</v>
      </c>
      <c r="H137" s="1949" t="s">
        <v>1296</v>
      </c>
      <c r="I137" s="1928">
        <v>41295</v>
      </c>
      <c r="J137" s="1929"/>
      <c r="K137" s="1930">
        <v>11.003422313483915</v>
      </c>
      <c r="L137" s="1931" t="s">
        <v>1885</v>
      </c>
      <c r="M137" s="1931" t="s">
        <v>43</v>
      </c>
      <c r="N137" s="1932"/>
      <c r="O137" s="1933">
        <v>25000</v>
      </c>
      <c r="P137" s="1950"/>
      <c r="Q137" s="1934"/>
      <c r="R137" s="1934"/>
      <c r="S137" s="1935">
        <v>45040</v>
      </c>
      <c r="T137" s="1716">
        <v>7</v>
      </c>
      <c r="U137" s="1935">
        <v>45382</v>
      </c>
      <c r="V137" s="1716">
        <v>192</v>
      </c>
      <c r="W137" s="1716">
        <f t="shared" si="107"/>
        <v>186</v>
      </c>
      <c r="X137" s="1717">
        <f t="shared" si="108"/>
        <v>0.96875</v>
      </c>
      <c r="Y137" s="1951">
        <v>1</v>
      </c>
      <c r="Z137" s="1951">
        <f t="shared" si="109"/>
        <v>0.96875</v>
      </c>
      <c r="AA137" s="1936">
        <f>Z137*O137</f>
        <v>24218.75</v>
      </c>
      <c r="AB137" s="1937"/>
      <c r="AC137" s="1937"/>
      <c r="AD137" s="1923"/>
      <c r="AE137" s="1923"/>
      <c r="AF137" s="1923"/>
      <c r="AG137" s="1934"/>
      <c r="AH137" s="1938"/>
      <c r="AI137" s="1938"/>
      <c r="AJ137" s="1938"/>
      <c r="AK137" s="1934"/>
      <c r="AL137" s="1934"/>
      <c r="AM137" s="1934"/>
      <c r="AN137" s="1923"/>
      <c r="AO137" s="1934"/>
      <c r="AP137" s="1923"/>
      <c r="AQ137" s="1923"/>
      <c r="AR137" s="1923"/>
      <c r="AS137" s="1923"/>
      <c r="AT137" s="1923"/>
      <c r="AU137" s="1923"/>
      <c r="AV137" s="1923"/>
      <c r="AW137" s="1923"/>
      <c r="AX137" s="1923"/>
      <c r="AY137" s="1923"/>
      <c r="AZ137" s="1938"/>
      <c r="BA137" s="1934"/>
      <c r="BB137" s="1923"/>
      <c r="BC137" s="1923"/>
      <c r="BD137" s="1923"/>
      <c r="BE137" s="1923"/>
      <c r="BF137" s="1923"/>
      <c r="BG137" s="1923"/>
      <c r="BH137" s="1934"/>
      <c r="BI137" s="1939"/>
      <c r="BJ137" s="1923"/>
      <c r="BK137" s="1923"/>
      <c r="BL137" s="1940"/>
      <c r="BM137" s="1941"/>
      <c r="BN137" s="1941"/>
      <c r="BO137" s="1942"/>
      <c r="BP137" s="1942"/>
      <c r="BQ137" s="1943"/>
      <c r="BZ137" s="1493"/>
      <c r="CF137" s="1795"/>
      <c r="CG137" s="1796"/>
      <c r="CH137" s="1796"/>
      <c r="CN137" s="1797"/>
      <c r="CO137" s="1797"/>
      <c r="CR137" s="1494"/>
      <c r="CS137" s="1797"/>
      <c r="CV137" s="1678"/>
      <c r="CW137" s="1795"/>
      <c r="DC137" s="1747"/>
      <c r="DD137" s="1496"/>
      <c r="DF137" s="1747"/>
      <c r="DH137" s="1496">
        <f>AA137</f>
        <v>24218.75</v>
      </c>
      <c r="DI137" s="1747">
        <f t="shared" si="111"/>
        <v>24218.75</v>
      </c>
    </row>
    <row r="138" spans="1:113" ht="15.75" thickBot="1" x14ac:dyDescent="0.3">
      <c r="A138" s="1952">
        <f>SUM(A4:A131)</f>
        <v>107</v>
      </c>
      <c r="B138" s="1525"/>
      <c r="C138" s="1952"/>
      <c r="D138" s="1952"/>
      <c r="E138" s="1953"/>
      <c r="F138" s="1952"/>
      <c r="G138" s="1952"/>
      <c r="H138" s="1952"/>
      <c r="I138" s="1952"/>
      <c r="J138" s="1954"/>
      <c r="K138" s="1952"/>
      <c r="L138" s="1952"/>
      <c r="M138" s="1952"/>
      <c r="N138" s="1952"/>
      <c r="O138" s="1952"/>
      <c r="P138" s="1952"/>
      <c r="Q138" s="1955">
        <f>SUM(Q4:Q131)</f>
        <v>2526862.1283333334</v>
      </c>
      <c r="R138" s="1955">
        <f>SUM(R4:R132)</f>
        <v>132196.06</v>
      </c>
      <c r="S138" s="1952"/>
      <c r="T138" s="1952"/>
      <c r="U138" s="1956"/>
      <c r="V138" s="1957"/>
      <c r="W138" s="1957"/>
      <c r="X138" s="1958"/>
      <c r="Y138" s="1957"/>
      <c r="Z138" s="1957"/>
      <c r="AA138" s="1953"/>
      <c r="AB138" s="1952"/>
      <c r="AC138" s="1952"/>
      <c r="AD138" s="1959"/>
      <c r="AE138" s="1960"/>
      <c r="AF138" s="1960"/>
      <c r="AG138" s="1955">
        <f>SUM(AG4:AG131)</f>
        <v>2450246.4800000004</v>
      </c>
      <c r="AH138" s="1955">
        <f>SUM(AH4:AH131)</f>
        <v>179889.61</v>
      </c>
      <c r="AI138" s="1955"/>
      <c r="AJ138" s="1955"/>
      <c r="AK138" s="1955"/>
      <c r="AL138" s="1955"/>
      <c r="AM138" s="1955"/>
      <c r="AN138" s="1955"/>
      <c r="AO138" s="1955">
        <f>SUM(AO4:AO131)</f>
        <v>94274.68</v>
      </c>
      <c r="AP138" s="1955"/>
      <c r="AQ138" s="1955"/>
      <c r="AR138" s="1955"/>
      <c r="AS138" s="1955">
        <f>SUM(AS4:AS131)</f>
        <v>0</v>
      </c>
      <c r="AT138" s="1955"/>
      <c r="AU138" s="1955"/>
      <c r="AV138" s="1955"/>
      <c r="AW138" s="1955">
        <f>SUM(AW4:AW131)</f>
        <v>0</v>
      </c>
      <c r="AX138" s="1955"/>
      <c r="AY138" s="1955"/>
      <c r="AZ138" s="1955">
        <f>SUM(AZ4:AZ131)</f>
        <v>196300.74</v>
      </c>
      <c r="BA138" s="1955">
        <f>SUM(BA4:BA131)</f>
        <v>61427.85</v>
      </c>
      <c r="BB138" s="1955"/>
      <c r="BC138" s="1955">
        <f>SUM(BC4:BC131)</f>
        <v>109730.87</v>
      </c>
      <c r="BD138" s="1955"/>
      <c r="BE138" s="1955">
        <f>SUM(BE4:BE131)</f>
        <v>675765</v>
      </c>
      <c r="BF138" s="1955"/>
      <c r="BG138" s="1955"/>
      <c r="BH138" s="1955">
        <f t="shared" ref="BH138:BQ138" si="113">SUM(BH4:BH131)</f>
        <v>0</v>
      </c>
      <c r="BI138" s="1961">
        <f t="shared" si="113"/>
        <v>109730.87</v>
      </c>
      <c r="BJ138" s="1955">
        <f t="shared" si="113"/>
        <v>2450246.4800000004</v>
      </c>
      <c r="BK138" s="1955">
        <f t="shared" si="113"/>
        <v>90427.83</v>
      </c>
      <c r="BL138" s="1955">
        <f t="shared" si="113"/>
        <v>292413.56666666659</v>
      </c>
      <c r="BM138" s="1955">
        <f t="shared" si="113"/>
        <v>2095882.7433333329</v>
      </c>
      <c r="BN138" s="1955">
        <f t="shared" si="113"/>
        <v>2024201.7433333329</v>
      </c>
      <c r="BO138" s="1955">
        <f t="shared" si="113"/>
        <v>-65540.666666666657</v>
      </c>
      <c r="BP138" s="1955">
        <f t="shared" si="113"/>
        <v>-65540.666666666657</v>
      </c>
      <c r="BQ138" s="1962">
        <f t="shared" si="113"/>
        <v>1940661.0766666662</v>
      </c>
      <c r="BR138" s="1963">
        <f>SUM(BR2:BR131)</f>
        <v>118641</v>
      </c>
      <c r="BS138" s="1952"/>
      <c r="BT138" s="1952"/>
      <c r="BU138" s="1952"/>
      <c r="BV138" s="1952"/>
      <c r="BW138" s="1964"/>
      <c r="BX138" s="1964"/>
      <c r="BY138" s="1952"/>
      <c r="BZ138" s="1965">
        <f>SUM(BZ2:BZ131)</f>
        <v>-65540.666666666657</v>
      </c>
      <c r="CA138" s="1966">
        <f>SUM(CA2:CA131)</f>
        <v>0</v>
      </c>
      <c r="CB138" s="1966">
        <f>SUM(CB2:CB131)</f>
        <v>-20970</v>
      </c>
      <c r="CC138" s="1966"/>
      <c r="CD138" s="1966" t="e">
        <f t="shared" ref="CD138:CJ138" si="114">SUM(CD2:CD131)</f>
        <v>#REF!</v>
      </c>
      <c r="CE138" s="1966">
        <f t="shared" si="114"/>
        <v>0</v>
      </c>
      <c r="CF138" s="1966">
        <f t="shared" si="114"/>
        <v>2036114.0766666662</v>
      </c>
      <c r="CG138" s="1631" t="e">
        <f t="shared" si="114"/>
        <v>#REF!</v>
      </c>
      <c r="CH138" s="1634" t="e">
        <f t="shared" si="114"/>
        <v>#REF!</v>
      </c>
      <c r="CI138" s="1634">
        <f t="shared" si="114"/>
        <v>0</v>
      </c>
      <c r="CJ138" s="1634">
        <f t="shared" si="114"/>
        <v>0</v>
      </c>
      <c r="CK138" s="1634"/>
      <c r="CL138" s="1634"/>
      <c r="CM138" s="1634"/>
      <c r="CN138" s="1634">
        <f>SUM(CN2:CN131)</f>
        <v>2149224.4066666667</v>
      </c>
      <c r="CO138" s="1634">
        <f>SUM(CO2:CO131)</f>
        <v>78201</v>
      </c>
      <c r="CP138" s="1490">
        <f>SUBTOTAL(9,CP4:CP127)</f>
        <v>206083.1</v>
      </c>
      <c r="CR138" s="1967">
        <f>SUM(CR2:CR135)</f>
        <v>2579895.5066666668</v>
      </c>
      <c r="CS138" s="1967">
        <f>SUM(CS2:CS135)</f>
        <v>430671.1</v>
      </c>
      <c r="CT138" s="1968">
        <f>SUM(CT2:CT135)</f>
        <v>40873.1</v>
      </c>
      <c r="CU138" s="1969">
        <f>SUM(CU2:CU135)</f>
        <v>-151000</v>
      </c>
      <c r="CV138" s="1970">
        <f>SUM(CV2:CV135)</f>
        <v>2503652.9466666663</v>
      </c>
      <c r="CW138" s="1970">
        <f t="shared" ref="CW138" si="115">CV138-CR138</f>
        <v>-76242.560000000522</v>
      </c>
      <c r="CX138" s="1971">
        <f>SUM(CX2:CX136)</f>
        <v>-23557.090000000011</v>
      </c>
      <c r="CY138" s="1971">
        <f>SUM(CY2:CY136)</f>
        <v>2480095.8566666665</v>
      </c>
      <c r="CZ138" s="1971">
        <f>SUM(CZ2:CZ136)</f>
        <v>-23557.090000000011</v>
      </c>
      <c r="DB138" s="1972">
        <f>SUM(DB2:DB136)</f>
        <v>43873.33</v>
      </c>
      <c r="DC138" s="1972">
        <f t="shared" ref="DC138:DD138" si="116">SUM(DC2:DC136)</f>
        <v>2523969.1866666665</v>
      </c>
      <c r="DD138" s="1971">
        <f t="shared" si="116"/>
        <v>34133.33</v>
      </c>
      <c r="DE138" s="1953">
        <f>SUM(DE2:DE136)</f>
        <v>45399.708333333336</v>
      </c>
      <c r="DF138" s="1953">
        <f>SUM(DF2:DF136)</f>
        <v>2569368.8949999996</v>
      </c>
      <c r="DH138" s="1953">
        <f>SUM(DH2:DH137)</f>
        <v>-28914.25</v>
      </c>
      <c r="DI138" s="1973">
        <f>SUM(DI2:DI137)</f>
        <v>2540454.645</v>
      </c>
    </row>
    <row r="139" spans="1:113" ht="15.75" thickTop="1" x14ac:dyDescent="0.25">
      <c r="A139" s="1490">
        <f>COUNT(A2:A131)</f>
        <v>128</v>
      </c>
      <c r="B139" s="251"/>
      <c r="C139" s="251"/>
      <c r="D139" s="1410"/>
      <c r="E139" s="1974"/>
      <c r="F139" s="251"/>
      <c r="G139" s="251"/>
      <c r="H139" s="971"/>
      <c r="R139" s="1652"/>
      <c r="S139" s="1490" t="s">
        <v>3033</v>
      </c>
      <c r="AD139" s="1407"/>
      <c r="AE139" s="251"/>
      <c r="AF139" s="251"/>
      <c r="AG139" s="1408"/>
      <c r="AH139" s="1408"/>
      <c r="AI139" s="1408"/>
      <c r="AJ139" s="1408"/>
      <c r="AK139" s="1408"/>
      <c r="AL139" s="1408"/>
      <c r="AM139" s="1408"/>
      <c r="AN139" s="251"/>
      <c r="AO139" s="974"/>
      <c r="AP139" s="251"/>
      <c r="AQ139" s="251"/>
      <c r="AR139" s="251"/>
      <c r="AS139" s="1409"/>
      <c r="AT139" s="1409"/>
      <c r="AZ139" s="1978"/>
      <c r="BA139" s="1979"/>
      <c r="BI139" s="1807">
        <f>BI138+BH138</f>
        <v>109730.87</v>
      </c>
      <c r="BL139" s="1652"/>
      <c r="BZ139" s="1494"/>
    </row>
    <row r="140" spans="1:113" x14ac:dyDescent="0.25">
      <c r="B140" s="251"/>
      <c r="C140" s="251"/>
      <c r="D140" s="1410"/>
      <c r="E140" s="1974"/>
      <c r="F140" s="251"/>
      <c r="G140" s="251"/>
      <c r="H140" s="971"/>
      <c r="R140" s="1652"/>
      <c r="AD140" s="1407"/>
      <c r="AE140" s="251"/>
      <c r="AF140" s="251"/>
      <c r="AG140" s="1408"/>
      <c r="AH140" s="1408"/>
      <c r="AI140" s="1408"/>
      <c r="AJ140" s="1408"/>
      <c r="AK140" s="1408"/>
      <c r="AL140" s="1408"/>
      <c r="AM140" s="1408"/>
      <c r="AN140" s="251"/>
      <c r="AO140" s="974"/>
      <c r="AP140" s="251"/>
      <c r="AQ140" s="251"/>
      <c r="AR140" s="251"/>
      <c r="AS140" s="1409"/>
      <c r="AT140" s="1409"/>
      <c r="AZ140" s="1978"/>
      <c r="BA140" s="1691"/>
      <c r="BL140" s="1652"/>
      <c r="BZ140" s="1494"/>
      <c r="CD140" s="1980" t="s">
        <v>3545</v>
      </c>
      <c r="CE140" s="1980"/>
      <c r="CF140" s="1980"/>
      <c r="CG140" s="1981">
        <v>1380000</v>
      </c>
      <c r="CL140" s="1980" t="s">
        <v>3545</v>
      </c>
      <c r="CM140" s="1980"/>
      <c r="CN140" s="1982">
        <v>1380000</v>
      </c>
      <c r="CO140" s="1983"/>
      <c r="CR140" s="1798"/>
    </row>
    <row r="141" spans="1:113" x14ac:dyDescent="0.25">
      <c r="B141" s="251"/>
      <c r="C141" s="251"/>
      <c r="D141" s="1410"/>
      <c r="E141" s="1974"/>
      <c r="F141" s="251"/>
      <c r="G141" s="251"/>
      <c r="H141" s="971"/>
      <c r="AD141" s="1407"/>
      <c r="AE141" s="251"/>
      <c r="AF141" s="251"/>
      <c r="AG141" s="1408"/>
      <c r="AH141" s="1408"/>
      <c r="AI141" s="1408"/>
      <c r="AJ141" s="1408"/>
      <c r="AK141" s="1408"/>
      <c r="AL141" s="1408"/>
      <c r="AM141" s="1408"/>
      <c r="AN141" s="251"/>
      <c r="AO141" s="974"/>
      <c r="AP141" s="251"/>
      <c r="AQ141" s="251"/>
      <c r="AR141" s="251"/>
      <c r="AS141" s="1409"/>
      <c r="AT141" s="1409"/>
      <c r="BQ141" s="1494"/>
      <c r="CR141" s="1496">
        <f>SUBTOTAL(9,CR138:CR140)</f>
        <v>2579895.5066666668</v>
      </c>
      <c r="CT141" s="1494"/>
      <c r="CU141" s="1840" t="s">
        <v>2595</v>
      </c>
      <c r="CV141" s="1984">
        <f>CV138</f>
        <v>2503652.9466666663</v>
      </c>
      <c r="CX141" s="1985" t="s">
        <v>3032</v>
      </c>
      <c r="CY141" s="1985">
        <f>CY138</f>
        <v>2480095.8566666665</v>
      </c>
      <c r="DB141" s="1798" t="s">
        <v>3546</v>
      </c>
      <c r="DF141" s="1798" t="s">
        <v>3547</v>
      </c>
    </row>
    <row r="142" spans="1:113" x14ac:dyDescent="0.25">
      <c r="B142" s="251"/>
      <c r="C142" s="251"/>
      <c r="D142" s="1410"/>
      <c r="E142" s="1974"/>
      <c r="F142" s="251"/>
      <c r="G142" s="251"/>
      <c r="H142" s="1412"/>
      <c r="AR142" s="1690"/>
      <c r="BM142" s="1986" t="s">
        <v>3548</v>
      </c>
      <c r="BN142" s="1986"/>
      <c r="BO142" s="1986"/>
      <c r="BP142" s="1986"/>
      <c r="BQ142" s="1981">
        <v>1380000</v>
      </c>
      <c r="CD142" s="1987" t="s">
        <v>3054</v>
      </c>
      <c r="CE142" s="1987"/>
      <c r="CF142" s="1987"/>
      <c r="CG142" s="1988" t="e">
        <f>CG138-CG140</f>
        <v>#REF!</v>
      </c>
      <c r="CL142" s="1987" t="s">
        <v>3054</v>
      </c>
      <c r="CM142" s="1987"/>
      <c r="CN142" s="1988">
        <f>CN138-CN140</f>
        <v>769224.40666666673</v>
      </c>
      <c r="CT142" s="1494"/>
      <c r="DB142" s="1798" t="s">
        <v>3050</v>
      </c>
      <c r="DC142" s="1490" t="s">
        <v>1876</v>
      </c>
      <c r="DD142" s="1496">
        <f>SUMIF($E:$E,DC142,DC:DC)</f>
        <v>1352687.5066666666</v>
      </c>
      <c r="DE142" s="1976">
        <v>50</v>
      </c>
      <c r="DF142" s="1798" t="s">
        <v>3050</v>
      </c>
      <c r="DG142" s="1490" t="s">
        <v>1876</v>
      </c>
      <c r="DH142" s="1496">
        <f>SUMIF($E:$E,DG142,$DF:$DF)</f>
        <v>1362195.2149999999</v>
      </c>
      <c r="DI142" s="1490">
        <v>51</v>
      </c>
    </row>
    <row r="143" spans="1:113" x14ac:dyDescent="0.25">
      <c r="B143" s="967" t="s">
        <v>3549</v>
      </c>
      <c r="C143" s="251"/>
      <c r="D143" s="1410"/>
      <c r="E143" s="1974"/>
      <c r="F143" s="251"/>
      <c r="G143" s="251"/>
      <c r="H143" s="1412"/>
      <c r="AR143" s="1690"/>
      <c r="CD143" s="1989" t="s">
        <v>3550</v>
      </c>
      <c r="CE143" s="1989"/>
      <c r="CF143" s="1989"/>
      <c r="CG143" s="1989"/>
      <c r="CH143" s="1989"/>
      <c r="CI143" s="1989"/>
      <c r="CJ143" s="1989"/>
      <c r="CK143" s="1989"/>
      <c r="CL143" s="1989" t="s">
        <v>3551</v>
      </c>
      <c r="CY143" s="1496">
        <f>CY141-CV138</f>
        <v>-23557.089999999851</v>
      </c>
      <c r="DB143" s="1798" t="s">
        <v>3552</v>
      </c>
      <c r="DC143" s="1490" t="s">
        <v>1606</v>
      </c>
      <c r="DD143" s="1496">
        <f>SUMIF($E:$E,DC143,DC:DC)</f>
        <v>1171281.6800000002</v>
      </c>
      <c r="DE143" s="1976">
        <v>56</v>
      </c>
      <c r="DF143" s="1798" t="s">
        <v>3552</v>
      </c>
      <c r="DG143" s="1490" t="s">
        <v>1606</v>
      </c>
      <c r="DH143" s="1496">
        <f>SUMIF($E:$E,DG143,$DF:$DF)</f>
        <v>1207173.6800000002</v>
      </c>
      <c r="DI143" s="1490">
        <v>58</v>
      </c>
    </row>
    <row r="144" spans="1:113" ht="16.5" thickBot="1" x14ac:dyDescent="0.3">
      <c r="B144" s="967" t="s">
        <v>3553</v>
      </c>
      <c r="AR144" s="1690"/>
      <c r="BM144" s="1840" t="s">
        <v>3054</v>
      </c>
      <c r="BN144" s="1840"/>
      <c r="BO144" s="1840"/>
      <c r="BP144" s="1840"/>
      <c r="BQ144" s="1990">
        <f>BQ138-BQ142</f>
        <v>560661.07666666619</v>
      </c>
      <c r="CD144" s="1989" t="s">
        <v>3554</v>
      </c>
      <c r="CE144" s="1989" t="s">
        <v>3554</v>
      </c>
      <c r="CF144" s="1989" t="s">
        <v>3554</v>
      </c>
      <c r="CG144" s="1989"/>
      <c r="CH144" s="1989"/>
      <c r="CI144" s="1989"/>
      <c r="CJ144" s="1989"/>
      <c r="CK144" s="1989"/>
      <c r="CL144" s="1989" t="s">
        <v>3555</v>
      </c>
      <c r="CM144" s="1989"/>
      <c r="CN144" s="1989"/>
      <c r="CO144" s="1989"/>
      <c r="DD144" s="1953">
        <f>SUM(DD142:DD143)</f>
        <v>2523969.1866666665</v>
      </c>
      <c r="DE144" s="1976">
        <v>108</v>
      </c>
      <c r="DH144" s="1953">
        <f>SUM(DH142:DH143)</f>
        <v>2569368.895</v>
      </c>
      <c r="DI144" s="1490">
        <f>SUBTOTAL(9,DI142:DI143)</f>
        <v>109</v>
      </c>
    </row>
    <row r="145" spans="44:113" ht="15.75" thickTop="1" x14ac:dyDescent="0.25">
      <c r="AR145" s="1690"/>
      <c r="CD145" s="1989" t="s">
        <v>3556</v>
      </c>
      <c r="CE145" s="1989" t="s">
        <v>3556</v>
      </c>
      <c r="CF145" s="1989" t="s">
        <v>3556</v>
      </c>
      <c r="CG145" s="1989"/>
      <c r="CH145" s="1989"/>
      <c r="CI145" s="1989"/>
      <c r="CJ145" s="1989"/>
      <c r="CK145" s="1989"/>
    </row>
    <row r="146" spans="44:113" x14ac:dyDescent="0.25">
      <c r="AR146" s="1690"/>
    </row>
    <row r="147" spans="44:113" x14ac:dyDescent="0.25">
      <c r="CS147" s="1495" t="s">
        <v>3037</v>
      </c>
      <c r="CT147" s="1495"/>
      <c r="CW147" s="1490" t="s">
        <v>3038</v>
      </c>
      <c r="DB147" s="1798" t="s">
        <v>3039</v>
      </c>
    </row>
    <row r="148" spans="44:113" x14ac:dyDescent="0.25">
      <c r="CS148" s="1510" t="s">
        <v>3050</v>
      </c>
      <c r="CT148" s="1510" t="s">
        <v>1876</v>
      </c>
      <c r="CU148" s="1496">
        <f>SUMIF($E:$E,CT148,CV:CV)</f>
        <v>1386920.1766666665</v>
      </c>
      <c r="CV148" s="1490">
        <v>49</v>
      </c>
      <c r="CW148" s="1840" t="s">
        <v>3557</v>
      </c>
      <c r="CX148" s="1985" t="s">
        <v>1876</v>
      </c>
      <c r="CY148" s="1985">
        <f>SUMIF($E$2:$E$136,CX148,CY2:CY136)</f>
        <v>1341613.8466666667</v>
      </c>
      <c r="CZ148" s="1976">
        <v>48</v>
      </c>
      <c r="DB148" s="1840" t="s">
        <v>3557</v>
      </c>
      <c r="DC148" s="1985" t="s">
        <v>1876</v>
      </c>
      <c r="DD148" s="1496">
        <f>SUMIF($E:$E,DC148,DC:DC)</f>
        <v>1352687.5066666666</v>
      </c>
      <c r="DE148" s="1496">
        <v>50</v>
      </c>
      <c r="DF148" s="1798" t="s">
        <v>3558</v>
      </c>
    </row>
    <row r="149" spans="44:113" x14ac:dyDescent="0.25">
      <c r="CS149" s="1510" t="s">
        <v>3167</v>
      </c>
      <c r="CT149" s="1510" t="s">
        <v>1606</v>
      </c>
      <c r="CU149" s="1496">
        <f>SUMIF($E:$E,CT149,CV:CV)</f>
        <v>1116732.77</v>
      </c>
      <c r="CV149" s="1490">
        <v>53</v>
      </c>
      <c r="CW149" s="1840" t="s">
        <v>3559</v>
      </c>
      <c r="CX149" s="1985" t="s">
        <v>1606</v>
      </c>
      <c r="CY149" s="1985">
        <f>SUMIF($E$2:$E$136,CX149,CY2:CY136)</f>
        <v>1138482.01</v>
      </c>
      <c r="CZ149" s="1976">
        <v>55</v>
      </c>
      <c r="DB149" s="1840" t="s">
        <v>3559</v>
      </c>
      <c r="DC149" s="1985" t="s">
        <v>1606</v>
      </c>
      <c r="DD149" s="1496">
        <f>SUMIF($E:$E,DC149,DC:DC)</f>
        <v>1171281.6800000002</v>
      </c>
      <c r="DE149" s="1496">
        <v>56</v>
      </c>
      <c r="DF149" s="1798" t="s">
        <v>3050</v>
      </c>
      <c r="DG149" s="1490" t="s">
        <v>1876</v>
      </c>
      <c r="DH149" s="1496">
        <f>SUMIF(E:E,DG142,DI:DI)</f>
        <v>1364059.9649999999</v>
      </c>
      <c r="DI149" s="1490">
        <v>52</v>
      </c>
    </row>
    <row r="150" spans="44:113" x14ac:dyDescent="0.25">
      <c r="CU150" s="1991">
        <f>SUBTOTAL(9,CU148:CU149)</f>
        <v>2503652.9466666663</v>
      </c>
      <c r="CV150" s="1490">
        <f>SUM(CV148:CV149)</f>
        <v>102</v>
      </c>
      <c r="CW150" s="1840"/>
      <c r="CX150" s="1985"/>
      <c r="CY150" s="1992">
        <f>SUM(CY148:CY149)</f>
        <v>2480095.8566666665</v>
      </c>
      <c r="CZ150" s="1976">
        <f>SUM(CZ148:CZ149)</f>
        <v>103</v>
      </c>
      <c r="DD150" s="1991">
        <f>SUM(DD148:DD149)</f>
        <v>2523969.1866666665</v>
      </c>
      <c r="DE150" s="1496">
        <f>SUM(DE148:DE149)</f>
        <v>106</v>
      </c>
      <c r="DF150" s="1798" t="s">
        <v>3552</v>
      </c>
      <c r="DG150" s="1490" t="s">
        <v>1606</v>
      </c>
      <c r="DH150" s="1496">
        <f>SUMIF(E:E,DG143,DI:DI)</f>
        <v>1176394.6800000002</v>
      </c>
      <c r="DI150" s="1490">
        <v>56</v>
      </c>
    </row>
    <row r="151" spans="44:113" ht="15.75" thickBot="1" x14ac:dyDescent="0.3">
      <c r="CZ151" s="1977"/>
      <c r="DH151" s="1953">
        <f>SUBTOTAL(9,DH149:DH150)</f>
        <v>2540454.645</v>
      </c>
      <c r="DI151" s="1490">
        <f>SUBTOTAL(9,DI149:DI150)</f>
        <v>108</v>
      </c>
    </row>
    <row r="152" spans="44:113" ht="15.75" thickTop="1" x14ac:dyDescent="0.25">
      <c r="CZ152" s="1977"/>
      <c r="DB152" s="1798" t="s">
        <v>3560</v>
      </c>
      <c r="DD152" s="1496">
        <f>DB43+DB77</f>
        <v>24883</v>
      </c>
    </row>
    <row r="153" spans="44:113" x14ac:dyDescent="0.25">
      <c r="CX153" s="1496" t="s">
        <v>3561</v>
      </c>
      <c r="CY153" s="1496">
        <v>9000</v>
      </c>
      <c r="CZ153" s="1977"/>
      <c r="DB153" s="1798" t="s">
        <v>3562</v>
      </c>
      <c r="DD153" s="1496">
        <f>DB57</f>
        <v>21138</v>
      </c>
    </row>
    <row r="154" spans="44:113" x14ac:dyDescent="0.25">
      <c r="CZ154" s="1977"/>
      <c r="DB154" s="1798" t="s">
        <v>3563</v>
      </c>
      <c r="DD154" s="1496">
        <f>DB3+DB21+DB38+DB73+DB128</f>
        <v>30975.33</v>
      </c>
    </row>
    <row r="155" spans="44:113" x14ac:dyDescent="0.25">
      <c r="CX155" s="1496" t="s">
        <v>3564</v>
      </c>
      <c r="CY155" s="1496">
        <v>-194346.76</v>
      </c>
      <c r="CZ155" s="1977">
        <v>15</v>
      </c>
      <c r="DB155" s="1798" t="s">
        <v>3565</v>
      </c>
      <c r="DD155" s="1798">
        <f>+DB134</f>
        <v>-33123</v>
      </c>
    </row>
    <row r="156" spans="44:113" ht="15.75" thickBot="1" x14ac:dyDescent="0.3">
      <c r="CX156" s="1496" t="s">
        <v>3566</v>
      </c>
      <c r="CY156" s="1496">
        <v>170789.67</v>
      </c>
      <c r="CZ156" s="1977">
        <v>11</v>
      </c>
      <c r="DD156" s="1953">
        <f>SUM(DD152:DD155)</f>
        <v>43873.33</v>
      </c>
    </row>
    <row r="157" spans="44:113" ht="15.75" thickTop="1" x14ac:dyDescent="0.25">
      <c r="CY157" s="1496">
        <f>SUM(CY155:CY156)</f>
        <v>-23557.089999999997</v>
      </c>
      <c r="CZ157" s="1977"/>
      <c r="DA157" s="1993"/>
    </row>
  </sheetData>
  <autoFilter ref="A1:DI157" xr:uid="{1F41106A-2C99-4455-AB13-816496F8DDEE}">
    <filterColumn colId="0">
      <filters blank="1">
        <filter val="1"/>
        <filter val="107"/>
        <filter val="128"/>
        <filter val="AP"/>
        <filter val="P"/>
      </filters>
    </filterColumn>
  </autoFilter>
  <pageMargins left="0.7" right="0.7" top="0.75" bottom="0.75" header="0.3" footer="0.3"/>
  <pageSetup paperSize="9" orientation="portrait" r:id="rId1"/>
  <headerFooter>
    <oddFooter>&amp;L_x000D_&amp;1#&amp;"Calibri"&amp;10&amp;K000000 Confidential: Information that needs to be handled with care to avoid loss, damage or inappropriate access. Information which incorrectly disseminated could cause some distress to a limited number of individuals.</oddFooter>
  </headerFooter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A712541B8D8A445855D579DCD10E17E" ma:contentTypeVersion="12" ma:contentTypeDescription="Create a new document." ma:contentTypeScope="" ma:versionID="86f1df5482388045bd6962968e20123f">
  <xsd:schema xmlns:xsd="http://www.w3.org/2001/XMLSchema" xmlns:xs="http://www.w3.org/2001/XMLSchema" xmlns:p="http://schemas.microsoft.com/office/2006/metadata/properties" xmlns:ns2="fd1cf6e2-5505-4cbd-8587-019aaa4360f2" xmlns:ns3="6c2d118b-4b14-4725-9975-2b231ef2ed32" targetNamespace="http://schemas.microsoft.com/office/2006/metadata/properties" ma:root="true" ma:fieldsID="acf45f005b7733a980aef9f1e70eeec1" ns2:_="" ns3:_="">
    <xsd:import namespace="fd1cf6e2-5505-4cbd-8587-019aaa4360f2"/>
    <xsd:import namespace="6c2d118b-4b14-4725-9975-2b231ef2ed3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1cf6e2-5505-4cbd-8587-019aaa4360f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63f4c14d-ad24-42e9-89ea-41944c85aae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9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c2d118b-4b14-4725-9975-2b231ef2ed32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36ce76ea-d845-4ed9-913d-3363ce58f426}" ma:internalName="TaxCatchAll" ma:showField="CatchAllData" ma:web="6c2d118b-4b14-4725-9975-2b231ef2ed3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6c2d118b-4b14-4725-9975-2b231ef2ed32" xsi:nil="true"/>
    <lcf76f155ced4ddcb4097134ff3c332f xmlns="fd1cf6e2-5505-4cbd-8587-019aaa4360f2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07FE6F83-5A79-4B81-A64E-9E997E42BF0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d1cf6e2-5505-4cbd-8587-019aaa4360f2"/>
    <ds:schemaRef ds:uri="6c2d118b-4b14-4725-9975-2b231ef2ed3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3A9B019-7111-48A7-A64C-A6B2F9DA53B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03939B3-3715-4CEA-A335-6601AFFA5E06}">
  <ds:schemaRefs>
    <ds:schemaRef ds:uri="http://schemas.openxmlformats.org/package/2006/metadata/core-properties"/>
    <ds:schemaRef ds:uri="fd1cf6e2-5505-4cbd-8587-019aaa4360f2"/>
    <ds:schemaRef ds:uri="http://schemas.microsoft.com/office/2006/documentManagement/types"/>
    <ds:schemaRef ds:uri="6c2d118b-4b14-4725-9975-2b231ef2ed32"/>
    <ds:schemaRef ds:uri="http://purl.org/dc/dcmitype/"/>
    <ds:schemaRef ds:uri="http://purl.org/dc/elements/1.1/"/>
    <ds:schemaRef ds:uri="http://purl.org/dc/terms/"/>
    <ds:schemaRef ds:uri="http://schemas.microsoft.com/office/infopath/2007/PartnerControls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WBCIR20295</vt:lpstr>
      <vt:lpstr>Q5 + Q6</vt:lpstr>
      <vt:lpstr>DATA_23-24 NWPU YTD_MasterD (2)</vt:lpstr>
      <vt:lpstr>Sheet1</vt:lpstr>
      <vt:lpstr>NWPU_FCAST AUG Calc</vt:lpstr>
      <vt:lpstr>43013_23-24</vt:lpstr>
      <vt:lpstr>43016_23-24</vt:lpstr>
      <vt:lpstr>43019_23-24</vt:lpstr>
      <vt:lpstr>43009_23-24</vt:lpstr>
      <vt:lpstr>INMSS 43601 &amp; 43606</vt:lpstr>
      <vt:lpstr>EY 23-24YTD MasterDATA_JAN</vt:lpstr>
    </vt:vector>
  </TitlesOfParts>
  <Company>Wokingham Borough Council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Diana Hollis</dc:creator>
  <cp:lastModifiedBy>Frankie Lawrence</cp:lastModifiedBy>
  <dcterms:created xsi:type="dcterms:W3CDTF">2023-05-17T11:08:28Z</dcterms:created>
  <dcterms:modified xsi:type="dcterms:W3CDTF">2025-09-22T12:31:05Z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e248346e-ad3e-4daa-9044-bc3bf703edd9_Enabled">
    <vt:lpwstr>true</vt:lpwstr>
  </property>
  <property fmtid="{D5CDD505-2E9C-101B-9397-08002B2CF9AE}" pid="3" name="MSIP_Label_e248346e-ad3e-4daa-9044-bc3bf703edd9_SetDate">
    <vt:lpwstr>2024-05-07T12:48:23Z</vt:lpwstr>
  </property>
  <property fmtid="{D5CDD505-2E9C-101B-9397-08002B2CF9AE}" pid="4" name="MSIP_Label_e248346e-ad3e-4daa-9044-bc3bf703edd9_Method">
    <vt:lpwstr>Privileged</vt:lpwstr>
  </property>
  <property fmtid="{D5CDD505-2E9C-101B-9397-08002B2CF9AE}" pid="5" name="MSIP_Label_e248346e-ad3e-4daa-9044-bc3bf703edd9_Name">
    <vt:lpwstr>e248346e-ad3e-4daa-9044-bc3bf703edd9</vt:lpwstr>
  </property>
  <property fmtid="{D5CDD505-2E9C-101B-9397-08002B2CF9AE}" pid="6" name="MSIP_Label_e248346e-ad3e-4daa-9044-bc3bf703edd9_SiteId">
    <vt:lpwstr>996ee15c-0b3e-4a6f-8e65-120a9a51821a</vt:lpwstr>
  </property>
  <property fmtid="{D5CDD505-2E9C-101B-9397-08002B2CF9AE}" pid="7" name="MSIP_Label_e248346e-ad3e-4daa-9044-bc3bf703edd9_ActionId">
    <vt:lpwstr>3d871a2a-6ea2-4d20-b6fe-19c550e94a20</vt:lpwstr>
  </property>
  <property fmtid="{D5CDD505-2E9C-101B-9397-08002B2CF9AE}" pid="8" name="MSIP_Label_e248346e-ad3e-4daa-9044-bc3bf703edd9_ContentBits">
    <vt:lpwstr>2</vt:lpwstr>
  </property>
  <property fmtid="{D5CDD505-2E9C-101B-9397-08002B2CF9AE}" pid="9" name="ContentTypeId">
    <vt:lpwstr>0x0101009A712541B8D8A445855D579DCD10E17E</vt:lpwstr>
  </property>
  <property fmtid="{D5CDD505-2E9C-101B-9397-08002B2CF9AE}" pid="10" name="Order">
    <vt:r8>27365400</vt:r8>
  </property>
  <property fmtid="{D5CDD505-2E9C-101B-9397-08002B2CF9AE}" pid="11" name="MediaServiceImageTags">
    <vt:lpwstr/>
  </property>
</Properties>
</file>